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6.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drawings/drawing7.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8.xml" ContentType="application/vnd.openxmlformats-officedocument.drawing+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9.xml" ContentType="application/vnd.openxmlformats-officedocument.drawing+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drawings/drawing10.xml" ContentType="application/vnd.openxmlformats-officedocument.drawing+xml"/>
  <Override PartName="/xl/tables/table38.xml" ContentType="application/vnd.openxmlformats-officedocument.spreadsheetml.table+xml"/>
  <Override PartName="/xl/tables/table39.xml" ContentType="application/vnd.openxmlformats-officedocument.spreadsheetml.table+xml"/>
  <Override PartName="/xl/pivotTables/pivotTable6.xml" ContentType="application/vnd.openxmlformats-officedocument.spreadsheetml.pivotTable+xml"/>
  <Override PartName="/xl/drawings/drawing11.xml" ContentType="application/vnd.openxmlformats-officedocument.drawing+xml"/>
  <Override PartName="/xl/tables/table40.xml" ContentType="application/vnd.openxmlformats-officedocument.spreadsheetml.table+xml"/>
  <Override PartName="/xl/tables/table41.xml" ContentType="application/vnd.openxmlformats-officedocument.spreadsheetml.table+xml"/>
  <Override PartName="/xl/drawings/drawing12.xml" ContentType="application/vnd.openxmlformats-officedocument.drawing+xml"/>
  <Override PartName="/xl/tables/table42.xml" ContentType="application/vnd.openxmlformats-officedocument.spreadsheetml.table+xml"/>
  <Override PartName="/xl/tables/table43.xml" ContentType="application/vnd.openxmlformats-officedocument.spreadsheetml.table+xml"/>
  <Override PartName="/xl/drawings/drawing13.xml" ContentType="application/vnd.openxmlformats-officedocument.drawing+xml"/>
  <Override PartName="/xl/tables/table44.xml" ContentType="application/vnd.openxmlformats-officedocument.spreadsheetml.table+xml"/>
  <Override PartName="/xl/tables/table45.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4.xml" ContentType="application/vnd.openxmlformats-officedocument.drawing+xml"/>
  <Override PartName="/xl/tables/table46.xml" ContentType="application/vnd.openxmlformats-officedocument.spreadsheetml.table+xml"/>
  <Override PartName="/xl/tables/table47.xml" ContentType="application/vnd.openxmlformats-officedocument.spreadsheetml.table+xml"/>
  <Override PartName="/xl/slicers/slicer1.xml" ContentType="application/vnd.ms-excel.slicer+xml"/>
  <Override PartName="/xl/pivotTables/pivotTable9.xml" ContentType="application/vnd.openxmlformats-officedocument.spreadsheetml.pivotTable+xml"/>
  <Override PartName="/xl/drawings/drawing15.xml" ContentType="application/vnd.openxmlformats-officedocument.drawing+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slicers/slicer2.xml" ContentType="application/vnd.ms-excel.slicer+xml"/>
  <Override PartName="/xl/pivotTables/pivotTable10.xml" ContentType="application/vnd.openxmlformats-officedocument.spreadsheetml.pivotTable+xml"/>
  <Override PartName="/xl/drawings/drawing16.xml" ContentType="application/vnd.openxmlformats-officedocument.drawing+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drawings/drawing17.xml" ContentType="application/vnd.openxmlformats-officedocument.drawing+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8.xml" ContentType="application/vnd.openxmlformats-officedocument.drawing+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drawings/drawing19.xml" ContentType="application/vnd.openxmlformats-officedocument.drawing+xml"/>
  <Override PartName="/xl/tables/table73.xml" ContentType="application/vnd.openxmlformats-officedocument.spreadsheetml.table+xml"/>
  <Override PartName="/xl/drawings/drawing20.xml" ContentType="application/vnd.openxmlformats-officedocument.drawing+xml"/>
  <Override PartName="/xl/tables/table74.xml" ContentType="application/vnd.openxmlformats-officedocument.spreadsheetml.table+xml"/>
  <Override PartName="/xl/tables/table75.xml" ContentType="application/vnd.openxmlformats-officedocument.spreadsheetml.table+xml"/>
  <Override PartName="/xl/drawings/drawing21.xml" ContentType="application/vnd.openxmlformats-officedocument.drawing+xml"/>
  <Override PartName="/xl/drawings/drawing22.xml" ContentType="application/vnd.openxmlformats-officedocument.drawing+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drawings/drawing23.xml" ContentType="application/vnd.openxmlformats-officedocument.drawing+xml"/>
  <Override PartName="/xl/tables/table80.xml" ContentType="application/vnd.openxmlformats-officedocument.spreadsheetml.table+xml"/>
  <Override PartName="/xl/tables/table81.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tables/table82.xml" ContentType="application/vnd.openxmlformats-officedocument.spreadsheetml.table+xml"/>
  <Override PartName="/xl/drawings/drawing26.xml" ContentType="application/vnd.openxmlformats-officedocument.drawing+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drawings/drawing27.xml" ContentType="application/vnd.openxmlformats-officedocument.drawing+xml"/>
  <Override PartName="/xl/drawings/drawing28.xml" ContentType="application/vnd.openxmlformats-officedocument.drawing+xml"/>
  <Override PartName="/xl/tables/table91.xml" ContentType="application/vnd.openxmlformats-officedocument.spreadsheetml.table+xml"/>
  <Override PartName="/xl/tables/table9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9.xml" ContentType="application/vnd.openxmlformats-officedocument.drawing+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Sachin\Learning\1.M.Tech\1stSemester\1.Data Mining\1.Final_Exam\"/>
    </mc:Choice>
  </mc:AlternateContent>
  <bookViews>
    <workbookView xWindow="3375" yWindow="0" windowWidth="19365" windowHeight="8040" tabRatio="896" firstSheet="6" activeTab="13"/>
  </bookViews>
  <sheets>
    <sheet name="INDEX" sheetId="28" r:id="rId1"/>
    <sheet name="Chi-Square" sheetId="32" r:id="rId2"/>
    <sheet name="Covariance, Correlation" sheetId="7" r:id="rId3"/>
    <sheet name="Outlier DB Scan" sheetId="40" r:id="rId4"/>
    <sheet name="Chi-Square Multivariate" sheetId="30" r:id="rId5"/>
    <sheet name="L1, L2 Distance, Outlier " sheetId="31" r:id="rId6"/>
    <sheet name="Univariate Outlier" sheetId="29" r:id="rId7"/>
    <sheet name="Cosine Similarity Multivariate" sheetId="42" r:id="rId8"/>
    <sheet name="Minkowski, Cosine" sheetId="11" r:id="rId9"/>
    <sheet name="Pearson Coeff" sheetId="2" state="hidden" r:id="rId10"/>
    <sheet name="Correlation using mean" sheetId="6" state="hidden" r:id="rId11"/>
    <sheet name="Similarity Example" sheetId="25" r:id="rId12"/>
    <sheet name="ZScore v2" sheetId="9" r:id="rId13"/>
    <sheet name="Min-Max, Z-Score" sheetId="5" r:id="rId14"/>
    <sheet name="5 Point Summary" sheetId="21" r:id="rId15"/>
    <sheet name="Decision Tree Old" sheetId="12" state="hidden" r:id="rId16"/>
    <sheet name="Decision Tree" sheetId="17" state="hidden" r:id="rId17"/>
    <sheet name="Linear Regression Line" sheetId="23" r:id="rId18"/>
    <sheet name="Entropy, Gini, Error" sheetId="16" r:id="rId19"/>
    <sheet name="Information Gain" sheetId="18" r:id="rId20"/>
    <sheet name="Confusion Matrix" sheetId="26" r:id="rId21"/>
    <sheet name="BIRCH" sheetId="27" r:id="rId22"/>
    <sheet name="Attribute Types" sheetId="4" r:id="rId23"/>
    <sheet name="Data" sheetId="33" state="hidden" r:id="rId24"/>
    <sheet name="Kmeans" sheetId="34" r:id="rId25"/>
    <sheet name="K-median" sheetId="35" r:id="rId26"/>
    <sheet name="FP GROWTHG" sheetId="36" r:id="rId27"/>
    <sheet name="Frequent Item set" sheetId="37" r:id="rId28"/>
    <sheet name="TFIDF" sheetId="41" r:id="rId29"/>
    <sheet name="APRIORI-2" sheetId="38" r:id="rId30"/>
    <sheet name="DBSCAN Outlier Detection" sheetId="39" r:id="rId31"/>
    <sheet name="Information Gain (2)" sheetId="24" state="hidden" r:id="rId32"/>
  </sheets>
  <definedNames>
    <definedName name="Slicer_age">#N/A</definedName>
    <definedName name="Slicer_Annual_Income">#N/A</definedName>
    <definedName name="Slicer_buys_computer">#N/A</definedName>
    <definedName name="Slicer_credit">#N/A</definedName>
    <definedName name="Slicer_Home_Owner">#N/A</definedName>
    <definedName name="Slicer_Humidity">#N/A</definedName>
    <definedName name="Slicer_income">#N/A</definedName>
    <definedName name="Slicer_Marital_Status">#N/A</definedName>
    <definedName name="Slicer_Outlook">#N/A</definedName>
    <definedName name="Slicer_student">#N/A</definedName>
    <definedName name="Slicer_Wind">#N/A</definedName>
  </definedNames>
  <calcPr calcId="152511"/>
  <pivotCaches>
    <pivotCache cacheId="0" r:id="rId33"/>
    <pivotCache cacheId="1" r:id="rId34"/>
    <pivotCache cacheId="2" r:id="rId35"/>
    <pivotCache cacheId="3" r:id="rId36"/>
    <pivotCache cacheId="4" r:id="rId37"/>
    <pivotCache cacheId="5" r:id="rId38"/>
    <pivotCache cacheId="6" r:id="rId39"/>
    <pivotCache cacheId="7" r:id="rId40"/>
    <pivotCache cacheId="8"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 r:id="rId48"/>
        <x14:slicerCache r:id="rId49"/>
        <x14:slicerCache r:id="rId50"/>
        <x14:slicerCache r:id="rId51"/>
        <x14:slicerCache r:id="rId5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4" i="34" l="1"/>
  <c r="Q5" i="34"/>
  <c r="Q6" i="34"/>
  <c r="Q7" i="34"/>
  <c r="Q8" i="34"/>
  <c r="Q9" i="34"/>
  <c r="Q10" i="34"/>
  <c r="Q11" i="34"/>
  <c r="Q12" i="34"/>
  <c r="Q13" i="34"/>
  <c r="P4" i="34"/>
  <c r="P5" i="34"/>
  <c r="P6" i="34"/>
  <c r="P7" i="34"/>
  <c r="P8" i="34"/>
  <c r="P9" i="34"/>
  <c r="P10" i="34"/>
  <c r="P11" i="34"/>
  <c r="P12" i="34"/>
  <c r="P13" i="34"/>
  <c r="O12" i="34"/>
  <c r="O13" i="34"/>
  <c r="O4" i="34"/>
  <c r="O5" i="34"/>
  <c r="O6" i="34"/>
  <c r="O7" i="34"/>
  <c r="O8" i="34"/>
  <c r="O9" i="34"/>
  <c r="O10" i="34"/>
  <c r="O11" i="34"/>
  <c r="N4" i="34"/>
  <c r="N5" i="34"/>
  <c r="N6" i="34"/>
  <c r="N7" i="34"/>
  <c r="N8" i="34"/>
  <c r="N9" i="34"/>
  <c r="N11" i="34"/>
  <c r="N12" i="34"/>
  <c r="N13" i="34"/>
  <c r="N10" i="34"/>
  <c r="M4" i="34"/>
  <c r="M5" i="34"/>
  <c r="M6" i="34"/>
  <c r="M7" i="34"/>
  <c r="M8" i="34"/>
  <c r="M9" i="34"/>
  <c r="M10" i="34"/>
  <c r="M11" i="34"/>
  <c r="M12" i="34"/>
  <c r="M13" i="34"/>
  <c r="L4" i="34"/>
  <c r="L5" i="34"/>
  <c r="L6" i="34"/>
  <c r="L7" i="34"/>
  <c r="L8" i="34"/>
  <c r="L9" i="34"/>
  <c r="L10" i="34"/>
  <c r="L11" i="34"/>
  <c r="L12" i="34"/>
  <c r="L13" i="34"/>
  <c r="K8" i="34"/>
  <c r="K9" i="34"/>
  <c r="K10" i="34"/>
  <c r="K11" i="34"/>
  <c r="K12" i="34"/>
  <c r="K13" i="34"/>
  <c r="K7" i="34"/>
  <c r="J4" i="34"/>
  <c r="J5" i="34"/>
  <c r="J6" i="34"/>
  <c r="J7" i="34"/>
  <c r="J8" i="34"/>
  <c r="J9" i="34"/>
  <c r="J10" i="34"/>
  <c r="J11" i="34"/>
  <c r="J12" i="34"/>
  <c r="J13" i="34"/>
  <c r="I4" i="34"/>
  <c r="I5" i="34"/>
  <c r="I6" i="34"/>
  <c r="I7" i="34"/>
  <c r="I8" i="34"/>
  <c r="I9" i="34"/>
  <c r="I10" i="34"/>
  <c r="I11" i="34"/>
  <c r="I12" i="34"/>
  <c r="I13" i="34"/>
  <c r="E13" i="34" s="1"/>
  <c r="H12" i="34"/>
  <c r="H13" i="34"/>
  <c r="E10" i="34"/>
  <c r="E11" i="34"/>
  <c r="E12" i="34"/>
  <c r="H4" i="34"/>
  <c r="H5" i="34"/>
  <c r="H6" i="34"/>
  <c r="H7" i="34"/>
  <c r="H8" i="34"/>
  <c r="H9" i="34"/>
  <c r="E4" i="34"/>
  <c r="G2" i="7" l="1"/>
  <c r="F2" i="7"/>
  <c r="E2" i="7"/>
  <c r="E10" i="41" l="1"/>
  <c r="E11" i="41"/>
  <c r="E12" i="41"/>
  <c r="E13" i="41"/>
  <c r="D10" i="41"/>
  <c r="D11" i="41"/>
  <c r="D12" i="41"/>
  <c r="D13" i="41"/>
  <c r="C10" i="41"/>
  <c r="C11" i="41"/>
  <c r="C12" i="41"/>
  <c r="C13" i="41"/>
  <c r="B10" i="41"/>
  <c r="B11" i="41"/>
  <c r="B12" i="41"/>
  <c r="B13" i="41"/>
  <c r="AK17" i="42"/>
  <c r="U17" i="42"/>
  <c r="H5" i="42"/>
  <c r="G5" i="42"/>
  <c r="F5" i="42"/>
  <c r="D5" i="42"/>
  <c r="E5" i="42" s="1"/>
  <c r="H4" i="42"/>
  <c r="G4" i="42"/>
  <c r="F4" i="42"/>
  <c r="D4" i="42"/>
  <c r="E4" i="42" s="1"/>
  <c r="H3" i="42"/>
  <c r="G3" i="42"/>
  <c r="F3" i="42"/>
  <c r="N2" i="42" s="1"/>
  <c r="D3" i="42"/>
  <c r="E3" i="42" s="1"/>
  <c r="A3" i="42"/>
  <c r="A4" i="42" s="1"/>
  <c r="A5" i="42" s="1"/>
  <c r="H2" i="42"/>
  <c r="G2" i="42"/>
  <c r="O2" i="42" s="1"/>
  <c r="F2" i="42"/>
  <c r="D2" i="42"/>
  <c r="E2" i="42" s="1"/>
  <c r="H25" i="41"/>
  <c r="I12" i="41"/>
  <c r="J12" i="41"/>
  <c r="K12" i="41"/>
  <c r="L12" i="41"/>
  <c r="I11" i="41"/>
  <c r="J11" i="41"/>
  <c r="K11" i="41"/>
  <c r="L11" i="41"/>
  <c r="L10" i="41"/>
  <c r="L13" i="41"/>
  <c r="K10" i="41"/>
  <c r="K13" i="41"/>
  <c r="J10" i="41"/>
  <c r="J13" i="41"/>
  <c r="H13" i="41"/>
  <c r="I13" i="41"/>
  <c r="P2" i="42" l="1"/>
  <c r="L2" i="42"/>
  <c r="M2" i="42" s="1"/>
  <c r="AK18" i="42" s="1"/>
  <c r="U16" i="42"/>
  <c r="Q2" i="42"/>
  <c r="U18" i="42" s="1"/>
  <c r="A13" i="41"/>
  <c r="H1" i="41"/>
  <c r="H24" i="41"/>
  <c r="H23" i="41"/>
  <c r="H22" i="41"/>
  <c r="H12" i="41"/>
  <c r="A12" i="41"/>
  <c r="H11" i="41"/>
  <c r="A11" i="41"/>
  <c r="I10" i="41"/>
  <c r="H10" i="41"/>
  <c r="A10" i="41"/>
  <c r="I17" i="41" l="1"/>
  <c r="C17" i="41"/>
  <c r="B17" i="41"/>
  <c r="D17" i="41"/>
  <c r="E17" i="41"/>
  <c r="L17" i="41"/>
  <c r="J17" i="41"/>
  <c r="K17" i="41"/>
  <c r="G9" i="26"/>
  <c r="F9" i="26"/>
  <c r="Q37" i="40"/>
  <c r="P36" i="40"/>
  <c r="O35" i="40"/>
  <c r="N34" i="40"/>
  <c r="M33" i="40"/>
  <c r="L32" i="40"/>
  <c r="K31" i="40"/>
  <c r="J30" i="40"/>
  <c r="I29" i="40"/>
  <c r="H28" i="40"/>
  <c r="H40" i="40" s="1"/>
  <c r="A13" i="40"/>
  <c r="U13" i="40" s="1"/>
  <c r="U12" i="40"/>
  <c r="G12" i="40"/>
  <c r="G10" i="40"/>
  <c r="H2" i="40"/>
  <c r="G2" i="40"/>
  <c r="Q12" i="40" l="1"/>
  <c r="Q28" i="40" s="1"/>
  <c r="V12" i="40"/>
  <c r="H12" i="40"/>
  <c r="J12" i="40"/>
  <c r="J28" i="40" s="1"/>
  <c r="L12" i="40"/>
  <c r="L28" i="40" s="1"/>
  <c r="N12" i="40"/>
  <c r="N28" i="40" s="1"/>
  <c r="P12" i="40"/>
  <c r="P28" i="40" s="1"/>
  <c r="A14" i="40"/>
  <c r="U14" i="40" s="1"/>
  <c r="I12" i="40"/>
  <c r="I28" i="40" s="1"/>
  <c r="K12" i="40"/>
  <c r="K28" i="40" s="1"/>
  <c r="M12" i="40"/>
  <c r="O12" i="40"/>
  <c r="I23" i="41"/>
  <c r="I22" i="41"/>
  <c r="I25" i="41"/>
  <c r="I24" i="41"/>
  <c r="J25" i="41"/>
  <c r="J23" i="41"/>
  <c r="J22" i="41"/>
  <c r="J24" i="41"/>
  <c r="K22" i="41"/>
  <c r="K23" i="41"/>
  <c r="K24" i="41"/>
  <c r="K25" i="41"/>
  <c r="L22" i="41"/>
  <c r="L25" i="41"/>
  <c r="L23" i="41"/>
  <c r="L24" i="41"/>
  <c r="AA12" i="40"/>
  <c r="Y12" i="40"/>
  <c r="Z12" i="40"/>
  <c r="X12" i="40"/>
  <c r="AB12" i="40"/>
  <c r="AD12" i="40"/>
  <c r="AC12" i="40"/>
  <c r="AD13" i="40"/>
  <c r="AC13" i="40"/>
  <c r="AB13" i="40"/>
  <c r="AA13" i="40"/>
  <c r="Z13" i="40"/>
  <c r="Y13" i="40"/>
  <c r="X13" i="40"/>
  <c r="W13" i="40"/>
  <c r="V13" i="40"/>
  <c r="AE13" i="40"/>
  <c r="G13" i="40"/>
  <c r="AE12" i="40"/>
  <c r="W12" i="40"/>
  <c r="N18" i="39"/>
  <c r="N17" i="39"/>
  <c r="N16" i="39"/>
  <c r="N15" i="39"/>
  <c r="N14" i="39"/>
  <c r="N13" i="39"/>
  <c r="N12" i="39"/>
  <c r="N11" i="39"/>
  <c r="M9" i="39"/>
  <c r="L9" i="39"/>
  <c r="K9" i="39"/>
  <c r="J9" i="39"/>
  <c r="I9" i="39"/>
  <c r="H9" i="39"/>
  <c r="G9" i="39"/>
  <c r="F9" i="39"/>
  <c r="E9" i="39"/>
  <c r="M8" i="39"/>
  <c r="L8" i="39"/>
  <c r="K8" i="39"/>
  <c r="J8" i="39"/>
  <c r="I8" i="39"/>
  <c r="H8" i="39"/>
  <c r="G8" i="39"/>
  <c r="F8" i="39"/>
  <c r="E8" i="39"/>
  <c r="M7" i="39"/>
  <c r="L7" i="39"/>
  <c r="K7" i="39"/>
  <c r="J7" i="39"/>
  <c r="I7" i="39"/>
  <c r="H7" i="39"/>
  <c r="G7" i="39"/>
  <c r="F7" i="39"/>
  <c r="E7" i="39"/>
  <c r="M6" i="39"/>
  <c r="L6" i="39"/>
  <c r="K6" i="39"/>
  <c r="J6" i="39"/>
  <c r="I6" i="39"/>
  <c r="H6" i="39"/>
  <c r="G6" i="39"/>
  <c r="F6" i="39"/>
  <c r="E6" i="39"/>
  <c r="M5" i="39"/>
  <c r="L5" i="39"/>
  <c r="K5" i="39"/>
  <c r="J5" i="39"/>
  <c r="I5" i="39"/>
  <c r="H5" i="39"/>
  <c r="G5" i="39"/>
  <c r="F5" i="39"/>
  <c r="E5" i="39"/>
  <c r="M4" i="39"/>
  <c r="L4" i="39"/>
  <c r="K4" i="39"/>
  <c r="J4" i="39"/>
  <c r="I4" i="39"/>
  <c r="H4" i="39"/>
  <c r="G4" i="39"/>
  <c r="F4" i="39"/>
  <c r="E4" i="39"/>
  <c r="M3" i="39"/>
  <c r="L3" i="39"/>
  <c r="K3" i="39"/>
  <c r="J3" i="39"/>
  <c r="I3" i="39"/>
  <c r="H3" i="39"/>
  <c r="G3" i="39"/>
  <c r="F3" i="39"/>
  <c r="E3" i="39"/>
  <c r="M2" i="39"/>
  <c r="L2" i="39"/>
  <c r="K2" i="39"/>
  <c r="J2" i="39"/>
  <c r="I2" i="39"/>
  <c r="H2" i="39"/>
  <c r="G2" i="39"/>
  <c r="F2" i="39"/>
  <c r="E2" i="39"/>
  <c r="I41" i="40" l="1"/>
  <c r="P13" i="40"/>
  <c r="P29" i="40" s="1"/>
  <c r="N13" i="40"/>
  <c r="N29" i="40" s="1"/>
  <c r="L13" i="40"/>
  <c r="L29" i="40" s="1"/>
  <c r="J13" i="40"/>
  <c r="J29" i="40" s="1"/>
  <c r="H13" i="40"/>
  <c r="H29" i="40" s="1"/>
  <c r="Q13" i="40"/>
  <c r="Q29" i="40" s="1"/>
  <c r="O13" i="40"/>
  <c r="O29" i="40" s="1"/>
  <c r="M13" i="40"/>
  <c r="M29" i="40" s="1"/>
  <c r="K13" i="40"/>
  <c r="K29" i="40" s="1"/>
  <c r="I13" i="40"/>
  <c r="O28" i="40"/>
  <c r="G14" i="40"/>
  <c r="A15" i="40"/>
  <c r="M28" i="40"/>
  <c r="H29" i="41" a="1"/>
  <c r="AD14" i="40"/>
  <c r="AC14" i="40"/>
  <c r="AB14" i="40"/>
  <c r="AA14" i="40"/>
  <c r="Z14" i="40"/>
  <c r="Y14" i="40"/>
  <c r="X14" i="40"/>
  <c r="V14" i="40"/>
  <c r="W14" i="40"/>
  <c r="AE14" i="40"/>
  <c r="K35" i="38"/>
  <c r="L35" i="38" s="1"/>
  <c r="K34" i="38"/>
  <c r="L34" i="38" s="1"/>
  <c r="K33" i="38"/>
  <c r="L33" i="38" s="1"/>
  <c r="K32" i="38"/>
  <c r="L32" i="38" s="1"/>
  <c r="K31" i="38"/>
  <c r="L31" i="38" s="1"/>
  <c r="K30" i="38"/>
  <c r="L30" i="38" s="1"/>
  <c r="K29" i="38"/>
  <c r="L29" i="38" s="1"/>
  <c r="K28" i="38"/>
  <c r="L28" i="38" s="1"/>
  <c r="K27" i="38"/>
  <c r="L27" i="38" s="1"/>
  <c r="K26" i="38"/>
  <c r="L26" i="38" s="1"/>
  <c r="K25" i="38"/>
  <c r="L25" i="38" s="1"/>
  <c r="K24" i="38"/>
  <c r="L24" i="38" s="1"/>
  <c r="O18" i="38"/>
  <c r="O17" i="38"/>
  <c r="O16" i="38"/>
  <c r="M20" i="37"/>
  <c r="N20" i="37" s="1"/>
  <c r="M19" i="37"/>
  <c r="N19" i="37" s="1"/>
  <c r="M18" i="37"/>
  <c r="N18" i="37" s="1"/>
  <c r="M17" i="37"/>
  <c r="N17" i="37" s="1"/>
  <c r="M16" i="37"/>
  <c r="N16" i="37" s="1"/>
  <c r="M15" i="37"/>
  <c r="N15" i="37" s="1"/>
  <c r="M14" i="37"/>
  <c r="N14" i="37" s="1"/>
  <c r="M13" i="37"/>
  <c r="N13" i="37" s="1"/>
  <c r="M12" i="37"/>
  <c r="N12" i="37" s="1"/>
  <c r="M11" i="37"/>
  <c r="N11" i="37" s="1"/>
  <c r="M10" i="37"/>
  <c r="N10" i="37" s="1"/>
  <c r="M9" i="37"/>
  <c r="N9" i="37" s="1"/>
  <c r="M8" i="37"/>
  <c r="N8" i="37" s="1"/>
  <c r="M7" i="37"/>
  <c r="N7" i="37" s="1"/>
  <c r="M6" i="37"/>
  <c r="N6" i="37" s="1"/>
  <c r="M5" i="37"/>
  <c r="N5" i="37" s="1"/>
  <c r="M4" i="37"/>
  <c r="N4" i="37" s="1"/>
  <c r="M3" i="37"/>
  <c r="N3" i="37" s="1"/>
  <c r="I21" i="36"/>
  <c r="I20" i="36"/>
  <c r="I19" i="36"/>
  <c r="I18" i="36"/>
  <c r="I17" i="36"/>
  <c r="I16" i="36"/>
  <c r="I15" i="36"/>
  <c r="I14" i="36"/>
  <c r="I13" i="36"/>
  <c r="I12" i="36"/>
  <c r="I11" i="36"/>
  <c r="I10" i="36"/>
  <c r="J42" i="40" l="1"/>
  <c r="U15" i="40"/>
  <c r="A16" i="40"/>
  <c r="G15" i="40"/>
  <c r="P14" i="40"/>
  <c r="P30" i="40" s="1"/>
  <c r="N14" i="40"/>
  <c r="L14" i="40"/>
  <c r="J14" i="40"/>
  <c r="H14" i="40"/>
  <c r="H30" i="40" s="1"/>
  <c r="Q14" i="40"/>
  <c r="Q30" i="40" s="1"/>
  <c r="O14" i="40"/>
  <c r="M14" i="40"/>
  <c r="K14" i="40"/>
  <c r="K30" i="40" s="1"/>
  <c r="I14" i="40"/>
  <c r="I30" i="40" s="1"/>
  <c r="J29" i="41"/>
  <c r="I33" i="41"/>
  <c r="B41" i="41" s="1"/>
  <c r="H30" i="41"/>
  <c r="I32" i="41"/>
  <c r="B40" i="41" s="1"/>
  <c r="H29" i="41"/>
  <c r="I31" i="41"/>
  <c r="B39" i="41" s="1"/>
  <c r="K32" i="41"/>
  <c r="D40" i="41" s="1"/>
  <c r="K31" i="41"/>
  <c r="D39" i="41" s="1"/>
  <c r="L33" i="41"/>
  <c r="E41" i="41" s="1"/>
  <c r="I41" i="41" s="1"/>
  <c r="K30" i="41"/>
  <c r="D38" i="41" s="1"/>
  <c r="L32" i="41"/>
  <c r="E40" i="41" s="1"/>
  <c r="I40" i="41" s="1"/>
  <c r="H31" i="41"/>
  <c r="J32" i="41"/>
  <c r="C40" i="41" s="1"/>
  <c r="I29" i="41"/>
  <c r="J31" i="41"/>
  <c r="C39" i="41" s="1"/>
  <c r="K33" i="41"/>
  <c r="D41" i="41" s="1"/>
  <c r="J30" i="41"/>
  <c r="C38" i="41" s="1"/>
  <c r="L31" i="41"/>
  <c r="E39" i="41" s="1"/>
  <c r="I39" i="41" s="1"/>
  <c r="K29" i="41"/>
  <c r="L30" i="41"/>
  <c r="E38" i="41" s="1"/>
  <c r="I38" i="41" s="1"/>
  <c r="L29" i="41"/>
  <c r="H32" i="41"/>
  <c r="J33" i="41"/>
  <c r="C41" i="41" s="1"/>
  <c r="I30" i="41"/>
  <c r="B38" i="41" s="1"/>
  <c r="H33" i="41"/>
  <c r="D23" i="27"/>
  <c r="C23" i="27"/>
  <c r="G23" i="27" s="1"/>
  <c r="B23" i="27"/>
  <c r="E22" i="27"/>
  <c r="K43" i="40" l="1"/>
  <c r="F23" i="27"/>
  <c r="AC15" i="40"/>
  <c r="Y15" i="40"/>
  <c r="V15" i="40"/>
  <c r="AB15" i="40"/>
  <c r="W15" i="40"/>
  <c r="AE15" i="40"/>
  <c r="AA15" i="40"/>
  <c r="AD15" i="40"/>
  <c r="Z15" i="40"/>
  <c r="X15" i="40"/>
  <c r="M30" i="40"/>
  <c r="O30" i="40"/>
  <c r="L30" i="40"/>
  <c r="Q15" i="40"/>
  <c r="Q31" i="40" s="1"/>
  <c r="O15" i="40"/>
  <c r="O31" i="40" s="1"/>
  <c r="M15" i="40"/>
  <c r="M31" i="40" s="1"/>
  <c r="K15" i="40"/>
  <c r="I15" i="40"/>
  <c r="I31" i="40" s="1"/>
  <c r="P15" i="40"/>
  <c r="P31" i="40" s="1"/>
  <c r="N15" i="40"/>
  <c r="N31" i="40" s="1"/>
  <c r="L15" i="40"/>
  <c r="L31" i="40" s="1"/>
  <c r="J15" i="40"/>
  <c r="J31" i="40" s="1"/>
  <c r="H15" i="40"/>
  <c r="H31" i="40" s="1"/>
  <c r="N30" i="40"/>
  <c r="A17" i="40"/>
  <c r="U16" i="40"/>
  <c r="G16" i="40"/>
  <c r="I42" i="41"/>
  <c r="H40" i="41"/>
  <c r="O40" i="41"/>
  <c r="L41" i="41"/>
  <c r="J41" i="41"/>
  <c r="F41" i="41"/>
  <c r="K41" i="41"/>
  <c r="L38" i="41"/>
  <c r="K38" i="41"/>
  <c r="J38" i="41"/>
  <c r="F38" i="41"/>
  <c r="H41" i="41"/>
  <c r="O41" i="41"/>
  <c r="H39" i="41"/>
  <c r="O39" i="41"/>
  <c r="L40" i="41"/>
  <c r="K40" i="41"/>
  <c r="J40" i="41"/>
  <c r="F40" i="41"/>
  <c r="N41" i="41"/>
  <c r="M41" i="41"/>
  <c r="G41" i="41"/>
  <c r="N39" i="41"/>
  <c r="M39" i="41"/>
  <c r="G39" i="41"/>
  <c r="H38" i="41"/>
  <c r="O38" i="41"/>
  <c r="L39" i="41"/>
  <c r="K39" i="41"/>
  <c r="J39" i="41"/>
  <c r="F39" i="41"/>
  <c r="N38" i="41"/>
  <c r="M38" i="41"/>
  <c r="G38" i="41"/>
  <c r="N40" i="41"/>
  <c r="M40" i="41"/>
  <c r="G40" i="41"/>
  <c r="H23" i="27"/>
  <c r="I23" i="27" s="1"/>
  <c r="E23" i="27"/>
  <c r="G20" i="35"/>
  <c r="Q13" i="35"/>
  <c r="P13" i="35"/>
  <c r="O13" i="35"/>
  <c r="N13" i="35"/>
  <c r="M13" i="35"/>
  <c r="L13" i="35"/>
  <c r="K13" i="35"/>
  <c r="J13" i="35"/>
  <c r="I13" i="35"/>
  <c r="D13" i="35" s="1"/>
  <c r="H13" i="35"/>
  <c r="Q12" i="35"/>
  <c r="P12" i="35"/>
  <c r="O12" i="35"/>
  <c r="N12" i="35"/>
  <c r="M12" i="35"/>
  <c r="L12" i="35"/>
  <c r="K12" i="35"/>
  <c r="J12" i="35"/>
  <c r="I12" i="35"/>
  <c r="H12" i="35"/>
  <c r="D12" i="35"/>
  <c r="Q11" i="35"/>
  <c r="P11" i="35"/>
  <c r="O11" i="35"/>
  <c r="N11" i="35"/>
  <c r="M11" i="35"/>
  <c r="L11" i="35"/>
  <c r="K11" i="35"/>
  <c r="J11" i="35"/>
  <c r="I11" i="35"/>
  <c r="H11" i="35"/>
  <c r="Q10" i="35"/>
  <c r="P10" i="35"/>
  <c r="O10" i="35"/>
  <c r="N10" i="35"/>
  <c r="M10" i="35"/>
  <c r="L10" i="35"/>
  <c r="K10" i="35"/>
  <c r="J10" i="35"/>
  <c r="I10" i="35"/>
  <c r="D10" i="35" s="1"/>
  <c r="H10" i="35"/>
  <c r="Q9" i="35"/>
  <c r="P9" i="35"/>
  <c r="O9" i="35"/>
  <c r="N9" i="35"/>
  <c r="M9" i="35"/>
  <c r="L9" i="35"/>
  <c r="K9" i="35"/>
  <c r="J9" i="35"/>
  <c r="I9" i="35"/>
  <c r="H9" i="35"/>
  <c r="Q8" i="35"/>
  <c r="P8" i="35"/>
  <c r="O8" i="35"/>
  <c r="N8" i="35"/>
  <c r="M8" i="35"/>
  <c r="L8" i="35"/>
  <c r="K8" i="35"/>
  <c r="J8" i="35"/>
  <c r="I8" i="35"/>
  <c r="H8" i="35"/>
  <c r="Q7" i="35"/>
  <c r="P7" i="35"/>
  <c r="O7" i="35"/>
  <c r="N7" i="35"/>
  <c r="M7" i="35"/>
  <c r="L7" i="35"/>
  <c r="K7" i="35"/>
  <c r="J7" i="35"/>
  <c r="I7" i="35"/>
  <c r="H7" i="35"/>
  <c r="Q6" i="35"/>
  <c r="P6" i="35"/>
  <c r="O6" i="35"/>
  <c r="N6" i="35"/>
  <c r="M6" i="35"/>
  <c r="L6" i="35"/>
  <c r="K6" i="35"/>
  <c r="J6" i="35"/>
  <c r="I6" i="35"/>
  <c r="D6" i="35" s="1"/>
  <c r="H6" i="35"/>
  <c r="Q5" i="35"/>
  <c r="P5" i="35"/>
  <c r="O5" i="35"/>
  <c r="N5" i="35"/>
  <c r="M5" i="35"/>
  <c r="L5" i="35"/>
  <c r="K5" i="35"/>
  <c r="J5" i="35"/>
  <c r="I5" i="35"/>
  <c r="H5" i="35"/>
  <c r="A5" i="35"/>
  <c r="G5" i="35" s="1"/>
  <c r="Q4" i="35"/>
  <c r="P4" i="35"/>
  <c r="O4" i="35"/>
  <c r="N4" i="35"/>
  <c r="M4" i="35"/>
  <c r="L4" i="35"/>
  <c r="K4" i="35"/>
  <c r="J4" i="35"/>
  <c r="I4" i="35"/>
  <c r="H4" i="35"/>
  <c r="G4" i="35"/>
  <c r="D4" i="35"/>
  <c r="P31" i="34"/>
  <c r="O31" i="34"/>
  <c r="N31" i="34"/>
  <c r="M31" i="34"/>
  <c r="L31" i="34"/>
  <c r="K31" i="34"/>
  <c r="J31" i="34"/>
  <c r="P30" i="34"/>
  <c r="O30" i="34"/>
  <c r="N30" i="34"/>
  <c r="M30" i="34"/>
  <c r="L30" i="34"/>
  <c r="K30" i="34"/>
  <c r="J30" i="34"/>
  <c r="O29" i="34"/>
  <c r="N29" i="34"/>
  <c r="M29" i="34"/>
  <c r="L29" i="34"/>
  <c r="K29" i="34"/>
  <c r="J29" i="34"/>
  <c r="O28" i="34"/>
  <c r="N28" i="34"/>
  <c r="M28" i="34"/>
  <c r="L28" i="34"/>
  <c r="K28" i="34"/>
  <c r="J28" i="34"/>
  <c r="O27" i="34"/>
  <c r="N27" i="34"/>
  <c r="M27" i="34"/>
  <c r="L27" i="34"/>
  <c r="K27" i="34"/>
  <c r="J27" i="34"/>
  <c r="O26" i="34"/>
  <c r="N26" i="34"/>
  <c r="M26" i="34"/>
  <c r="L26" i="34"/>
  <c r="K26" i="34"/>
  <c r="J26" i="34"/>
  <c r="O25" i="34"/>
  <c r="N25" i="34"/>
  <c r="M25" i="34"/>
  <c r="L25" i="34"/>
  <c r="K25" i="34"/>
  <c r="J25" i="34"/>
  <c r="O24" i="34"/>
  <c r="N24" i="34"/>
  <c r="M24" i="34"/>
  <c r="L24" i="34"/>
  <c r="K24" i="34"/>
  <c r="J24" i="34"/>
  <c r="A23" i="34"/>
  <c r="A24" i="34" s="1"/>
  <c r="G22" i="34"/>
  <c r="H11" i="34"/>
  <c r="H10" i="34"/>
  <c r="K6" i="34"/>
  <c r="K5" i="34"/>
  <c r="A5" i="34"/>
  <c r="G5" i="34" s="1"/>
  <c r="K4" i="34"/>
  <c r="G4" i="34"/>
  <c r="D92" i="33"/>
  <c r="C92" i="33"/>
  <c r="D91" i="33"/>
  <c r="C91" i="33"/>
  <c r="D90" i="33"/>
  <c r="C90" i="33"/>
  <c r="D89" i="33"/>
  <c r="C89" i="33"/>
  <c r="D88" i="33"/>
  <c r="C88" i="33"/>
  <c r="D87" i="33"/>
  <c r="C87" i="33"/>
  <c r="D86" i="33"/>
  <c r="C86" i="33"/>
  <c r="D85" i="33"/>
  <c r="C85" i="33"/>
  <c r="D84" i="33"/>
  <c r="C84" i="33"/>
  <c r="D83" i="33"/>
  <c r="C83" i="33"/>
  <c r="D82" i="33"/>
  <c r="C82" i="33"/>
  <c r="D81" i="33"/>
  <c r="C81" i="33"/>
  <c r="D80" i="33"/>
  <c r="C80" i="33"/>
  <c r="D79" i="33"/>
  <c r="C79" i="33"/>
  <c r="D78" i="33"/>
  <c r="C78" i="33"/>
  <c r="D77" i="33"/>
  <c r="C77" i="33"/>
  <c r="D76" i="33"/>
  <c r="C76" i="33"/>
  <c r="D75" i="33"/>
  <c r="C75" i="33"/>
  <c r="D74" i="33"/>
  <c r="C74" i="33"/>
  <c r="D73" i="33"/>
  <c r="C73" i="33"/>
  <c r="D72" i="33"/>
  <c r="C72" i="33"/>
  <c r="D71" i="33"/>
  <c r="C71" i="33"/>
  <c r="D70" i="33"/>
  <c r="C70" i="33"/>
  <c r="D69" i="33"/>
  <c r="C69" i="33"/>
  <c r="D68" i="33"/>
  <c r="C68" i="33"/>
  <c r="D67" i="33"/>
  <c r="C67" i="33"/>
  <c r="D66" i="33"/>
  <c r="C66" i="33"/>
  <c r="D65" i="33"/>
  <c r="C65" i="33"/>
  <c r="D64" i="33"/>
  <c r="C64" i="33"/>
  <c r="D63" i="33"/>
  <c r="C63" i="33"/>
  <c r="D62" i="33"/>
  <c r="C62" i="33"/>
  <c r="D61" i="33"/>
  <c r="C61" i="33"/>
  <c r="D60" i="33"/>
  <c r="C60" i="33"/>
  <c r="D59" i="33"/>
  <c r="C59" i="33"/>
  <c r="D58" i="33"/>
  <c r="C58" i="33"/>
  <c r="D57" i="33"/>
  <c r="C57" i="33"/>
  <c r="D56" i="33"/>
  <c r="C56" i="33"/>
  <c r="D55" i="33"/>
  <c r="C55" i="33"/>
  <c r="D54" i="33"/>
  <c r="C54" i="33"/>
  <c r="D53" i="33"/>
  <c r="C53" i="33"/>
  <c r="D52" i="33"/>
  <c r="C52" i="33"/>
  <c r="D51" i="33"/>
  <c r="C51" i="33"/>
  <c r="D50" i="33"/>
  <c r="C50" i="33"/>
  <c r="D49" i="33"/>
  <c r="C49" i="33"/>
  <c r="D48" i="33"/>
  <c r="C48" i="33"/>
  <c r="D47" i="33"/>
  <c r="C47" i="33"/>
  <c r="D46" i="33"/>
  <c r="C46" i="33"/>
  <c r="D45" i="33"/>
  <c r="C45" i="33"/>
  <c r="D44" i="33"/>
  <c r="C44" i="33"/>
  <c r="D43" i="33"/>
  <c r="C43" i="33"/>
  <c r="D42" i="33"/>
  <c r="C42" i="33"/>
  <c r="D41" i="33"/>
  <c r="C41" i="33"/>
  <c r="D40" i="33"/>
  <c r="C40" i="33"/>
  <c r="D39" i="33"/>
  <c r="C39" i="33"/>
  <c r="D38" i="33"/>
  <c r="C38" i="33"/>
  <c r="D37" i="33"/>
  <c r="C37" i="33"/>
  <c r="D36" i="33"/>
  <c r="C36" i="33"/>
  <c r="D35" i="33"/>
  <c r="C35" i="33"/>
  <c r="D34" i="33"/>
  <c r="C34" i="33"/>
  <c r="D33" i="33"/>
  <c r="C33" i="33"/>
  <c r="D32" i="33"/>
  <c r="C32" i="33"/>
  <c r="D31" i="33"/>
  <c r="C31" i="33"/>
  <c r="D30" i="33"/>
  <c r="C30" i="33"/>
  <c r="D29" i="33"/>
  <c r="C29" i="33"/>
  <c r="D28" i="33"/>
  <c r="C28" i="33"/>
  <c r="D27" i="33"/>
  <c r="C27" i="33"/>
  <c r="D26" i="33"/>
  <c r="C26" i="33"/>
  <c r="D25" i="33"/>
  <c r="C25" i="33"/>
  <c r="D24" i="33"/>
  <c r="C24" i="33"/>
  <c r="D23" i="33"/>
  <c r="C23" i="33"/>
  <c r="D22" i="33"/>
  <c r="C22" i="33"/>
  <c r="D21" i="33"/>
  <c r="C21" i="33"/>
  <c r="D20" i="33"/>
  <c r="C20" i="33"/>
  <c r="D19" i="33"/>
  <c r="C19" i="33"/>
  <c r="D18" i="33"/>
  <c r="C18" i="33"/>
  <c r="D17" i="33"/>
  <c r="C17" i="33"/>
  <c r="D16" i="33"/>
  <c r="C16" i="33"/>
  <c r="D15" i="33"/>
  <c r="C15" i="33"/>
  <c r="D14" i="33"/>
  <c r="C14" i="33"/>
  <c r="D13" i="33"/>
  <c r="C13" i="33"/>
  <c r="D12" i="33"/>
  <c r="C12" i="33"/>
  <c r="D11" i="33"/>
  <c r="C11" i="33"/>
  <c r="D10" i="33"/>
  <c r="C10" i="33"/>
  <c r="D9" i="33"/>
  <c r="C9" i="33"/>
  <c r="D8" i="33"/>
  <c r="C8" i="33"/>
  <c r="D7" i="33"/>
  <c r="C7" i="33"/>
  <c r="D6" i="33"/>
  <c r="C6" i="33"/>
  <c r="D5" i="33"/>
  <c r="C5" i="33"/>
  <c r="D4" i="33"/>
  <c r="C4" i="33"/>
  <c r="D3" i="33"/>
  <c r="C3" i="33"/>
  <c r="D2" i="33"/>
  <c r="C2" i="33"/>
  <c r="P28" i="7"/>
  <c r="XFD4" i="32"/>
  <c r="H4" i="32"/>
  <c r="D4" i="32"/>
  <c r="C4" i="32"/>
  <c r="E3" i="32"/>
  <c r="E2" i="32"/>
  <c r="E4" i="32" s="1"/>
  <c r="D9" i="32" s="1"/>
  <c r="D13" i="32" s="1"/>
  <c r="L44" i="40" l="1"/>
  <c r="D5" i="35"/>
  <c r="D8" i="35"/>
  <c r="D11" i="35"/>
  <c r="AE16" i="40"/>
  <c r="Y16" i="40"/>
  <c r="AB16" i="40"/>
  <c r="AD16" i="40"/>
  <c r="Z16" i="40"/>
  <c r="AC16" i="40"/>
  <c r="W16" i="40"/>
  <c r="AA16" i="40"/>
  <c r="V16" i="40"/>
  <c r="X16" i="40"/>
  <c r="Q16" i="40"/>
  <c r="Q32" i="40" s="1"/>
  <c r="O16" i="40"/>
  <c r="O32" i="40" s="1"/>
  <c r="M16" i="40"/>
  <c r="M32" i="40" s="1"/>
  <c r="K16" i="40"/>
  <c r="K32" i="40" s="1"/>
  <c r="I16" i="40"/>
  <c r="I32" i="40" s="1"/>
  <c r="P16" i="40"/>
  <c r="P32" i="40" s="1"/>
  <c r="N16" i="40"/>
  <c r="L16" i="40"/>
  <c r="J16" i="40"/>
  <c r="J32" i="40" s="1"/>
  <c r="H16" i="40"/>
  <c r="H32" i="40" s="1"/>
  <c r="U17" i="40"/>
  <c r="A18" i="40"/>
  <c r="G17" i="40"/>
  <c r="M42" i="41"/>
  <c r="N42" i="41"/>
  <c r="L42" i="41"/>
  <c r="O42" i="41"/>
  <c r="F42" i="41"/>
  <c r="K42" i="41"/>
  <c r="G42" i="41"/>
  <c r="H42" i="41"/>
  <c r="J42" i="41"/>
  <c r="D9" i="35"/>
  <c r="D7" i="35"/>
  <c r="B23" i="35"/>
  <c r="D23" i="35" s="1"/>
  <c r="B18" i="35"/>
  <c r="C18" i="35"/>
  <c r="C23" i="35"/>
  <c r="A6" i="35"/>
  <c r="A25" i="34"/>
  <c r="G24" i="34"/>
  <c r="G23" i="34"/>
  <c r="A6" i="34"/>
  <c r="C9" i="32"/>
  <c r="C13" i="32" s="1"/>
  <c r="D8" i="32"/>
  <c r="D12" i="32" s="1"/>
  <c r="C8" i="32"/>
  <c r="C12" i="32" s="1"/>
  <c r="M45" i="40" l="1"/>
  <c r="AC17" i="40"/>
  <c r="Y17" i="40"/>
  <c r="AA17" i="40"/>
  <c r="X17" i="40"/>
  <c r="AB17" i="40"/>
  <c r="Z17" i="40"/>
  <c r="AE17" i="40"/>
  <c r="W17" i="40"/>
  <c r="V17" i="40"/>
  <c r="AD17" i="40"/>
  <c r="U18" i="40"/>
  <c r="G18" i="40"/>
  <c r="A19" i="40"/>
  <c r="N32" i="40"/>
  <c r="P17" i="40"/>
  <c r="P33" i="40" s="1"/>
  <c r="N17" i="40"/>
  <c r="N33" i="40" s="1"/>
  <c r="L17" i="40"/>
  <c r="L33" i="40" s="1"/>
  <c r="J17" i="40"/>
  <c r="J33" i="40" s="1"/>
  <c r="H17" i="40"/>
  <c r="H33" i="40" s="1"/>
  <c r="Q17" i="40"/>
  <c r="Q33" i="40" s="1"/>
  <c r="O17" i="40"/>
  <c r="M17" i="40"/>
  <c r="K17" i="40"/>
  <c r="K33" i="40" s="1"/>
  <c r="I17" i="40"/>
  <c r="I33" i="40" s="1"/>
  <c r="O48" i="41"/>
  <c r="N48" i="41"/>
  <c r="K48" i="41"/>
  <c r="M48" i="41"/>
  <c r="L48" i="41"/>
  <c r="J48" i="41"/>
  <c r="D18" i="35"/>
  <c r="G6" i="35"/>
  <c r="A7" i="35"/>
  <c r="A7" i="34"/>
  <c r="G6" i="34"/>
  <c r="G25" i="34"/>
  <c r="A26" i="34"/>
  <c r="E15" i="32"/>
  <c r="N46" i="40" l="1"/>
  <c r="O33" i="40"/>
  <c r="AD18" i="40"/>
  <c r="X18" i="40"/>
  <c r="AE18" i="40"/>
  <c r="W18" i="40"/>
  <c r="AC18" i="40"/>
  <c r="AA18" i="40"/>
  <c r="AB18" i="40"/>
  <c r="Y18" i="40"/>
  <c r="Z18" i="40"/>
  <c r="V18" i="40"/>
  <c r="U19" i="40"/>
  <c r="A20" i="40"/>
  <c r="G19" i="40"/>
  <c r="P18" i="40"/>
  <c r="P34" i="40" s="1"/>
  <c r="N18" i="40"/>
  <c r="L18" i="40"/>
  <c r="L34" i="40" s="1"/>
  <c r="J18" i="40"/>
  <c r="J34" i="40" s="1"/>
  <c r="H18" i="40"/>
  <c r="H34" i="40" s="1"/>
  <c r="Q18" i="40"/>
  <c r="Q34" i="40" s="1"/>
  <c r="O18" i="40"/>
  <c r="M18" i="40"/>
  <c r="M34" i="40" s="1"/>
  <c r="K18" i="40"/>
  <c r="K34" i="40" s="1"/>
  <c r="I18" i="40"/>
  <c r="I34" i="40" s="1"/>
  <c r="A8" i="35"/>
  <c r="G7" i="35"/>
  <c r="A27" i="34"/>
  <c r="G26" i="34"/>
  <c r="A8" i="34"/>
  <c r="G7" i="34"/>
  <c r="Q19" i="40" l="1"/>
  <c r="Q35" i="40" s="1"/>
  <c r="O19" i="40"/>
  <c r="M19" i="40"/>
  <c r="M35" i="40" s="1"/>
  <c r="K19" i="40"/>
  <c r="K35" i="40" s="1"/>
  <c r="I19" i="40"/>
  <c r="I35" i="40" s="1"/>
  <c r="P19" i="40"/>
  <c r="P35" i="40" s="1"/>
  <c r="N19" i="40"/>
  <c r="N35" i="40" s="1"/>
  <c r="L19" i="40"/>
  <c r="L35" i="40" s="1"/>
  <c r="J19" i="40"/>
  <c r="J35" i="40" s="1"/>
  <c r="H19" i="40"/>
  <c r="H35" i="40" s="1"/>
  <c r="O34" i="40"/>
  <c r="G20" i="40"/>
  <c r="A21" i="40"/>
  <c r="U20" i="40"/>
  <c r="W19" i="40"/>
  <c r="AD19" i="40"/>
  <c r="AB19" i="40"/>
  <c r="V19" i="40"/>
  <c r="AC19" i="40"/>
  <c r="Z19" i="40"/>
  <c r="Y19" i="40"/>
  <c r="AE19" i="40"/>
  <c r="AA19" i="40"/>
  <c r="X19" i="40"/>
  <c r="G8" i="35"/>
  <c r="A9" i="35"/>
  <c r="A28" i="34"/>
  <c r="G27" i="34"/>
  <c r="G8" i="34"/>
  <c r="A9" i="34"/>
  <c r="O47" i="40" l="1"/>
  <c r="P48" i="40"/>
  <c r="Q20" i="40"/>
  <c r="Q36" i="40" s="1"/>
  <c r="Q42" i="40" s="1"/>
  <c r="O20" i="40"/>
  <c r="M20" i="40"/>
  <c r="M36" i="40" s="1"/>
  <c r="K20" i="40"/>
  <c r="K36" i="40" s="1"/>
  <c r="I20" i="40"/>
  <c r="I36" i="40" s="1"/>
  <c r="P20" i="40"/>
  <c r="N20" i="40"/>
  <c r="N36" i="40" s="1"/>
  <c r="L20" i="40"/>
  <c r="L36" i="40" s="1"/>
  <c r="J20" i="40"/>
  <c r="J36" i="40" s="1"/>
  <c r="H20" i="40"/>
  <c r="H36" i="40" s="1"/>
  <c r="G21" i="40"/>
  <c r="U21" i="40"/>
  <c r="V20" i="40"/>
  <c r="AB20" i="40"/>
  <c r="AA20" i="40"/>
  <c r="AE20" i="40"/>
  <c r="AC20" i="40"/>
  <c r="Z20" i="40"/>
  <c r="W20" i="40"/>
  <c r="AD20" i="40"/>
  <c r="Y20" i="40"/>
  <c r="X20" i="40"/>
  <c r="A10" i="35"/>
  <c r="G9" i="35"/>
  <c r="G9" i="34"/>
  <c r="A10" i="34"/>
  <c r="A29" i="34"/>
  <c r="G28" i="34"/>
  <c r="Q44" i="40" l="1"/>
  <c r="Q40" i="40"/>
  <c r="Q41" i="40"/>
  <c r="Q46" i="40"/>
  <c r="Q43" i="40"/>
  <c r="Q45" i="40"/>
  <c r="Q47" i="40"/>
  <c r="Q48" i="40"/>
  <c r="Q49" i="40"/>
  <c r="Z21" i="40"/>
  <c r="X21" i="40"/>
  <c r="AE21" i="40"/>
  <c r="AB21" i="40"/>
  <c r="W21" i="40"/>
  <c r="AC21" i="40"/>
  <c r="V21" i="40"/>
  <c r="AA21" i="40"/>
  <c r="Y21" i="40"/>
  <c r="AD21" i="40"/>
  <c r="P21" i="40"/>
  <c r="P37" i="40" s="1"/>
  <c r="N21" i="40"/>
  <c r="L21" i="40"/>
  <c r="J21" i="40"/>
  <c r="J37" i="40" s="1"/>
  <c r="J47" i="40" s="1"/>
  <c r="H21" i="40"/>
  <c r="H37" i="40" s="1"/>
  <c r="H46" i="40" s="1"/>
  <c r="Q21" i="40"/>
  <c r="O21" i="40"/>
  <c r="M21" i="40"/>
  <c r="K21" i="40"/>
  <c r="K37" i="40" s="1"/>
  <c r="K45" i="40" s="1"/>
  <c r="I21" i="40"/>
  <c r="I37" i="40" s="1"/>
  <c r="I48" i="40" s="1"/>
  <c r="O36" i="40"/>
  <c r="G10" i="35"/>
  <c r="A11" i="35"/>
  <c r="G29" i="34"/>
  <c r="A30" i="34"/>
  <c r="A11" i="34"/>
  <c r="G10" i="34"/>
  <c r="H48" i="40" l="1"/>
  <c r="P41" i="40"/>
  <c r="P46" i="40"/>
  <c r="P44" i="40"/>
  <c r="P40" i="40"/>
  <c r="P42" i="40"/>
  <c r="P43" i="40"/>
  <c r="P45" i="40"/>
  <c r="P47" i="40"/>
  <c r="J48" i="40"/>
  <c r="K48" i="40"/>
  <c r="I46" i="40"/>
  <c r="I47" i="40"/>
  <c r="K47" i="40"/>
  <c r="H47" i="40"/>
  <c r="Q60" i="40"/>
  <c r="Q72" i="40" s="1"/>
  <c r="Q58" i="40"/>
  <c r="Q70" i="40" s="1"/>
  <c r="Q55" i="40"/>
  <c r="Q67" i="40" s="1"/>
  <c r="Q59" i="40"/>
  <c r="Q71" i="40" s="1"/>
  <c r="Q54" i="40"/>
  <c r="Q66" i="40" s="1"/>
  <c r="Q56" i="40"/>
  <c r="Q68" i="40" s="1"/>
  <c r="Q57" i="40"/>
  <c r="Q69" i="40" s="1"/>
  <c r="Q53" i="40"/>
  <c r="Q65" i="40" s="1"/>
  <c r="Q61" i="40"/>
  <c r="Q73" i="40" s="1"/>
  <c r="Q52" i="40"/>
  <c r="Q64" i="40" s="1"/>
  <c r="H45" i="40"/>
  <c r="P49" i="40"/>
  <c r="H44" i="40"/>
  <c r="K46" i="40"/>
  <c r="J46" i="40"/>
  <c r="I43" i="40"/>
  <c r="I49" i="40"/>
  <c r="I40" i="40"/>
  <c r="I44" i="40"/>
  <c r="I42" i="40"/>
  <c r="K49" i="40"/>
  <c r="K40" i="40"/>
  <c r="K41" i="40"/>
  <c r="K42" i="40"/>
  <c r="K44" i="40"/>
  <c r="I45" i="40"/>
  <c r="H49" i="40"/>
  <c r="H42" i="40"/>
  <c r="H41" i="40"/>
  <c r="H43" i="40"/>
  <c r="J45" i="40"/>
  <c r="J49" i="40"/>
  <c r="J40" i="40"/>
  <c r="J41" i="40"/>
  <c r="J43" i="40"/>
  <c r="J44" i="40"/>
  <c r="O37" i="40"/>
  <c r="O40" i="40" s="1"/>
  <c r="L37" i="40"/>
  <c r="N37" i="40"/>
  <c r="M37" i="40"/>
  <c r="A12" i="35"/>
  <c r="G11" i="35"/>
  <c r="G30" i="34"/>
  <c r="A31" i="34"/>
  <c r="G31" i="34" s="1"/>
  <c r="A12" i="34"/>
  <c r="G11" i="34"/>
  <c r="O42" i="40" l="1"/>
  <c r="O44" i="40"/>
  <c r="M47" i="40"/>
  <c r="M48" i="40"/>
  <c r="O48" i="40"/>
  <c r="N47" i="40"/>
  <c r="N48" i="40"/>
  <c r="L47" i="40"/>
  <c r="L48" i="40"/>
  <c r="P56" i="40"/>
  <c r="P68" i="40" s="1"/>
  <c r="O41" i="40"/>
  <c r="O46" i="40"/>
  <c r="O45" i="40"/>
  <c r="O43" i="40"/>
  <c r="P59" i="40"/>
  <c r="P71" i="40" s="1"/>
  <c r="P61" i="40"/>
  <c r="P73" i="40" s="1"/>
  <c r="P53" i="40"/>
  <c r="P65" i="40" s="1"/>
  <c r="P52" i="40"/>
  <c r="P64" i="40" s="1"/>
  <c r="P58" i="40"/>
  <c r="P70" i="40" s="1"/>
  <c r="K60" i="40"/>
  <c r="K72" i="40" s="1"/>
  <c r="K53" i="40"/>
  <c r="K65" i="40" s="1"/>
  <c r="K54" i="40"/>
  <c r="K66" i="40" s="1"/>
  <c r="K55" i="40"/>
  <c r="K67" i="40" s="1"/>
  <c r="K56" i="40"/>
  <c r="K68" i="40" s="1"/>
  <c r="K52" i="40"/>
  <c r="K64" i="40" s="1"/>
  <c r="K57" i="40"/>
  <c r="K69" i="40" s="1"/>
  <c r="K61" i="40"/>
  <c r="K73" i="40" s="1"/>
  <c r="K58" i="40"/>
  <c r="K70" i="40" s="1"/>
  <c r="K59" i="40"/>
  <c r="K71" i="40" s="1"/>
  <c r="J52" i="40"/>
  <c r="J64" i="40" s="1"/>
  <c r="J55" i="40"/>
  <c r="J67" i="40" s="1"/>
  <c r="J57" i="40"/>
  <c r="J69" i="40" s="1"/>
  <c r="J56" i="40"/>
  <c r="J68" i="40" s="1"/>
  <c r="J58" i="40"/>
  <c r="J70" i="40" s="1"/>
  <c r="J59" i="40"/>
  <c r="J71" i="40" s="1"/>
  <c r="J53" i="40"/>
  <c r="J65" i="40" s="1"/>
  <c r="J60" i="40"/>
  <c r="J72" i="40" s="1"/>
  <c r="J61" i="40"/>
  <c r="J73" i="40" s="1"/>
  <c r="J54" i="40"/>
  <c r="J66" i="40" s="1"/>
  <c r="P60" i="40"/>
  <c r="P72" i="40" s="1"/>
  <c r="I52" i="40"/>
  <c r="I64" i="40" s="1"/>
  <c r="I55" i="40"/>
  <c r="I67" i="40" s="1"/>
  <c r="I54" i="40"/>
  <c r="I66" i="40" s="1"/>
  <c r="I57" i="40"/>
  <c r="I69" i="40" s="1"/>
  <c r="I58" i="40"/>
  <c r="I70" i="40" s="1"/>
  <c r="I59" i="40"/>
  <c r="I71" i="40" s="1"/>
  <c r="I60" i="40"/>
  <c r="I72" i="40" s="1"/>
  <c r="I61" i="40"/>
  <c r="I73" i="40" s="1"/>
  <c r="I56" i="40"/>
  <c r="I68" i="40" s="1"/>
  <c r="I53" i="40"/>
  <c r="I65" i="40" s="1"/>
  <c r="P54" i="40"/>
  <c r="P66" i="40" s="1"/>
  <c r="H60" i="40"/>
  <c r="H72" i="40" s="1"/>
  <c r="H61" i="40"/>
  <c r="H73" i="40" s="1"/>
  <c r="H58" i="40"/>
  <c r="H70" i="40" s="1"/>
  <c r="H52" i="40"/>
  <c r="H64" i="40" s="1"/>
  <c r="H53" i="40"/>
  <c r="H65" i="40" s="1"/>
  <c r="H55" i="40"/>
  <c r="H67" i="40" s="1"/>
  <c r="H56" i="40"/>
  <c r="H68" i="40" s="1"/>
  <c r="H59" i="40"/>
  <c r="H71" i="40" s="1"/>
  <c r="H57" i="40"/>
  <c r="H69" i="40" s="1"/>
  <c r="H54" i="40"/>
  <c r="H66" i="40" s="1"/>
  <c r="P57" i="40"/>
  <c r="P69" i="40" s="1"/>
  <c r="P55" i="40"/>
  <c r="P67" i="40" s="1"/>
  <c r="M49" i="40"/>
  <c r="M41" i="40"/>
  <c r="M40" i="40"/>
  <c r="M43" i="40"/>
  <c r="M44" i="40"/>
  <c r="M46" i="40"/>
  <c r="M42" i="40"/>
  <c r="N49" i="40"/>
  <c r="N40" i="40"/>
  <c r="N45" i="40"/>
  <c r="N44" i="40"/>
  <c r="N43" i="40"/>
  <c r="N42" i="40"/>
  <c r="N41" i="40"/>
  <c r="L49" i="40"/>
  <c r="L40" i="40"/>
  <c r="L41" i="40"/>
  <c r="L43" i="40"/>
  <c r="L46" i="40"/>
  <c r="L45" i="40"/>
  <c r="L42" i="40"/>
  <c r="O49" i="40"/>
  <c r="A13" i="35"/>
  <c r="G13" i="35" s="1"/>
  <c r="G12" i="35"/>
  <c r="A13" i="34"/>
  <c r="G13" i="34" s="1"/>
  <c r="G12" i="34"/>
  <c r="O52" i="40" l="1"/>
  <c r="O64" i="40" s="1"/>
  <c r="L58" i="40"/>
  <c r="L70" i="40" s="1"/>
  <c r="L60" i="40"/>
  <c r="L72" i="40" s="1"/>
  <c r="L52" i="40"/>
  <c r="L64" i="40" s="1"/>
  <c r="L53" i="40"/>
  <c r="L65" i="40" s="1"/>
  <c r="L54" i="40"/>
  <c r="L66" i="40" s="1"/>
  <c r="L55" i="40"/>
  <c r="L67" i="40" s="1"/>
  <c r="L56" i="40"/>
  <c r="L68" i="40" s="1"/>
  <c r="L61" i="40"/>
  <c r="L73" i="40" s="1"/>
  <c r="L57" i="40"/>
  <c r="L69" i="40" s="1"/>
  <c r="L59" i="40"/>
  <c r="L71" i="40" s="1"/>
  <c r="O55" i="40"/>
  <c r="O67" i="40" s="1"/>
  <c r="O59" i="40"/>
  <c r="O71" i="40" s="1"/>
  <c r="M56" i="40"/>
  <c r="M68" i="40" s="1"/>
  <c r="M57" i="40"/>
  <c r="M69" i="40" s="1"/>
  <c r="M60" i="40"/>
  <c r="M72" i="40" s="1"/>
  <c r="M58" i="40"/>
  <c r="M70" i="40" s="1"/>
  <c r="M59" i="40"/>
  <c r="M71" i="40" s="1"/>
  <c r="M61" i="40"/>
  <c r="M73" i="40" s="1"/>
  <c r="M52" i="40"/>
  <c r="M64" i="40" s="1"/>
  <c r="M53" i="40"/>
  <c r="M65" i="40" s="1"/>
  <c r="M54" i="40"/>
  <c r="M66" i="40" s="1"/>
  <c r="M55" i="40"/>
  <c r="M67" i="40" s="1"/>
  <c r="O58" i="40"/>
  <c r="O70" i="40" s="1"/>
  <c r="O56" i="40"/>
  <c r="O68" i="40" s="1"/>
  <c r="O57" i="40"/>
  <c r="O69" i="40" s="1"/>
  <c r="N54" i="40"/>
  <c r="N66" i="40" s="1"/>
  <c r="N55" i="40"/>
  <c r="N67" i="40" s="1"/>
  <c r="N56" i="40"/>
  <c r="N68" i="40" s="1"/>
  <c r="N57" i="40"/>
  <c r="N69" i="40" s="1"/>
  <c r="N58" i="40"/>
  <c r="N70" i="40" s="1"/>
  <c r="N59" i="40"/>
  <c r="N71" i="40" s="1"/>
  <c r="N60" i="40"/>
  <c r="N72" i="40" s="1"/>
  <c r="N61" i="40"/>
  <c r="N73" i="40" s="1"/>
  <c r="N52" i="40"/>
  <c r="N64" i="40" s="1"/>
  <c r="N53" i="40"/>
  <c r="N65" i="40" s="1"/>
  <c r="O61" i="40"/>
  <c r="O73" i="40" s="1"/>
  <c r="O54" i="40"/>
  <c r="O66" i="40" s="1"/>
  <c r="O60" i="40"/>
  <c r="O72" i="40" s="1"/>
  <c r="O53" i="40"/>
  <c r="O65" i="40" s="1"/>
  <c r="G7" i="31"/>
  <c r="G2" i="31"/>
  <c r="G9" i="31"/>
  <c r="H2" i="31"/>
  <c r="A10" i="31"/>
  <c r="A11" i="31" s="1"/>
  <c r="G11" i="31" s="1"/>
  <c r="U9" i="31"/>
  <c r="AE9" i="31" l="1"/>
  <c r="Z9" i="31"/>
  <c r="AB9" i="31"/>
  <c r="AC11" i="31"/>
  <c r="AD9" i="31"/>
  <c r="AA9" i="31"/>
  <c r="AC9" i="31"/>
  <c r="W9" i="31"/>
  <c r="Y9" i="31"/>
  <c r="V9" i="31"/>
  <c r="X9" i="31"/>
  <c r="Q9" i="31"/>
  <c r="J11" i="31"/>
  <c r="N9" i="31"/>
  <c r="I9" i="31"/>
  <c r="H11" i="31"/>
  <c r="L9" i="31"/>
  <c r="M11" i="31"/>
  <c r="O11" i="31"/>
  <c r="P9" i="31"/>
  <c r="Q11" i="31"/>
  <c r="H9" i="31"/>
  <c r="I11" i="31"/>
  <c r="J9" i="31"/>
  <c r="L11" i="31"/>
  <c r="M9" i="31"/>
  <c r="N11" i="31"/>
  <c r="O9" i="31"/>
  <c r="P11" i="31"/>
  <c r="K11" i="31"/>
  <c r="K9" i="31"/>
  <c r="G10" i="31"/>
  <c r="L10" i="31" s="1"/>
  <c r="A12" i="31"/>
  <c r="U11" i="31"/>
  <c r="AA11" i="31" s="1"/>
  <c r="U10" i="31"/>
  <c r="AE10" i="31" s="1"/>
  <c r="E2" i="30"/>
  <c r="K15" i="30" s="1"/>
  <c r="D2" i="30"/>
  <c r="J15" i="30" s="1"/>
  <c r="C2" i="30"/>
  <c r="I15" i="30" s="1"/>
  <c r="B2" i="30"/>
  <c r="H15" i="30" s="1"/>
  <c r="G9" i="30"/>
  <c r="A10" i="30"/>
  <c r="A11" i="30" s="1"/>
  <c r="XEX7" i="30"/>
  <c r="AD11" i="31" l="1"/>
  <c r="AC10" i="31"/>
  <c r="AD10" i="31"/>
  <c r="L15" i="30"/>
  <c r="K11" i="30"/>
  <c r="K14" i="30"/>
  <c r="H9" i="30"/>
  <c r="H14" i="30"/>
  <c r="I12" i="30"/>
  <c r="I14" i="30"/>
  <c r="J10" i="30"/>
  <c r="J14" i="30"/>
  <c r="AB11" i="31"/>
  <c r="AB10" i="31"/>
  <c r="AA10" i="31"/>
  <c r="AE11" i="31"/>
  <c r="Z10" i="31"/>
  <c r="X10" i="31"/>
  <c r="V10" i="31"/>
  <c r="Y10" i="31"/>
  <c r="W10" i="31"/>
  <c r="Y11" i="31"/>
  <c r="W11" i="31"/>
  <c r="Z11" i="31"/>
  <c r="X11" i="31"/>
  <c r="V11" i="31"/>
  <c r="K10" i="31"/>
  <c r="I10" i="31"/>
  <c r="P10" i="31"/>
  <c r="O10" i="31"/>
  <c r="M10" i="31"/>
  <c r="N10" i="31"/>
  <c r="J10" i="31"/>
  <c r="Q10" i="31"/>
  <c r="H10" i="31"/>
  <c r="G12" i="31"/>
  <c r="A13" i="31"/>
  <c r="U13" i="31" s="1"/>
  <c r="U12" i="31"/>
  <c r="I11" i="30"/>
  <c r="J13" i="30"/>
  <c r="J9" i="30"/>
  <c r="I10" i="30"/>
  <c r="J12" i="30"/>
  <c r="I13" i="30"/>
  <c r="I9" i="30"/>
  <c r="J11" i="30"/>
  <c r="K13" i="30"/>
  <c r="K10" i="30"/>
  <c r="K12" i="30"/>
  <c r="K9" i="30"/>
  <c r="H12" i="30"/>
  <c r="H11" i="30"/>
  <c r="H10" i="30"/>
  <c r="H13" i="30"/>
  <c r="A12" i="30"/>
  <c r="G11" i="30"/>
  <c r="G10" i="30"/>
  <c r="B2" i="29"/>
  <c r="L14" i="30" l="1"/>
  <c r="AC12" i="31"/>
  <c r="AE12" i="31"/>
  <c r="AB12" i="31"/>
  <c r="AA12" i="31"/>
  <c r="AD12" i="31"/>
  <c r="AE13" i="31"/>
  <c r="AD13" i="31"/>
  <c r="AA13" i="31"/>
  <c r="AC13" i="31"/>
  <c r="AB13" i="31"/>
  <c r="Y12" i="31"/>
  <c r="W12" i="31"/>
  <c r="Z12" i="31"/>
  <c r="X12" i="31"/>
  <c r="V12" i="31"/>
  <c r="Z13" i="31"/>
  <c r="X13" i="31"/>
  <c r="V13" i="31"/>
  <c r="Y13" i="31"/>
  <c r="W13" i="31"/>
  <c r="N12" i="31"/>
  <c r="O12" i="31"/>
  <c r="J12" i="31"/>
  <c r="Q12" i="31"/>
  <c r="P12" i="31"/>
  <c r="M12" i="31"/>
  <c r="H12" i="31"/>
  <c r="I12" i="31"/>
  <c r="K12" i="31"/>
  <c r="L12" i="31"/>
  <c r="G13" i="31"/>
  <c r="A14" i="31"/>
  <c r="U14" i="31" s="1"/>
  <c r="L9" i="30"/>
  <c r="L11" i="30"/>
  <c r="L10" i="30"/>
  <c r="L12" i="30"/>
  <c r="L13" i="30"/>
  <c r="A13" i="30"/>
  <c r="A14" i="30" s="1"/>
  <c r="G12" i="30"/>
  <c r="F8" i="27"/>
  <c r="F9" i="27"/>
  <c r="F10" i="27"/>
  <c r="F11" i="27"/>
  <c r="F12" i="27"/>
  <c r="E8" i="27"/>
  <c r="E9" i="27"/>
  <c r="E10" i="27"/>
  <c r="E2" i="27" s="1"/>
  <c r="E11" i="27"/>
  <c r="E12" i="27"/>
  <c r="D2" i="27"/>
  <c r="C2" i="27"/>
  <c r="B2" i="27"/>
  <c r="F2" i="27" l="1"/>
  <c r="A15" i="30"/>
  <c r="G15" i="30" s="1"/>
  <c r="G14" i="30"/>
  <c r="J2" i="27"/>
  <c r="H2" i="27"/>
  <c r="G2" i="27"/>
  <c r="AB14" i="31"/>
  <c r="AE14" i="31"/>
  <c r="AA14" i="31"/>
  <c r="AD14" i="31"/>
  <c r="AC14" i="31"/>
  <c r="I2" i="27"/>
  <c r="Z14" i="31"/>
  <c r="X14" i="31"/>
  <c r="V14" i="31"/>
  <c r="Y14" i="31"/>
  <c r="W14" i="31"/>
  <c r="I13" i="31"/>
  <c r="P13" i="31"/>
  <c r="O13" i="31"/>
  <c r="J13" i="31"/>
  <c r="L13" i="31"/>
  <c r="M13" i="31"/>
  <c r="N13" i="31"/>
  <c r="H13" i="31"/>
  <c r="Q13" i="31"/>
  <c r="K13" i="31"/>
  <c r="A15" i="31"/>
  <c r="U15" i="31" s="1"/>
  <c r="G14" i="31"/>
  <c r="G13" i="30"/>
  <c r="C13" i="5"/>
  <c r="C14" i="5"/>
  <c r="G14" i="5" s="1"/>
  <c r="C15" i="5"/>
  <c r="G15" i="5" s="1"/>
  <c r="D13" i="5"/>
  <c r="D14" i="5"/>
  <c r="D15" i="5"/>
  <c r="H15" i="5" s="1"/>
  <c r="I13" i="5"/>
  <c r="I14" i="5"/>
  <c r="I15" i="5"/>
  <c r="D9" i="26"/>
  <c r="C9" i="26"/>
  <c r="K9" i="26" s="1"/>
  <c r="B9" i="26"/>
  <c r="A9" i="26"/>
  <c r="E4" i="26"/>
  <c r="E3" i="26"/>
  <c r="E5" i="26" s="1"/>
  <c r="D5" i="26"/>
  <c r="C5" i="26"/>
  <c r="J15" i="5" l="1"/>
  <c r="J14" i="5"/>
  <c r="AB15" i="31"/>
  <c r="AC15" i="31"/>
  <c r="AD15" i="31"/>
  <c r="AA15" i="31"/>
  <c r="AE15" i="31"/>
  <c r="L9" i="26"/>
  <c r="E9" i="26"/>
  <c r="H9" i="26" s="1"/>
  <c r="Y15" i="31"/>
  <c r="W15" i="31"/>
  <c r="Z15" i="31"/>
  <c r="X15" i="31"/>
  <c r="V15" i="31"/>
  <c r="L14" i="31"/>
  <c r="J14" i="31"/>
  <c r="I14" i="31"/>
  <c r="O14" i="31"/>
  <c r="Q14" i="31"/>
  <c r="P14" i="31"/>
  <c r="N14" i="31"/>
  <c r="M14" i="31"/>
  <c r="H14" i="31"/>
  <c r="K14" i="31"/>
  <c r="A16" i="31"/>
  <c r="U16" i="31" s="1"/>
  <c r="G15" i="31"/>
  <c r="H14" i="5"/>
  <c r="H13" i="5"/>
  <c r="J13" i="5"/>
  <c r="G13" i="5"/>
  <c r="I3" i="5"/>
  <c r="I4" i="5"/>
  <c r="I5" i="5"/>
  <c r="I6" i="5"/>
  <c r="I7" i="5"/>
  <c r="I8" i="5"/>
  <c r="I9" i="5"/>
  <c r="I10" i="5"/>
  <c r="I11" i="5"/>
  <c r="I12" i="5"/>
  <c r="B19" i="5"/>
  <c r="D3" i="5"/>
  <c r="D4" i="5"/>
  <c r="D5" i="5"/>
  <c r="D6" i="5"/>
  <c r="D7" i="5"/>
  <c r="D8" i="5"/>
  <c r="D9" i="5"/>
  <c r="D10" i="5"/>
  <c r="D11" i="5"/>
  <c r="D12" i="5"/>
  <c r="C3" i="5"/>
  <c r="G3" i="5" s="1"/>
  <c r="C4" i="5"/>
  <c r="G4" i="5" s="1"/>
  <c r="C5" i="5"/>
  <c r="G5" i="5" s="1"/>
  <c r="C6" i="5"/>
  <c r="G6" i="5" s="1"/>
  <c r="C7" i="5"/>
  <c r="G7" i="5" s="1"/>
  <c r="C8" i="5"/>
  <c r="G8" i="5" s="1"/>
  <c r="C9" i="5"/>
  <c r="G9" i="5" s="1"/>
  <c r="C10" i="5"/>
  <c r="J10" i="5" s="1"/>
  <c r="C11" i="5"/>
  <c r="G11" i="5" s="1"/>
  <c r="C12" i="5"/>
  <c r="G12" i="5" s="1"/>
  <c r="G18" i="25"/>
  <c r="G17" i="25"/>
  <c r="G21" i="25"/>
  <c r="G20" i="25"/>
  <c r="G23" i="25"/>
  <c r="G16" i="25"/>
  <c r="G15" i="25"/>
  <c r="G24" i="25"/>
  <c r="G22" i="25"/>
  <c r="G19" i="25"/>
  <c r="B52" i="25"/>
  <c r="B48" i="25"/>
  <c r="B36" i="25"/>
  <c r="B44" i="25"/>
  <c r="B40" i="25"/>
  <c r="B32" i="25"/>
  <c r="B28" i="25"/>
  <c r="B23" i="25"/>
  <c r="B19" i="25"/>
  <c r="B15" i="25"/>
  <c r="K7" i="25"/>
  <c r="L7" i="25"/>
  <c r="L6" i="25"/>
  <c r="K6" i="25"/>
  <c r="L5" i="25"/>
  <c r="K5" i="25"/>
  <c r="P5" i="25" s="1"/>
  <c r="L4" i="25"/>
  <c r="K4" i="25"/>
  <c r="L3" i="25"/>
  <c r="K3" i="25"/>
  <c r="A8" i="21"/>
  <c r="A9" i="21" s="1"/>
  <c r="A10" i="21" s="1"/>
  <c r="A11" i="21" s="1"/>
  <c r="A12" i="21" s="1"/>
  <c r="A13" i="21" s="1"/>
  <c r="A14" i="21" s="1"/>
  <c r="A15" i="21" s="1"/>
  <c r="A16" i="21" s="1"/>
  <c r="A17" i="21" s="1"/>
  <c r="A18" i="21" s="1"/>
  <c r="A19" i="21" s="1"/>
  <c r="A20" i="21" s="1"/>
  <c r="A21" i="21" s="1"/>
  <c r="P4" i="25" l="1"/>
  <c r="AC16" i="31"/>
  <c r="AB16" i="31"/>
  <c r="AA16" i="31"/>
  <c r="AD16" i="31"/>
  <c r="AE16" i="31"/>
  <c r="I9" i="26"/>
  <c r="J9" i="26"/>
  <c r="M9" i="26" s="1"/>
  <c r="Y16" i="31"/>
  <c r="W16" i="31"/>
  <c r="Z16" i="31"/>
  <c r="X16" i="31"/>
  <c r="V16" i="31"/>
  <c r="L15" i="31"/>
  <c r="M15" i="31"/>
  <c r="H15" i="31"/>
  <c r="J15" i="31"/>
  <c r="O15" i="31"/>
  <c r="N15" i="31"/>
  <c r="Q15" i="31"/>
  <c r="P15" i="31"/>
  <c r="I15" i="31"/>
  <c r="K15" i="31"/>
  <c r="G16" i="31"/>
  <c r="A17" i="31"/>
  <c r="U17" i="31" s="1"/>
  <c r="H10" i="5"/>
  <c r="H6" i="5"/>
  <c r="J9" i="5"/>
  <c r="H5" i="5"/>
  <c r="G10" i="5"/>
  <c r="H12" i="5"/>
  <c r="H8" i="5"/>
  <c r="H4" i="5"/>
  <c r="H11" i="5"/>
  <c r="H7" i="5"/>
  <c r="H3" i="5"/>
  <c r="J6" i="5"/>
  <c r="J5" i="5"/>
  <c r="J12" i="5"/>
  <c r="J8" i="5"/>
  <c r="J4" i="5"/>
  <c r="H9" i="5"/>
  <c r="J11" i="5"/>
  <c r="J7" i="5"/>
  <c r="J3" i="5"/>
  <c r="P7" i="25"/>
  <c r="P3" i="25"/>
  <c r="P6" i="25"/>
  <c r="AE17" i="31" l="1"/>
  <c r="AA17" i="31"/>
  <c r="AB17" i="31"/>
  <c r="AD17" i="31"/>
  <c r="AC17" i="31"/>
  <c r="Z17" i="31"/>
  <c r="X17" i="31"/>
  <c r="V17" i="31"/>
  <c r="W17" i="31"/>
  <c r="Y17" i="31"/>
  <c r="O16" i="31"/>
  <c r="H16" i="31"/>
  <c r="P16" i="31"/>
  <c r="J16" i="31"/>
  <c r="Q16" i="31"/>
  <c r="M16" i="31"/>
  <c r="I16" i="31"/>
  <c r="L16" i="31"/>
  <c r="N16" i="31"/>
  <c r="K16" i="31"/>
  <c r="A18" i="31"/>
  <c r="U18" i="31" s="1"/>
  <c r="G17" i="31"/>
  <c r="A2" i="29"/>
  <c r="C24" i="23"/>
  <c r="G2" i="24"/>
  <c r="H2" i="24" s="1"/>
  <c r="G3" i="24"/>
  <c r="G4" i="24"/>
  <c r="G5" i="24"/>
  <c r="H5" i="24" s="1"/>
  <c r="G6" i="24"/>
  <c r="H6" i="24" s="1"/>
  <c r="G7" i="24"/>
  <c r="H7" i="24" s="1"/>
  <c r="G8" i="24"/>
  <c r="H8" i="24" s="1"/>
  <c r="G9" i="24"/>
  <c r="H9" i="24" s="1"/>
  <c r="G10" i="24"/>
  <c r="H10" i="24" s="1"/>
  <c r="G11" i="24"/>
  <c r="H11" i="24" s="1"/>
  <c r="C51" i="24"/>
  <c r="D51" i="24" s="1"/>
  <c r="B51" i="24"/>
  <c r="F51" i="24" s="1"/>
  <c r="D50" i="24"/>
  <c r="B50" i="24"/>
  <c r="A50" i="24"/>
  <c r="C45" i="24"/>
  <c r="D45" i="24" s="1"/>
  <c r="B45" i="24"/>
  <c r="D44" i="24"/>
  <c r="B44" i="24"/>
  <c r="F44" i="24" s="1"/>
  <c r="A44" i="24"/>
  <c r="C39" i="24"/>
  <c r="D39" i="24" s="1"/>
  <c r="B39" i="24"/>
  <c r="D38" i="24"/>
  <c r="B38" i="24"/>
  <c r="A38" i="24"/>
  <c r="C27" i="24"/>
  <c r="D27" i="24" s="1"/>
  <c r="B27" i="24"/>
  <c r="D26" i="24"/>
  <c r="B26" i="24"/>
  <c r="A26" i="24"/>
  <c r="B24" i="24"/>
  <c r="C20" i="24"/>
  <c r="D20" i="24" s="1"/>
  <c r="B20" i="24"/>
  <c r="D19" i="24"/>
  <c r="B19" i="24"/>
  <c r="H15" i="24"/>
  <c r="G15" i="24"/>
  <c r="H14" i="24"/>
  <c r="G14" i="24"/>
  <c r="H13" i="24"/>
  <c r="G13" i="24"/>
  <c r="H12" i="24"/>
  <c r="G12" i="24"/>
  <c r="H4" i="24"/>
  <c r="H3" i="24"/>
  <c r="A3" i="24"/>
  <c r="A4" i="24" s="1"/>
  <c r="A5" i="24" s="1"/>
  <c r="A6" i="24" s="1"/>
  <c r="A7" i="24" s="1"/>
  <c r="A8" i="24" s="1"/>
  <c r="A9" i="24" s="1"/>
  <c r="A10" i="24" s="1"/>
  <c r="A11" i="24" s="1"/>
  <c r="A12" i="24" s="1"/>
  <c r="A13" i="24" s="1"/>
  <c r="A14" i="24" s="1"/>
  <c r="A15" i="24" s="1"/>
  <c r="T13" i="9"/>
  <c r="O26" i="7"/>
  <c r="O34" i="7" s="1"/>
  <c r="AD18" i="31" l="1"/>
  <c r="AA18" i="31"/>
  <c r="AB18" i="31"/>
  <c r="AC18" i="31"/>
  <c r="AE18" i="31"/>
  <c r="B17" i="29"/>
  <c r="C17" i="29" s="1"/>
  <c r="E2" i="29"/>
  <c r="H2" i="29"/>
  <c r="D2" i="29"/>
  <c r="G2" i="29"/>
  <c r="C2" i="29"/>
  <c r="F2" i="29"/>
  <c r="Z18" i="31"/>
  <c r="X18" i="31"/>
  <c r="V18" i="31"/>
  <c r="Y18" i="31"/>
  <c r="W18" i="31"/>
  <c r="N17" i="31"/>
  <c r="H17" i="31"/>
  <c r="Q17" i="31"/>
  <c r="L17" i="31"/>
  <c r="M17" i="31"/>
  <c r="P17" i="31"/>
  <c r="O17" i="31"/>
  <c r="I17" i="31"/>
  <c r="J17" i="31"/>
  <c r="K17" i="31"/>
  <c r="G18" i="31"/>
  <c r="B15" i="29"/>
  <c r="C15" i="29" s="1"/>
  <c r="B16" i="29"/>
  <c r="B13" i="29"/>
  <c r="B10" i="29"/>
  <c r="B9" i="29"/>
  <c r="B8" i="29"/>
  <c r="B11" i="29"/>
  <c r="B12" i="29"/>
  <c r="B14" i="29"/>
  <c r="M44" i="24"/>
  <c r="E45" i="24"/>
  <c r="H45" i="24" s="1"/>
  <c r="E50" i="24"/>
  <c r="E20" i="24"/>
  <c r="H20" i="24" s="1"/>
  <c r="E26" i="24"/>
  <c r="F45" i="24"/>
  <c r="E51" i="24"/>
  <c r="H51" i="24" s="1"/>
  <c r="E44" i="24"/>
  <c r="F50" i="24"/>
  <c r="G50" i="24" s="1"/>
  <c r="M50" i="24"/>
  <c r="O31" i="7"/>
  <c r="O28" i="7"/>
  <c r="F38" i="24"/>
  <c r="O18" i="24"/>
  <c r="E38" i="24"/>
  <c r="H38" i="24" s="1"/>
  <c r="E19" i="24"/>
  <c r="H19" i="24" s="1"/>
  <c r="F26" i="24"/>
  <c r="G26" i="24" s="1"/>
  <c r="M38" i="24"/>
  <c r="E39" i="24"/>
  <c r="H39" i="24" s="1"/>
  <c r="F19" i="24"/>
  <c r="E27" i="24"/>
  <c r="H27" i="24" s="1"/>
  <c r="F39" i="24"/>
  <c r="H26" i="24"/>
  <c r="F20" i="24"/>
  <c r="F27" i="24"/>
  <c r="M19" i="24"/>
  <c r="M26" i="24"/>
  <c r="O34" i="24"/>
  <c r="G45" i="24"/>
  <c r="AK17" i="11"/>
  <c r="U17" i="11"/>
  <c r="T11" i="9"/>
  <c r="D15" i="29" l="1"/>
  <c r="H15" i="29" s="1"/>
  <c r="G8" i="29"/>
  <c r="G12" i="29"/>
  <c r="G16" i="29"/>
  <c r="G9" i="29"/>
  <c r="G13" i="29"/>
  <c r="G17" i="29"/>
  <c r="G10" i="29"/>
  <c r="G14" i="29"/>
  <c r="G11" i="29"/>
  <c r="G15" i="29"/>
  <c r="E10" i="29"/>
  <c r="E14" i="29"/>
  <c r="E12" i="29"/>
  <c r="E9" i="29"/>
  <c r="E17" i="29"/>
  <c r="E11" i="29"/>
  <c r="E15" i="29"/>
  <c r="E8" i="29"/>
  <c r="E16" i="29"/>
  <c r="E13" i="29"/>
  <c r="F8" i="29"/>
  <c r="F12" i="29"/>
  <c r="F16" i="29"/>
  <c r="F14" i="29"/>
  <c r="F11" i="29"/>
  <c r="F9" i="29"/>
  <c r="F13" i="29"/>
  <c r="F17" i="29"/>
  <c r="F10" i="29"/>
  <c r="F15" i="29"/>
  <c r="P18" i="31"/>
  <c r="P22" i="31" s="1"/>
  <c r="P25" i="31" s="1"/>
  <c r="M18" i="31"/>
  <c r="M22" i="31" s="1"/>
  <c r="M25" i="31" s="1"/>
  <c r="Q18" i="31"/>
  <c r="Q22" i="31" s="1"/>
  <c r="Q25" i="31" s="1"/>
  <c r="L18" i="31"/>
  <c r="L22" i="31" s="1"/>
  <c r="L25" i="31" s="1"/>
  <c r="I18" i="31"/>
  <c r="I22" i="31" s="1"/>
  <c r="I25" i="31" s="1"/>
  <c r="O18" i="31"/>
  <c r="N18" i="31"/>
  <c r="N22" i="31" s="1"/>
  <c r="N25" i="31" s="1"/>
  <c r="H18" i="31"/>
  <c r="H22" i="31" s="1"/>
  <c r="H25" i="31" s="1"/>
  <c r="J18" i="31"/>
  <c r="K18" i="31"/>
  <c r="K22" i="31" s="1"/>
  <c r="K25" i="31" s="1"/>
  <c r="O22" i="31"/>
  <c r="J22" i="31"/>
  <c r="J25" i="31" s="1"/>
  <c r="D17" i="29"/>
  <c r="D16" i="29"/>
  <c r="C16" i="29"/>
  <c r="D8" i="29"/>
  <c r="C8" i="29"/>
  <c r="D14" i="29"/>
  <c r="C14" i="29"/>
  <c r="D9" i="29"/>
  <c r="C9" i="29"/>
  <c r="D12" i="29"/>
  <c r="C12" i="29"/>
  <c r="D10" i="29"/>
  <c r="C10" i="29"/>
  <c r="D11" i="29"/>
  <c r="C11" i="29"/>
  <c r="D13" i="29"/>
  <c r="C13" i="29"/>
  <c r="L44" i="24"/>
  <c r="H44" i="24"/>
  <c r="K44" i="24" s="1"/>
  <c r="L50" i="24"/>
  <c r="H50" i="24"/>
  <c r="K50" i="24" s="1"/>
  <c r="G44" i="24"/>
  <c r="J44" i="24" s="1"/>
  <c r="G51" i="24"/>
  <c r="J50" i="24" s="1"/>
  <c r="P49" i="24"/>
  <c r="P28" i="24" s="1"/>
  <c r="K38" i="24"/>
  <c r="G38" i="24"/>
  <c r="L26" i="24"/>
  <c r="L19" i="24"/>
  <c r="P19" i="24"/>
  <c r="G20" i="24"/>
  <c r="G19" i="24"/>
  <c r="G39" i="24"/>
  <c r="G27" i="24"/>
  <c r="J26" i="24" s="1"/>
  <c r="P29" i="24" s="1"/>
  <c r="K19" i="24"/>
  <c r="K26" i="24"/>
  <c r="L38" i="24"/>
  <c r="P43" i="24"/>
  <c r="P27" i="24" s="1"/>
  <c r="P37" i="24"/>
  <c r="P26" i="24" s="1"/>
  <c r="P48" i="24"/>
  <c r="P42" i="24"/>
  <c r="P36" i="24"/>
  <c r="P24" i="24"/>
  <c r="O25" i="24"/>
  <c r="E2" i="16"/>
  <c r="D13" i="2"/>
  <c r="E13" i="2"/>
  <c r="F13" i="2"/>
  <c r="J15" i="29" l="1"/>
  <c r="I15" i="29"/>
  <c r="P31" i="24"/>
  <c r="H11" i="29"/>
  <c r="J11" i="29"/>
  <c r="I11" i="29"/>
  <c r="I12" i="29"/>
  <c r="H12" i="29"/>
  <c r="J12" i="29"/>
  <c r="J14" i="29"/>
  <c r="I14" i="29"/>
  <c r="H14" i="29"/>
  <c r="H16" i="29"/>
  <c r="J16" i="29"/>
  <c r="I16" i="29"/>
  <c r="I17" i="29"/>
  <c r="H17" i="29"/>
  <c r="J17" i="29"/>
  <c r="I13" i="29"/>
  <c r="J13" i="29"/>
  <c r="H13" i="29"/>
  <c r="H10" i="29"/>
  <c r="I10" i="29"/>
  <c r="J10" i="29"/>
  <c r="I9" i="29"/>
  <c r="H9" i="29"/>
  <c r="J9" i="29"/>
  <c r="H8" i="29"/>
  <c r="J8" i="29"/>
  <c r="I8" i="29"/>
  <c r="O25" i="31"/>
  <c r="P32" i="24"/>
  <c r="J38" i="24"/>
  <c r="P30" i="24" s="1"/>
  <c r="P20" i="24"/>
  <c r="J19" i="24"/>
  <c r="P21" i="24" s="1"/>
  <c r="P33" i="24"/>
  <c r="G2" i="18"/>
  <c r="G3" i="18"/>
  <c r="G4" i="18"/>
  <c r="G5" i="18"/>
  <c r="G6" i="18"/>
  <c r="G7" i="18"/>
  <c r="G8" i="18"/>
  <c r="G9" i="18"/>
  <c r="G10" i="18"/>
  <c r="G11" i="18"/>
  <c r="P34" i="24" l="1"/>
  <c r="I2" i="23"/>
  <c r="M2" i="23"/>
  <c r="H2" i="23"/>
  <c r="F11" i="23"/>
  <c r="E11" i="23"/>
  <c r="D11" i="23"/>
  <c r="F10" i="23"/>
  <c r="E10" i="23"/>
  <c r="D10" i="23"/>
  <c r="F9" i="23"/>
  <c r="E9" i="23"/>
  <c r="D9" i="23"/>
  <c r="F8" i="23"/>
  <c r="E8" i="23"/>
  <c r="D8" i="23"/>
  <c r="F7" i="23"/>
  <c r="E7" i="23"/>
  <c r="D7" i="23"/>
  <c r="F6" i="23"/>
  <c r="E6" i="23"/>
  <c r="D6" i="23"/>
  <c r="F5" i="23"/>
  <c r="E5" i="23"/>
  <c r="D5" i="23"/>
  <c r="F4" i="23"/>
  <c r="E4" i="23"/>
  <c r="D4" i="23"/>
  <c r="F3" i="23"/>
  <c r="E3" i="23"/>
  <c r="D3" i="23"/>
  <c r="A3" i="23"/>
  <c r="A4" i="23" s="1"/>
  <c r="A5" i="23" s="1"/>
  <c r="A6" i="23" s="1"/>
  <c r="A7" i="23" s="1"/>
  <c r="A8" i="23" s="1"/>
  <c r="A9" i="23" s="1"/>
  <c r="A10" i="23" s="1"/>
  <c r="A11" i="23" s="1"/>
  <c r="F2" i="23"/>
  <c r="E2" i="23"/>
  <c r="D2" i="23"/>
  <c r="E2" i="21"/>
  <c r="D2" i="21"/>
  <c r="C2" i="21"/>
  <c r="B2" i="21"/>
  <c r="A2" i="21"/>
  <c r="L2" i="23" l="1"/>
  <c r="K2" i="23"/>
  <c r="J2" i="23"/>
  <c r="S28" i="23" s="1"/>
  <c r="F2" i="21"/>
  <c r="D7" i="21" s="1"/>
  <c r="F7" i="21" s="1"/>
  <c r="G2" i="21"/>
  <c r="B24" i="18"/>
  <c r="Q25" i="18" s="1"/>
  <c r="B20" i="18"/>
  <c r="B19" i="18"/>
  <c r="C20" i="18"/>
  <c r="D20" i="18" s="1"/>
  <c r="D19" i="18"/>
  <c r="B52" i="18"/>
  <c r="B51" i="18"/>
  <c r="K51" i="18" s="1"/>
  <c r="A51" i="18"/>
  <c r="C52" i="18"/>
  <c r="D52" i="18" s="1"/>
  <c r="D51" i="18"/>
  <c r="B46" i="18"/>
  <c r="B45" i="18"/>
  <c r="B40" i="18"/>
  <c r="B39" i="18"/>
  <c r="A45" i="18"/>
  <c r="C46" i="18"/>
  <c r="D46" i="18" s="1"/>
  <c r="D45" i="18"/>
  <c r="A39" i="18"/>
  <c r="C40" i="18"/>
  <c r="D40" i="18" s="1"/>
  <c r="D39" i="18"/>
  <c r="A26" i="18"/>
  <c r="B26" i="18"/>
  <c r="B27" i="18"/>
  <c r="C27" i="18"/>
  <c r="D27" i="18" s="1"/>
  <c r="D26" i="18"/>
  <c r="H11" i="18"/>
  <c r="H10" i="18"/>
  <c r="H9" i="18"/>
  <c r="H8" i="18"/>
  <c r="H7" i="18"/>
  <c r="H6" i="18"/>
  <c r="H5" i="18"/>
  <c r="H4" i="18"/>
  <c r="H3" i="18"/>
  <c r="A3" i="18"/>
  <c r="A4" i="18" s="1"/>
  <c r="A5" i="18" s="1"/>
  <c r="A6" i="18" s="1"/>
  <c r="A7" i="18" s="1"/>
  <c r="A8" i="18" s="1"/>
  <c r="A9" i="18" s="1"/>
  <c r="A10" i="18" s="1"/>
  <c r="A11" i="18" s="1"/>
  <c r="H2" i="18"/>
  <c r="K16" i="17"/>
  <c r="AB23" i="17" s="1"/>
  <c r="K15" i="17"/>
  <c r="J15" i="17"/>
  <c r="J16" i="17"/>
  <c r="H4" i="17"/>
  <c r="H8" i="17"/>
  <c r="G2" i="17"/>
  <c r="H2" i="17" s="1"/>
  <c r="G3" i="17"/>
  <c r="H3" i="17" s="1"/>
  <c r="G4" i="17"/>
  <c r="G5" i="17"/>
  <c r="H5" i="17" s="1"/>
  <c r="G6" i="17"/>
  <c r="H6" i="17" s="1"/>
  <c r="G7" i="17"/>
  <c r="H7" i="17" s="1"/>
  <c r="G8" i="17"/>
  <c r="G9" i="17"/>
  <c r="H9" i="17" s="1"/>
  <c r="G10" i="17"/>
  <c r="H10" i="17" s="1"/>
  <c r="G11" i="17"/>
  <c r="H11" i="17" s="1"/>
  <c r="G12" i="17"/>
  <c r="H12" i="17" s="1"/>
  <c r="G13" i="17"/>
  <c r="H13" i="17" s="1"/>
  <c r="G14" i="17"/>
  <c r="H14" i="17" s="1"/>
  <c r="G15" i="17"/>
  <c r="H15" i="17" s="1"/>
  <c r="L16" i="17"/>
  <c r="M16" i="17" s="1"/>
  <c r="M15" i="17"/>
  <c r="A3" i="17"/>
  <c r="A4" i="17" s="1"/>
  <c r="A5" i="17" s="1"/>
  <c r="A6" i="17" s="1"/>
  <c r="A7" i="17" s="1"/>
  <c r="A8" i="17" s="1"/>
  <c r="A9" i="17" s="1"/>
  <c r="A10" i="17" s="1"/>
  <c r="A11" i="17" s="1"/>
  <c r="A12" i="17" s="1"/>
  <c r="A13" i="17" s="1"/>
  <c r="A14" i="17" s="1"/>
  <c r="A15" i="17" s="1"/>
  <c r="E8" i="16"/>
  <c r="E9" i="16"/>
  <c r="H9" i="16" s="1"/>
  <c r="E15" i="16"/>
  <c r="H15" i="16" s="1"/>
  <c r="E16" i="16"/>
  <c r="H16" i="16" s="1"/>
  <c r="H2" i="16"/>
  <c r="E3" i="16"/>
  <c r="H3" i="16" s="1"/>
  <c r="F16" i="16"/>
  <c r="C16" i="16"/>
  <c r="D16" i="16" s="1"/>
  <c r="F15" i="16"/>
  <c r="D15" i="16"/>
  <c r="F9" i="16"/>
  <c r="C9" i="16"/>
  <c r="D9" i="16" s="1"/>
  <c r="F8" i="16"/>
  <c r="D8" i="16"/>
  <c r="F2" i="16"/>
  <c r="F3" i="16"/>
  <c r="C3" i="16"/>
  <c r="D3" i="16" s="1"/>
  <c r="D2" i="16"/>
  <c r="L3" i="12"/>
  <c r="L4" i="12" s="1"/>
  <c r="L5" i="12" s="1"/>
  <c r="L6" i="12" s="1"/>
  <c r="L7" i="12" s="1"/>
  <c r="L8" i="12" s="1"/>
  <c r="L9" i="12" s="1"/>
  <c r="L10" i="12" s="1"/>
  <c r="L11" i="12" s="1"/>
  <c r="K39" i="18" l="1"/>
  <c r="R51" i="18"/>
  <c r="R50" i="18"/>
  <c r="K26" i="18"/>
  <c r="D19" i="21"/>
  <c r="F19" i="21" s="1"/>
  <c r="D18" i="21"/>
  <c r="F18" i="21" s="1"/>
  <c r="C21" i="21"/>
  <c r="E21" i="21" s="1"/>
  <c r="D21" i="21"/>
  <c r="F21" i="21" s="1"/>
  <c r="C18" i="21"/>
  <c r="E18" i="21" s="1"/>
  <c r="N2" i="23"/>
  <c r="O2" i="23"/>
  <c r="K8" i="23" s="1"/>
  <c r="D13" i="21"/>
  <c r="F13" i="21" s="1"/>
  <c r="D15" i="21"/>
  <c r="F15" i="21" s="1"/>
  <c r="D14" i="21"/>
  <c r="F14" i="21" s="1"/>
  <c r="C17" i="21"/>
  <c r="E17" i="21" s="1"/>
  <c r="C20" i="21"/>
  <c r="E20" i="21" s="1"/>
  <c r="D20" i="21"/>
  <c r="F20" i="21" s="1"/>
  <c r="D17" i="21"/>
  <c r="F17" i="21" s="1"/>
  <c r="C15" i="21"/>
  <c r="E15" i="21" s="1"/>
  <c r="C13" i="21"/>
  <c r="E13" i="21" s="1"/>
  <c r="C16" i="21"/>
  <c r="E16" i="21" s="1"/>
  <c r="D12" i="21"/>
  <c r="F12" i="21" s="1"/>
  <c r="D16" i="21"/>
  <c r="F16" i="21" s="1"/>
  <c r="C14" i="21"/>
  <c r="E14" i="21" s="1"/>
  <c r="C19" i="21"/>
  <c r="E19" i="21" s="1"/>
  <c r="C12" i="21"/>
  <c r="E12" i="21" s="1"/>
  <c r="K19" i="18"/>
  <c r="K45" i="18"/>
  <c r="S19" i="23"/>
  <c r="C10" i="21"/>
  <c r="E10" i="21" s="1"/>
  <c r="D11" i="21"/>
  <c r="F11" i="21" s="1"/>
  <c r="C11" i="21"/>
  <c r="E11" i="21" s="1"/>
  <c r="D10" i="21"/>
  <c r="F10" i="21" s="1"/>
  <c r="S20" i="23"/>
  <c r="S17" i="23"/>
  <c r="S29" i="23"/>
  <c r="S31" i="23" s="1"/>
  <c r="S26" i="23"/>
  <c r="S16" i="23"/>
  <c r="S25" i="23"/>
  <c r="D9" i="21"/>
  <c r="F9" i="21" s="1"/>
  <c r="C7" i="21"/>
  <c r="E7" i="21" s="1"/>
  <c r="D8" i="21"/>
  <c r="F8" i="21" s="1"/>
  <c r="C9" i="21"/>
  <c r="E9" i="21" s="1"/>
  <c r="C8" i="21"/>
  <c r="E8" i="21" s="1"/>
  <c r="Q35" i="18"/>
  <c r="O51" i="18"/>
  <c r="O19" i="18"/>
  <c r="O26" i="18"/>
  <c r="O39" i="18"/>
  <c r="O45" i="18"/>
  <c r="Q18" i="18"/>
  <c r="F52" i="18"/>
  <c r="F45" i="18"/>
  <c r="F51" i="18"/>
  <c r="F19" i="18"/>
  <c r="E20" i="18"/>
  <c r="F20" i="18"/>
  <c r="E19" i="18"/>
  <c r="Y24" i="17"/>
  <c r="F46" i="18"/>
  <c r="E52" i="18"/>
  <c r="E51" i="18"/>
  <c r="F40" i="18"/>
  <c r="F39" i="18"/>
  <c r="E46" i="18"/>
  <c r="E45" i="18"/>
  <c r="E40" i="18"/>
  <c r="E39" i="18"/>
  <c r="F27" i="18"/>
  <c r="E27" i="18"/>
  <c r="E26" i="18"/>
  <c r="F26" i="18"/>
  <c r="S23" i="17"/>
  <c r="V24" i="17"/>
  <c r="Y23" i="17"/>
  <c r="O15" i="17"/>
  <c r="S24" i="17"/>
  <c r="V23" i="17"/>
  <c r="AB24" i="17"/>
  <c r="N15" i="17"/>
  <c r="O16" i="17"/>
  <c r="N16" i="17"/>
  <c r="Q16" i="17" s="1"/>
  <c r="L8" i="16"/>
  <c r="G15" i="16"/>
  <c r="G9" i="16"/>
  <c r="H8" i="16"/>
  <c r="K8" i="16" s="1"/>
  <c r="K15" i="16"/>
  <c r="G16" i="16"/>
  <c r="L15" i="16"/>
  <c r="G8" i="16"/>
  <c r="L2" i="16"/>
  <c r="G2" i="16"/>
  <c r="G3" i="16"/>
  <c r="F2" i="12"/>
  <c r="G2" i="12" s="1"/>
  <c r="F3" i="12"/>
  <c r="G3" i="12" s="1"/>
  <c r="F4" i="12"/>
  <c r="G4" i="12" s="1"/>
  <c r="F5" i="12"/>
  <c r="G5" i="12" s="1"/>
  <c r="F6" i="12"/>
  <c r="G6" i="12" s="1"/>
  <c r="F7" i="12"/>
  <c r="G7" i="12" s="1"/>
  <c r="F8" i="12"/>
  <c r="G8" i="12" s="1"/>
  <c r="F9" i="12"/>
  <c r="G9" i="12" s="1"/>
  <c r="F10" i="12"/>
  <c r="G10" i="12" s="1"/>
  <c r="F11" i="12"/>
  <c r="G11" i="12" s="1"/>
  <c r="F12" i="12"/>
  <c r="G12" i="12" s="1"/>
  <c r="F13" i="12"/>
  <c r="G13" i="12" s="1"/>
  <c r="F14" i="12"/>
  <c r="G14" i="12" s="1"/>
  <c r="F15" i="12"/>
  <c r="G15" i="12" s="1"/>
  <c r="A3" i="12"/>
  <c r="A4" i="12" s="1"/>
  <c r="A5" i="12" s="1"/>
  <c r="A6" i="12" s="1"/>
  <c r="A7" i="12" s="1"/>
  <c r="A8" i="12" s="1"/>
  <c r="A9" i="12" s="1"/>
  <c r="A10" i="12" s="1"/>
  <c r="A11" i="12" s="1"/>
  <c r="A12" i="12" s="1"/>
  <c r="A13" i="12" s="1"/>
  <c r="A14" i="12" s="1"/>
  <c r="A15" i="12" s="1"/>
  <c r="R38" i="18" l="1"/>
  <c r="R27" i="18" s="1"/>
  <c r="R26" i="18"/>
  <c r="R29" i="18"/>
  <c r="R33" i="18"/>
  <c r="K9" i="23"/>
  <c r="K7" i="23"/>
  <c r="I6" i="23"/>
  <c r="I7" i="23"/>
  <c r="S22" i="23"/>
  <c r="R33" i="23" s="1"/>
  <c r="R45" i="18"/>
  <c r="R32" i="18" s="1"/>
  <c r="R44" i="18"/>
  <c r="R28" i="18" s="1"/>
  <c r="R49" i="18"/>
  <c r="R43" i="18"/>
  <c r="R37" i="18"/>
  <c r="R24" i="18"/>
  <c r="G20" i="18"/>
  <c r="H20" i="18"/>
  <c r="H19" i="18"/>
  <c r="R19" i="18"/>
  <c r="N19" i="18"/>
  <c r="G19" i="18"/>
  <c r="G51" i="18"/>
  <c r="N51" i="18"/>
  <c r="H51" i="18"/>
  <c r="H52" i="18"/>
  <c r="G52" i="18"/>
  <c r="G46" i="18"/>
  <c r="H46" i="18"/>
  <c r="H45" i="18"/>
  <c r="N45" i="18"/>
  <c r="G45" i="18"/>
  <c r="H39" i="18"/>
  <c r="N39" i="18"/>
  <c r="G39" i="18"/>
  <c r="G40" i="18"/>
  <c r="H40" i="18"/>
  <c r="G26" i="18"/>
  <c r="G27" i="18"/>
  <c r="H27" i="18"/>
  <c r="N26" i="18"/>
  <c r="H26" i="18"/>
  <c r="Q15" i="17"/>
  <c r="K20" i="17" s="1"/>
  <c r="R25" i="17"/>
  <c r="N12" i="17"/>
  <c r="P15" i="17"/>
  <c r="L20" i="17"/>
  <c r="P16" i="17"/>
  <c r="J8" i="16"/>
  <c r="J15" i="16"/>
  <c r="K2" i="16"/>
  <c r="K20" i="16" s="1"/>
  <c r="J2" i="16"/>
  <c r="J6" i="7"/>
  <c r="J7" i="7"/>
  <c r="J8" i="7"/>
  <c r="J9" i="7"/>
  <c r="J10" i="7"/>
  <c r="I6" i="7"/>
  <c r="I7" i="7"/>
  <c r="I8" i="7"/>
  <c r="I9" i="7"/>
  <c r="I10" i="7"/>
  <c r="H7" i="7"/>
  <c r="H8" i="7" s="1"/>
  <c r="H9" i="7" s="1"/>
  <c r="H10" i="7" s="1"/>
  <c r="M19" i="18" l="1"/>
  <c r="L19" i="18"/>
  <c r="R21" i="18" s="1"/>
  <c r="R20" i="18"/>
  <c r="M45" i="18"/>
  <c r="L51" i="18"/>
  <c r="M51" i="18"/>
  <c r="L45" i="18"/>
  <c r="L39" i="18"/>
  <c r="R39" i="18" s="1"/>
  <c r="R31" i="18" s="1"/>
  <c r="M39" i="18"/>
  <c r="L26" i="18"/>
  <c r="R30" i="18" s="1"/>
  <c r="M26" i="18"/>
  <c r="J20" i="17"/>
  <c r="R27" i="17" s="1"/>
  <c r="P19" i="17"/>
  <c r="P20" i="17" s="1"/>
  <c r="R26" i="17"/>
  <c r="H2" i="11"/>
  <c r="H3" i="11"/>
  <c r="H4" i="11"/>
  <c r="H5" i="11"/>
  <c r="G2" i="11"/>
  <c r="G3" i="11"/>
  <c r="G4" i="11"/>
  <c r="G5" i="11"/>
  <c r="F2" i="11"/>
  <c r="F3" i="11"/>
  <c r="F4" i="11"/>
  <c r="F5" i="11"/>
  <c r="D2" i="11"/>
  <c r="E2" i="11" s="1"/>
  <c r="D3" i="11"/>
  <c r="E3" i="11" s="1"/>
  <c r="D4" i="11"/>
  <c r="E4" i="11" s="1"/>
  <c r="D5" i="11"/>
  <c r="E5" i="11" s="1"/>
  <c r="A3" i="11"/>
  <c r="A4" i="11" s="1"/>
  <c r="A5" i="11" s="1"/>
  <c r="A2" i="9"/>
  <c r="T18" i="9" s="1"/>
  <c r="C5" i="9"/>
  <c r="D5" i="9" s="1"/>
  <c r="E5" i="9" s="1"/>
  <c r="C6" i="9"/>
  <c r="D6" i="9" s="1"/>
  <c r="E6" i="9" s="1"/>
  <c r="C7" i="9"/>
  <c r="D7" i="9" s="1"/>
  <c r="E7" i="9" s="1"/>
  <c r="C8" i="9"/>
  <c r="D8" i="9" s="1"/>
  <c r="E8" i="9" s="1"/>
  <c r="C9" i="9"/>
  <c r="D9" i="9" s="1"/>
  <c r="E9" i="9" s="1"/>
  <c r="R34" i="18" l="1"/>
  <c r="R35" i="18" s="1"/>
  <c r="O2" i="11"/>
  <c r="P2" i="11"/>
  <c r="N2" i="11"/>
  <c r="U16" i="11" s="1"/>
  <c r="L2" i="11"/>
  <c r="M2" i="11" s="1"/>
  <c r="AK18" i="11" s="1"/>
  <c r="B2" i="9"/>
  <c r="C2" i="9" s="1"/>
  <c r="D2" i="9" l="1"/>
  <c r="T17" i="9" s="1"/>
  <c r="T15" i="9"/>
  <c r="Q2" i="11"/>
  <c r="U18" i="11" s="1"/>
  <c r="F6" i="9" l="1"/>
  <c r="F8" i="9"/>
  <c r="F7" i="9"/>
  <c r="F9" i="9"/>
  <c r="F5" i="9"/>
  <c r="D2" i="7"/>
  <c r="B2" i="7"/>
  <c r="A2" i="7"/>
  <c r="D12" i="6"/>
  <c r="F12" i="6" s="1"/>
  <c r="C2" i="6"/>
  <c r="E12" i="6" s="1"/>
  <c r="G12" i="6" s="1"/>
  <c r="B2" i="6"/>
  <c r="D10" i="6" s="1"/>
  <c r="D11" i="6" l="1"/>
  <c r="F11" i="6" s="1"/>
  <c r="C8" i="7"/>
  <c r="F8" i="7" s="1"/>
  <c r="D9" i="7"/>
  <c r="G9" i="7" s="1"/>
  <c r="E10" i="6"/>
  <c r="G10" i="6" s="1"/>
  <c r="E11" i="6"/>
  <c r="G11" i="6" s="1"/>
  <c r="D8" i="7"/>
  <c r="C10" i="7"/>
  <c r="F10" i="7" s="1"/>
  <c r="C7" i="7"/>
  <c r="F7" i="7" s="1"/>
  <c r="C6" i="7"/>
  <c r="F6" i="7" s="1"/>
  <c r="D7" i="7"/>
  <c r="G7" i="7" s="1"/>
  <c r="D6" i="7"/>
  <c r="G6" i="7" s="1"/>
  <c r="C9" i="7"/>
  <c r="D10" i="7"/>
  <c r="G10" i="7" s="1"/>
  <c r="A2" i="6"/>
  <c r="F10" i="6"/>
  <c r="O3" i="5"/>
  <c r="D2" i="6" l="1"/>
  <c r="F2" i="6" s="1"/>
  <c r="F5" i="6" s="1"/>
  <c r="E2" i="6"/>
  <c r="E8" i="7"/>
  <c r="G8" i="7"/>
  <c r="E9" i="7"/>
  <c r="F9" i="7"/>
  <c r="E10" i="7"/>
  <c r="E6" i="7"/>
  <c r="C2" i="7"/>
  <c r="E7" i="7"/>
  <c r="F12" i="2"/>
  <c r="F11" i="2"/>
  <c r="F10" i="2"/>
  <c r="E10" i="2"/>
  <c r="E11" i="2"/>
  <c r="E12" i="2"/>
  <c r="D10" i="2"/>
  <c r="D11" i="2"/>
  <c r="D12" i="2"/>
  <c r="C2" i="2"/>
  <c r="B2" i="2"/>
  <c r="F4" i="6" l="1"/>
  <c r="F6" i="6" s="1"/>
  <c r="O32" i="7"/>
  <c r="D2" i="2"/>
  <c r="E2" i="2"/>
  <c r="F2" i="2"/>
  <c r="A2" i="2"/>
  <c r="F4" i="2" s="1"/>
  <c r="O35" i="7" l="1"/>
  <c r="H2" i="7"/>
  <c r="O37" i="7" s="1"/>
  <c r="F5" i="2"/>
  <c r="F6" i="2" l="1"/>
  <c r="K6" i="23" l="1"/>
  <c r="E8" i="34"/>
  <c r="E6" i="34"/>
  <c r="E7" i="34"/>
  <c r="E9" i="34"/>
  <c r="E5" i="34"/>
  <c r="D18" i="34" l="1"/>
  <c r="F17" i="34"/>
  <c r="E18" i="34"/>
  <c r="C23" i="34" s="1"/>
  <c r="D17" i="34"/>
  <c r="B22" i="34" s="1"/>
  <c r="F18" i="34"/>
  <c r="E17" i="34"/>
  <c r="C22" i="34" s="1"/>
  <c r="B23" i="34"/>
  <c r="K22" i="34" l="1"/>
  <c r="H23" i="34"/>
  <c r="H27" i="34"/>
  <c r="J22" i="34"/>
  <c r="H30" i="34"/>
  <c r="O22" i="34"/>
  <c r="H28" i="34"/>
  <c r="N22" i="34"/>
  <c r="L22" i="34"/>
  <c r="H25" i="34"/>
  <c r="H31" i="34"/>
  <c r="M22" i="34"/>
  <c r="H22" i="34"/>
  <c r="L23" i="34"/>
  <c r="I22" i="34"/>
  <c r="I28" i="34"/>
  <c r="I24" i="34"/>
  <c r="I23" i="34"/>
  <c r="D23" i="34" s="1"/>
  <c r="I25" i="34"/>
  <c r="I27" i="34"/>
  <c r="N23" i="34"/>
  <c r="O23" i="34"/>
  <c r="I29" i="34"/>
  <c r="I31" i="34"/>
  <c r="I26" i="34"/>
  <c r="M23" i="34"/>
  <c r="K23" i="34"/>
  <c r="I30" i="34"/>
  <c r="J23" i="34"/>
  <c r="H24" i="34"/>
  <c r="H26" i="34"/>
  <c r="H29" i="34"/>
  <c r="D22" i="34" l="1"/>
  <c r="D29" i="34"/>
  <c r="D27" i="34"/>
  <c r="D30" i="34"/>
  <c r="D26" i="34"/>
  <c r="D31" i="34"/>
  <c r="D28" i="34"/>
  <c r="D24" i="34"/>
  <c r="D25" i="34"/>
  <c r="H36" i="34" l="1"/>
  <c r="H35" i="34"/>
  <c r="I36" i="34"/>
  <c r="I35" i="34"/>
</calcChain>
</file>

<file path=xl/sharedStrings.xml><?xml version="1.0" encoding="utf-8"?>
<sst xmlns="http://schemas.openxmlformats.org/spreadsheetml/2006/main" count="1757" uniqueCount="762">
  <si>
    <t>Maths</t>
  </si>
  <si>
    <t>Science</t>
  </si>
  <si>
    <t>Total</t>
  </si>
  <si>
    <t>Male</t>
  </si>
  <si>
    <t>Female</t>
  </si>
  <si>
    <t>(total of row*total of column)/Total Total</t>
  </si>
  <si>
    <t>Creating Expected matrix</t>
  </si>
  <si>
    <t>Observed matrix</t>
  </si>
  <si>
    <t>Person</t>
  </si>
  <si>
    <t>(xy)</t>
  </si>
  <si>
    <r>
      <t>(x</t>
    </r>
    <r>
      <rPr>
        <vertAlign val="superscript"/>
        <sz val="11"/>
        <color rgb="FF000000"/>
        <rFont val="Literata"/>
      </rPr>
      <t>2</t>
    </r>
    <r>
      <rPr>
        <sz val="11"/>
        <color rgb="FF000000"/>
        <rFont val="Literata"/>
      </rPr>
      <t>)</t>
    </r>
  </si>
  <si>
    <r>
      <t>(</t>
    </r>
    <r>
      <rPr>
        <vertAlign val="superscript"/>
        <sz val="11"/>
        <color rgb="FF000000"/>
        <rFont val="Literata"/>
      </rPr>
      <t>y2</t>
    </r>
    <r>
      <rPr>
        <sz val="11"/>
        <color rgb="FF000000"/>
        <rFont val="Literata"/>
      </rPr>
      <t>)</t>
    </r>
  </si>
  <si>
    <t>x</t>
  </si>
  <si>
    <t>y</t>
  </si>
  <si>
    <t>N</t>
  </si>
  <si>
    <t>∑xy</t>
  </si>
  <si>
    <t>∑x</t>
  </si>
  <si>
    <t>∑y</t>
  </si>
  <si>
    <t>Numerator</t>
  </si>
  <si>
    <t>Denominator</t>
  </si>
  <si>
    <t>Pearson Correlation Coefficient value</t>
  </si>
  <si>
    <r>
      <t>∑x</t>
    </r>
    <r>
      <rPr>
        <vertAlign val="superscript"/>
        <sz val="11"/>
        <color theme="1"/>
        <rFont val="Literata"/>
      </rPr>
      <t>2</t>
    </r>
  </si>
  <si>
    <r>
      <t>∑y</t>
    </r>
    <r>
      <rPr>
        <vertAlign val="superscript"/>
        <sz val="11"/>
        <color theme="1"/>
        <rFont val="Literata"/>
      </rPr>
      <t>2</t>
    </r>
  </si>
  <si>
    <t>Xi - Xmean</t>
  </si>
  <si>
    <t>Yi - Ymean</t>
  </si>
  <si>
    <t>Xmean</t>
  </si>
  <si>
    <t>Ymean</t>
  </si>
  <si>
    <t>Nominal</t>
  </si>
  <si>
    <t>Ordinal</t>
  </si>
  <si>
    <t>Interval</t>
  </si>
  <si>
    <t>Ratio</t>
  </si>
  <si>
    <t>Numeric (Quantitative)</t>
  </si>
  <si>
    <t>Attribute Type</t>
  </si>
  <si>
    <t>Description</t>
  </si>
  <si>
    <t>Examples</t>
  </si>
  <si>
    <t>Operations</t>
  </si>
  <si>
    <t>Zip Code, Employee ID, Color, Gender</t>
  </si>
  <si>
    <t>mode, entropy, contingency correlation, X2 test</t>
  </si>
  <si>
    <t>Names, IDs 
=, !=</t>
  </si>
  <si>
    <t>Grades, Street Numbers, Good/Better/Best, L/M/H</t>
  </si>
  <si>
    <t>Can be ordered but no arithmatic
&lt;, &gt;</t>
  </si>
  <si>
    <t>median, percentiles, rank correlation, run tests, sign tests</t>
  </si>
  <si>
    <t>Calendar dates, temperature in Celsius or Fahrenheit</t>
  </si>
  <si>
    <t>Difference between values is meaningful 
(+, -, &lt;, &gt;)</t>
  </si>
  <si>
    <t>Both differences and ratios are meaningful
(*, /, +, -, &lt;, &gt;)</t>
  </si>
  <si>
    <t>Temperature in Kelvin, monetoary quantities, counts, age, mass, length, electrical current</t>
  </si>
  <si>
    <t>geometric mean, harmonic mean, percent variation</t>
  </si>
  <si>
    <t>mean, standard deviation, Pearson's correlation, t and F tests</t>
  </si>
  <si>
    <t>Categorical (Qualitative)</t>
  </si>
  <si>
    <t>minA</t>
  </si>
  <si>
    <t>maxA</t>
  </si>
  <si>
    <t>new_minA</t>
  </si>
  <si>
    <t>new_maxA</t>
  </si>
  <si>
    <t>vi</t>
  </si>
  <si>
    <t>Normalized vi</t>
  </si>
  <si>
    <t>Mean</t>
  </si>
  <si>
    <t>Standard Deviation</t>
  </si>
  <si>
    <t>Column1</t>
  </si>
  <si>
    <t>Chi-Square</t>
  </si>
  <si>
    <t>X mean</t>
  </si>
  <si>
    <t>Y mean</t>
  </si>
  <si>
    <t>x-xmean</t>
  </si>
  <si>
    <t>y-ymean</t>
  </si>
  <si>
    <t>Denomenator</t>
  </si>
  <si>
    <t>Corr (x,y)</t>
  </si>
  <si>
    <t>(x-xmean)sq</t>
  </si>
  <si>
    <t>(y-mean)sq</t>
  </si>
  <si>
    <t>Values</t>
  </si>
  <si>
    <t>Median</t>
  </si>
  <si>
    <t>Q1</t>
  </si>
  <si>
    <t>Q3</t>
  </si>
  <si>
    <t>Min</t>
  </si>
  <si>
    <t>Max</t>
  </si>
  <si>
    <t>IQR (Interquartile Range)</t>
  </si>
  <si>
    <t>Range</t>
  </si>
  <si>
    <t>A= {100, 400, 600, 700, 1000}</t>
  </si>
  <si>
    <t>i</t>
  </si>
  <si>
    <t>vi-A</t>
  </si>
  <si>
    <t>Mean A</t>
  </si>
  <si>
    <t>(vi-A)2</t>
  </si>
  <si>
    <t>∑(𝑣_𝑖−𝐴)^2</t>
  </si>
  <si>
    <t>𝜎_𝐴^2</t>
  </si>
  <si>
    <t>Point</t>
  </si>
  <si>
    <t>1</t>
  </si>
  <si>
    <t>2</t>
  </si>
  <si>
    <t>3</t>
  </si>
  <si>
    <t>4</t>
  </si>
  <si>
    <t>Dimension</t>
  </si>
  <si>
    <t>r</t>
  </si>
  <si>
    <t>Minkowski Distance</t>
  </si>
  <si>
    <t>(x-y)</t>
  </si>
  <si>
    <t>(x-y)^r</t>
  </si>
  <si>
    <r>
      <rPr>
        <sz val="11"/>
        <color theme="1"/>
        <rFont val="Calibri"/>
        <family val="2"/>
      </rPr>
      <t>∑</t>
    </r>
    <r>
      <rPr>
        <sz val="11"/>
        <color theme="1"/>
        <rFont val="Calibri"/>
        <family val="2"/>
        <scheme val="minor"/>
      </rPr>
      <t>(x-y)^r</t>
    </r>
  </si>
  <si>
    <t>x.y</t>
  </si>
  <si>
    <t>||x||</t>
  </si>
  <si>
    <t>x^2</t>
  </si>
  <si>
    <t>y^2</t>
  </si>
  <si>
    <t>||y||</t>
  </si>
  <si>
    <t>∑(x.y)</t>
  </si>
  <si>
    <t>Min-Max Normalization</t>
  </si>
  <si>
    <t>Z-Score (aka Zero-Mean) Normalization</t>
  </si>
  <si>
    <t>𝜎 (standard deviation</t>
  </si>
  <si>
    <t>(Xi - Xmean)(Yi - Ymean)</t>
  </si>
  <si>
    <t>(Xi - Xmean)^2</t>
  </si>
  <si>
    <t>(Yi - Ymean)^2</t>
  </si>
  <si>
    <t>corr(x,y)</t>
  </si>
  <si>
    <t>X</t>
  </si>
  <si>
    <t>Y</t>
  </si>
  <si>
    <t>Grand Total</t>
  </si>
  <si>
    <t xml:space="preserve">X </t>
  </si>
  <si>
    <t xml:space="preserve">Y </t>
  </si>
  <si>
    <t xml:space="preserve">Xmean </t>
  </si>
  <si>
    <t xml:space="preserve">Ymean </t>
  </si>
  <si>
    <t xml:space="preserve">Xi - Xmean </t>
  </si>
  <si>
    <t xml:space="preserve">Yi - Ymean </t>
  </si>
  <si>
    <t xml:space="preserve">(Xi - Xmean)^2 </t>
  </si>
  <si>
    <t xml:space="preserve">(Yi - Ymean)^2 </t>
  </si>
  <si>
    <t xml:space="preserve">(Xi - Xmean)(Yi - Ymean) </t>
  </si>
  <si>
    <t>Column Labels</t>
  </si>
  <si>
    <t xml:space="preserve">x </t>
  </si>
  <si>
    <t xml:space="preserve">y </t>
  </si>
  <si>
    <t xml:space="preserve">(x-y) </t>
  </si>
  <si>
    <t xml:space="preserve">(x-y)^r </t>
  </si>
  <si>
    <t xml:space="preserve">x.y </t>
  </si>
  <si>
    <t xml:space="preserve">x^2 </t>
  </si>
  <si>
    <t xml:space="preserve">y^2 </t>
  </si>
  <si>
    <t xml:space="preserve">Minkowski </t>
  </si>
  <si>
    <t>Cosine</t>
  </si>
  <si>
    <t>Cosine Similarity</t>
  </si>
  <si>
    <t>Day No.</t>
  </si>
  <si>
    <t>sunny</t>
  </si>
  <si>
    <t>overcast</t>
  </si>
  <si>
    <t>rain</t>
  </si>
  <si>
    <t>Humidity</t>
  </si>
  <si>
    <t>High</t>
  </si>
  <si>
    <t>Normal</t>
  </si>
  <si>
    <t>Wind</t>
  </si>
  <si>
    <t>Weak</t>
  </si>
  <si>
    <t>Strong</t>
  </si>
  <si>
    <t>Play</t>
  </si>
  <si>
    <t>No</t>
  </si>
  <si>
    <t>Yes</t>
  </si>
  <si>
    <t>Outlook</t>
  </si>
  <si>
    <t>Count of Day No.</t>
  </si>
  <si>
    <t>Play Yes</t>
  </si>
  <si>
    <t>Play No</t>
  </si>
  <si>
    <t>TID</t>
  </si>
  <si>
    <t>Home Owner</t>
  </si>
  <si>
    <t>Marital Status</t>
  </si>
  <si>
    <t>Annual Income</t>
  </si>
  <si>
    <t>Defaulted Borrower</t>
  </si>
  <si>
    <t>Single</t>
  </si>
  <si>
    <t>Married</t>
  </si>
  <si>
    <t>Divorced</t>
  </si>
  <si>
    <t>125K</t>
  </si>
  <si>
    <t>100K</t>
  </si>
  <si>
    <t>70K</t>
  </si>
  <si>
    <t>120K</t>
  </si>
  <si>
    <t>95K</t>
  </si>
  <si>
    <t>60K</t>
  </si>
  <si>
    <t>220K</t>
  </si>
  <si>
    <t>85K</t>
  </si>
  <si>
    <t>75K</t>
  </si>
  <si>
    <t>90K</t>
  </si>
  <si>
    <t>Count of TID</t>
  </si>
  <si>
    <t>p(i|t)</t>
  </si>
  <si>
    <t>log2 p(i|t)</t>
  </si>
  <si>
    <t>ID</t>
  </si>
  <si>
    <t>p</t>
  </si>
  <si>
    <t>Ci</t>
  </si>
  <si>
    <t>p(i|t)*log2(i|t)</t>
  </si>
  <si>
    <t>Entropy</t>
  </si>
  <si>
    <t>Gini</t>
  </si>
  <si>
    <t>p(i|t)^2</t>
  </si>
  <si>
    <t>Classification Error</t>
  </si>
  <si>
    <t>Wt. Gini</t>
  </si>
  <si>
    <t>RIDa</t>
  </si>
  <si>
    <t>age</t>
  </si>
  <si>
    <t>income</t>
  </si>
  <si>
    <t>student</t>
  </si>
  <si>
    <t>credit</t>
  </si>
  <si>
    <t>buys computer</t>
  </si>
  <si>
    <t>youth</t>
  </si>
  <si>
    <t>middle_aged</t>
  </si>
  <si>
    <t>senior</t>
  </si>
  <si>
    <t>high</t>
  </si>
  <si>
    <t>medium</t>
  </si>
  <si>
    <t>low</t>
  </si>
  <si>
    <t>no</t>
  </si>
  <si>
    <t>yes</t>
  </si>
  <si>
    <t>fair</t>
  </si>
  <si>
    <t>excellent</t>
  </si>
  <si>
    <t>Label</t>
  </si>
  <si>
    <t>(</t>
  </si>
  <si>
    <t>-</t>
  </si>
  <si>
    <t>)</t>
  </si>
  <si>
    <r>
      <t>log</t>
    </r>
    <r>
      <rPr>
        <vertAlign val="subscript"/>
        <sz val="16"/>
        <color theme="1"/>
        <rFont val="Calibri"/>
        <family val="2"/>
        <scheme val="minor"/>
      </rPr>
      <t>2</t>
    </r>
  </si>
  <si>
    <t>=</t>
  </si>
  <si>
    <t>Info(D) =</t>
  </si>
  <si>
    <t>Positive</t>
  </si>
  <si>
    <t>Negative</t>
  </si>
  <si>
    <t xml:space="preserve">Positive </t>
  </si>
  <si>
    <t xml:space="preserve">Negative </t>
  </si>
  <si>
    <t>Overall</t>
  </si>
  <si>
    <t>Sum</t>
  </si>
  <si>
    <t>Refresh the pivots after populating data in table on left side.</t>
  </si>
  <si>
    <t>^ Drag the Attributes here one by one</t>
  </si>
  <si>
    <t>Wt</t>
  </si>
  <si>
    <t>Name</t>
  </si>
  <si>
    <t>Income</t>
  </si>
  <si>
    <t>Profession</t>
  </si>
  <si>
    <t>Doctor</t>
  </si>
  <si>
    <t>Carpenter</t>
  </si>
  <si>
    <t>Normalized Income</t>
  </si>
  <si>
    <t>Player</t>
  </si>
  <si>
    <t>Batting</t>
  </si>
  <si>
    <t>Low Outlier</t>
  </si>
  <si>
    <t>High Outlier</t>
  </si>
  <si>
    <t>Q1-1.5IQR)</t>
  </si>
  <si>
    <t>Q3+1.5IQR</t>
  </si>
  <si>
    <t>5</t>
  </si>
  <si>
    <t>6</t>
  </si>
  <si>
    <t>∑𝑥</t>
  </si>
  <si>
    <t>∑𝑥y</t>
  </si>
  <si>
    <t>∑𝑥^2</t>
  </si>
  <si>
    <t>∑y^2</t>
  </si>
  <si>
    <t>n</t>
  </si>
  <si>
    <t xml:space="preserve">a=     </t>
  </si>
  <si>
    <t xml:space="preserve">b=     </t>
  </si>
  <si>
    <t>RegressionLine</t>
  </si>
  <si>
    <t>INCOMPLETE</t>
  </si>
  <si>
    <t>(O-E)^2/E</t>
  </si>
  <si>
    <t xml:space="preserve">vi </t>
  </si>
  <si>
    <t xml:space="preserve">Mean A </t>
  </si>
  <si>
    <t xml:space="preserve">vi-A </t>
  </si>
  <si>
    <t>Past Trend</t>
  </si>
  <si>
    <t>Open Interest</t>
  </si>
  <si>
    <t>Trading Volume</t>
  </si>
  <si>
    <t>Return</t>
  </si>
  <si>
    <t>Low</t>
  </si>
  <si>
    <t>Up</t>
  </si>
  <si>
    <t>Down</t>
  </si>
  <si>
    <t>This solves Q3a</t>
  </si>
  <si>
    <t>Unused</t>
  </si>
  <si>
    <t>(vi-A)^2</t>
  </si>
  <si>
    <t>Refresh the pivot on right-&gt;</t>
  </si>
  <si>
    <t>N=</t>
  </si>
  <si>
    <t xml:space="preserve">∑(𝑣_𝑖−𝐴)^2 = </t>
  </si>
  <si>
    <t xml:space="preserve">𝜎_𝐴^2 = </t>
  </si>
  <si>
    <t xml:space="preserve">𝜎 (std deviation) = </t>
  </si>
  <si>
    <t>Use this if Mean and Std Deviation are given directly. Otherwise, go to Zscore v2 to get these values</t>
  </si>
  <si>
    <t xml:space="preserve">Mean = </t>
  </si>
  <si>
    <t>Cos(x,y)=</t>
  </si>
  <si>
    <t>r is needed only for Minkowski distance, not for Cosine similarity</t>
  </si>
  <si>
    <t>𝑴𝒊𝒏𝒌𝒐𝒘𝒔𝒌𝒊 𝒅𝒊𝒔𝒕𝒂𝒏𝒄𝒆 𝒎𝒆𝒕𝒓𝒊𝒄𝒔 𝑑(𝑥,𝑦)=</t>
  </si>
  <si>
    <t>n=</t>
  </si>
  <si>
    <t>Covariance (x,y)=</t>
  </si>
  <si>
    <t>Std dev (x)=</t>
  </si>
  <si>
    <t>Std dev(y)=</t>
  </si>
  <si>
    <t>Correlation (x,y)=</t>
  </si>
  <si>
    <t>Use the pivot table on right -&gt;</t>
  </si>
  <si>
    <t>Sum of (vi-A)^2</t>
  </si>
  <si>
    <t>1 if different</t>
  </si>
  <si>
    <t>0 if same</t>
  </si>
  <si>
    <t>Remember to refresh pivot tables.</t>
  </si>
  <si>
    <t>Info(D) is same as Entropy</t>
  </si>
  <si>
    <t>Gender</t>
  </si>
  <si>
    <t>Cough</t>
  </si>
  <si>
    <t>Fever</t>
  </si>
  <si>
    <t xml:space="preserve">Information Gain (Fever) = Info(D) - Info(Fever)(D) = </t>
  </si>
  <si>
    <t xml:space="preserve">Information Gain (Cough) = Info(D) - Info(Cough)(D) = </t>
  </si>
  <si>
    <t xml:space="preserve">Information Gain (Gender) = Info(D) - Info(Gender)(D) = </t>
  </si>
  <si>
    <t>Refresh the pivots on right after populating data in this table</t>
  </si>
  <si>
    <t>^ Drag the Attributes here one by one - Remove the old variable first, then drag the next one</t>
  </si>
  <si>
    <t>Medium</t>
  </si>
  <si>
    <t>Applicable</t>
  </si>
  <si>
    <t>a</t>
  </si>
  <si>
    <t>b</t>
  </si>
  <si>
    <t>Given</t>
  </si>
  <si>
    <t>Predicted</t>
  </si>
  <si>
    <t>https://www.socscistatistics.com/tests/regression/default.aspx</t>
  </si>
  <si>
    <t>Verification</t>
  </si>
  <si>
    <t>Area</t>
  </si>
  <si>
    <t>Rent</t>
  </si>
  <si>
    <t>sam</t>
  </si>
  <si>
    <t>john</t>
  </si>
  <si>
    <t>sonam</t>
  </si>
  <si>
    <t>mary</t>
  </si>
  <si>
    <t>sujoy</t>
  </si>
  <si>
    <t>Engineer</t>
  </si>
  <si>
    <t>Politician</t>
  </si>
  <si>
    <t>Age</t>
  </si>
  <si>
    <t>Middle Aged</t>
  </si>
  <si>
    <t>Youth</t>
  </si>
  <si>
    <t>Senior</t>
  </si>
  <si>
    <t>City</t>
  </si>
  <si>
    <t>Mumbai</t>
  </si>
  <si>
    <t>Delhi</t>
  </si>
  <si>
    <t>Bangalore</t>
  </si>
  <si>
    <t>Gurgaon</t>
  </si>
  <si>
    <t>Age Rank</t>
  </si>
  <si>
    <t>d(Sam, John)</t>
  </si>
  <si>
    <t>d(x,y)</t>
  </si>
  <si>
    <t>Rank</t>
  </si>
  <si>
    <t>(Difference in rank -1 )/(max rank-min rank)</t>
  </si>
  <si>
    <t>(Normalized Income x - Normalized Income y) + Professional difference + Age rank difference + City difference</t>
  </si>
  <si>
    <t>(0.87-0.43)+1+(2-1)/(3-1) + 1</t>
  </si>
  <si>
    <t>(0.44)+1+0.5+1</t>
  </si>
  <si>
    <t>d(Sam, Mary)</t>
  </si>
  <si>
    <t>(0.87-0.72)+1+(3-2)/(3-1) + 1</t>
  </si>
  <si>
    <t>(0.12)+1+0.5+1</t>
  </si>
  <si>
    <t>d(Sam, Sonam)</t>
  </si>
  <si>
    <t>|(0.87-1)|+0+(2-2)/(3-1) + 1</t>
  </si>
  <si>
    <t>(0.13)+0+0.5+1</t>
  </si>
  <si>
    <t>d(Sam, Sujoy)</t>
  </si>
  <si>
    <t>(0.87-0)+1+(2-2)/(3-1) + 1</t>
  </si>
  <si>
    <t>(0.87)+1+0.5+1</t>
  </si>
  <si>
    <t>d(John, Mary)</t>
  </si>
  <si>
    <t>|(0.43-0.72)+1+(3-1)/(3-1) + 1</t>
  </si>
  <si>
    <t>(0.29)+1+1+1</t>
  </si>
  <si>
    <t>d(John, Sonam)</t>
  </si>
  <si>
    <t>d(John, Sujoy)</t>
  </si>
  <si>
    <t>(0.43-0)+1+(2-1)/(3-1) + 1</t>
  </si>
  <si>
    <t>(0.43)+1+0.5+1</t>
  </si>
  <si>
    <t>d(Mary, Sonam)</t>
  </si>
  <si>
    <t>|(0.72-1)|+1+(3-2)/(3-1) + 1</t>
  </si>
  <si>
    <t>|(0.43-1)+1+(2-1)/(3-1) + 0</t>
  </si>
  <si>
    <t>(0.57)+1+0.5+0</t>
  </si>
  <si>
    <t>d(Mary, Sujoy)</t>
  </si>
  <si>
    <t>|(0.72-0)|+1+(3-2)/(3-1) + 1</t>
  </si>
  <si>
    <t>(0.72)+1+0.5+1</t>
  </si>
  <si>
    <t>d(Sonam, Sujoy)</t>
  </si>
  <si>
    <t>|(1-0)|+1+(2-2)/(3-1) + 1</t>
  </si>
  <si>
    <t>(1)+1+0+1</t>
  </si>
  <si>
    <t>Comparison Pair</t>
  </si>
  <si>
    <t>Difference</t>
  </si>
  <si>
    <t>Most different are Sam and Sujoy</t>
  </si>
  <si>
    <t>Most Similar are Sam and Sonam</t>
  </si>
  <si>
    <t>Abhishek</t>
  </si>
  <si>
    <t>Ramesh</t>
  </si>
  <si>
    <t>Vinod</t>
  </si>
  <si>
    <t>Rahul</t>
  </si>
  <si>
    <t>Anu</t>
  </si>
  <si>
    <t>Kavita</t>
  </si>
  <si>
    <t>Latha</t>
  </si>
  <si>
    <t>Pravin</t>
  </si>
  <si>
    <t>Sonu</t>
  </si>
  <si>
    <t>Sneha</t>
  </si>
  <si>
    <t>Marks</t>
  </si>
  <si>
    <t>min A</t>
  </si>
  <si>
    <t>max A</t>
  </si>
  <si>
    <t>new Min A</t>
  </si>
  <si>
    <t>new Max A</t>
  </si>
  <si>
    <t>vi - min A</t>
  </si>
  <si>
    <t>max A-min A</t>
  </si>
  <si>
    <t>New Max A - New Min A</t>
  </si>
  <si>
    <t>Max A - Min A</t>
  </si>
  <si>
    <t>Actual Class</t>
  </si>
  <si>
    <t>Predicted class</t>
  </si>
  <si>
    <t>TP</t>
  </si>
  <si>
    <t>FP</t>
  </si>
  <si>
    <t>TN</t>
  </si>
  <si>
    <t>FN</t>
  </si>
  <si>
    <t>P+N</t>
  </si>
  <si>
    <t>Total Accuracy, Recognition Rate</t>
  </si>
  <si>
    <t>CF</t>
  </si>
  <si>
    <t>LS 1</t>
  </si>
  <si>
    <t>LS 2</t>
  </si>
  <si>
    <t>SS 1</t>
  </si>
  <si>
    <t>Attribute1 SQ</t>
  </si>
  <si>
    <t>Attribute 2 Square</t>
  </si>
  <si>
    <t>Centroid 1</t>
  </si>
  <si>
    <t>Centroid 2</t>
  </si>
  <si>
    <t>Radius 1</t>
  </si>
  <si>
    <t>Radius 2</t>
  </si>
  <si>
    <t>SS 2</t>
  </si>
  <si>
    <t>Chi-Square'!A1</t>
  </si>
  <si>
    <t>Mean (u)</t>
  </si>
  <si>
    <t>Standard Deviation (sigma) P</t>
  </si>
  <si>
    <t>Parameter Values (x)</t>
  </si>
  <si>
    <t>(x-mean)/Std Dev</t>
  </si>
  <si>
    <t>(x-Mean)</t>
  </si>
  <si>
    <t>(x-Mean)^2</t>
  </si>
  <si>
    <t>SD1+</t>
  </si>
  <si>
    <t>SD1-</t>
  </si>
  <si>
    <t>SD2+</t>
  </si>
  <si>
    <t>SD2-</t>
  </si>
  <si>
    <t>SD3+</t>
  </si>
  <si>
    <t>SD3-</t>
  </si>
  <si>
    <t>Tuple</t>
  </si>
  <si>
    <t>Mean Table</t>
  </si>
  <si>
    <t>n1</t>
  </si>
  <si>
    <t>n2</t>
  </si>
  <si>
    <t>n3</t>
  </si>
  <si>
    <t>n4</t>
  </si>
  <si>
    <t>Enter the various values in table below (upto 4 dimensions)</t>
  </si>
  <si>
    <t>n dimensions or attributes</t>
  </si>
  <si>
    <t>Total Chi-Square</t>
  </si>
  <si>
    <t>Chi-Square Multivariate'!A1</t>
  </si>
  <si>
    <t>Chi-Square for Each Tuple</t>
  </si>
  <si>
    <t>7</t>
  </si>
  <si>
    <t>8</t>
  </si>
  <si>
    <t>9</t>
  </si>
  <si>
    <t>10</t>
  </si>
  <si>
    <t>Distance Based Outlier - Point Count</t>
  </si>
  <si>
    <t xml:space="preserve">Distance Threshold (r) </t>
  </si>
  <si>
    <t>Fraction Threshold (pi)</t>
  </si>
  <si>
    <t>pi*r</t>
  </si>
  <si>
    <t>Outlier</t>
  </si>
  <si>
    <t>Applicable Points</t>
  </si>
  <si>
    <t>Input Data Matrix</t>
  </si>
  <si>
    <t>L1, L2 Distance, Outlier '!A1</t>
  </si>
  <si>
    <t xml:space="preserve">Parameter (r) </t>
  </si>
  <si>
    <t>Variable1</t>
  </si>
  <si>
    <t>Variable2</t>
  </si>
  <si>
    <t>Variable3</t>
  </si>
  <si>
    <t>Variable4</t>
  </si>
  <si>
    <t>Manhattan/L1 Norm/City Block</t>
  </si>
  <si>
    <t>L3 Norm</t>
  </si>
  <si>
    <t>Euclidean/L2 Norm</t>
  </si>
  <si>
    <t>Parameter (r)</t>
  </si>
  <si>
    <t>Populate these two fields for Distance Based Outlier Detection</t>
  </si>
  <si>
    <t>L4 Norm</t>
  </si>
  <si>
    <t>Supremum is independent of Parameter (r)</t>
  </si>
  <si>
    <t>Populate this field for L1, L2, L3 Distances (refer table below)</t>
  </si>
  <si>
    <t>Keywords</t>
  </si>
  <si>
    <t>Multivariate Outlier Detection</t>
  </si>
  <si>
    <t>Classification</t>
  </si>
  <si>
    <t>Outlier, multiple variables, multivariate, chi-square</t>
  </si>
  <si>
    <t>Topic</t>
  </si>
  <si>
    <t>Sub-Topic</t>
  </si>
  <si>
    <t>Outlier Analysis</t>
  </si>
  <si>
    <t>Useful for finding distances between tuples having or more attributes (upto 4).
Used for Multivariate Outlier Analysis also.</t>
  </si>
  <si>
    <t>Outlier Analysis 
Data Exploration</t>
  </si>
  <si>
    <t>Distances/L1 Norm/L2 Norm/L3 Norm/Lmax/Supremum/Manhattan/City Block/Multivariate Outlier Analysis/Minkowski</t>
  </si>
  <si>
    <t>Data Exploration</t>
  </si>
  <si>
    <t>Correlation Analysis</t>
  </si>
  <si>
    <t>Minkowski, Cosine'!A1</t>
  </si>
  <si>
    <t>Useful to calculate Minkowski Distance or Cosine Similarity between 2 data points with upto 4 attributes.</t>
  </si>
  <si>
    <t>Minkowski, Cosine, Similarity, Disimilarity</t>
  </si>
  <si>
    <t>Similarities, Dissimilarities, Distances</t>
  </si>
  <si>
    <t>Univariate Outlier Detection</t>
  </si>
  <si>
    <t>Univariate Outlier'!A1</t>
  </si>
  <si>
    <t>Univariate, Outlier, Standard Deviation, Mean</t>
  </si>
  <si>
    <t>To find Univariate (having only one attribute) Outliers using standard deviation and mean</t>
  </si>
  <si>
    <t>Min-Max, Z-Score'!A1</t>
  </si>
  <si>
    <t>Data Pre-processing</t>
  </si>
  <si>
    <t>Normalization</t>
  </si>
  <si>
    <t>5 Point Summary'!A1</t>
  </si>
  <si>
    <t>5 Point Summary</t>
  </si>
  <si>
    <t>To find IQR, Q1, Q3, Median, Max, Outliers</t>
  </si>
  <si>
    <t>IQR, InterQuartile Range, Outliers, Quartiles</t>
  </si>
  <si>
    <t>Use this sheet when you only have 2 variables with up to four attributes</t>
  </si>
  <si>
    <t>For more than 2 variables, use L1, L2 Distance sheet</t>
  </si>
  <si>
    <t>ZScore v2'!A1</t>
  </si>
  <si>
    <t>Linear Regression Line'!A1</t>
  </si>
  <si>
    <t>Linear Regression Line</t>
  </si>
  <si>
    <t>If given a few data points and asked for regression line (y=ax+b)</t>
  </si>
  <si>
    <t>Z-Score, Normalization, Min-Max</t>
  </si>
  <si>
    <t>To find Min-Max or Z-Score (from Std Dev and Mean)</t>
  </si>
  <si>
    <t>To find Z-Score when Std Deviation and Mean are NOT provided</t>
  </si>
  <si>
    <t>Z-Score, Normalization, standard deviation, mean</t>
  </si>
  <si>
    <t>Linear Regression, Regression Line</t>
  </si>
  <si>
    <t>Similarity Example'!A1</t>
  </si>
  <si>
    <t>Similarity Matrix</t>
  </si>
  <si>
    <t>When given nominal/categorical attributes and asked to find similar/dissimilar members</t>
  </si>
  <si>
    <t>Worksheet Link</t>
  </si>
  <si>
    <t>Information Gain'!A1</t>
  </si>
  <si>
    <t>Attribute Types'!A1</t>
  </si>
  <si>
    <t>Introduction</t>
  </si>
  <si>
    <t>Attribute Types</t>
  </si>
  <si>
    <t>Quick summary of data/attribute types</t>
  </si>
  <si>
    <t xml:space="preserve">Categorical (Nominal, Ordinal), Numerical (Interval, Ratio)  </t>
  </si>
  <si>
    <t>Decision Tree - Information Gain</t>
  </si>
  <si>
    <t>Given multiple ordinal attributes, helps find out Information Gain for creating decision tree</t>
  </si>
  <si>
    <t>Information Gain, Decision Tree, Entropy</t>
  </si>
  <si>
    <t>Entropy, Gini, Error'!A1</t>
  </si>
  <si>
    <t>Confusion Matrix'!A1</t>
  </si>
  <si>
    <t>Model Evaluation</t>
  </si>
  <si>
    <t>P</t>
  </si>
  <si>
    <t>Error Rate, Misclassification Rate</t>
  </si>
  <si>
    <t>Precision</t>
  </si>
  <si>
    <t>Sensitivity, True Positive Rate, Recall</t>
  </si>
  <si>
    <t>Specificity, True Negative Rate</t>
  </si>
  <si>
    <t>F, F1, F-Score</t>
  </si>
  <si>
    <t>Given the TP, FP, TN, FN, calculates most of the model evaulation metrics</t>
  </si>
  <si>
    <t>Accuracy, recall, sensitivity, specificity, precision, F-score</t>
  </si>
  <si>
    <t>Entropy, Gini, Error</t>
  </si>
  <si>
    <t>Given a distribution, calculates Entropy, Gini index, error</t>
  </si>
  <si>
    <t>Entropy, GINI index, error</t>
  </si>
  <si>
    <t>Legend</t>
  </si>
  <si>
    <t>Enter values in cells colored green</t>
  </si>
  <si>
    <t>Calculations - DO NOT over-write</t>
  </si>
  <si>
    <t>Outlier 3 Sigma v2</t>
  </si>
  <si>
    <t>Outlier 2 Sigma v2</t>
  </si>
  <si>
    <t>Outlier 1 Sigma v2</t>
  </si>
  <si>
    <t>Outlier SD 1</t>
  </si>
  <si>
    <t>Outlier SD 2</t>
  </si>
  <si>
    <t>Outlier SD 3</t>
  </si>
  <si>
    <t>Alternate Version using (x-mean)/std dev</t>
  </si>
  <si>
    <t xml:space="preserve">p-test </t>
  </si>
  <si>
    <r>
      <t>If</t>
    </r>
    <r>
      <rPr>
        <b/>
        <sz val="11"/>
        <color theme="1"/>
        <rFont val="Calibri"/>
        <family val="2"/>
        <scheme val="minor"/>
      </rPr>
      <t xml:space="preserve"> Chi-Square value is &gt; Critical value</t>
    </r>
    <r>
      <rPr>
        <sz val="11"/>
        <color theme="1"/>
        <rFont val="Calibri"/>
        <family val="2"/>
        <scheme val="minor"/>
      </rPr>
      <t xml:space="preserve"> of Table then variables are co-related and we will reject the Null hypotesis(i.e. Variable are not corelated).</t>
    </r>
  </si>
  <si>
    <t>No of Rows</t>
  </si>
  <si>
    <t>No of Columns</t>
  </si>
  <si>
    <t>Degree of Freedom</t>
  </si>
  <si>
    <t>Covariance (x,y) (Sample)</t>
  </si>
  <si>
    <t>Covariance, Correlation'!A1</t>
  </si>
  <si>
    <t>Covariance, Correlation</t>
  </si>
  <si>
    <t>Given two data sets, finds the covariance, standard deviation and correlation</t>
  </si>
  <si>
    <t>Covariance, Correlation, standard deviation</t>
  </si>
  <si>
    <t>Similarity/dissimilarity matrix</t>
  </si>
  <si>
    <t>^</t>
  </si>
  <si>
    <t>df</t>
  </si>
  <si>
    <t>gda</t>
  </si>
  <si>
    <t>dadf</t>
  </si>
  <si>
    <t>Given 2x2 observed matrix, calculates expected matrix and Chi-Square value</t>
  </si>
  <si>
    <t>Chi-Square, Expected, Observed</t>
  </si>
  <si>
    <t>Index</t>
  </si>
  <si>
    <t>Naïve</t>
  </si>
  <si>
    <t>Data Matrix</t>
  </si>
  <si>
    <t>Euclidean L2</t>
  </si>
  <si>
    <t>X-Coordinate</t>
  </si>
  <si>
    <t>y-coordinate</t>
  </si>
  <si>
    <t>cluster</t>
  </si>
  <si>
    <t>cluster 1</t>
  </si>
  <si>
    <t>SSE</t>
  </si>
  <si>
    <t>Cluster2</t>
  </si>
  <si>
    <t>Cluster</t>
  </si>
  <si>
    <t>Orginal order</t>
  </si>
  <si>
    <t>2,3,4,5,6</t>
  </si>
  <si>
    <t>Manhattan L1</t>
  </si>
  <si>
    <t>Random mediod</t>
  </si>
  <si>
    <t>3,4</t>
  </si>
  <si>
    <t>7,4</t>
  </si>
  <si>
    <t>Cluster 1 cost</t>
  </si>
  <si>
    <t>Cluster 2 cost</t>
  </si>
  <si>
    <t>Total Cost</t>
  </si>
  <si>
    <t>Cost difference</t>
  </si>
  <si>
    <t xml:space="preserve">New Mediod </t>
  </si>
  <si>
    <t>7,3</t>
  </si>
  <si>
    <t>BIRCH</t>
  </si>
  <si>
    <t>Clusterning</t>
  </si>
  <si>
    <t>Kmeans</t>
  </si>
  <si>
    <t>Kmediod</t>
  </si>
  <si>
    <t>Kmediod/K=median</t>
  </si>
  <si>
    <t>Data Points</t>
  </si>
  <si>
    <t xml:space="preserve">LS </t>
  </si>
  <si>
    <t>SS2</t>
  </si>
  <si>
    <t>Center</t>
  </si>
  <si>
    <t>Result</t>
  </si>
  <si>
    <t>Threshold</t>
  </si>
  <si>
    <t>2*N*ss</t>
  </si>
  <si>
    <t>2.Ls2</t>
  </si>
  <si>
    <t>Final</t>
  </si>
  <si>
    <t>Radius</t>
  </si>
  <si>
    <t>Attribute 1</t>
  </si>
  <si>
    <t>Attribute 2</t>
  </si>
  <si>
    <t>Balancing Factor</t>
  </si>
  <si>
    <t>Can we used for DBSCAN metrix calculation</t>
  </si>
  <si>
    <t>Item ID</t>
  </si>
  <si>
    <t>Item Set</t>
  </si>
  <si>
    <t>ordered Item Set</t>
  </si>
  <si>
    <t>Items Reverse</t>
  </si>
  <si>
    <t>Conditional Pattern Base</t>
  </si>
  <si>
    <t>Conditional FP Tree</t>
  </si>
  <si>
    <t xml:space="preserve">Frequent Patterns </t>
  </si>
  <si>
    <t>T1</t>
  </si>
  <si>
    <t>F, A, C, D, G, I, M, P</t>
  </si>
  <si>
    <t>C, F, A, M, P</t>
  </si>
  <si>
    <t>{C, F, A, M :2}, {C, B :1}</t>
  </si>
  <si>
    <t>{C : 3}</t>
  </si>
  <si>
    <t>( P , C  : 3 )</t>
  </si>
  <si>
    <t>T2</t>
  </si>
  <si>
    <t>A, B, C, F, L, M, O</t>
  </si>
  <si>
    <t>C, F, A, B, M</t>
  </si>
  <si>
    <t>M</t>
  </si>
  <si>
    <t>{C, F, A : 2}, {C, F, A, B :1}</t>
  </si>
  <si>
    <t>{C, F, A : 3}</t>
  </si>
  <si>
    <t xml:space="preserve">(M, C, F, A :3), 
(M, C, F : 3), (M, C, A: 3), (M, F, A : 3),
(M, C :3), (M, F:3), (M, A :3) </t>
  </si>
  <si>
    <t>T3</t>
  </si>
  <si>
    <t>B, F, H, J, O, W</t>
  </si>
  <si>
    <t>F, B</t>
  </si>
  <si>
    <t>B</t>
  </si>
  <si>
    <t>{C, F, A :1}, {C :1} {F :1}</t>
  </si>
  <si>
    <t>{}</t>
  </si>
  <si>
    <t>()</t>
  </si>
  <si>
    <t>T4</t>
  </si>
  <si>
    <t>B, C, K, S, P</t>
  </si>
  <si>
    <t>C, B, P</t>
  </si>
  <si>
    <t>A</t>
  </si>
  <si>
    <t>{C, F :3}</t>
  </si>
  <si>
    <t>{C,F :3}</t>
  </si>
  <si>
    <t>(A, C, F :3)
(A, C :3), (A, F :3)</t>
  </si>
  <si>
    <t>T5</t>
  </si>
  <si>
    <t>A, F, C,E , L, P, M, N</t>
  </si>
  <si>
    <t>F</t>
  </si>
  <si>
    <t>{C :3}</t>
  </si>
  <si>
    <t>(F,C :3)</t>
  </si>
  <si>
    <t>Item</t>
  </si>
  <si>
    <t>Support</t>
  </si>
  <si>
    <t>3 SET PATTERN GENERATED: (M, C, F : 3), (M, C, A: 3), (M, F, A : 3), (A, C, F :3)</t>
  </si>
  <si>
    <t>C</t>
  </si>
  <si>
    <t xml:space="preserve">Association Rule </t>
  </si>
  <si>
    <t>Support Count</t>
  </si>
  <si>
    <t>confidence formula</t>
  </si>
  <si>
    <t>Confidence</t>
  </si>
  <si>
    <t>%</t>
  </si>
  <si>
    <t>M --&gt; C, F</t>
  </si>
  <si>
    <t>SUPPORT/ MAX FRQ(M) IN SET</t>
  </si>
  <si>
    <t>C --&gt; M, F</t>
  </si>
  <si>
    <t>SUPPORT/ MAX FRQ(C) IN SET</t>
  </si>
  <si>
    <t>F --&gt; M, C</t>
  </si>
  <si>
    <t>SUPPORT/ MAX FRQ(F) IN SET</t>
  </si>
  <si>
    <t>M --&gt; C, A</t>
  </si>
  <si>
    <t>C --&gt; M, A</t>
  </si>
  <si>
    <t>L</t>
  </si>
  <si>
    <t>A --&gt; C, M</t>
  </si>
  <si>
    <t>SUPPORT/ MAX FRQ(A) IN SET</t>
  </si>
  <si>
    <t>O</t>
  </si>
  <si>
    <t>M --&gt; F, A</t>
  </si>
  <si>
    <t>D</t>
  </si>
  <si>
    <t>F --&gt; M, A</t>
  </si>
  <si>
    <t>E</t>
  </si>
  <si>
    <t>A --&gt; F, M</t>
  </si>
  <si>
    <t>G</t>
  </si>
  <si>
    <t>A --&gt; C, F</t>
  </si>
  <si>
    <t>H</t>
  </si>
  <si>
    <t>C --&gt; A, F</t>
  </si>
  <si>
    <t>I</t>
  </si>
  <si>
    <t>F --&gt; C, A</t>
  </si>
  <si>
    <t>J</t>
  </si>
  <si>
    <t>K</t>
  </si>
  <si>
    <t>S</t>
  </si>
  <si>
    <t>W</t>
  </si>
  <si>
    <t>Origional</t>
  </si>
  <si>
    <t>C1</t>
  </si>
  <si>
    <t>C2</t>
  </si>
  <si>
    <t>C3</t>
  </si>
  <si>
    <t>C4</t>
  </si>
  <si>
    <t>A,M</t>
  </si>
  <si>
    <t>A, M, C</t>
  </si>
  <si>
    <t>AMFC</t>
  </si>
  <si>
    <t>A, P</t>
  </si>
  <si>
    <t>A, M, F</t>
  </si>
  <si>
    <t>C,A</t>
  </si>
  <si>
    <t>M, C, F</t>
  </si>
  <si>
    <t>C,F</t>
  </si>
  <si>
    <t>A, M, P</t>
  </si>
  <si>
    <t>C,M</t>
  </si>
  <si>
    <t>C, F, P</t>
  </si>
  <si>
    <t>C,P</t>
  </si>
  <si>
    <t>M, C, P</t>
  </si>
  <si>
    <t>Min support</t>
  </si>
  <si>
    <t>F,A</t>
  </si>
  <si>
    <t>M, F, P</t>
  </si>
  <si>
    <t>Min Confidence</t>
  </si>
  <si>
    <t>F,M</t>
  </si>
  <si>
    <t>C,B</t>
  </si>
  <si>
    <t>F, P</t>
  </si>
  <si>
    <t>M, P</t>
  </si>
  <si>
    <t>A, B</t>
  </si>
  <si>
    <t>B,M</t>
  </si>
  <si>
    <t>B,P</t>
  </si>
  <si>
    <t>T ID</t>
  </si>
  <si>
    <t xml:space="preserve">Item ID </t>
  </si>
  <si>
    <t>l1</t>
  </si>
  <si>
    <t>L2</t>
  </si>
  <si>
    <t>2,3</t>
  </si>
  <si>
    <t>1,2</t>
  </si>
  <si>
    <t>1,3</t>
  </si>
  <si>
    <t>1,2,3</t>
  </si>
  <si>
    <t>1,2,3,5</t>
  </si>
  <si>
    <t>2,5</t>
  </si>
  <si>
    <t>1,5</t>
  </si>
  <si>
    <t>T6</t>
  </si>
  <si>
    <t>T7</t>
  </si>
  <si>
    <t>3,5</t>
  </si>
  <si>
    <t>T8</t>
  </si>
  <si>
    <t>T9</t>
  </si>
  <si>
    <t>T10</t>
  </si>
  <si>
    <t>From C3 we can see the only possible candidate generated at C3 level is (1,2,3)  with a minimum support count of 2</t>
  </si>
  <si>
    <t>3,1</t>
  </si>
  <si>
    <t>Association</t>
  </si>
  <si>
    <t>support count</t>
  </si>
  <si>
    <t>confidence</t>
  </si>
  <si>
    <t xml:space="preserve">confidence </t>
  </si>
  <si>
    <t>More than 60% confidence</t>
  </si>
  <si>
    <t>Val</t>
  </si>
  <si>
    <t>A1</t>
  </si>
  <si>
    <t>A2</t>
  </si>
  <si>
    <t>A3</t>
  </si>
  <si>
    <t>A4</t>
  </si>
  <si>
    <t>A5</t>
  </si>
  <si>
    <t>A6</t>
  </si>
  <si>
    <t>A7</t>
  </si>
  <si>
    <t>A8</t>
  </si>
  <si>
    <t>FP Tree</t>
  </si>
  <si>
    <t>Recommendation</t>
  </si>
  <si>
    <t>Apriori</t>
  </si>
  <si>
    <t>DBSCAN Outlier Detection</t>
  </si>
  <si>
    <t>DBSCAN_Outlier</t>
  </si>
  <si>
    <t>Normalized Value</t>
  </si>
  <si>
    <t>kth Nearest Neibhour</t>
  </si>
  <si>
    <t>k</t>
  </si>
  <si>
    <t>Replacing Diagonal with NA</t>
  </si>
  <si>
    <t>Please do not add more rows</t>
  </si>
  <si>
    <t>Counting players who are far from each other</t>
  </si>
  <si>
    <t>For 3x3 matrix</t>
  </si>
  <si>
    <t>Document</t>
  </si>
  <si>
    <t>Cryptography</t>
  </si>
  <si>
    <t>Attack</t>
  </si>
  <si>
    <t>Ciper</t>
  </si>
  <si>
    <t>Encryption</t>
  </si>
  <si>
    <t>No of Records</t>
  </si>
  <si>
    <t>D1</t>
  </si>
  <si>
    <t>D2</t>
  </si>
  <si>
    <t>D3</t>
  </si>
  <si>
    <t>TF Result</t>
  </si>
  <si>
    <t>TF Calculation</t>
  </si>
  <si>
    <t>IDF Result</t>
  </si>
  <si>
    <t>IDF Calculation</t>
  </si>
  <si>
    <t>Docs</t>
  </si>
  <si>
    <t>TF*IDF Calculation</t>
  </si>
  <si>
    <t>D4</t>
  </si>
  <si>
    <t>Documents</t>
  </si>
  <si>
    <t>Transposing the TD*IDF Table</t>
  </si>
  <si>
    <t>Term</t>
  </si>
  <si>
    <t>D1^2</t>
  </si>
  <si>
    <t>D2^2</t>
  </si>
  <si>
    <t>D3^2</t>
  </si>
  <si>
    <t>D4^2</t>
  </si>
  <si>
    <t>D1.D2</t>
  </si>
  <si>
    <t>D1.D3</t>
  </si>
  <si>
    <t>D1.D4</t>
  </si>
  <si>
    <t>D2.D3</t>
  </si>
  <si>
    <t>D2.D4</t>
  </si>
  <si>
    <t>D3.D4</t>
  </si>
  <si>
    <t>Cos(D1.D2)</t>
  </si>
  <si>
    <t>Cos(D1.D3)</t>
  </si>
  <si>
    <t>Cos(D1.D4)</t>
  </si>
  <si>
    <t>Cos(D2.D3)</t>
  </si>
  <si>
    <t>Cos(D2.D4)</t>
  </si>
  <si>
    <t>Cos(D3.D4)</t>
  </si>
  <si>
    <t>Cosine Similarity Between D1, D2, D3, D4</t>
  </si>
  <si>
    <t>Data Mining on Unstructured Data</t>
  </si>
  <si>
    <t>Information Retrieval, Text Mining</t>
  </si>
  <si>
    <t>TFIDF!A1</t>
  </si>
  <si>
    <t>Given Term Frequency for documents (upto 4 documents), calculates TF and IDF values as well compares documents using Cosine Similarity</t>
  </si>
  <si>
    <t>Cosine Similarity, Term Frequency, TF, IDF, Inverse Document Frequency</t>
  </si>
  <si>
    <t>Please do not insert more rows or columns</t>
  </si>
  <si>
    <t>Ranking Each Distance</t>
  </si>
  <si>
    <t>Populate this field for L1, L2, L3 Distances (refer table on right)</t>
  </si>
  <si>
    <t>Kth-Neighbour's Distance</t>
  </si>
  <si>
    <t>Dummy S No.</t>
  </si>
  <si>
    <t>Neighbours Within Radius</t>
  </si>
  <si>
    <t>Standard_Deviation(x)(Sample)</t>
  </si>
  <si>
    <t>Standard_Deviation(y)(Sample)</t>
  </si>
  <si>
    <t>Formulae have been fixed. Using Sample instead of Population for all measurements i.e. (n-1) instead n</t>
  </si>
  <si>
    <t>Z</t>
  </si>
  <si>
    <t>2,3,4,5,6,7,8</t>
  </si>
  <si>
    <t>Discovery</t>
  </si>
  <si>
    <t xml:space="preserve">Mining </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</si>
</sst>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quot;$&quot;* #,##0.00_);_(&quot;$&quot;* \(#,##0.00\);_(&quot;$&quot;* &quot;-&quot;??_);_(@_)"/>
    <numFmt numFmtId="43" formatCode="_(* #,##0.00_);_(* \(#,##0.00\);_(* &quot;-&quot;??_);_(@_)"/>
    <numFmt numFmtId="164" formatCode="#,##0.0000"/>
    <numFmt numFmtId="165" formatCode="0.0000"/>
    <numFmt numFmtId="166" formatCode="_(* #,##0_);_(* \(#,##0\);_(* &quot;-&quot;??_);_(@_)"/>
    <numFmt numFmtId="167" formatCode="0.0"/>
    <numFmt numFmtId="168" formatCode="0.00000"/>
    <numFmt numFmtId="169" formatCode="0.0%"/>
    <numFmt numFmtId="170" formatCode="#,##0.0"/>
  </numFmts>
  <fonts count="34">
    <font>
      <sz val="11"/>
      <color theme="1"/>
      <name val="Calibri"/>
      <family val="2"/>
      <scheme val="minor"/>
    </font>
    <font>
      <sz val="11"/>
      <color theme="1"/>
      <name val="Literata"/>
    </font>
    <font>
      <sz val="11"/>
      <color rgb="FF000000"/>
      <name val="Literata"/>
    </font>
    <font>
      <vertAlign val="superscript"/>
      <sz val="11"/>
      <color rgb="FF000000"/>
      <name val="Literata"/>
    </font>
    <font>
      <vertAlign val="superscript"/>
      <sz val="11"/>
      <color theme="1"/>
      <name val="Literata"/>
    </font>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font>
    <font>
      <sz val="8"/>
      <name val="Calibri"/>
      <family val="2"/>
      <scheme val="minor"/>
    </font>
    <font>
      <b/>
      <sz val="11"/>
      <color rgb="FFFA7D00"/>
      <name val="Calibri"/>
      <family val="2"/>
      <scheme val="minor"/>
    </font>
    <font>
      <sz val="11"/>
      <color theme="0"/>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vertAlign val="subscript"/>
      <sz val="16"/>
      <color theme="1"/>
      <name val="Calibri"/>
      <family val="2"/>
      <scheme val="minor"/>
    </font>
    <font>
      <sz val="20"/>
      <color theme="1"/>
      <name val="Calibri"/>
      <family val="2"/>
      <scheme val="minor"/>
    </font>
    <font>
      <sz val="24"/>
      <color theme="1"/>
      <name val="Calibri"/>
      <family val="2"/>
      <scheme val="minor"/>
    </font>
    <font>
      <sz val="11"/>
      <color rgb="FFFF0000"/>
      <name val="Calibri"/>
      <family val="2"/>
      <scheme val="minor"/>
    </font>
    <font>
      <sz val="11"/>
      <color rgb="FF7030A0"/>
      <name val="Calibri"/>
      <family val="2"/>
      <scheme val="minor"/>
    </font>
    <font>
      <sz val="12"/>
      <color rgb="FF7030A0"/>
      <name val="Calibri"/>
      <family val="2"/>
      <scheme val="minor"/>
    </font>
    <font>
      <b/>
      <sz val="11"/>
      <color rgb="FF7030A0"/>
      <name val="Calibri"/>
      <family val="2"/>
      <scheme val="minor"/>
    </font>
    <font>
      <b/>
      <sz val="12"/>
      <color rgb="FF7030A0"/>
      <name val="Calibri"/>
      <family val="2"/>
      <scheme val="minor"/>
    </font>
    <font>
      <sz val="12"/>
      <color rgb="FF222222"/>
      <name val="Arial"/>
      <family val="2"/>
    </font>
    <font>
      <sz val="11"/>
      <color theme="4"/>
      <name val="Calibri"/>
      <family val="2"/>
      <scheme val="minor"/>
    </font>
    <font>
      <sz val="11"/>
      <color rgb="FFC00000"/>
      <name val="Calibri"/>
      <family val="2"/>
      <scheme val="minor"/>
    </font>
    <font>
      <sz val="11"/>
      <color theme="9"/>
      <name val="Calibri"/>
      <family val="2"/>
      <scheme val="minor"/>
    </font>
    <font>
      <sz val="11"/>
      <color theme="8"/>
      <name val="Calibri"/>
      <family val="2"/>
      <scheme val="minor"/>
    </font>
    <font>
      <u/>
      <sz val="11"/>
      <color theme="10"/>
      <name val="Calibri"/>
      <family val="2"/>
      <scheme val="minor"/>
    </font>
    <font>
      <sz val="11"/>
      <color rgb="FF006100"/>
      <name val="Calibri"/>
      <family val="2"/>
      <scheme val="minor"/>
    </font>
    <font>
      <sz val="11"/>
      <color rgb="FF9C5700"/>
      <name val="Calibri"/>
      <family val="2"/>
      <scheme val="minor"/>
    </font>
    <font>
      <strike/>
      <sz val="11"/>
      <color theme="1"/>
      <name val="Calibri"/>
      <family val="2"/>
      <scheme val="minor"/>
    </font>
    <font>
      <b/>
      <sz val="11"/>
      <name val="Calibri"/>
      <family val="2"/>
      <scheme val="minor"/>
    </font>
    <font>
      <sz val="11"/>
      <name val="Calibri"/>
      <family val="2"/>
      <scheme val="minor"/>
    </font>
  </fonts>
  <fills count="32">
    <fill>
      <patternFill patternType="none"/>
    </fill>
    <fill>
      <patternFill patternType="gray125"/>
    </fill>
    <fill>
      <patternFill patternType="solid">
        <fgColor rgb="FFE7E6E6"/>
        <bgColor indexed="64"/>
      </patternFill>
    </fill>
    <fill>
      <patternFill patternType="solid">
        <fgColor rgb="FFD9E2F3"/>
        <bgColor indexed="64"/>
      </patternFill>
    </fill>
    <fill>
      <patternFill patternType="solid">
        <fgColor theme="4" tint="0.79998168889431442"/>
        <bgColor indexed="65"/>
      </patternFill>
    </fill>
    <fill>
      <patternFill patternType="solid">
        <fgColor theme="4"/>
        <bgColor indexed="64"/>
      </patternFill>
    </fill>
    <fill>
      <patternFill patternType="solid">
        <fgColor theme="0" tint="-4.9989318521683403E-2"/>
        <bgColor theme="4"/>
      </patternFill>
    </fill>
    <fill>
      <patternFill patternType="solid">
        <fgColor theme="0" tint="-4.9989318521683403E-2"/>
        <bgColor theme="4" tint="0.79998168889431442"/>
      </patternFill>
    </fill>
    <fill>
      <patternFill patternType="solid">
        <fgColor theme="0" tint="-4.9989318521683403E-2"/>
        <bgColor indexed="64"/>
      </patternFill>
    </fill>
    <fill>
      <patternFill patternType="solid">
        <fgColor rgb="FFF2F2F2"/>
      </patternFill>
    </fill>
    <fill>
      <patternFill patternType="solid">
        <fgColor theme="9" tint="0.79998168889431442"/>
        <bgColor indexed="64"/>
      </patternFill>
    </fill>
    <fill>
      <patternFill patternType="solid">
        <fgColor theme="5" tint="0.59999389629810485"/>
        <bgColor indexed="64"/>
      </patternFill>
    </fill>
    <fill>
      <patternFill patternType="solid">
        <fgColor theme="9"/>
      </patternFill>
    </fill>
    <fill>
      <patternFill patternType="solid">
        <fgColor theme="9" tint="0.59999389629810485"/>
        <bgColor indexed="65"/>
      </patternFill>
    </fill>
    <fill>
      <patternFill patternType="solid">
        <fgColor theme="4"/>
        <bgColor theme="4"/>
      </patternFill>
    </fill>
    <fill>
      <patternFill patternType="solid">
        <fgColor rgb="FFFFFF00"/>
        <bgColor indexed="64"/>
      </patternFill>
    </fill>
    <fill>
      <patternFill patternType="solid">
        <fgColor theme="8" tint="0.59999389629810485"/>
        <bgColor indexed="65"/>
      </patternFill>
    </fill>
    <fill>
      <patternFill patternType="solid">
        <fgColor rgb="FF7030A0"/>
        <bgColor indexed="64"/>
      </patternFill>
    </fill>
    <fill>
      <patternFill patternType="solid">
        <fgColor rgb="FFC6EFCE"/>
      </patternFill>
    </fill>
    <fill>
      <patternFill patternType="solid">
        <fgColor rgb="FFFFEB9C"/>
      </patternFill>
    </fill>
    <fill>
      <patternFill patternType="solid">
        <fgColor theme="4"/>
      </patternFill>
    </fill>
    <fill>
      <patternFill patternType="solid">
        <fgColor rgb="FFFF0000"/>
        <bgColor indexed="64"/>
      </patternFill>
    </fill>
    <fill>
      <patternFill patternType="solid">
        <fgColor theme="4" tint="-0.249977111117893"/>
        <bgColor indexed="64"/>
      </patternFill>
    </fill>
    <fill>
      <patternFill patternType="solid">
        <fgColor theme="9" tint="-0.249977111117893"/>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rgb="FF002060"/>
        <bgColor theme="4"/>
      </patternFill>
    </fill>
    <fill>
      <patternFill patternType="solid">
        <fgColor theme="9" tint="-0.249977111117893"/>
        <bgColor theme="4"/>
      </patternFill>
    </fill>
  </fills>
  <borders count="45">
    <border>
      <left/>
      <right/>
      <top/>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right style="thin">
        <color theme="4" tint="0.59996337778862885"/>
      </right>
      <top/>
      <bottom style="thin">
        <color theme="4" tint="0.59996337778862885"/>
      </bottom>
      <diagonal/>
    </border>
    <border>
      <left style="thin">
        <color theme="4" tint="0.59996337778862885"/>
      </left>
      <right style="thin">
        <color theme="4" tint="0.59996337778862885"/>
      </right>
      <top/>
      <bottom style="thin">
        <color theme="4" tint="0.59996337778862885"/>
      </bottom>
      <diagonal/>
    </border>
    <border>
      <left style="thin">
        <color theme="4" tint="0.59996337778862885"/>
      </left>
      <right/>
      <top/>
      <bottom style="thin">
        <color theme="4" tint="0.59996337778862885"/>
      </bottom>
      <diagonal/>
    </border>
    <border>
      <left/>
      <right style="thin">
        <color theme="4" tint="0.59996337778862885"/>
      </right>
      <top style="thin">
        <color theme="4" tint="0.59996337778862885"/>
      </top>
      <bottom style="thin">
        <color theme="4" tint="0.59996337778862885"/>
      </bottom>
      <diagonal/>
    </border>
    <border>
      <left/>
      <right style="thin">
        <color theme="4" tint="0.59996337778862885"/>
      </right>
      <top style="thin">
        <color theme="4" tint="0.59996337778862885"/>
      </top>
      <bottom/>
      <diagonal/>
    </border>
    <border>
      <left style="thin">
        <color theme="4" tint="0.59996337778862885"/>
      </left>
      <right style="thin">
        <color theme="4" tint="0.59996337778862885"/>
      </right>
      <top style="thin">
        <color theme="4" tint="0.59996337778862885"/>
      </top>
      <bottom/>
      <diagonal/>
    </border>
    <border>
      <left/>
      <right/>
      <top style="double">
        <color auto="1"/>
      </top>
      <bottom style="double">
        <color auto="1"/>
      </bottom>
      <diagonal/>
    </border>
    <border>
      <left style="thin">
        <color theme="4" tint="0.59996337778862885"/>
      </left>
      <right style="thin">
        <color theme="4" tint="0.59996337778862885"/>
      </right>
      <top/>
      <bottom style="thin">
        <color rgb="FFB4C6E7"/>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style="thin">
        <color auto="1"/>
      </top>
      <bottom style="thin">
        <color auto="1"/>
      </bottom>
      <diagonal/>
    </border>
    <border>
      <left/>
      <right/>
      <top/>
      <bottom style="medium">
        <color auto="1"/>
      </bottom>
      <diagonal/>
    </border>
    <border>
      <left/>
      <right/>
      <top style="medium">
        <color auto="1"/>
      </top>
      <bottom/>
      <diagonal/>
    </border>
    <border>
      <left style="thin">
        <color theme="4" tint="0.39997558519241921"/>
      </left>
      <right/>
      <top style="thin">
        <color theme="4" tint="0.39997558519241921"/>
      </top>
      <bottom style="thin">
        <color theme="4" tint="0.39997558519241921"/>
      </bottom>
      <diagonal/>
    </border>
    <border>
      <left style="thin">
        <color rgb="FF7F7F7F"/>
      </left>
      <right style="thin">
        <color rgb="FF7F7F7F"/>
      </right>
      <top style="thin">
        <color rgb="FF7F7F7F"/>
      </top>
      <bottom/>
      <diagonal/>
    </border>
    <border>
      <left/>
      <right/>
      <top/>
      <bottom style="thin">
        <color indexed="6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rgb="FF7030A0"/>
      </top>
      <bottom style="thin">
        <color rgb="FF7030A0"/>
      </bottom>
      <diagonal/>
    </border>
    <border>
      <left/>
      <right/>
      <top style="thin">
        <color rgb="FF7030A0"/>
      </top>
      <bottom/>
      <diagonal/>
    </border>
    <border>
      <left/>
      <right/>
      <top style="thin">
        <color theme="4"/>
      </top>
      <bottom style="thin">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right/>
      <top style="thin">
        <color indexed="64"/>
      </top>
      <bottom/>
      <diagonal/>
    </border>
    <border>
      <left/>
      <right style="thin">
        <color theme="4" tint="0.39997558519241921"/>
      </right>
      <top style="thin">
        <color theme="4" tint="0.39997558519241921"/>
      </top>
      <bottom style="thin">
        <color theme="4" tint="0.39997558519241921"/>
      </bottom>
      <diagonal/>
    </border>
    <border>
      <left style="thin">
        <color rgb="FF7F7F7F"/>
      </left>
      <right style="thin">
        <color rgb="FF7F7F7F"/>
      </right>
      <top style="thin">
        <color rgb="FF7F7F7F"/>
      </top>
      <bottom style="thin">
        <color theme="4" tint="0.39997558519241921"/>
      </bottom>
      <diagonal/>
    </border>
    <border>
      <left/>
      <right style="thin">
        <color rgb="FF7F7F7F"/>
      </right>
      <top/>
      <bottom/>
      <diagonal/>
    </border>
    <border>
      <left style="thin">
        <color theme="4" tint="0.39997558519241921"/>
      </left>
      <right style="thin">
        <color rgb="FF7F7F7F"/>
      </right>
      <top style="thin">
        <color theme="4" tint="0.39997558519241921"/>
      </top>
      <bottom style="thin">
        <color theme="4" tint="0.39997558519241921"/>
      </bottom>
      <diagonal/>
    </border>
  </borders>
  <cellStyleXfs count="12">
    <xf numFmtId="0" fontId="0" fillId="0" borderId="0"/>
    <xf numFmtId="0" fontId="5" fillId="4" borderId="0" applyNumberFormat="0" applyBorder="0" applyAlignment="0" applyProtection="0"/>
    <xf numFmtId="43" fontId="5" fillId="0" borderId="0" applyFont="0" applyFill="0" applyBorder="0" applyAlignment="0" applyProtection="0"/>
    <xf numFmtId="0" fontId="10" fillId="9" borderId="11" applyNumberFormat="0" applyAlignment="0" applyProtection="0"/>
    <xf numFmtId="0" fontId="11" fillId="12" borderId="0" applyNumberFormat="0" applyBorder="0" applyAlignment="0" applyProtection="0"/>
    <xf numFmtId="0" fontId="5" fillId="13" borderId="0" applyNumberFormat="0" applyBorder="0" applyAlignment="0" applyProtection="0"/>
    <xf numFmtId="0" fontId="5" fillId="16" borderId="0" applyNumberFormat="0" applyBorder="0" applyAlignment="0" applyProtection="0"/>
    <xf numFmtId="0" fontId="28" fillId="0" borderId="0" applyNumberFormat="0" applyFill="0" applyBorder="0" applyAlignment="0" applyProtection="0"/>
    <xf numFmtId="9" fontId="5" fillId="0" borderId="0" applyFont="0" applyFill="0" applyBorder="0" applyAlignment="0" applyProtection="0"/>
    <xf numFmtId="0" fontId="29" fillId="18" borderId="0" applyNumberFormat="0" applyBorder="0" applyAlignment="0" applyProtection="0"/>
    <xf numFmtId="0" fontId="30" fillId="19" borderId="0" applyNumberFormat="0" applyBorder="0" applyAlignment="0" applyProtection="0"/>
    <xf numFmtId="0" fontId="11" fillId="20" borderId="0" applyNumberFormat="0" applyBorder="0" applyAlignment="0" applyProtection="0"/>
  </cellStyleXfs>
  <cellXfs count="276">
    <xf numFmtId="0" fontId="0" fillId="0" borderId="0" xfId="0"/>
    <xf numFmtId="0" fontId="1"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1" fillId="0" borderId="0" xfId="0" applyFont="1"/>
    <xf numFmtId="0" fontId="0" fillId="0" borderId="1" xfId="0" applyBorder="1"/>
    <xf numFmtId="0" fontId="0" fillId="0" borderId="1" xfId="0" applyBorder="1" applyAlignment="1">
      <alignment wrapText="1"/>
    </xf>
    <xf numFmtId="0" fontId="6" fillId="4" borderId="1" xfId="1" applyFont="1" applyBorder="1" applyAlignment="1">
      <alignment horizontal="center"/>
    </xf>
    <xf numFmtId="0" fontId="2" fillId="3" borderId="9" xfId="0" applyFont="1" applyFill="1" applyBorder="1" applyAlignment="1">
      <alignment horizontal="center" vertical="center" wrapText="1"/>
    </xf>
    <xf numFmtId="0" fontId="0" fillId="0" borderId="0" xfId="0" applyAlignment="1">
      <alignment horizontal="center"/>
    </xf>
    <xf numFmtId="166" fontId="0" fillId="7" borderId="10" xfId="2" applyNumberFormat="1" applyFont="1" applyFill="1" applyBorder="1"/>
    <xf numFmtId="166" fontId="0" fillId="8" borderId="10" xfId="2" applyNumberFormat="1" applyFont="1" applyFill="1" applyBorder="1"/>
    <xf numFmtId="0" fontId="6" fillId="6" borderId="10" xfId="0" applyFont="1" applyFill="1" applyBorder="1" applyAlignment="1">
      <alignment horizontal="center"/>
    </xf>
    <xf numFmtId="0" fontId="6" fillId="7" borderId="10" xfId="0" applyFont="1" applyFill="1" applyBorder="1"/>
    <xf numFmtId="0" fontId="6" fillId="8" borderId="10" xfId="0" applyFont="1" applyFill="1" applyBorder="1"/>
    <xf numFmtId="0" fontId="0" fillId="0" borderId="0" xfId="0" applyNumberFormat="1"/>
    <xf numFmtId="0" fontId="0" fillId="0" borderId="0" xfId="0" pivotButton="1"/>
    <xf numFmtId="0" fontId="10" fillId="9" borderId="11" xfId="3"/>
    <xf numFmtId="0" fontId="0" fillId="0" borderId="12" xfId="0" pivotButton="1" applyBorder="1"/>
    <xf numFmtId="0" fontId="0" fillId="0" borderId="12" xfId="0" applyBorder="1"/>
    <xf numFmtId="0" fontId="0" fillId="0" borderId="12" xfId="0" applyBorder="1" applyAlignment="1">
      <alignment horizontal="left"/>
    </xf>
    <xf numFmtId="0" fontId="0" fillId="0" borderId="12" xfId="0" applyNumberFormat="1" applyBorder="1"/>
    <xf numFmtId="0" fontId="10" fillId="9" borderId="11" xfId="3" applyNumberFormat="1"/>
    <xf numFmtId="0" fontId="0" fillId="10" borderId="0" xfId="0" applyFill="1"/>
    <xf numFmtId="0" fontId="0" fillId="11" borderId="0" xfId="0" applyFill="1"/>
    <xf numFmtId="0" fontId="11" fillId="12" borderId="0" xfId="4"/>
    <xf numFmtId="0" fontId="0" fillId="0" borderId="13" xfId="0" applyBorder="1" applyAlignment="1">
      <alignment horizontal="center"/>
    </xf>
    <xf numFmtId="0" fontId="0" fillId="0" borderId="14" xfId="0" applyBorder="1" applyAlignment="1">
      <alignment horizontal="center"/>
    </xf>
    <xf numFmtId="0" fontId="12" fillId="0" borderId="0" xfId="0" quotePrefix="1" applyFont="1" applyAlignment="1">
      <alignment horizontal="right"/>
    </xf>
    <xf numFmtId="0" fontId="0" fillId="0" borderId="0" xfId="0" applyAlignment="1">
      <alignment horizontal="left"/>
    </xf>
    <xf numFmtId="0" fontId="13" fillId="0" borderId="0" xfId="0" quotePrefix="1" applyFont="1" applyAlignment="1">
      <alignment horizontal="left"/>
    </xf>
    <xf numFmtId="0" fontId="12" fillId="0" borderId="0" xfId="0" applyFont="1"/>
    <xf numFmtId="0" fontId="12" fillId="0" borderId="0" xfId="0" applyFont="1" applyAlignment="1">
      <alignment horizontal="left"/>
    </xf>
    <xf numFmtId="0" fontId="5" fillId="13" borderId="0" xfId="5"/>
    <xf numFmtId="165" fontId="10" fillId="9" borderId="11" xfId="3" applyNumberFormat="1"/>
    <xf numFmtId="44" fontId="10" fillId="9" borderId="11" xfId="3" applyNumberFormat="1" applyAlignment="1">
      <alignment vertical="center" wrapText="1"/>
    </xf>
    <xf numFmtId="0" fontId="5" fillId="13" borderId="5" xfId="5" applyBorder="1" applyAlignment="1">
      <alignment vertical="center" wrapText="1"/>
    </xf>
    <xf numFmtId="0" fontId="5" fillId="13" borderId="1" xfId="5" applyBorder="1" applyAlignment="1">
      <alignment vertical="center" wrapText="1"/>
    </xf>
    <xf numFmtId="0" fontId="5" fillId="13" borderId="6" xfId="5" applyBorder="1" applyAlignment="1">
      <alignment vertical="center" wrapText="1"/>
    </xf>
    <xf numFmtId="0" fontId="5" fillId="13" borderId="7" xfId="5" applyBorder="1" applyAlignment="1">
      <alignment vertical="center" wrapText="1"/>
    </xf>
    <xf numFmtId="0" fontId="10" fillId="9" borderId="11" xfId="3" applyAlignment="1">
      <alignment vertical="center" wrapText="1"/>
    </xf>
    <xf numFmtId="4" fontId="10" fillId="9" borderId="11" xfId="3" applyNumberFormat="1"/>
    <xf numFmtId="164" fontId="10" fillId="9" borderId="11" xfId="3" applyNumberFormat="1"/>
    <xf numFmtId="166" fontId="5" fillId="13" borderId="0" xfId="5" applyNumberFormat="1"/>
    <xf numFmtId="166" fontId="10" fillId="9" borderId="11" xfId="3" applyNumberFormat="1"/>
    <xf numFmtId="2" fontId="10" fillId="9" borderId="11" xfId="3" applyNumberFormat="1"/>
    <xf numFmtId="167" fontId="10" fillId="9" borderId="11" xfId="3" applyNumberFormat="1"/>
    <xf numFmtId="0" fontId="18" fillId="0" borderId="0" xfId="0" applyFont="1"/>
    <xf numFmtId="0" fontId="7" fillId="14" borderId="15" xfId="0" applyFont="1" applyFill="1" applyBorder="1"/>
    <xf numFmtId="43" fontId="10" fillId="9" borderId="11" xfId="3" applyNumberFormat="1"/>
    <xf numFmtId="0" fontId="10" fillId="9" borderId="16" xfId="3" applyBorder="1"/>
    <xf numFmtId="0" fontId="5" fillId="13" borderId="0" xfId="5" applyBorder="1"/>
    <xf numFmtId="0" fontId="10" fillId="9" borderId="16" xfId="3" applyNumberFormat="1" applyBorder="1"/>
    <xf numFmtId="167" fontId="10" fillId="9" borderId="16" xfId="3" applyNumberFormat="1" applyBorder="1"/>
    <xf numFmtId="3" fontId="0" fillId="0" borderId="12" xfId="0" applyNumberFormat="1" applyBorder="1" applyAlignment="1">
      <alignment horizontal="left"/>
    </xf>
    <xf numFmtId="3" fontId="0" fillId="0" borderId="12" xfId="0" applyNumberFormat="1" applyBorder="1"/>
    <xf numFmtId="3" fontId="0" fillId="0" borderId="0" xfId="0" applyNumberFormat="1"/>
    <xf numFmtId="0" fontId="19" fillId="0" borderId="0" xfId="0" applyFont="1"/>
    <xf numFmtId="0" fontId="20" fillId="0" borderId="0" xfId="0" quotePrefix="1" applyFont="1" applyAlignment="1">
      <alignment horizontal="right"/>
    </xf>
    <xf numFmtId="0" fontId="20" fillId="0" borderId="0" xfId="0" quotePrefix="1" applyFont="1" applyAlignment="1">
      <alignment horizontal="left"/>
    </xf>
    <xf numFmtId="0" fontId="20" fillId="0" borderId="0" xfId="0" applyFont="1"/>
    <xf numFmtId="0" fontId="20" fillId="0" borderId="0" xfId="0" applyFont="1" applyAlignment="1">
      <alignment horizontal="left"/>
    </xf>
    <xf numFmtId="0" fontId="21" fillId="0" borderId="0" xfId="0" quotePrefix="1" applyFont="1" applyAlignment="1">
      <alignment horizontal="right"/>
    </xf>
    <xf numFmtId="0" fontId="21" fillId="0" borderId="0" xfId="0" applyFont="1" applyAlignment="1">
      <alignment horizontal="left"/>
    </xf>
    <xf numFmtId="0" fontId="22" fillId="0" borderId="0" xfId="0" quotePrefix="1" applyFont="1" applyAlignment="1">
      <alignment horizontal="right"/>
    </xf>
    <xf numFmtId="0" fontId="22" fillId="0" borderId="0" xfId="0" applyFont="1" applyAlignment="1">
      <alignment horizontal="left"/>
    </xf>
    <xf numFmtId="166" fontId="19" fillId="0" borderId="17" xfId="2" applyNumberFormat="1" applyFont="1" applyBorder="1" applyAlignment="1">
      <alignment horizontal="left"/>
    </xf>
    <xf numFmtId="166" fontId="19" fillId="0" borderId="0" xfId="2" applyNumberFormat="1" applyFont="1" applyBorder="1" applyAlignment="1">
      <alignment horizontal="left"/>
    </xf>
    <xf numFmtId="0" fontId="19" fillId="0" borderId="0" xfId="0" quotePrefix="1" applyFont="1" applyAlignment="1">
      <alignment horizontal="center" vertical="center"/>
    </xf>
    <xf numFmtId="0" fontId="19" fillId="0" borderId="0" xfId="0" applyFont="1" applyAlignment="1">
      <alignment horizontal="center" vertical="center"/>
    </xf>
    <xf numFmtId="166" fontId="19" fillId="0" borderId="17" xfId="2" applyNumberFormat="1" applyFont="1" applyBorder="1" applyAlignment="1"/>
    <xf numFmtId="166" fontId="19" fillId="0" borderId="0" xfId="2" applyNumberFormat="1" applyFont="1" applyBorder="1" applyAlignment="1"/>
    <xf numFmtId="0" fontId="21" fillId="0" borderId="0" xfId="0" applyFont="1"/>
    <xf numFmtId="166" fontId="0" fillId="0" borderId="0" xfId="0" applyNumberFormat="1"/>
    <xf numFmtId="0" fontId="23" fillId="0" borderId="0" xfId="0" applyFont="1"/>
    <xf numFmtId="0" fontId="10" fillId="9" borderId="16" xfId="3" applyBorder="1" applyAlignment="1">
      <alignment vertical="center" wrapText="1"/>
    </xf>
    <xf numFmtId="0" fontId="24" fillId="15" borderId="0" xfId="0" applyFont="1" applyFill="1"/>
    <xf numFmtId="0" fontId="12" fillId="0" borderId="0" xfId="0" applyFont="1" applyAlignment="1">
      <alignment horizontal="left"/>
    </xf>
    <xf numFmtId="0" fontId="12" fillId="0" borderId="0" xfId="0" applyFont="1"/>
    <xf numFmtId="0" fontId="0" fillId="0" borderId="0" xfId="0" applyAlignment="1">
      <alignment horizontal="center" vertical="center"/>
    </xf>
    <xf numFmtId="0" fontId="13" fillId="0" borderId="0" xfId="0" quotePrefix="1" applyFont="1" applyAlignment="1">
      <alignment horizontal="left"/>
    </xf>
    <xf numFmtId="166" fontId="19" fillId="0" borderId="0" xfId="0" applyNumberFormat="1" applyFont="1"/>
    <xf numFmtId="0" fontId="19" fillId="0" borderId="0" xfId="0" applyFont="1" applyAlignment="1">
      <alignment horizontal="right"/>
    </xf>
    <xf numFmtId="2" fontId="19" fillId="0" borderId="0" xfId="0" applyNumberFormat="1" applyFont="1"/>
    <xf numFmtId="0" fontId="24" fillId="0" borderId="12" xfId="0" applyNumberFormat="1" applyFont="1" applyFill="1" applyBorder="1"/>
    <xf numFmtId="0" fontId="25" fillId="0" borderId="12" xfId="0" applyNumberFormat="1" applyFont="1" applyBorder="1"/>
    <xf numFmtId="0" fontId="26" fillId="0" borderId="12" xfId="0" applyNumberFormat="1" applyFont="1" applyBorder="1"/>
    <xf numFmtId="0" fontId="19" fillId="0" borderId="14" xfId="0" applyFont="1" applyBorder="1"/>
    <xf numFmtId="0" fontId="19" fillId="0" borderId="0" xfId="0" applyFont="1" applyAlignment="1">
      <alignment horizontal="left"/>
    </xf>
    <xf numFmtId="0" fontId="0" fillId="0" borderId="0" xfId="0" applyAlignment="1">
      <alignment horizontal="right"/>
    </xf>
    <xf numFmtId="0" fontId="0" fillId="0" borderId="0" xfId="0" applyAlignment="1">
      <alignment horizontal="right" vertical="center"/>
    </xf>
    <xf numFmtId="0" fontId="0" fillId="0" borderId="0" xfId="0" applyBorder="1" applyAlignment="1">
      <alignment horizontal="center"/>
    </xf>
    <xf numFmtId="0" fontId="6" fillId="0" borderId="0" xfId="0" applyFont="1"/>
    <xf numFmtId="166" fontId="5" fillId="13" borderId="0" xfId="5" applyNumberFormat="1" applyBorder="1"/>
    <xf numFmtId="0" fontId="5" fillId="16" borderId="11" xfId="6" applyBorder="1"/>
    <xf numFmtId="0" fontId="0" fillId="0" borderId="0" xfId="0" applyAlignment="1">
      <alignment horizontal="center"/>
    </xf>
    <xf numFmtId="3" fontId="10" fillId="9" borderId="11" xfId="3" applyNumberFormat="1"/>
    <xf numFmtId="2" fontId="10" fillId="9" borderId="16" xfId="3" applyNumberFormat="1" applyBorder="1"/>
    <xf numFmtId="167" fontId="5" fillId="13" borderId="11" xfId="5" applyNumberFormat="1" applyBorder="1"/>
    <xf numFmtId="167" fontId="5" fillId="13" borderId="16" xfId="5" applyNumberFormat="1" applyBorder="1"/>
    <xf numFmtId="167" fontId="5" fillId="13" borderId="0" xfId="5" applyNumberFormat="1" applyBorder="1"/>
    <xf numFmtId="0" fontId="28" fillId="0" borderId="0" xfId="7"/>
    <xf numFmtId="0" fontId="0" fillId="0" borderId="0" xfId="0" applyBorder="1"/>
    <xf numFmtId="166" fontId="0" fillId="0" borderId="0" xfId="2" applyNumberFormat="1" applyFont="1"/>
    <xf numFmtId="10" fontId="0" fillId="0" borderId="0" xfId="8" applyNumberFormat="1" applyFont="1"/>
    <xf numFmtId="10" fontId="0" fillId="0" borderId="0" xfId="0" applyNumberFormat="1"/>
    <xf numFmtId="166" fontId="18" fillId="13" borderId="0" xfId="5" applyNumberFormat="1" applyFont="1"/>
    <xf numFmtId="168" fontId="10" fillId="9" borderId="16" xfId="3" applyNumberFormat="1" applyBorder="1"/>
    <xf numFmtId="2" fontId="0" fillId="0" borderId="0" xfId="0" applyNumberFormat="1"/>
    <xf numFmtId="0" fontId="28" fillId="0" borderId="0" xfId="7" quotePrefix="1"/>
    <xf numFmtId="0" fontId="29" fillId="18" borderId="0" xfId="9"/>
    <xf numFmtId="0" fontId="29" fillId="18" borderId="0" xfId="9" applyBorder="1"/>
    <xf numFmtId="0" fontId="7" fillId="14" borderId="0" xfId="0" applyFont="1" applyFill="1"/>
    <xf numFmtId="0" fontId="7" fillId="14" borderId="18" xfId="0" applyFont="1" applyFill="1" applyBorder="1"/>
    <xf numFmtId="0" fontId="7" fillId="21" borderId="0" xfId="0" applyFont="1" applyFill="1"/>
    <xf numFmtId="0" fontId="10" fillId="9" borderId="11" xfId="3" applyNumberFormat="1" applyBorder="1"/>
    <xf numFmtId="167" fontId="29" fillId="18" borderId="0" xfId="9" applyNumberFormat="1"/>
    <xf numFmtId="0" fontId="7" fillId="14" borderId="20" xfId="0" applyFont="1" applyFill="1" applyBorder="1"/>
    <xf numFmtId="0" fontId="7" fillId="14" borderId="19" xfId="0" applyFont="1" applyFill="1" applyBorder="1"/>
    <xf numFmtId="0" fontId="7" fillId="14" borderId="21" xfId="0" applyFont="1" applyFill="1" applyBorder="1"/>
    <xf numFmtId="2" fontId="30" fillId="19" borderId="11" xfId="10" applyNumberFormat="1" applyBorder="1"/>
    <xf numFmtId="0" fontId="11" fillId="23" borderId="0" xfId="11" applyFont="1" applyFill="1"/>
    <xf numFmtId="0" fontId="0" fillId="0" borderId="0" xfId="0"/>
    <xf numFmtId="0" fontId="7" fillId="5" borderId="0" xfId="0" applyFont="1" applyFill="1"/>
    <xf numFmtId="0" fontId="0" fillId="0" borderId="0" xfId="0" applyAlignment="1">
      <alignment horizontal="center"/>
    </xf>
    <xf numFmtId="0" fontId="0" fillId="0" borderId="0" xfId="0" applyNumberFormat="1"/>
    <xf numFmtId="0" fontId="0" fillId="0" borderId="0" xfId="0" pivotButton="1"/>
    <xf numFmtId="0" fontId="10" fillId="9" borderId="11" xfId="3"/>
    <xf numFmtId="0" fontId="10" fillId="9" borderId="11" xfId="3" applyNumberFormat="1"/>
    <xf numFmtId="0" fontId="5" fillId="13" borderId="0" xfId="5"/>
    <xf numFmtId="2" fontId="10" fillId="9" borderId="11" xfId="3" applyNumberFormat="1"/>
    <xf numFmtId="167" fontId="10" fillId="9" borderId="11" xfId="3" applyNumberFormat="1"/>
    <xf numFmtId="0" fontId="10" fillId="9" borderId="16" xfId="3" applyBorder="1"/>
    <xf numFmtId="0" fontId="5" fillId="13" borderId="0" xfId="5" applyBorder="1"/>
    <xf numFmtId="0" fontId="10" fillId="9" borderId="16" xfId="3" applyNumberFormat="1" applyBorder="1"/>
    <xf numFmtId="167" fontId="10" fillId="9" borderId="16" xfId="3" applyNumberFormat="1" applyBorder="1"/>
    <xf numFmtId="166" fontId="0" fillId="0" borderId="0" xfId="0" applyNumberFormat="1"/>
    <xf numFmtId="0" fontId="25" fillId="0" borderId="0" xfId="0" applyNumberFormat="1" applyFont="1"/>
    <xf numFmtId="0" fontId="27" fillId="0" borderId="0" xfId="0" applyNumberFormat="1" applyFont="1"/>
    <xf numFmtId="0" fontId="19" fillId="0" borderId="0" xfId="0" applyNumberFormat="1" applyFont="1"/>
    <xf numFmtId="0" fontId="11" fillId="0" borderId="0" xfId="0" applyNumberFormat="1" applyFont="1"/>
    <xf numFmtId="0" fontId="6" fillId="0" borderId="0" xfId="0" applyFont="1"/>
    <xf numFmtId="0" fontId="0" fillId="0" borderId="10" xfId="0" applyBorder="1"/>
    <xf numFmtId="0" fontId="0" fillId="15" borderId="10" xfId="0" applyFill="1" applyBorder="1"/>
    <xf numFmtId="0" fontId="6" fillId="0" borderId="10" xfId="0" applyFont="1" applyBorder="1" applyAlignment="1">
      <alignment wrapText="1"/>
    </xf>
    <xf numFmtId="0" fontId="6" fillId="15" borderId="0" xfId="0" applyFont="1" applyFill="1" applyAlignment="1">
      <alignment horizontal="center"/>
    </xf>
    <xf numFmtId="0" fontId="0" fillId="0" borderId="22" xfId="0" applyBorder="1" applyAlignment="1">
      <alignment vertical="top" wrapText="1"/>
    </xf>
    <xf numFmtId="0" fontId="28" fillId="0" borderId="22" xfId="7" quotePrefix="1" applyBorder="1" applyAlignment="1">
      <alignment vertical="top" wrapText="1"/>
    </xf>
    <xf numFmtId="0" fontId="0" fillId="0" borderId="23" xfId="0" applyBorder="1" applyAlignment="1">
      <alignment vertical="top" wrapText="1"/>
    </xf>
    <xf numFmtId="0" fontId="28" fillId="0" borderId="23" xfId="7" quotePrefix="1" applyBorder="1" applyAlignment="1">
      <alignment vertical="top" wrapText="1"/>
    </xf>
    <xf numFmtId="0" fontId="25" fillId="0" borderId="0" xfId="0" applyFont="1"/>
    <xf numFmtId="0" fontId="7" fillId="17" borderId="0" xfId="0" applyFont="1" applyFill="1" applyAlignment="1">
      <alignment horizontal="center" wrapText="1"/>
    </xf>
    <xf numFmtId="169" fontId="0" fillId="0" borderId="0" xfId="8" applyNumberFormat="1" applyFont="1"/>
    <xf numFmtId="0" fontId="0" fillId="13" borderId="24" xfId="5" applyFont="1" applyFill="1" applyBorder="1"/>
    <xf numFmtId="0" fontId="0" fillId="0" borderId="24" xfId="0" applyBorder="1" applyAlignment="1"/>
    <xf numFmtId="0" fontId="10" fillId="9" borderId="24" xfId="3" applyFont="1" applyFill="1" applyBorder="1"/>
    <xf numFmtId="0" fontId="11" fillId="20" borderId="11" xfId="11" applyBorder="1"/>
    <xf numFmtId="0" fontId="0" fillId="13" borderId="10" xfId="5" applyFont="1" applyBorder="1"/>
    <xf numFmtId="0" fontId="11" fillId="17" borderId="0" xfId="11" applyFont="1" applyFill="1" applyAlignment="1">
      <alignment horizontal="center" vertical="center"/>
    </xf>
    <xf numFmtId="0" fontId="29" fillId="18" borderId="0" xfId="9" applyAlignment="1">
      <alignment horizontal="center" vertical="center"/>
    </xf>
    <xf numFmtId="0" fontId="11" fillId="17" borderId="0" xfId="0" applyFont="1" applyFill="1" applyAlignment="1">
      <alignment horizontal="left" wrapText="1"/>
    </xf>
    <xf numFmtId="0" fontId="0" fillId="0" borderId="17" xfId="0" applyBorder="1"/>
    <xf numFmtId="0" fontId="6" fillId="0" borderId="10" xfId="0" applyFont="1" applyBorder="1"/>
    <xf numFmtId="0" fontId="0" fillId="0" borderId="10" xfId="0" applyBorder="1" applyAlignment="1"/>
    <xf numFmtId="0" fontId="0" fillId="0" borderId="10" xfId="0" applyBorder="1" applyAlignment="1">
      <alignment wrapText="1"/>
    </xf>
    <xf numFmtId="0" fontId="0" fillId="26" borderId="10" xfId="0" applyFill="1" applyBorder="1"/>
    <xf numFmtId="0" fontId="6" fillId="26" borderId="10" xfId="0" applyFont="1" applyFill="1" applyBorder="1"/>
    <xf numFmtId="0" fontId="6" fillId="26" borderId="25" xfId="0" applyFont="1" applyFill="1" applyBorder="1"/>
    <xf numFmtId="0" fontId="6" fillId="26" borderId="26" xfId="0" applyFont="1" applyFill="1" applyBorder="1"/>
    <xf numFmtId="0" fontId="6" fillId="26" borderId="27" xfId="0" applyFont="1" applyFill="1" applyBorder="1"/>
    <xf numFmtId="0" fontId="0" fillId="0" borderId="28" xfId="0" applyBorder="1"/>
    <xf numFmtId="0" fontId="0" fillId="0" borderId="29" xfId="0" applyBorder="1"/>
    <xf numFmtId="0" fontId="0" fillId="0" borderId="29" xfId="0" applyBorder="1" applyAlignment="1">
      <alignment wrapText="1"/>
    </xf>
    <xf numFmtId="0" fontId="0" fillId="0" borderId="30" xfId="0" applyBorder="1"/>
    <xf numFmtId="0" fontId="0" fillId="0" borderId="31" xfId="0" applyBorder="1"/>
    <xf numFmtId="0" fontId="0" fillId="0" borderId="32" xfId="0" applyBorder="1"/>
    <xf numFmtId="0" fontId="6" fillId="27" borderId="0" xfId="0" applyFont="1" applyFill="1" applyAlignment="1">
      <alignment horizontal="center"/>
    </xf>
    <xf numFmtId="0" fontId="0" fillId="26" borderId="0" xfId="0" applyFill="1"/>
    <xf numFmtId="0" fontId="0" fillId="26" borderId="35" xfId="0" applyFill="1" applyBorder="1"/>
    <xf numFmtId="0" fontId="0" fillId="26" borderId="0" xfId="0" applyFill="1" applyBorder="1"/>
    <xf numFmtId="0" fontId="0" fillId="26" borderId="36" xfId="0" applyFill="1" applyBorder="1"/>
    <xf numFmtId="0" fontId="6" fillId="26" borderId="0" xfId="0" applyFont="1" applyFill="1"/>
    <xf numFmtId="0" fontId="0" fillId="0" borderId="35" xfId="0" applyBorder="1"/>
    <xf numFmtId="0" fontId="0" fillId="0" borderId="36" xfId="0" applyBorder="1"/>
    <xf numFmtId="0" fontId="0" fillId="15" borderId="0" xfId="0" applyFill="1"/>
    <xf numFmtId="0" fontId="0" fillId="0" borderId="37" xfId="0" applyBorder="1"/>
    <xf numFmtId="0" fontId="0" fillId="0" borderId="13" xfId="0" applyBorder="1"/>
    <xf numFmtId="0" fontId="0" fillId="0" borderId="38" xfId="0" applyBorder="1"/>
    <xf numFmtId="0" fontId="6" fillId="0" borderId="0" xfId="0" applyFont="1" applyBorder="1"/>
    <xf numFmtId="0" fontId="0" fillId="0" borderId="0" xfId="0" applyFill="1" applyBorder="1"/>
    <xf numFmtId="0" fontId="7" fillId="22" borderId="10" xfId="0" applyFont="1" applyFill="1" applyBorder="1"/>
    <xf numFmtId="0" fontId="0" fillId="26" borderId="28" xfId="0" applyFill="1" applyBorder="1"/>
    <xf numFmtId="0" fontId="0" fillId="26" borderId="29" xfId="0" applyFill="1" applyBorder="1"/>
    <xf numFmtId="0" fontId="31" fillId="0" borderId="10" xfId="0" applyFont="1" applyBorder="1"/>
    <xf numFmtId="0" fontId="31" fillId="0" borderId="28" xfId="0" applyFont="1" applyBorder="1"/>
    <xf numFmtId="0" fontId="31" fillId="0" borderId="29" xfId="0" applyFont="1" applyBorder="1"/>
    <xf numFmtId="0" fontId="0" fillId="0" borderId="39" xfId="0" applyBorder="1"/>
    <xf numFmtId="0" fontId="31" fillId="0" borderId="10" xfId="0" applyFont="1" applyFill="1" applyBorder="1"/>
    <xf numFmtId="0" fontId="0" fillId="0" borderId="10" xfId="0" applyFill="1" applyBorder="1"/>
    <xf numFmtId="0" fontId="31" fillId="0" borderId="0" xfId="0" applyFont="1" applyFill="1" applyBorder="1"/>
    <xf numFmtId="0" fontId="0" fillId="28" borderId="0" xfId="0" applyFill="1"/>
    <xf numFmtId="0" fontId="10" fillId="0" borderId="11" xfId="3" applyFill="1"/>
    <xf numFmtId="0" fontId="5" fillId="0" borderId="0" xfId="5" applyFill="1"/>
    <xf numFmtId="0" fontId="32" fillId="0" borderId="11" xfId="3" applyFont="1" applyFill="1"/>
    <xf numFmtId="167" fontId="32" fillId="0" borderId="11" xfId="3" applyNumberFormat="1" applyFont="1" applyFill="1"/>
    <xf numFmtId="0" fontId="5" fillId="0" borderId="0" xfId="5" applyFill="1" applyBorder="1"/>
    <xf numFmtId="0" fontId="32" fillId="0" borderId="10" xfId="3" applyFont="1" applyFill="1" applyBorder="1"/>
    <xf numFmtId="167" fontId="32" fillId="0" borderId="10" xfId="3" applyNumberFormat="1" applyFont="1" applyFill="1" applyBorder="1"/>
    <xf numFmtId="1" fontId="32" fillId="0" borderId="10" xfId="3" applyNumberFormat="1" applyFont="1" applyFill="1" applyBorder="1"/>
    <xf numFmtId="0" fontId="33" fillId="0" borderId="0" xfId="0" applyFont="1"/>
    <xf numFmtId="0" fontId="0" fillId="0" borderId="40" xfId="0" applyBorder="1"/>
    <xf numFmtId="0" fontId="28" fillId="0" borderId="40" xfId="7" applyBorder="1"/>
    <xf numFmtId="0" fontId="0" fillId="0" borderId="0" xfId="0" applyAlignment="1">
      <alignment horizontal="center"/>
    </xf>
    <xf numFmtId="0" fontId="19" fillId="0" borderId="0" xfId="0" applyFont="1" applyAlignment="1">
      <alignment horizontal="right"/>
    </xf>
    <xf numFmtId="0" fontId="7" fillId="14" borderId="41" xfId="0" applyFont="1" applyFill="1" applyBorder="1"/>
    <xf numFmtId="0" fontId="10" fillId="9" borderId="11" xfId="3" applyFont="1" applyFill="1" applyBorder="1"/>
    <xf numFmtId="0" fontId="10" fillId="9" borderId="11" xfId="3" applyNumberFormat="1" applyFont="1" applyFill="1" applyBorder="1"/>
    <xf numFmtId="0" fontId="10" fillId="9" borderId="42" xfId="3" applyNumberFormat="1" applyFont="1" applyFill="1" applyBorder="1"/>
    <xf numFmtId="170" fontId="10" fillId="9" borderId="11" xfId="3" applyNumberFormat="1"/>
    <xf numFmtId="0" fontId="7" fillId="20" borderId="10" xfId="11" applyFont="1" applyBorder="1"/>
    <xf numFmtId="0" fontId="0" fillId="0" borderId="43" xfId="0" applyBorder="1"/>
    <xf numFmtId="0" fontId="0" fillId="29" borderId="15" xfId="0" applyFont="1" applyFill="1" applyBorder="1"/>
    <xf numFmtId="2" fontId="10" fillId="9" borderId="11" xfId="3" applyNumberFormat="1" applyFont="1" applyFill="1" applyBorder="1"/>
    <xf numFmtId="0" fontId="0" fillId="0" borderId="15" xfId="0" applyFont="1" applyBorder="1"/>
    <xf numFmtId="0" fontId="0" fillId="0" borderId="44" xfId="0" applyFont="1" applyBorder="1"/>
    <xf numFmtId="2" fontId="10" fillId="9" borderId="42" xfId="3" applyNumberFormat="1" applyFont="1" applyFill="1" applyBorder="1"/>
    <xf numFmtId="0" fontId="7" fillId="30" borderId="19" xfId="0" applyFont="1" applyFill="1" applyBorder="1"/>
    <xf numFmtId="0" fontId="7" fillId="31" borderId="19" xfId="0" applyFont="1" applyFill="1" applyBorder="1"/>
    <xf numFmtId="3" fontId="10" fillId="9" borderId="11" xfId="3" applyNumberFormat="1" applyBorder="1"/>
    <xf numFmtId="0" fontId="0" fillId="0" borderId="22" xfId="0" applyBorder="1" applyAlignment="1">
      <alignment vertical="top"/>
    </xf>
    <xf numFmtId="0" fontId="28" fillId="0" borderId="22" xfId="7" applyBorder="1" applyAlignment="1">
      <alignment vertical="top" wrapText="1"/>
    </xf>
    <xf numFmtId="0" fontId="0" fillId="0" borderId="0" xfId="0" applyNumberFormat="1" applyBorder="1"/>
    <xf numFmtId="2" fontId="10" fillId="9" borderId="11" xfId="3" applyNumberFormat="1" applyBorder="1"/>
    <xf numFmtId="167" fontId="10" fillId="9" borderId="11" xfId="3" applyNumberFormat="1" applyBorder="1"/>
    <xf numFmtId="0" fontId="6" fillId="25" borderId="24" xfId="0" applyFont="1" applyFill="1" applyBorder="1" applyAlignment="1">
      <alignment horizontal="center"/>
    </xf>
    <xf numFmtId="0" fontId="0" fillId="15" borderId="10" xfId="0" applyFill="1" applyBorder="1" applyAlignment="1">
      <alignment horizontal="left" wrapText="1"/>
    </xf>
    <xf numFmtId="0" fontId="7" fillId="22" borderId="0" xfId="0" applyFont="1" applyFill="1" applyAlignment="1">
      <alignment horizontal="center"/>
    </xf>
    <xf numFmtId="0" fontId="7" fillId="23" borderId="0" xfId="0" applyFont="1" applyFill="1" applyAlignment="1">
      <alignment horizontal="left" wrapText="1"/>
    </xf>
    <xf numFmtId="0" fontId="11" fillId="17" borderId="0" xfId="0" applyFont="1" applyFill="1" applyAlignment="1">
      <alignment horizontal="left" wrapText="1"/>
    </xf>
    <xf numFmtId="0" fontId="11" fillId="17" borderId="0" xfId="11" applyFont="1" applyFill="1" applyAlignment="1">
      <alignment horizontal="center" vertical="center"/>
    </xf>
    <xf numFmtId="0" fontId="29" fillId="18" borderId="0" xfId="9" applyAlignment="1">
      <alignment horizontal="center" vertical="center"/>
    </xf>
    <xf numFmtId="0" fontId="0" fillId="0" borderId="0" xfId="0" applyAlignment="1">
      <alignment horizontal="center"/>
    </xf>
    <xf numFmtId="0" fontId="19" fillId="0" borderId="0" xfId="0" applyFont="1" applyAlignment="1">
      <alignment horizontal="right" vertical="center"/>
    </xf>
    <xf numFmtId="0" fontId="19" fillId="0" borderId="13" xfId="0" applyFont="1" applyBorder="1" applyAlignment="1">
      <alignment horizontal="center"/>
    </xf>
    <xf numFmtId="0" fontId="19" fillId="0" borderId="0" xfId="0" applyFont="1" applyAlignment="1">
      <alignment horizontal="right"/>
    </xf>
    <xf numFmtId="0" fontId="7" fillId="17" borderId="0" xfId="0" applyFont="1" applyFill="1" applyAlignment="1">
      <alignment horizontal="center"/>
    </xf>
    <xf numFmtId="0" fontId="6" fillId="11" borderId="0" xfId="0" applyFont="1" applyFill="1" applyAlignment="1">
      <alignment horizontal="center"/>
    </xf>
    <xf numFmtId="0" fontId="1" fillId="0" borderId="8" xfId="0" applyFont="1" applyBorder="1" applyAlignment="1">
      <alignment horizontal="left"/>
    </xf>
    <xf numFmtId="0" fontId="1" fillId="0" borderId="8" xfId="0" applyFont="1" applyBorder="1"/>
    <xf numFmtId="0" fontId="12" fillId="0" borderId="0" xfId="0" applyFont="1" applyAlignment="1">
      <alignment horizontal="left"/>
    </xf>
    <xf numFmtId="0" fontId="12" fillId="0" borderId="0" xfId="0" applyFont="1"/>
    <xf numFmtId="0" fontId="0" fillId="0" borderId="0" xfId="0" applyAlignment="1">
      <alignment horizontal="center" vertical="center"/>
    </xf>
    <xf numFmtId="0" fontId="17" fillId="0" borderId="0" xfId="0" applyFont="1" applyAlignment="1">
      <alignment horizontal="center" vertical="center"/>
    </xf>
    <xf numFmtId="0" fontId="14" fillId="0" borderId="0" xfId="0" applyFont="1" applyAlignment="1">
      <alignment horizontal="center" vertical="center"/>
    </xf>
    <xf numFmtId="0" fontId="16" fillId="0" borderId="0" xfId="0" applyFont="1" applyAlignment="1">
      <alignment horizontal="center" vertical="center"/>
    </xf>
    <xf numFmtId="0" fontId="13" fillId="0" borderId="0" xfId="0" quotePrefix="1" applyFont="1" applyAlignment="1">
      <alignment horizontal="left"/>
    </xf>
    <xf numFmtId="3" fontId="19" fillId="0" borderId="0" xfId="0" quotePrefix="1" applyNumberFormat="1" applyFont="1" applyFill="1" applyBorder="1" applyAlignment="1">
      <alignment horizontal="right" vertical="center"/>
    </xf>
    <xf numFmtId="0" fontId="19" fillId="0" borderId="17" xfId="0" applyFont="1" applyBorder="1" applyAlignment="1">
      <alignment horizontal="center"/>
    </xf>
    <xf numFmtId="0" fontId="19" fillId="0" borderId="0" xfId="0" applyFont="1" applyBorder="1" applyAlignment="1">
      <alignment horizontal="center"/>
    </xf>
    <xf numFmtId="0" fontId="19" fillId="0" borderId="0" xfId="0" quotePrefix="1" applyFont="1" applyAlignment="1">
      <alignment horizontal="center" vertical="center"/>
    </xf>
    <xf numFmtId="0" fontId="19" fillId="0" borderId="0" xfId="0" applyFont="1" applyAlignment="1">
      <alignment horizontal="center" vertical="center"/>
    </xf>
    <xf numFmtId="0" fontId="0" fillId="0" borderId="0" xfId="0" applyAlignment="1">
      <alignment vertical="center"/>
    </xf>
    <xf numFmtId="0" fontId="0" fillId="0" borderId="10" xfId="0" applyBorder="1" applyAlignment="1">
      <alignment horizontal="center"/>
    </xf>
    <xf numFmtId="0" fontId="0" fillId="0" borderId="1" xfId="0" applyBorder="1"/>
    <xf numFmtId="0" fontId="6" fillId="4" borderId="1" xfId="1" applyFont="1" applyBorder="1" applyAlignment="1">
      <alignment horizontal="center"/>
    </xf>
    <xf numFmtId="0" fontId="7" fillId="24" borderId="0" xfId="0" applyFont="1" applyFill="1" applyAlignment="1">
      <alignment horizontal="center"/>
    </xf>
    <xf numFmtId="0" fontId="7" fillId="5" borderId="0" xfId="0" applyFont="1" applyFill="1" applyAlignment="1">
      <alignment horizontal="center"/>
    </xf>
    <xf numFmtId="0" fontId="6" fillId="15" borderId="0" xfId="0" applyFont="1" applyFill="1" applyAlignment="1">
      <alignment horizontal="center"/>
    </xf>
    <xf numFmtId="0" fontId="0" fillId="15" borderId="0" xfId="0" applyFill="1" applyAlignment="1">
      <alignment horizontal="center"/>
    </xf>
    <xf numFmtId="0" fontId="0" fillId="28" borderId="33" xfId="0" applyFill="1" applyBorder="1" applyAlignment="1">
      <alignment horizontal="center"/>
    </xf>
    <xf numFmtId="0" fontId="0" fillId="28" borderId="14" xfId="0" applyFill="1" applyBorder="1" applyAlignment="1">
      <alignment horizontal="center"/>
    </xf>
    <xf numFmtId="0" fontId="0" fillId="28" borderId="34" xfId="0" applyFill="1" applyBorder="1" applyAlignment="1">
      <alignment horizontal="center"/>
    </xf>
    <xf numFmtId="0" fontId="0" fillId="0" borderId="17" xfId="0" applyBorder="1" applyAlignment="1">
      <alignment horizontal="center"/>
    </xf>
    <xf numFmtId="0" fontId="0" fillId="0" borderId="25" xfId="0" applyBorder="1" applyAlignment="1">
      <alignment horizontal="center"/>
    </xf>
    <xf numFmtId="0" fontId="0" fillId="0" borderId="27" xfId="0" applyBorder="1" applyAlignment="1">
      <alignment horizontal="center"/>
    </xf>
  </cellXfs>
  <cellStyles count="12">
    <cellStyle name="20% - Accent1" xfId="1" builtinId="30"/>
    <cellStyle name="40% - Accent5" xfId="6" builtinId="47"/>
    <cellStyle name="40% - Accent6" xfId="5" builtinId="51"/>
    <cellStyle name="Accent1" xfId="11" builtinId="29"/>
    <cellStyle name="Accent6" xfId="4" builtinId="49"/>
    <cellStyle name="Calculation" xfId="3" builtinId="22"/>
    <cellStyle name="Comma" xfId="2" builtinId="3"/>
    <cellStyle name="Good" xfId="9" builtinId="26"/>
    <cellStyle name="Hyperlink" xfId="7" builtinId="8"/>
    <cellStyle name="Neutral" xfId="10" builtinId="28"/>
    <cellStyle name="Normal" xfId="0" builtinId="0"/>
    <cellStyle name="Percent" xfId="8" builtinId="5"/>
  </cellStyles>
  <dxfs count="48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1"/>
        <color auto="1"/>
        <name val="Calibri"/>
        <scheme val="minor"/>
      </font>
      <numFmt numFmtId="167" formatCode="0.0"/>
      <fill>
        <patternFill patternType="none">
          <fgColor indexed="64"/>
          <bgColor auto="1"/>
        </patternFill>
      </fill>
    </dxf>
    <dxf>
      <font>
        <strike val="0"/>
        <outline val="0"/>
        <shadow val="0"/>
        <u val="none"/>
        <vertAlign val="baseline"/>
        <sz val="11"/>
        <color auto="1"/>
        <name val="Calibri"/>
        <scheme val="minor"/>
      </font>
      <numFmt numFmtId="167" formatCode="0.0"/>
      <fill>
        <patternFill patternType="none">
          <fgColor indexed="64"/>
          <bgColor auto="1"/>
        </patternFill>
      </fill>
    </dxf>
    <dxf>
      <font>
        <strike val="0"/>
        <outline val="0"/>
        <shadow val="0"/>
        <u val="none"/>
        <vertAlign val="baseline"/>
        <sz val="11"/>
        <color auto="1"/>
        <name val="Calibri"/>
        <scheme val="minor"/>
      </font>
      <numFmt numFmtId="167" formatCode="0.0"/>
      <fill>
        <patternFill patternType="none">
          <fgColor indexed="64"/>
          <bgColor auto="1"/>
        </patternFill>
      </fill>
    </dxf>
    <dxf>
      <font>
        <strike val="0"/>
        <outline val="0"/>
        <shadow val="0"/>
        <u val="none"/>
        <vertAlign val="baseline"/>
        <sz val="11"/>
        <color auto="1"/>
        <name val="Calibri"/>
        <scheme val="minor"/>
      </font>
      <numFmt numFmtId="167" formatCode="0.0"/>
      <fill>
        <patternFill patternType="none">
          <fgColor indexed="64"/>
          <bgColor auto="1"/>
        </patternFill>
      </fill>
    </dxf>
    <dxf>
      <font>
        <strike val="0"/>
        <outline val="0"/>
        <shadow val="0"/>
        <u val="none"/>
        <vertAlign val="baseline"/>
        <sz val="11"/>
        <color auto="1"/>
        <name val="Calibri"/>
        <scheme val="minor"/>
      </font>
      <numFmt numFmtId="167" formatCode="0.0"/>
      <fill>
        <patternFill patternType="none">
          <fgColor indexed="64"/>
          <bgColor auto="1"/>
        </patternFill>
      </fill>
    </dxf>
    <dxf>
      <font>
        <strike val="0"/>
        <outline val="0"/>
        <shadow val="0"/>
        <u val="none"/>
        <vertAlign val="baseline"/>
        <sz val="11"/>
        <color auto="1"/>
        <name val="Calibri"/>
        <scheme val="minor"/>
      </font>
      <numFmt numFmtId="167" formatCode="0.0"/>
      <fill>
        <patternFill patternType="none">
          <fgColor indexed="64"/>
          <bgColor auto="1"/>
        </patternFill>
      </fill>
    </dxf>
    <dxf>
      <font>
        <strike val="0"/>
        <outline val="0"/>
        <shadow val="0"/>
        <u val="none"/>
        <vertAlign val="baseline"/>
        <sz val="11"/>
        <color auto="1"/>
        <name val="Calibri"/>
        <scheme val="minor"/>
      </font>
      <numFmt numFmtId="167" formatCode="0.0"/>
      <fill>
        <patternFill patternType="none">
          <fgColor indexed="64"/>
          <bgColor auto="1"/>
        </patternFill>
      </fill>
    </dxf>
    <dxf>
      <font>
        <strike val="0"/>
        <outline val="0"/>
        <shadow val="0"/>
        <u val="none"/>
        <vertAlign val="baseline"/>
        <sz val="11"/>
        <color auto="1"/>
        <name val="Calibri"/>
        <scheme val="minor"/>
      </font>
      <numFmt numFmtId="167" formatCode="0.0"/>
      <fill>
        <patternFill patternType="none">
          <fgColor indexed="64"/>
          <bgColor auto="1"/>
        </patternFill>
      </fill>
    </dxf>
    <dxf>
      <font>
        <strike val="0"/>
        <outline val="0"/>
        <shadow val="0"/>
        <u val="none"/>
        <vertAlign val="baseline"/>
        <sz val="11"/>
        <color auto="1"/>
        <name val="Calibri"/>
        <scheme val="minor"/>
      </font>
      <numFmt numFmtId="0" formatCode="General"/>
      <fill>
        <patternFill patternType="none">
          <fgColor indexed="64"/>
          <bgColor auto="1"/>
        </patternFill>
      </fill>
    </dxf>
    <dxf>
      <font>
        <strike val="0"/>
        <outline val="0"/>
        <shadow val="0"/>
        <u val="none"/>
        <vertAlign val="baseline"/>
        <sz val="11"/>
        <color auto="1"/>
        <name val="Calibri"/>
        <scheme val="minor"/>
      </font>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color rgb="FF006100"/>
      </font>
      <fill>
        <patternFill>
          <bgColor rgb="FFC6EFCE"/>
        </patternFill>
      </fill>
    </dxf>
    <dxf>
      <font>
        <color rgb="FF9C0006"/>
      </font>
      <fill>
        <patternFill>
          <bgColor rgb="FFFFC7CE"/>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2" formatCode="0.00"/>
      <border>
        <left style="thin">
          <color rgb="FF7F7F7F"/>
        </lef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right style="thin">
          <color rgb="FF7F7F7F"/>
        </right>
      </border>
    </dxf>
    <dxf>
      <border outline="0">
        <right style="thin">
          <color rgb="FF7F7F7F"/>
        </right>
      </border>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0" formatCode="General"/>
      <fill>
        <patternFill patternType="solid">
          <fgColor indexed="64"/>
          <bgColor rgb="FFFFFF00"/>
        </patternFill>
      </fill>
    </dxf>
    <dxf>
      <fill>
        <patternFill patternType="solid">
          <fgColor indexed="64"/>
          <bgColor rgb="FFFFFF00"/>
        </patternFill>
      </fill>
    </dxf>
    <dxf>
      <font>
        <b/>
        <i val="0"/>
        <strike val="0"/>
        <condense val="0"/>
        <extend val="0"/>
        <outline val="0"/>
        <shadow val="0"/>
        <u val="none"/>
        <vertAlign val="baseline"/>
        <sz val="11"/>
        <color theme="1"/>
        <name val="Calibri"/>
        <scheme val="minor"/>
      </font>
      <fill>
        <patternFill patternType="solid">
          <fgColor indexed="64"/>
          <bgColor theme="7" tint="0.39997558519241921"/>
        </patternFill>
      </fill>
      <alignment horizontal="center" vertical="bottom" textRotation="0" wrapText="0" indent="0" justifyLastLine="0" shrinkToFit="0" readingOrder="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0" formatCode="General"/>
    </dxf>
    <dxf>
      <numFmt numFmtId="0" formatCode="General"/>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0" formatCode="General"/>
    </dxf>
    <dxf>
      <numFmt numFmtId="0" formatCode="General"/>
    </dxf>
    <dxf>
      <numFmt numFmtId="167" formatCode="0.0"/>
    </dxf>
    <dxf>
      <numFmt numFmtId="167" formatCode="0.0"/>
    </dxf>
    <dxf>
      <numFmt numFmtId="167" formatCode="0.0"/>
    </dxf>
    <dxf>
      <numFmt numFmtId="167" formatCode="0.0"/>
    </dxf>
    <dxf>
      <numFmt numFmtId="2" formatCode="0.00"/>
    </dxf>
    <dxf>
      <numFmt numFmtId="2" formatCode="0.00"/>
    </dxf>
    <dxf>
      <numFmt numFmtId="167" formatCode="0.0"/>
    </dxf>
    <dxf>
      <numFmt numFmtId="2" formatCode="0.00"/>
    </dxf>
    <dxf>
      <numFmt numFmtId="2" formatCode="0.00"/>
      <border>
        <left style="thin">
          <color rgb="FF7F7F7F"/>
        </left>
      </border>
    </dxf>
    <dxf>
      <numFmt numFmtId="2" formatCode="0.00"/>
    </dxf>
    <dxf>
      <numFmt numFmtId="0" formatCode="General"/>
      <border outline="0">
        <right style="thin">
          <color rgb="FF7F7F7F"/>
        </right>
      </border>
    </dxf>
    <dxf>
      <numFmt numFmtId="0" formatCode="General"/>
    </dxf>
    <dxf>
      <numFmt numFmtId="0" formatCode="General"/>
    </dxf>
    <dxf>
      <numFmt numFmtId="0" formatCode="General"/>
    </dxf>
    <dxf>
      <numFmt numFmtId="169" formatCode="0.0%"/>
    </dxf>
    <dxf>
      <numFmt numFmtId="14" formatCode="0.00%"/>
    </dxf>
    <dxf>
      <font>
        <b val="0"/>
        <i val="0"/>
        <strike val="0"/>
        <condense val="0"/>
        <extend val="0"/>
        <outline val="0"/>
        <shadow val="0"/>
        <u val="none"/>
        <vertAlign val="baseline"/>
        <sz val="11"/>
        <color theme="1"/>
        <name val="Calibri"/>
        <scheme val="minor"/>
      </font>
      <numFmt numFmtId="169" formatCode="0.0%"/>
    </dxf>
    <dxf>
      <font>
        <b val="0"/>
        <i val="0"/>
        <strike val="0"/>
        <condense val="0"/>
        <extend val="0"/>
        <outline val="0"/>
        <shadow val="0"/>
        <u val="none"/>
        <vertAlign val="baseline"/>
        <sz val="11"/>
        <color theme="1"/>
        <name val="Calibri"/>
        <scheme val="minor"/>
      </font>
      <numFmt numFmtId="169" formatCode="0.0%"/>
    </dxf>
    <dxf>
      <numFmt numFmtId="169" formatCode="0.0%"/>
    </dxf>
    <dxf>
      <numFmt numFmtId="14" formatCode="0.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0.0"/>
    </dxf>
    <dxf>
      <numFmt numFmtId="167" formatCode="0.0"/>
    </dxf>
    <dxf>
      <border outline="0">
        <right style="thin">
          <color rgb="FF7F7F7F"/>
        </right>
      </border>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3" formatCode="#,##0"/>
    </dxf>
    <dxf>
      <numFmt numFmtId="3" formatCode="#,##0"/>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theme="9" tint="0.79998168889431442"/>
        </patternFill>
      </fill>
    </dxf>
    <dxf>
      <numFmt numFmtId="0" formatCode="General"/>
      <fill>
        <patternFill patternType="solid">
          <fgColor indexed="64"/>
          <bgColor theme="9" tint="0.79998168889431442"/>
        </patternFill>
      </fill>
    </dxf>
    <dxf>
      <fill>
        <patternFill patternType="solid">
          <fgColor indexed="64"/>
          <bgColor theme="9" tint="0.79998168889431442"/>
        </patternFill>
      </fill>
    </dxf>
    <dxf>
      <numFmt numFmtId="0" formatCode="General"/>
    </dxf>
    <dxf>
      <numFmt numFmtId="0" formatCode="General"/>
    </dxf>
    <dxf>
      <numFmt numFmtId="0" formatCode="General"/>
    </dxf>
    <dxf>
      <numFmt numFmtId="0" formatCode="General"/>
    </dxf>
    <dxf>
      <font>
        <color rgb="FFFF0000"/>
      </font>
    </dxf>
    <dxf>
      <font>
        <color theme="4" tint="-0.24994659260841701"/>
      </font>
    </dxf>
    <dxf>
      <numFmt numFmtId="166" formatCode="_(* #,##0_);_(* \(#,##0\);_(* &quot;-&quot;??_);_(@_)"/>
    </dxf>
    <dxf>
      <numFmt numFmtId="166" formatCode="_(* #,##0_);_(* \(#,##0\);_(* &quot;-&quot;??_);_(@_)"/>
    </dxf>
    <dxf>
      <numFmt numFmtId="166" formatCode="_(* #,##0_);_(* \(#,##0\);_(* &quot;-&quot;??_);_(@_)"/>
    </dxf>
    <dxf>
      <numFmt numFmtId="167" formatCode="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2" formatCode="0.00"/>
    </dxf>
    <dxf>
      <alignment horizontal="center" vertical="bottom" textRotation="0" wrapText="0" indent="0" justifyLastLine="0" shrinkToFit="0" readingOrder="0"/>
    </dxf>
    <dxf>
      <numFmt numFmtId="2" formatCode="0.00"/>
    </dxf>
    <dxf>
      <numFmt numFmtId="166" formatCode="_(* #,##0_);_(* \(#,##0\);_(* &quot;-&quot;??_);_(@_)"/>
      <border outline="0">
        <right style="thin">
          <color rgb="FF7F7F7F"/>
        </right>
      </border>
    </dxf>
    <dxf>
      <numFmt numFmtId="166" formatCode="_(* #,##0_);_(* \(#,##0\);_(* &quot;-&quot;??_);_(@_)"/>
    </dxf>
    <dxf>
      <numFmt numFmtId="166" formatCode="_(* #,##0_);_(* \(#,##0\);_(* &quot;-&quot;??_);_(@_)"/>
    </dxf>
    <dxf>
      <numFmt numFmtId="166" formatCode="_(* #,##0_);_(* \(#,##0\);_(* &quot;-&quot;??_);_(@_)"/>
    </dxf>
    <dxf>
      <alignment horizontal="center" vertical="bottom" textRotation="0" wrapText="0" indent="0" justifyLastLine="0" shrinkToFit="0" readingOrder="0"/>
    </dxf>
    <dxf>
      <numFmt numFmtId="166" formatCode="_(* #,##0_);_(* \(#,##0\);_(* &quot;-&quot;??_);_(@_)"/>
    </dxf>
    <dxf>
      <numFmt numFmtId="35" formatCode="_(* #,##0.00_);_(* \(#,##0.00\);_(* &quot;-&quot;??_);_(@_)"/>
    </dxf>
    <dxf>
      <numFmt numFmtId="166" formatCode="_(* #,##0_);_(* \(#,##0\);_(* &quot;-&quot;??_);_(@_)"/>
      <border outline="0">
        <right style="thin">
          <color rgb="FF7F7F7F"/>
        </right>
      </border>
    </dxf>
    <dxf>
      <numFmt numFmtId="166" formatCode="_(* #,##0_);_(* \(#,##0\);_(* &quot;-&quot;??_);_(@_)"/>
    </dxf>
    <dxf>
      <numFmt numFmtId="166" formatCode="_(* #,##0_);_(* \(#,##0\);_(* &quot;-&quot;??_);_(@_)"/>
    </dxf>
    <dxf>
      <numFmt numFmtId="166" formatCode="_(* #,##0_);_(* \(#,##0\);_(* &quot;-&quot;??_);_(@_)"/>
    </dxf>
    <dxf>
      <numFmt numFmtId="166" formatCode="_(* #,##0_);_(* \(#,##0\);_(* &quot;-&quot;??_);_(@_)"/>
    </dxf>
    <dxf>
      <numFmt numFmtId="2" formatCode="0.00"/>
    </dxf>
    <dxf>
      <numFmt numFmtId="164" formatCode="#,##0.0000"/>
    </dxf>
    <dxf>
      <numFmt numFmtId="4" formatCode="#,##0.00"/>
    </dxf>
    <dxf>
      <font>
        <b val="0"/>
        <i val="0"/>
        <strike val="0"/>
        <condense val="0"/>
        <extend val="0"/>
        <outline val="0"/>
        <shadow val="0"/>
        <u val="none"/>
        <vertAlign val="baseline"/>
        <sz val="11"/>
        <color theme="1"/>
        <name val="Literata"/>
        <scheme val="none"/>
      </font>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vertical style="thin">
          <color theme="4" tint="0.59996337778862885"/>
        </vertical>
        <horizontal style="thin">
          <color theme="4" tint="0.59996337778862885"/>
        </horizontal>
      </border>
    </dxf>
    <dxf>
      <alignment horizontal="general" vertical="center" textRotation="0" wrapText="1"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vertical style="thin">
          <color theme="4" tint="0.59996337778862885"/>
        </vertical>
        <horizontal style="thin">
          <color theme="4" tint="0.59996337778862885"/>
        </horizontal>
      </border>
    </dxf>
    <dxf>
      <alignment horizontal="general" vertical="center" textRotation="0" wrapText="1" indent="0" justifyLastLine="0" shrinkToFit="0" readingOrder="0"/>
      <border diagonalUp="0" diagonalDown="0">
        <left/>
        <right style="thin">
          <color theme="4" tint="0.59996337778862885"/>
        </right>
        <top style="thin">
          <color theme="4" tint="0.59996337778862885"/>
        </top>
        <bottom style="thin">
          <color theme="4" tint="0.59996337778862885"/>
        </bottom>
        <vertical style="thin">
          <color theme="4" tint="0.59996337778862885"/>
        </vertical>
        <horizontal style="thin">
          <color theme="4" tint="0.59996337778862885"/>
        </horizontal>
      </border>
    </dxf>
    <dxf>
      <border>
        <top style="thin">
          <color rgb="FFB4C6E7"/>
        </top>
      </border>
    </dxf>
    <dxf>
      <border diagonalUp="0" diagonalDown="0">
        <left style="thin">
          <color rgb="FFB4C6E7"/>
        </left>
        <right style="thin">
          <color rgb="FFB4C6E7"/>
        </right>
        <top style="thin">
          <color rgb="FFB4C6E7"/>
        </top>
        <bottom style="thin">
          <color rgb="FFB4C6E7"/>
        </bottom>
      </border>
    </dxf>
    <dxf>
      <font>
        <b val="0"/>
        <i val="0"/>
        <strike val="0"/>
        <condense val="0"/>
        <extend val="0"/>
        <outline val="0"/>
        <shadow val="0"/>
        <u val="none"/>
        <vertAlign val="baseline"/>
        <sz val="11"/>
        <color rgb="FF000000"/>
        <name val="Literata"/>
        <scheme val="none"/>
      </font>
      <alignment horizontal="general" vertical="center" textRotation="0" wrapText="1" indent="0" justifyLastLine="0" shrinkToFit="0" readingOrder="0"/>
    </dxf>
    <dxf>
      <border>
        <bottom style="thin">
          <color rgb="FFB4C6E7"/>
        </bottom>
      </border>
    </dxf>
    <dxf>
      <font>
        <b val="0"/>
        <i val="0"/>
        <strike val="0"/>
        <condense val="0"/>
        <extend val="0"/>
        <outline val="0"/>
        <shadow val="0"/>
        <u val="none"/>
        <vertAlign val="baseline"/>
        <sz val="11"/>
        <color rgb="FF000000"/>
        <name val="Literata"/>
        <scheme val="none"/>
      </font>
      <fill>
        <patternFill patternType="solid">
          <fgColor indexed="64"/>
          <bgColor rgb="FFD9E2F3"/>
        </patternFill>
      </fill>
      <alignment horizontal="center" vertical="center" textRotation="0" wrapText="1" indent="0" justifyLastLine="0" shrinkToFit="0" readingOrder="0"/>
      <border diagonalUp="0" diagonalDown="0">
        <left style="thin">
          <color theme="4" tint="0.59996337778862885"/>
        </left>
        <right style="thin">
          <color theme="4" tint="0.59996337778862885"/>
        </right>
        <top/>
        <bottom/>
        <vertical style="thin">
          <color theme="4" tint="0.59996337778862885"/>
        </vertical>
        <horizontal style="thin">
          <color theme="4" tint="0.59996337778862885"/>
        </horizontal>
      </border>
    </dxf>
    <dxf>
      <font>
        <b val="0"/>
        <i val="0"/>
        <strike val="0"/>
        <condense val="0"/>
        <extend val="0"/>
        <outline val="0"/>
        <shadow val="0"/>
        <u val="none"/>
        <vertAlign val="baseline"/>
        <sz val="11"/>
        <color theme="1"/>
        <name val="Literata"/>
        <scheme val="none"/>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vertical style="thin">
          <color theme="4" tint="0.59996337778862885"/>
        </vertical>
        <horizontal style="thin">
          <color theme="4" tint="0.59996337778862885"/>
        </horizontal>
      </border>
    </dxf>
    <dxf>
      <alignment horizontal="general" vertical="center" textRotation="0" wrapText="1"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vertical style="thin">
          <color theme="4" tint="0.59996337778862885"/>
        </vertical>
        <horizontal style="thin">
          <color theme="4" tint="0.59996337778862885"/>
        </horizontal>
      </border>
    </dxf>
    <dxf>
      <alignment horizontal="general" vertical="center" textRotation="0" wrapText="1" indent="0" justifyLastLine="0" shrinkToFit="0" readingOrder="0"/>
      <border diagonalUp="0" diagonalDown="0">
        <left/>
        <right style="thin">
          <color theme="4" tint="0.59996337778862885"/>
        </right>
        <top style="thin">
          <color theme="4" tint="0.59996337778862885"/>
        </top>
        <bottom style="thin">
          <color theme="4" tint="0.59996337778862885"/>
        </bottom>
        <vertical style="thin">
          <color theme="4" tint="0.59996337778862885"/>
        </vertical>
        <horizontal style="thin">
          <color theme="4" tint="0.59996337778862885"/>
        </horizontal>
      </border>
    </dxf>
    <dxf>
      <border>
        <top style="thin">
          <color theme="4" tint="0.59996337778862885"/>
        </top>
      </border>
    </dxf>
    <dxf>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11"/>
        <color theme="1"/>
        <name val="Literata"/>
        <scheme val="none"/>
      </font>
      <alignment horizontal="general" vertical="center" textRotation="0" wrapText="1" indent="0" justifyLastLine="0" shrinkToFit="0" readingOrder="0"/>
    </dxf>
    <dxf>
      <border>
        <bottom style="thin">
          <color theme="4" tint="0.59996337778862885"/>
        </bottom>
      </border>
    </dxf>
    <dxf>
      <font>
        <b val="0"/>
        <i val="0"/>
        <strike val="0"/>
        <condense val="0"/>
        <extend val="0"/>
        <outline val="0"/>
        <shadow val="0"/>
        <u val="none"/>
        <vertAlign val="baseline"/>
        <sz val="11"/>
        <color rgb="FF000000"/>
        <name val="Literata"/>
        <scheme val="none"/>
      </font>
      <fill>
        <patternFill patternType="solid">
          <fgColor indexed="64"/>
          <bgColor rgb="FFD9E2F3"/>
        </patternFill>
      </fill>
      <alignment horizontal="center" vertical="center" textRotation="0" wrapText="1" indent="0" justifyLastLine="0" shrinkToFit="0" readingOrder="0"/>
      <border diagonalUp="0" diagonalDown="0">
        <left style="thin">
          <color theme="4" tint="0.59996337778862885"/>
        </left>
        <right style="thin">
          <color theme="4" tint="0.59996337778862885"/>
        </right>
        <top/>
        <bottom/>
        <vertical style="thin">
          <color theme="4" tint="0.59996337778862885"/>
        </vertical>
        <horizontal style="thin">
          <color theme="4" tint="0.59996337778862885"/>
        </horizontal>
      </border>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ont>
        <color theme="9"/>
      </font>
    </dxf>
    <dxf>
      <font>
        <color rgb="FFC00000"/>
      </font>
    </dxf>
    <dxf>
      <font>
        <color theme="4"/>
      </font>
    </dxf>
    <dxf>
      <fill>
        <patternFill patternType="none">
          <bgColor auto="1"/>
        </patternFill>
      </fill>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font>
        <color theme="9"/>
      </font>
    </dxf>
    <dxf>
      <font>
        <color rgb="FFC00000"/>
      </font>
    </dxf>
    <dxf>
      <font>
        <color theme="4"/>
      </font>
    </dxf>
    <dxf>
      <fill>
        <patternFill patternType="none">
          <bgColor auto="1"/>
        </patternFill>
      </fill>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border>
        <top style="thin">
          <color auto="1"/>
        </top>
        <bottom style="thin">
          <color auto="1"/>
        </bottom>
        <horizontal style="thin">
          <color auto="1"/>
        </horizontal>
      </border>
    </dxf>
    <dxf>
      <numFmt numFmtId="0" formatCode="General"/>
    </dxf>
    <dxf>
      <numFmt numFmtId="0" formatCode="General"/>
    </dxf>
    <dxf>
      <numFmt numFmtId="0" formatCode="General"/>
      <border diagonalUp="0" diagonalDown="0" outline="0">
        <left style="thin">
          <color rgb="FF7F7F7F"/>
        </left>
        <right style="thin">
          <color rgb="FF7F7F7F"/>
        </right>
        <top style="thin">
          <color rgb="FF7F7F7F"/>
        </top>
        <bottom/>
      </border>
    </dxf>
    <dxf>
      <numFmt numFmtId="0" formatCode="General"/>
      <border diagonalUp="0" diagonalDown="0">
        <left style="thin">
          <color rgb="FF7F7F7F"/>
        </left>
        <right style="thin">
          <color rgb="FF7F7F7F"/>
        </right>
        <top style="thin">
          <color rgb="FF7F7F7F"/>
        </top>
        <bottom/>
        <vertical/>
        <horizontal/>
      </border>
    </dxf>
    <dxf>
      <numFmt numFmtId="0" formatCode="General"/>
      <border diagonalUp="0" diagonalDown="0">
        <left style="thin">
          <color rgb="FF7F7F7F"/>
        </left>
        <right style="thin">
          <color rgb="FF7F7F7F"/>
        </right>
        <top style="thin">
          <color rgb="FF7F7F7F"/>
        </top>
        <bottom/>
        <vertical/>
        <horizontal/>
      </border>
    </dxf>
    <dxf>
      <numFmt numFmtId="0" formatCode="General"/>
      <border diagonalUp="0" diagonalDown="0">
        <left style="thin">
          <color rgb="FF7F7F7F"/>
        </left>
        <right style="thin">
          <color rgb="FF7F7F7F"/>
        </right>
        <top style="thin">
          <color rgb="FF7F7F7F"/>
        </top>
        <bottom/>
        <vertical/>
        <horizontal/>
      </border>
    </dxf>
    <dxf>
      <numFmt numFmtId="0" formatCode="General"/>
    </dxf>
    <dxf>
      <numFmt numFmtId="0" formatCode="General"/>
    </dxf>
    <dxf>
      <numFmt numFmtId="0" formatCode="General"/>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0" formatCode="General"/>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right style="thin">
          <color rgb="FF7F7F7F"/>
        </right>
      </border>
    </dxf>
    <dxf>
      <numFmt numFmtId="0" formatCode="General"/>
      <border>
        <right style="thin">
          <color rgb="FF7F7F7F"/>
        </right>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0"/>
        <name val="Calibri"/>
        <scheme val="minor"/>
      </font>
      <fill>
        <patternFill patternType="solid">
          <fgColor theme="4"/>
          <bgColor theme="4"/>
        </patternFill>
      </fill>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170" formatCode="#,##0.0"/>
      <border outline="0">
        <left style="thin">
          <color rgb="FF7F7F7F"/>
        </left>
      </border>
    </dxf>
    <dxf>
      <numFmt numFmtId="170" formatCode="#,##0.0"/>
      <border outline="0">
        <left style="thin">
          <color rgb="FF7F7F7F"/>
        </left>
        <right style="thin">
          <color rgb="FF7F7F7F"/>
        </right>
      </border>
    </dxf>
    <dxf>
      <numFmt numFmtId="170" formatCode="#,##0.0"/>
      <border outline="0">
        <left style="thin">
          <color rgb="FF7F7F7F"/>
        </left>
        <right style="thin">
          <color rgb="FF7F7F7F"/>
        </right>
      </border>
    </dxf>
    <dxf>
      <numFmt numFmtId="170" formatCode="#,##0.0"/>
      <border outline="0">
        <left style="thin">
          <color rgb="FF7F7F7F"/>
        </left>
        <right style="thin">
          <color rgb="FF7F7F7F"/>
        </right>
      </border>
    </dxf>
    <dxf>
      <numFmt numFmtId="170" formatCode="#,##0.0"/>
      <border outline="0">
        <left style="thin">
          <color rgb="FF7F7F7F"/>
        </left>
        <right style="thin">
          <color rgb="FF7F7F7F"/>
        </right>
      </border>
    </dxf>
    <dxf>
      <numFmt numFmtId="170" formatCode="#,##0.0"/>
      <border outline="0">
        <left style="thin">
          <color rgb="FF7F7F7F"/>
        </left>
        <right style="thin">
          <color rgb="FF7F7F7F"/>
        </right>
      </border>
    </dxf>
    <dxf>
      <numFmt numFmtId="170" formatCode="#,##0.0"/>
      <border outline="0">
        <left style="thin">
          <color rgb="FF7F7F7F"/>
        </left>
        <right style="thin">
          <color rgb="FF7F7F7F"/>
        </right>
      </border>
    </dxf>
    <dxf>
      <numFmt numFmtId="170" formatCode="#,##0.0"/>
      <border outline="0">
        <left style="thin">
          <color rgb="FF7F7F7F"/>
        </left>
        <right style="thin">
          <color rgb="FF7F7F7F"/>
        </right>
      </border>
    </dxf>
    <dxf>
      <numFmt numFmtId="170" formatCode="#,##0.0"/>
      <border outline="0">
        <left style="thin">
          <color rgb="FF7F7F7F"/>
        </left>
        <right style="thin">
          <color rgb="FF7F7F7F"/>
        </right>
      </border>
    </dxf>
    <dxf>
      <numFmt numFmtId="170" formatCode="#,##0.0"/>
      <border outline="0">
        <right style="thin">
          <color rgb="FF7F7F7F"/>
        </right>
      </border>
    </dxf>
    <dxf>
      <font>
        <b/>
        <i val="0"/>
        <strike val="0"/>
        <condense val="0"/>
        <extend val="0"/>
        <outline val="0"/>
        <shadow val="0"/>
        <u val="none"/>
        <vertAlign val="baseline"/>
        <sz val="11"/>
        <color rgb="FFFA7D00"/>
        <name val="Calibri"/>
        <scheme val="minor"/>
      </font>
      <numFmt numFmtId="0" formatCode="General"/>
      <fill>
        <patternFill patternType="solid">
          <fgColor indexed="64"/>
          <bgColor rgb="FFF2F2F2"/>
        </patternFill>
      </fill>
      <border diagonalUp="0" diagonalDown="0" outline="0">
        <left style="thin">
          <color rgb="FF7F7F7F"/>
        </left>
        <right style="thin">
          <color rgb="FF7F7F7F"/>
        </right>
        <top style="thin">
          <color rgb="FF7F7F7F"/>
        </top>
        <bottom style="thin">
          <color rgb="FF7F7F7F"/>
        </bottom>
      </border>
    </dxf>
    <dxf>
      <border outline="0">
        <top style="thin">
          <color rgb="FF7F7F7F"/>
        </top>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170" formatCode="#,##0.0"/>
      <border>
        <left style="thin">
          <color rgb="FF7F7F7F"/>
        </left>
      </border>
    </dxf>
    <dxf>
      <numFmt numFmtId="170" formatCode="#,##0.0"/>
      <border>
        <left style="thin">
          <color rgb="FF7F7F7F"/>
        </left>
        <right style="thin">
          <color rgb="FF7F7F7F"/>
        </right>
      </border>
    </dxf>
    <dxf>
      <numFmt numFmtId="170" formatCode="#,##0.0"/>
      <border>
        <left style="thin">
          <color rgb="FF7F7F7F"/>
        </left>
        <right style="thin">
          <color rgb="FF7F7F7F"/>
        </right>
      </border>
    </dxf>
    <dxf>
      <numFmt numFmtId="170" formatCode="#,##0.0"/>
      <border>
        <left style="thin">
          <color rgb="FF7F7F7F"/>
        </left>
        <right style="thin">
          <color rgb="FF7F7F7F"/>
        </right>
      </border>
    </dxf>
    <dxf>
      <numFmt numFmtId="170" formatCode="#,##0.0"/>
      <border>
        <left style="thin">
          <color rgb="FF7F7F7F"/>
        </left>
        <right style="thin">
          <color rgb="FF7F7F7F"/>
        </right>
      </border>
    </dxf>
    <dxf>
      <numFmt numFmtId="170" formatCode="#,##0.0"/>
      <border>
        <left style="thin">
          <color rgb="FF7F7F7F"/>
        </left>
        <right style="thin">
          <color rgb="FF7F7F7F"/>
        </right>
      </border>
    </dxf>
    <dxf>
      <numFmt numFmtId="170" formatCode="#,##0.0"/>
      <border>
        <left style="thin">
          <color rgb="FF7F7F7F"/>
        </left>
        <right style="thin">
          <color rgb="FF7F7F7F"/>
        </right>
      </border>
    </dxf>
    <dxf>
      <numFmt numFmtId="170" formatCode="#,##0.0"/>
      <border>
        <left style="thin">
          <color rgb="FF7F7F7F"/>
        </left>
        <right style="thin">
          <color rgb="FF7F7F7F"/>
        </right>
      </border>
    </dxf>
    <dxf>
      <numFmt numFmtId="170" formatCode="#,##0.0"/>
      <border>
        <left style="thin">
          <color rgb="FF7F7F7F"/>
        </left>
        <right style="thin">
          <color rgb="FF7F7F7F"/>
        </right>
      </border>
    </dxf>
    <dxf>
      <numFmt numFmtId="170" formatCode="#,##0.0"/>
      <border>
        <right style="thin">
          <color rgb="FF7F7F7F"/>
        </right>
      </border>
    </dxf>
    <dxf>
      <font>
        <b/>
        <i val="0"/>
        <strike val="0"/>
        <condense val="0"/>
        <extend val="0"/>
        <outline val="0"/>
        <shadow val="0"/>
        <u val="none"/>
        <vertAlign val="baseline"/>
        <sz val="11"/>
        <color rgb="FFFA7D00"/>
        <name val="Calibri"/>
        <scheme val="minor"/>
      </font>
      <numFmt numFmtId="0" formatCode="General"/>
      <fill>
        <patternFill patternType="solid">
          <fgColor indexed="64"/>
          <bgColor rgb="FFF2F2F2"/>
        </patternFill>
      </fill>
      <border diagonalUp="0" diagonalDown="0" outline="0">
        <left style="thin">
          <color rgb="FF7F7F7F"/>
        </left>
        <right style="thin">
          <color rgb="FF7F7F7F"/>
        </right>
        <top style="thin">
          <color rgb="FF7F7F7F"/>
        </top>
        <bottom style="thin">
          <color rgb="FF7F7F7F"/>
        </bottom>
      </border>
    </dxf>
    <dxf>
      <border outline="0">
        <top style="thin">
          <color rgb="FF7F7F7F"/>
        </top>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3" formatCode="#,##0"/>
      <border>
        <left style="thin">
          <color rgb="FF7F7F7F"/>
        </left>
        <right style="thin">
          <color rgb="FF7F7F7F"/>
        </right>
      </border>
    </dxf>
    <dxf>
      <numFmt numFmtId="3" formatCode="#,##0"/>
      <border>
        <left style="thin">
          <color rgb="FF7F7F7F"/>
        </left>
      </border>
    </dxf>
    <dxf>
      <numFmt numFmtId="3" formatCode="#,##0"/>
      <border>
        <left style="thin">
          <color rgb="FF7F7F7F"/>
        </left>
        <right style="thin">
          <color rgb="FF7F7F7F"/>
        </right>
      </border>
    </dxf>
    <dxf>
      <numFmt numFmtId="3" formatCode="#,##0"/>
      <border>
        <left style="thin">
          <color rgb="FF7F7F7F"/>
        </left>
        <right style="thin">
          <color rgb="FF7F7F7F"/>
        </right>
      </border>
    </dxf>
    <dxf>
      <numFmt numFmtId="3" formatCode="#,##0"/>
      <border>
        <left style="thin">
          <color rgb="FF7F7F7F"/>
        </left>
        <right style="thin">
          <color rgb="FF7F7F7F"/>
        </right>
      </border>
    </dxf>
    <dxf>
      <numFmt numFmtId="3" formatCode="#,##0"/>
      <border>
        <left style="thin">
          <color rgb="FF7F7F7F"/>
        </left>
        <right style="thin">
          <color rgb="FF7F7F7F"/>
        </right>
      </border>
    </dxf>
    <dxf>
      <numFmt numFmtId="3" formatCode="#,##0"/>
      <border>
        <left style="thin">
          <color rgb="FF7F7F7F"/>
        </left>
        <right style="thin">
          <color rgb="FF7F7F7F"/>
        </right>
      </border>
    </dxf>
    <dxf>
      <numFmt numFmtId="3" formatCode="#,##0"/>
      <border>
        <left style="thin">
          <color rgb="FF7F7F7F"/>
        </left>
        <right style="thin">
          <color rgb="FF7F7F7F"/>
        </right>
      </border>
    </dxf>
    <dxf>
      <numFmt numFmtId="3" formatCode="#,##0"/>
      <border>
        <left style="thin">
          <color rgb="FF7F7F7F"/>
        </left>
        <right style="thin">
          <color rgb="FF7F7F7F"/>
        </right>
      </border>
    </dxf>
    <dxf>
      <numFmt numFmtId="3" formatCode="#,##0"/>
      <border outline="0">
        <left style="thin">
          <color rgb="FF7F7F7F"/>
        </left>
        <right style="thin">
          <color rgb="FF7F7F7F"/>
        </right>
      </border>
    </dxf>
    <dxf>
      <numFmt numFmtId="3" formatCode="#,##0"/>
      <border>
        <right style="thin">
          <color rgb="FF7F7F7F"/>
        </right>
      </border>
    </dxf>
    <dxf>
      <font>
        <b/>
        <i val="0"/>
        <strike val="0"/>
        <condense val="0"/>
        <extend val="0"/>
        <outline val="0"/>
        <shadow val="0"/>
        <u val="none"/>
        <vertAlign val="baseline"/>
        <sz val="11"/>
        <color rgb="FFFA7D00"/>
        <name val="Calibri"/>
        <scheme val="minor"/>
      </font>
      <numFmt numFmtId="0" formatCode="General"/>
      <fill>
        <patternFill patternType="solid">
          <fgColor indexed="64"/>
          <bgColor rgb="FFF2F2F2"/>
        </patternFill>
      </fill>
      <border diagonalUp="0" diagonalDown="0" outline="0">
        <left style="thin">
          <color rgb="FF7F7F7F"/>
        </left>
        <right style="thin">
          <color rgb="FF7F7F7F"/>
        </right>
        <top style="thin">
          <color rgb="FF7F7F7F"/>
        </top>
        <bottom style="thin">
          <color rgb="FF7F7F7F"/>
        </bottom>
      </border>
    </dxf>
    <dxf>
      <border outline="0">
        <top style="thin">
          <color rgb="FF7F7F7F"/>
        </top>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170" formatCode="#,##0.0"/>
    </dxf>
    <dxf>
      <numFmt numFmtId="170" formatCode="#,##0.0"/>
    </dxf>
    <dxf>
      <numFmt numFmtId="170" formatCode="#,##0.0"/>
    </dxf>
    <dxf>
      <numFmt numFmtId="170" formatCode="#,##0.0"/>
    </dxf>
    <dxf>
      <numFmt numFmtId="170" formatCode="#,##0.0"/>
    </dxf>
    <dxf>
      <numFmt numFmtId="170" formatCode="#,##0.0"/>
    </dxf>
    <dxf>
      <numFmt numFmtId="170" formatCode="#,##0.0"/>
    </dxf>
    <dxf>
      <numFmt numFmtId="170" formatCode="#,##0.0"/>
    </dxf>
    <dxf>
      <numFmt numFmtId="170" formatCode="#,##0.0"/>
    </dxf>
    <dxf>
      <numFmt numFmtId="170" formatCode="#,##0.0"/>
    </dxf>
    <dxf>
      <font>
        <b/>
        <i val="0"/>
        <strike val="0"/>
        <condense val="0"/>
        <extend val="0"/>
        <outline val="0"/>
        <shadow val="0"/>
        <u val="none"/>
        <vertAlign val="baseline"/>
        <sz val="11"/>
        <color rgb="FFFA7D00"/>
        <name val="Calibri"/>
        <scheme val="minor"/>
      </font>
      <numFmt numFmtId="0" formatCode="General"/>
      <fill>
        <patternFill patternType="solid">
          <fgColor indexed="64"/>
          <bgColor rgb="FFF2F2F2"/>
        </patternFill>
      </fill>
      <border diagonalUp="0" diagonalDown="0">
        <left style="thin">
          <color rgb="FF7F7F7F"/>
        </left>
        <right style="thin">
          <color rgb="FF7F7F7F"/>
        </right>
        <top style="thin">
          <color rgb="FF7F7F7F"/>
        </top>
        <bottom style="thin">
          <color rgb="FF7F7F7F"/>
        </bottom>
        <vertical/>
        <horizontal/>
      </border>
    </dxf>
    <dxf>
      <border outline="0">
        <top style="thin">
          <color rgb="FF7F7F7F"/>
        </top>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left style="thin">
          <color rgb="FF7F7F7F"/>
        </left>
        <right style="thin">
          <color rgb="FF7F7F7F"/>
        </right>
      </border>
    </dxf>
    <dxf>
      <numFmt numFmtId="2" formatCode="0.00"/>
      <border>
        <right style="thin">
          <color rgb="FF7F7F7F"/>
        </right>
      </border>
    </dxf>
    <dxf>
      <numFmt numFmtId="0" formatCode="General"/>
      <border>
        <right style="thin">
          <color rgb="FF7F7F7F"/>
        </right>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ont>
        <color theme="0"/>
      </font>
    </dxf>
    <dxf>
      <font>
        <color rgb="FF7030A0"/>
      </font>
    </dxf>
    <dxf>
      <font>
        <color theme="8"/>
      </font>
    </dxf>
    <dxf>
      <font>
        <color rgb="FFC00000"/>
      </font>
    </dxf>
    <dxf>
      <alignment horizontal="general" vertical="top" textRotation="0" wrapText="1" indent="0" justifyLastLine="0" shrinkToFit="0" readingOrder="0"/>
      <border diagonalUp="0" diagonalDown="0" outline="0">
        <left/>
        <right/>
        <top style="thin">
          <color rgb="FF7030A0"/>
        </top>
        <bottom style="thin">
          <color rgb="FF7030A0"/>
        </bottom>
      </border>
    </dxf>
    <dxf>
      <alignment horizontal="general" vertical="top" textRotation="0" wrapText="1" indent="0" justifyLastLine="0" shrinkToFit="0" readingOrder="0"/>
      <border diagonalUp="0" diagonalDown="0" outline="0">
        <left/>
        <right/>
        <top style="thin">
          <color rgb="FF7030A0"/>
        </top>
        <bottom style="thin">
          <color rgb="FF7030A0"/>
        </bottom>
      </border>
    </dxf>
    <dxf>
      <alignment horizontal="general" vertical="top" textRotation="0" wrapText="1" indent="0" justifyLastLine="0" shrinkToFit="0" readingOrder="0"/>
      <border diagonalUp="0" diagonalDown="0" outline="0">
        <left/>
        <right/>
        <top style="thin">
          <color rgb="FF7030A0"/>
        </top>
        <bottom style="thin">
          <color rgb="FF7030A0"/>
        </bottom>
      </border>
    </dxf>
    <dxf>
      <alignment horizontal="general" vertical="top" textRotation="0" wrapText="1" indent="0" justifyLastLine="0" shrinkToFit="0" readingOrder="0"/>
      <border diagonalUp="0" diagonalDown="0" outline="0">
        <left/>
        <right/>
        <top style="thin">
          <color rgb="FF7030A0"/>
        </top>
        <bottom style="thin">
          <color rgb="FF7030A0"/>
        </bottom>
      </border>
    </dxf>
    <dxf>
      <alignment horizontal="general" vertical="top" textRotation="0" wrapText="1" indent="0" justifyLastLine="0" shrinkToFit="0" readingOrder="0"/>
      <border diagonalUp="0" diagonalDown="0" outline="0">
        <left/>
        <right/>
        <top style="thin">
          <color rgb="FF7030A0"/>
        </top>
        <bottom style="thin">
          <color rgb="FF7030A0"/>
        </bottom>
      </border>
    </dxf>
    <dxf>
      <alignment horizontal="general" vertical="top" textRotation="0" wrapText="1" indent="0" justifyLastLine="0" shrinkToFit="0" readingOrder="0"/>
    </dxf>
    <dxf>
      <font>
        <b/>
        <strike val="0"/>
        <outline val="0"/>
        <shadow val="0"/>
        <u val="none"/>
        <vertAlign val="baseline"/>
        <sz val="11"/>
        <color theme="0"/>
        <name val="Calibri"/>
        <scheme val="minor"/>
      </font>
      <fill>
        <patternFill patternType="solid">
          <fgColor indexed="64"/>
          <bgColor rgb="FF7030A0"/>
        </patternFill>
      </fill>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7.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microsoft.com/office/2007/relationships/slicerCache" Target="slicerCaches/slicerCache1.xml"/><Relationship Id="rId47" Type="http://schemas.microsoft.com/office/2007/relationships/slicerCache" Target="slicerCaches/slicerCache6.xml"/><Relationship Id="rId50" Type="http://schemas.microsoft.com/office/2007/relationships/slicerCache" Target="slicerCaches/slicerCache9.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microsoft.com/office/2007/relationships/slicerCache" Target="slicerCaches/slicerCache4.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07/relationships/slicerCache" Target="slicerCaches/slicerCache3.xml"/><Relationship Id="rId52"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2.xml"/><Relationship Id="rId48" Type="http://schemas.microsoft.com/office/2007/relationships/slicerCache" Target="slicerCaches/slicerCache7.xml"/><Relationship Id="rId56"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microsoft.com/office/2007/relationships/slicerCache" Target="slicerCaches/slicerCache5.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'Outlier DB Scan'!$C$11</c:f>
              <c:strCache>
                <c:ptCount val="1"/>
                <c:pt idx="0">
                  <c:v>Variable2</c:v>
                </c:pt>
              </c:strCache>
            </c:strRef>
          </c:tx>
          <c:spPr>
            <a:ln w="19050" cap="rnd">
              <a:noFill/>
              <a:round/>
            </a:ln>
            <a:effectLst/>
          </c:spPr>
          <c:marker>
            <c:symbol val="circle"/>
            <c:size val="5"/>
            <c:spPr>
              <a:solidFill>
                <a:schemeClr val="accent1"/>
              </a:solidFill>
              <a:ln w="9525">
                <a:solidFill>
                  <a:schemeClr val="accent1"/>
                </a:solidFill>
              </a:ln>
              <a:effectLst/>
            </c:spPr>
          </c:marker>
          <c:xVal>
            <c:numRef>
              <c:f>'Outlier DB Scan'!$B$12:$B$21</c:f>
              <c:numCache>
                <c:formatCode>General</c:formatCode>
                <c:ptCount val="10"/>
                <c:pt idx="0">
                  <c:v>0</c:v>
                </c:pt>
                <c:pt idx="1">
                  <c:v>1</c:v>
                </c:pt>
                <c:pt idx="2">
                  <c:v>3</c:v>
                </c:pt>
                <c:pt idx="3">
                  <c:v>1</c:v>
                </c:pt>
                <c:pt idx="4">
                  <c:v>2</c:v>
                </c:pt>
                <c:pt idx="5">
                  <c:v>0</c:v>
                </c:pt>
                <c:pt idx="6">
                  <c:v>0</c:v>
                </c:pt>
                <c:pt idx="7">
                  <c:v>3</c:v>
                </c:pt>
                <c:pt idx="8">
                  <c:v>2</c:v>
                </c:pt>
                <c:pt idx="9">
                  <c:v>0</c:v>
                </c:pt>
              </c:numCache>
            </c:numRef>
          </c:xVal>
          <c:yVal>
            <c:numRef>
              <c:f>'Outlier DB Scan'!$C$12:$C$21</c:f>
              <c:numCache>
                <c:formatCode>General</c:formatCode>
                <c:ptCount val="10"/>
                <c:pt idx="0">
                  <c:v>2</c:v>
                </c:pt>
                <c:pt idx="1">
                  <c:v>1</c:v>
                </c:pt>
                <c:pt idx="2">
                  <c:v>3</c:v>
                </c:pt>
                <c:pt idx="3">
                  <c:v>2</c:v>
                </c:pt>
                <c:pt idx="4">
                  <c:v>1</c:v>
                </c:pt>
                <c:pt idx="5">
                  <c:v>1</c:v>
                </c:pt>
                <c:pt idx="6">
                  <c:v>2</c:v>
                </c:pt>
                <c:pt idx="7">
                  <c:v>4</c:v>
                </c:pt>
                <c:pt idx="8">
                  <c:v>2</c:v>
                </c:pt>
                <c:pt idx="9">
                  <c:v>0</c:v>
                </c:pt>
              </c:numCache>
            </c:numRef>
          </c:yVal>
          <c:smooth val="0"/>
          <c:extLst xmlns:c16r2="http://schemas.microsoft.com/office/drawing/2015/06/chart">
            <c:ext xmlns:c16="http://schemas.microsoft.com/office/drawing/2014/chart" uri="{C3380CC4-5D6E-409C-BE32-E72D297353CC}">
              <c16:uniqueId val="{00000000-4A99-4B16-98DF-3AF112858326}"/>
            </c:ext>
          </c:extLst>
        </c:ser>
        <c:dLbls>
          <c:showLegendKey val="0"/>
          <c:showVal val="0"/>
          <c:showCatName val="0"/>
          <c:showSerName val="0"/>
          <c:showPercent val="0"/>
          <c:showBubbleSize val="0"/>
        </c:dLbls>
        <c:axId val="-224942528"/>
        <c:axId val="-224944160"/>
      </c:scatterChart>
      <c:valAx>
        <c:axId val="-224942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44160"/>
        <c:crosses val="autoZero"/>
        <c:crossBetween val="midCat"/>
      </c:valAx>
      <c:valAx>
        <c:axId val="-22494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42528"/>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F96FA96E-AC40-4C09-A6E0-4BA596A864E8}" type="CELLRANGE">
                      <a:rPr lang="en-US"/>
                      <a:pPr/>
                      <a:t>[CELLRANGE]</a:t>
                    </a:fld>
                    <a:r>
                      <a:rPr lang="en-US" baseline="0"/>
                      <a:t>, </a:t>
                    </a:r>
                    <a:fld id="{37DACBB8-D4A9-4F0E-A51D-D98F6D82B373}" type="XVALUE">
                      <a:rPr lang="en-US" baseline="0"/>
                      <a:pPr/>
                      <a:t>[X VALUE]</a:t>
                    </a:fld>
                    <a:r>
                      <a:rPr lang="en-US" baseline="0"/>
                      <a:t>, </a:t>
                    </a:r>
                    <a:fld id="{E90DD58F-4FD4-4B1C-AF64-A6740B713325}" type="YVALUE">
                      <a:rPr lang="en-US" baseline="0"/>
                      <a:pPr/>
                      <a:t>[Y 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xForSave val="1"/>
                  <c15:showDataLabelsRange val="1"/>
                </c:ext>
              </c:extLst>
            </c:dLbl>
            <c:dLbl>
              <c:idx val="1"/>
              <c:tx>
                <c:rich>
                  <a:bodyPr/>
                  <a:lstStyle/>
                  <a:p>
                    <a:fld id="{4DA307C2-679C-467C-81EE-77AC112BA82B}" type="CELLRANGE">
                      <a:rPr lang="en-US"/>
                      <a:pPr/>
                      <a:t>[CELLRANGE]</a:t>
                    </a:fld>
                    <a:r>
                      <a:rPr lang="en-US" baseline="0"/>
                      <a:t>, </a:t>
                    </a:r>
                    <a:fld id="{491E7802-4EB0-4CD1-9549-A9E4960099B9}" type="XVALUE">
                      <a:rPr lang="en-US" baseline="0"/>
                      <a:pPr/>
                      <a:t>[X VALUE]</a:t>
                    </a:fld>
                    <a:r>
                      <a:rPr lang="en-US" baseline="0"/>
                      <a:t>, </a:t>
                    </a:r>
                    <a:fld id="{3390150F-DCEB-4D69-91F3-39710A8D15D9}" type="YVALUE">
                      <a:rPr lang="en-US" baseline="0"/>
                      <a:pPr/>
                      <a:t>[Y 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xForSave val="1"/>
                  <c15:showDataLabelsRange val="1"/>
                </c:ext>
              </c:extLst>
            </c:dLbl>
            <c:dLbl>
              <c:idx val="2"/>
              <c:tx>
                <c:rich>
                  <a:bodyPr/>
                  <a:lstStyle/>
                  <a:p>
                    <a:fld id="{87F705B1-60A2-4424-86FA-A9C8AC38DF0D}" type="CELLRANGE">
                      <a:rPr lang="en-US"/>
                      <a:pPr/>
                      <a:t>[CELLRANGE]</a:t>
                    </a:fld>
                    <a:r>
                      <a:rPr lang="en-US" baseline="0"/>
                      <a:t>, </a:t>
                    </a:r>
                    <a:fld id="{B3F6D288-0DD3-4CF9-A7B9-CDFA4EBC5B2B}" type="XVALUE">
                      <a:rPr lang="en-US" baseline="0"/>
                      <a:pPr/>
                      <a:t>[X VALUE]</a:t>
                    </a:fld>
                    <a:r>
                      <a:rPr lang="en-US" baseline="0"/>
                      <a:t>, </a:t>
                    </a:r>
                    <a:fld id="{CE3C95F8-E0A5-49BC-8CFC-1BDFDC7EF5B2}" type="YVALUE">
                      <a:rPr lang="en-US" baseline="0"/>
                      <a:pPr/>
                      <a:t>[Y 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xForSave val="1"/>
                  <c15:showDataLabelsRange val="1"/>
                </c:ext>
              </c:extLst>
            </c:dLbl>
            <c:dLbl>
              <c:idx val="3"/>
              <c:tx>
                <c:rich>
                  <a:bodyPr/>
                  <a:lstStyle/>
                  <a:p>
                    <a:fld id="{51D40189-8E4A-4C56-BBF3-F9104C053A99}" type="CELLRANGE">
                      <a:rPr lang="en-US"/>
                      <a:pPr/>
                      <a:t>[CELLRANGE]</a:t>
                    </a:fld>
                    <a:r>
                      <a:rPr lang="en-US" baseline="0"/>
                      <a:t>, </a:t>
                    </a:r>
                    <a:fld id="{296AC2BD-719B-4D9F-ADC8-2A1A291A8657}" type="XVALUE">
                      <a:rPr lang="en-US" baseline="0"/>
                      <a:pPr/>
                      <a:t>[X VALUE]</a:t>
                    </a:fld>
                    <a:r>
                      <a:rPr lang="en-US" baseline="0"/>
                      <a:t>, </a:t>
                    </a:r>
                    <a:fld id="{FCE89311-A53C-462D-A318-D25AE9F6614F}" type="YVALUE">
                      <a:rPr lang="en-US" baseline="0"/>
                      <a:pPr/>
                      <a:t>[Y 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xForSave val="1"/>
                  <c15:showDataLabelsRange val="1"/>
                </c:ext>
              </c:extLst>
            </c:dLbl>
            <c:dLbl>
              <c:idx val="4"/>
              <c:tx>
                <c:rich>
                  <a:bodyPr/>
                  <a:lstStyle/>
                  <a:p>
                    <a:fld id="{7DF98483-5FE8-4FB0-8A96-D46AF95C9873}" type="CELLRANGE">
                      <a:rPr lang="en-US"/>
                      <a:pPr/>
                      <a:t>[CELLRANGE]</a:t>
                    </a:fld>
                    <a:r>
                      <a:rPr lang="en-US" baseline="0"/>
                      <a:t>, </a:t>
                    </a:r>
                    <a:fld id="{31A6AFF1-2E96-4A8E-B1C9-DA5777086824}" type="XVALUE">
                      <a:rPr lang="en-US" baseline="0"/>
                      <a:pPr/>
                      <a:t>[X VALUE]</a:t>
                    </a:fld>
                    <a:r>
                      <a:rPr lang="en-US" baseline="0"/>
                      <a:t>, </a:t>
                    </a:r>
                    <a:fld id="{980B907D-9A22-4911-89AE-60375C91BD02}" type="YVALUE">
                      <a:rPr lang="en-US" baseline="0"/>
                      <a:pPr/>
                      <a:t>[Y 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xForSave val="1"/>
                  <c15:showDataLabelsRange val="1"/>
                </c:ext>
              </c:extLst>
            </c:dLbl>
            <c:dLbl>
              <c:idx val="5"/>
              <c:tx>
                <c:rich>
                  <a:bodyPr/>
                  <a:lstStyle/>
                  <a:p>
                    <a:fld id="{8243DA92-810C-4B2C-8916-EE8A1D5D108D}" type="CELLRANGE">
                      <a:rPr lang="en-US"/>
                      <a:pPr/>
                      <a:t>[CELLRANGE]</a:t>
                    </a:fld>
                    <a:r>
                      <a:rPr lang="en-US" baseline="0"/>
                      <a:t>, </a:t>
                    </a:r>
                    <a:fld id="{6290CAD3-CE5C-466D-B296-42157CFEED7E}" type="XVALUE">
                      <a:rPr lang="en-US" baseline="0"/>
                      <a:pPr/>
                      <a:t>[X VALUE]</a:t>
                    </a:fld>
                    <a:r>
                      <a:rPr lang="en-US" baseline="0"/>
                      <a:t>, </a:t>
                    </a:r>
                    <a:fld id="{CBF16CDF-1E6C-453B-B5C7-37EDE5215576}" type="YVALUE">
                      <a:rPr lang="en-US" baseline="0"/>
                      <a:pPr/>
                      <a:t>[Y 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xForSave val="1"/>
                  <c15:showDataLabelsRange val="1"/>
                </c:ext>
              </c:extLst>
            </c:dLbl>
            <c:dLbl>
              <c:idx val="6"/>
              <c:tx>
                <c:rich>
                  <a:bodyPr/>
                  <a:lstStyle/>
                  <a:p>
                    <a:fld id="{5A8B7175-0D5C-4B2F-AC4D-30CC2C7888FA}" type="CELLRANGE">
                      <a:rPr lang="en-US"/>
                      <a:pPr/>
                      <a:t>[CELLRANGE]</a:t>
                    </a:fld>
                    <a:r>
                      <a:rPr lang="en-US" baseline="0"/>
                      <a:t>, </a:t>
                    </a:r>
                    <a:fld id="{4226A5F0-982F-4222-BA0E-3C1936CEC3D3}" type="XVALUE">
                      <a:rPr lang="en-US" baseline="0"/>
                      <a:pPr/>
                      <a:t>[X VALUE]</a:t>
                    </a:fld>
                    <a:r>
                      <a:rPr lang="en-US" baseline="0"/>
                      <a:t>, </a:t>
                    </a:r>
                    <a:fld id="{A9917C76-960A-41AE-9D2A-7259C8D240C3}" type="YVALUE">
                      <a:rPr lang="en-US" baseline="0"/>
                      <a:pPr/>
                      <a:t>[Y 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xForSave val="1"/>
                  <c15:showDataLabelsRange val="1"/>
                </c:ext>
              </c:extLst>
            </c:dLbl>
            <c:dLbl>
              <c:idx val="7"/>
              <c:tx>
                <c:rich>
                  <a:bodyPr/>
                  <a:lstStyle/>
                  <a:p>
                    <a:fld id="{BD7957DA-7A37-4752-B20B-E5B770B43ACF}" type="CELLRANGE">
                      <a:rPr lang="en-US"/>
                      <a:pPr/>
                      <a:t>[CELLRANGE]</a:t>
                    </a:fld>
                    <a:r>
                      <a:rPr lang="en-US" baseline="0"/>
                      <a:t>, </a:t>
                    </a:r>
                    <a:fld id="{B4B21596-3160-419A-8769-43577497B30A}" type="XVALUE">
                      <a:rPr lang="en-US" baseline="0"/>
                      <a:pPr/>
                      <a:t>[X VALUE]</a:t>
                    </a:fld>
                    <a:r>
                      <a:rPr lang="en-US" baseline="0"/>
                      <a:t>, </a:t>
                    </a:r>
                    <a:fld id="{F95DE5E2-5475-4DAF-92DC-721118B3B502}" type="YVALUE">
                      <a:rPr lang="en-US" baseline="0"/>
                      <a:pPr/>
                      <a:t>[Y 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xForSave val="1"/>
                  <c15:showDataLabelsRange val="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xVal>
            <c:numLit>
              <c:formatCode>General</c:formatCode>
              <c:ptCount val="8"/>
              <c:pt idx="0">
                <c:v>2</c:v>
              </c:pt>
              <c:pt idx="1">
                <c:v>2</c:v>
              </c:pt>
              <c:pt idx="2">
                <c:v>8</c:v>
              </c:pt>
              <c:pt idx="3">
                <c:v>5</c:v>
              </c:pt>
              <c:pt idx="4">
                <c:v>7</c:v>
              </c:pt>
              <c:pt idx="5">
                <c:v>6</c:v>
              </c:pt>
              <c:pt idx="6">
                <c:v>1</c:v>
              </c:pt>
              <c:pt idx="7">
                <c:v>4</c:v>
              </c:pt>
            </c:numLit>
          </c:xVal>
          <c:yVal>
            <c:numLit>
              <c:formatCode>General</c:formatCode>
              <c:ptCount val="8"/>
              <c:pt idx="0">
                <c:v>10</c:v>
              </c:pt>
              <c:pt idx="1">
                <c:v>5</c:v>
              </c:pt>
              <c:pt idx="2">
                <c:v>4</c:v>
              </c:pt>
              <c:pt idx="3">
                <c:v>8</c:v>
              </c:pt>
              <c:pt idx="4">
                <c:v>5</c:v>
              </c:pt>
              <c:pt idx="5">
                <c:v>4</c:v>
              </c:pt>
              <c:pt idx="6">
                <c:v>2</c:v>
              </c:pt>
              <c:pt idx="7">
                <c:v>9</c:v>
              </c:pt>
            </c:numLit>
          </c:yVal>
          <c:smooth val="0"/>
          <c:extLst xmlns:c16r2="http://schemas.microsoft.com/office/drawing/2015/06/chart">
            <c:ext xmlns:c16="http://schemas.microsoft.com/office/drawing/2014/chart" uri="{C3380CC4-5D6E-409C-BE32-E72D297353CC}">
              <c16:uniqueId val="{00000008-7014-4F41-AC38-130C0DB67193}"/>
            </c:ext>
            <c:ext xmlns:c15="http://schemas.microsoft.com/office/drawing/2012/chart" uri="{02D57815-91ED-43cb-92C2-25804820EDAC}">
              <c15:datalabelsRange>
                <c15:f>{"A1","A2","A3","A4","A5","A6","A7","A8"}</c15:f>
                <c15:dlblRangeCache>
                  <c:ptCount val="8"/>
                  <c:pt idx="0">
                    <c:v>A1</c:v>
                  </c:pt>
                  <c:pt idx="1">
                    <c:v>A2</c:v>
                  </c:pt>
                  <c:pt idx="2">
                    <c:v>A3</c:v>
                  </c:pt>
                  <c:pt idx="3">
                    <c:v>A4</c:v>
                  </c:pt>
                  <c:pt idx="4">
                    <c:v>A5</c:v>
                  </c:pt>
                  <c:pt idx="5">
                    <c:v>A6</c:v>
                  </c:pt>
                  <c:pt idx="6">
                    <c:v>A7</c:v>
                  </c:pt>
                  <c:pt idx="7">
                    <c:v>A8</c:v>
                  </c:pt>
                </c15:dlblRangeCache>
              </c15:datalabelsRange>
            </c:ext>
          </c:extLst>
        </c:ser>
        <c:dLbls>
          <c:showLegendKey val="0"/>
          <c:showVal val="0"/>
          <c:showCatName val="0"/>
          <c:showSerName val="0"/>
          <c:showPercent val="0"/>
          <c:showBubbleSize val="0"/>
        </c:dLbls>
        <c:axId val="-225262480"/>
        <c:axId val="-2140935168"/>
      </c:scatterChart>
      <c:valAx>
        <c:axId val="-225262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935168"/>
        <c:crosses val="autoZero"/>
        <c:crossBetween val="midCat"/>
      </c:valAx>
      <c:valAx>
        <c:axId val="-214093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2624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DEX!A1"/></Relationships>
</file>

<file path=xl/drawings/_rels/drawing2.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3.jpeg"/><Relationship Id="rId1" Type="http://schemas.openxmlformats.org/officeDocument/2006/relationships/image" Target="../media/image2.jpe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4.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1.xml"/><Relationship Id="rId5" Type="http://schemas.openxmlformats.org/officeDocument/2006/relationships/image" Target="../media/image7.jpe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1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1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jpeg"/><Relationship Id="rId1"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hyperlink" Target="#INDEX!A1"/></Relationships>
</file>

<file path=xl/drawings/_rels/drawing1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INDEX!A1"/><Relationship Id="rId1" Type="http://schemas.openxmlformats.org/officeDocument/2006/relationships/image" Target="../media/image12.png"/></Relationships>
</file>

<file path=xl/drawings/_rels/drawing1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1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1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6.png"/><Relationship Id="rId5" Type="http://schemas.openxmlformats.org/officeDocument/2006/relationships/image" Target="../media/image4.png"/><Relationship Id="rId4" Type="http://schemas.openxmlformats.org/officeDocument/2006/relationships/hyperlink" Target="#INDEX!A1"/></Relationships>
</file>

<file path=xl/drawings/_rels/drawing2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2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INDEX!A1"/><Relationship Id="rId1" Type="http://schemas.openxmlformats.org/officeDocument/2006/relationships/image" Target="../media/image17.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2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2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INDEX!A1"/><Relationship Id="rId1" Type="http://schemas.openxmlformats.org/officeDocument/2006/relationships/image" Target="../media/image18.png"/></Relationships>
</file>

<file path=xl/drawings/_rels/drawing2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2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INDEX!A1"/><Relationship Id="rId1" Type="http://schemas.openxmlformats.org/officeDocument/2006/relationships/image" Target="../media/image19.png"/></Relationships>
</file>

<file path=xl/drawings/_rels/drawing2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EX!A1"/></Relationships>
</file>

<file path=xl/drawings/_rels/drawing2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INDEX!A1"/><Relationship Id="rId1" Type="http://schemas.openxmlformats.org/officeDocument/2006/relationships/chart" Target="../charts/chart2.xml"/><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9</xdr:col>
      <xdr:colOff>219075</xdr:colOff>
      <xdr:row>3</xdr:row>
      <xdr:rowOff>561975</xdr:rowOff>
    </xdr:from>
    <xdr:to>
      <xdr:col>9</xdr:col>
      <xdr:colOff>1057274</xdr:colOff>
      <xdr:row>5</xdr:row>
      <xdr:rowOff>66674</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550" y="1133475"/>
          <a:ext cx="838199" cy="8381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1409700</xdr:colOff>
      <xdr:row>13</xdr:row>
      <xdr:rowOff>134937</xdr:rowOff>
    </xdr:from>
    <xdr:ext cx="2257990" cy="600614"/>
    <mc:AlternateContent xmlns:mc="http://schemas.openxmlformats.org/markup-compatibility/2006" xmlns:a14="http://schemas.microsoft.com/office/drawing/2010/main">
      <mc:Choice Requires="a14">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409700" y="2630487"/>
              <a:ext cx="2257990" cy="600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sSup>
                      <m:sSupPr>
                        <m:ctrlPr>
                          <a:rPr lang="en-IN"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𝜒</m:t>
                        </m:r>
                      </m:e>
                      <m:sup>
                        <m:r>
                          <a:rPr lang="en-US" sz="1100" i="1">
                            <a:solidFill>
                              <a:schemeClr val="tx1"/>
                            </a:solidFill>
                            <a:effectLst/>
                            <a:latin typeface="Cambria Math" panose="02040503050406030204" pitchFamily="18" charset="0"/>
                            <a:ea typeface="+mn-ea"/>
                            <a:cs typeface="+mn-cs"/>
                          </a:rPr>
                          <m:t>2</m:t>
                        </m:r>
                      </m:sup>
                    </m:sSup>
                    <m:r>
                      <a:rPr lang="en-US" sz="1100" i="1">
                        <a:solidFill>
                          <a:schemeClr val="tx1"/>
                        </a:solidFill>
                        <a:effectLst/>
                        <a:latin typeface="Cambria Math" panose="02040503050406030204" pitchFamily="18" charset="0"/>
                        <a:ea typeface="+mn-ea"/>
                        <a:cs typeface="+mn-cs"/>
                      </a:rPr>
                      <m:t>=</m:t>
                    </m:r>
                    <m:nary>
                      <m:naryPr>
                        <m:chr m:val="∑"/>
                        <m:subHide m:val="on"/>
                        <m:supHide m:val="on"/>
                        <m:ctrlPr>
                          <a:rPr lang="en-IN" sz="1100" i="1">
                            <a:solidFill>
                              <a:schemeClr val="tx1"/>
                            </a:solidFill>
                            <a:effectLst/>
                            <a:latin typeface="Cambria Math" panose="02040503050406030204" pitchFamily="18" charset="0"/>
                            <a:ea typeface="+mn-ea"/>
                            <a:cs typeface="+mn-cs"/>
                          </a:rPr>
                        </m:ctrlPr>
                      </m:naryPr>
                      <m:sub/>
                      <m:sup/>
                      <m:e>
                        <m:f>
                          <m:fPr>
                            <m:ctrlPr>
                              <a:rPr lang="en-IN"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𝑂𝑏𝑠𝑒𝑟𝑣𝑒𝑑</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𝐸𝑥𝑝𝑒𝑐𝑡𝑒𝑑</m:t>
                            </m:r>
                            <m:sSup>
                              <m:sSupPr>
                                <m:ctrlPr>
                                  <a:rPr lang="en-IN"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m:t>
                                </m:r>
                              </m:e>
                              <m:sup>
                                <m:r>
                                  <a:rPr lang="en-US" sz="1100" i="1">
                                    <a:solidFill>
                                      <a:schemeClr val="tx1"/>
                                    </a:solidFill>
                                    <a:effectLst/>
                                    <a:latin typeface="Cambria Math" panose="02040503050406030204" pitchFamily="18" charset="0"/>
                                    <a:ea typeface="+mn-ea"/>
                                    <a:cs typeface="+mn-cs"/>
                                  </a:rPr>
                                  <m:t>2</m:t>
                                </m:r>
                              </m:sup>
                            </m:sSup>
                          </m:num>
                          <m:den>
                            <m:r>
                              <a:rPr lang="en-US" sz="1100" i="1">
                                <a:solidFill>
                                  <a:schemeClr val="tx1"/>
                                </a:solidFill>
                                <a:effectLst/>
                                <a:latin typeface="Cambria Math" panose="02040503050406030204" pitchFamily="18" charset="0"/>
                                <a:ea typeface="+mn-ea"/>
                                <a:cs typeface="+mn-cs"/>
                              </a:rPr>
                              <m:t>𝐸𝑥𝑝𝑒𝑐𝑡𝑒𝑑</m:t>
                            </m:r>
                          </m:den>
                        </m:f>
                      </m:e>
                    </m:nary>
                  </m:oMath>
                </m:oMathPara>
              </a14:m>
              <a:endParaRPr lang="en-IN" sz="1100">
                <a:solidFill>
                  <a:schemeClr val="tx1"/>
                </a:solidFill>
                <a:effectLst/>
                <a:latin typeface="+mn-lt"/>
                <a:ea typeface="+mn-ea"/>
                <a:cs typeface="+mn-cs"/>
              </a:endParaRPr>
            </a:p>
            <a:p>
              <a:endParaRPr lang="en-IN" sz="1100"/>
            </a:p>
          </xdr:txBody>
        </xdr:sp>
      </mc:Choice>
      <mc:Fallback xmlns="">
        <xdr:sp macro="" textlink="">
          <xdr:nvSpPr>
            <xdr:cNvPr id="2" name="TextBox 1">
              <a:extLst>
                <a:ext uri="{FF2B5EF4-FFF2-40B4-BE49-F238E27FC236}">
                  <a16:creationId xmlns:a16="http://schemas.microsoft.com/office/drawing/2014/main" id="{8DB835D6-3E17-458E-8CEC-921E974D47A2}"/>
                </a:ext>
              </a:extLst>
            </xdr:cNvPr>
            <xdr:cNvSpPr txBox="1"/>
          </xdr:nvSpPr>
          <xdr:spPr>
            <a:xfrm>
              <a:off x="1409700" y="2630487"/>
              <a:ext cx="2257990" cy="600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i="0">
                  <a:solidFill>
                    <a:schemeClr val="tx1"/>
                  </a:solidFill>
                  <a:effectLst/>
                  <a:latin typeface="Cambria Math" panose="02040503050406030204" pitchFamily="18" charset="0"/>
                  <a:ea typeface="+mn-ea"/>
                  <a:cs typeface="+mn-cs"/>
                </a:rPr>
                <a:t>𝜒</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(𝑂𝑏𝑠𝑒𝑟𝑣𝑒𝑑−𝐸𝑥𝑝𝑒𝑐𝑡𝑒𝑑)</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𝐸𝑥𝑝𝑒𝑐𝑡𝑒𝑑</a:t>
              </a:r>
              <a:endParaRPr lang="en-IN" sz="1100">
                <a:solidFill>
                  <a:schemeClr val="tx1"/>
                </a:solidFill>
                <a:effectLst/>
                <a:latin typeface="+mn-lt"/>
                <a:ea typeface="+mn-ea"/>
                <a:cs typeface="+mn-cs"/>
              </a:endParaRPr>
            </a:p>
            <a:p>
              <a:endParaRPr lang="en-IN" sz="1100"/>
            </a:p>
          </xdr:txBody>
        </xdr:sp>
      </mc:Fallback>
    </mc:AlternateContent>
    <xdr:clientData/>
  </xdr:oneCellAnchor>
  <xdr:twoCellAnchor editAs="oneCell">
    <xdr:from>
      <xdr:col>9</xdr:col>
      <xdr:colOff>261932</xdr:colOff>
      <xdr:row>0</xdr:row>
      <xdr:rowOff>0</xdr:rowOff>
    </xdr:from>
    <xdr:to>
      <xdr:col>21</xdr:col>
      <xdr:colOff>604832</xdr:colOff>
      <xdr:row>34</xdr:row>
      <xdr:rowOff>6350</xdr:rowOff>
    </xdr:to>
    <xdr:pic>
      <xdr:nvPicPr>
        <xdr:cNvPr id="3" name="Picture 2" descr="https://i.stack.imgur.com/PbEqv.jpg">
          <a:extLst>
            <a:ext uri="{FF2B5EF4-FFF2-40B4-BE49-F238E27FC236}">
              <a16:creationId xmlns=""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58382" y="0"/>
          <a:ext cx="7658100" cy="688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650875</xdr:colOff>
      <xdr:row>19</xdr:row>
      <xdr:rowOff>134937</xdr:rowOff>
    </xdr:from>
    <xdr:to>
      <xdr:col>6</xdr:col>
      <xdr:colOff>161925</xdr:colOff>
      <xdr:row>38</xdr:row>
      <xdr:rowOff>153144</xdr:rowOff>
    </xdr:to>
    <xdr:pic>
      <xdr:nvPicPr>
        <xdr:cNvPr id="4" name="Picture 3" descr="NS D-01smc">
          <a:extLst>
            <a:ext uri="{FF2B5EF4-FFF2-40B4-BE49-F238E27FC236}">
              <a16:creationId xmlns=""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03575" y="4154487"/>
          <a:ext cx="3825875" cy="3637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xdr:colOff>
      <xdr:row>8</xdr:row>
      <xdr:rowOff>0</xdr:rowOff>
    </xdr:from>
    <xdr:to>
      <xdr:col>7</xdr:col>
      <xdr:colOff>857249</xdr:colOff>
      <xdr:row>12</xdr:row>
      <xdr:rowOff>76199</xdr:rowOff>
    </xdr:to>
    <xdr:pic>
      <xdr:nvPicPr>
        <xdr:cNvPr id="5" name="Picture 4">
          <a:hlinkClick xmlns:r="http://schemas.openxmlformats.org/officeDocument/2006/relationships" r:id="rId3"/>
          <a:extLst>
            <a:ext uri="{FF2B5EF4-FFF2-40B4-BE49-F238E27FC236}">
              <a16:creationId xmlns="" xmlns:a16="http://schemas.microsoft.com/office/drawing/2014/main" id="{00000000-0008-0000-01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01025" y="1543050"/>
          <a:ext cx="838199" cy="8381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13</xdr:col>
      <xdr:colOff>266700</xdr:colOff>
      <xdr:row>14</xdr:row>
      <xdr:rowOff>71437</xdr:rowOff>
    </xdr:from>
    <xdr:ext cx="4585614" cy="546496"/>
    <mc:AlternateContent xmlns:mc="http://schemas.openxmlformats.org/markup-compatibility/2006" xmlns:a14="http://schemas.microsoft.com/office/drawing/2010/main">
      <mc:Choice Requires="a14">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14573250" y="2738437"/>
              <a:ext cx="4585614" cy="546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100" b="1" i="1">
                        <a:solidFill>
                          <a:schemeClr val="tx1"/>
                        </a:solidFill>
                        <a:effectLst/>
                        <a:latin typeface="Cambria Math" panose="02040503050406030204" pitchFamily="18" charset="0"/>
                        <a:ea typeface="+mn-ea"/>
                        <a:cs typeface="+mn-cs"/>
                      </a:rPr>
                      <m:t>𝑐𝑜𝑟𝑟</m:t>
                    </m:r>
                    <m:d>
                      <m:dPr>
                        <m:ctrlPr>
                          <a:rPr lang="en-IN" sz="1100" b="1" i="1">
                            <a:solidFill>
                              <a:schemeClr val="tx1"/>
                            </a:solidFill>
                            <a:effectLst/>
                            <a:latin typeface="Cambria Math" panose="02040503050406030204" pitchFamily="18" charset="0"/>
                            <a:ea typeface="+mn-ea"/>
                            <a:cs typeface="+mn-cs"/>
                          </a:rPr>
                        </m:ctrlPr>
                      </m:dPr>
                      <m:e>
                        <m:r>
                          <a:rPr lang="en-US" sz="1100" b="1" i="1">
                            <a:solidFill>
                              <a:schemeClr val="tx1"/>
                            </a:solidFill>
                            <a:effectLst/>
                            <a:latin typeface="Cambria Math" panose="02040503050406030204" pitchFamily="18" charset="0"/>
                            <a:ea typeface="+mn-ea"/>
                            <a:cs typeface="+mn-cs"/>
                          </a:rPr>
                          <m:t>𝑥</m:t>
                        </m:r>
                        <m:r>
                          <a:rPr lang="en-US" sz="1100" b="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𝑦</m:t>
                        </m:r>
                      </m:e>
                    </m:d>
                    <m:r>
                      <a:rPr lang="en-US" sz="1100" b="1">
                        <a:solidFill>
                          <a:schemeClr val="tx1"/>
                        </a:solidFill>
                        <a:effectLst/>
                        <a:latin typeface="Cambria Math" panose="02040503050406030204" pitchFamily="18" charset="0"/>
                        <a:ea typeface="+mn-ea"/>
                        <a:cs typeface="+mn-cs"/>
                      </a:rPr>
                      <m:t>=</m:t>
                    </m:r>
                    <m:f>
                      <m:fPr>
                        <m:ctrlPr>
                          <a:rPr lang="en-IN" sz="1100" b="1" i="1">
                            <a:solidFill>
                              <a:schemeClr val="tx1"/>
                            </a:solidFill>
                            <a:effectLst/>
                            <a:latin typeface="Cambria Math" panose="02040503050406030204" pitchFamily="18" charset="0"/>
                            <a:ea typeface="+mn-ea"/>
                            <a:cs typeface="+mn-cs"/>
                          </a:rPr>
                        </m:ctrlPr>
                      </m:fPr>
                      <m:num>
                        <m:r>
                          <a:rPr lang="en-US" sz="1100" b="1" i="1">
                            <a:solidFill>
                              <a:srgbClr val="C00000"/>
                            </a:solidFill>
                            <a:effectLst/>
                            <a:latin typeface="Cambria Math" panose="02040503050406030204" pitchFamily="18" charset="0"/>
                            <a:ea typeface="+mn-ea"/>
                            <a:cs typeface="+mn-cs"/>
                          </a:rPr>
                          <m:t>𝑐𝑜𝑣𝑎𝑟𝑖𝑎𝑛𝑐𝑒</m:t>
                        </m:r>
                        <m:r>
                          <a:rPr lang="en-US" sz="1100" b="1">
                            <a:solidFill>
                              <a:srgbClr val="C00000"/>
                            </a:solidFill>
                            <a:effectLst/>
                            <a:latin typeface="Cambria Math" panose="02040503050406030204" pitchFamily="18" charset="0"/>
                            <a:ea typeface="+mn-ea"/>
                            <a:cs typeface="+mn-cs"/>
                          </a:rPr>
                          <m:t>(</m:t>
                        </m:r>
                        <m:r>
                          <a:rPr lang="en-US" sz="1100" b="1" i="1">
                            <a:solidFill>
                              <a:srgbClr val="C00000"/>
                            </a:solidFill>
                            <a:effectLst/>
                            <a:latin typeface="Cambria Math" panose="02040503050406030204" pitchFamily="18" charset="0"/>
                            <a:ea typeface="+mn-ea"/>
                            <a:cs typeface="+mn-cs"/>
                          </a:rPr>
                          <m:t>𝑥</m:t>
                        </m:r>
                        <m:r>
                          <a:rPr lang="en-US" sz="1100" b="1">
                            <a:solidFill>
                              <a:srgbClr val="C00000"/>
                            </a:solidFill>
                            <a:effectLst/>
                            <a:latin typeface="Cambria Math" panose="02040503050406030204" pitchFamily="18" charset="0"/>
                            <a:ea typeface="+mn-ea"/>
                            <a:cs typeface="+mn-cs"/>
                          </a:rPr>
                          <m:t>,</m:t>
                        </m:r>
                        <m:r>
                          <a:rPr lang="en-US" sz="1100" b="1" i="1">
                            <a:solidFill>
                              <a:srgbClr val="C00000"/>
                            </a:solidFill>
                            <a:effectLst/>
                            <a:latin typeface="Cambria Math" panose="02040503050406030204" pitchFamily="18" charset="0"/>
                            <a:ea typeface="+mn-ea"/>
                            <a:cs typeface="+mn-cs"/>
                          </a:rPr>
                          <m:t>𝑦</m:t>
                        </m:r>
                        <m:r>
                          <a:rPr lang="en-US" sz="1100" b="1">
                            <a:solidFill>
                              <a:srgbClr val="C00000"/>
                            </a:solidFill>
                            <a:effectLst/>
                            <a:latin typeface="Cambria Math" panose="02040503050406030204" pitchFamily="18" charset="0"/>
                            <a:ea typeface="+mn-ea"/>
                            <a:cs typeface="+mn-cs"/>
                          </a:rPr>
                          <m:t>)</m:t>
                        </m:r>
                      </m:num>
                      <m:den>
                        <m:r>
                          <a:rPr lang="en-US" sz="1100" b="1" i="1">
                            <a:solidFill>
                              <a:schemeClr val="accent5"/>
                            </a:solidFill>
                            <a:effectLst/>
                            <a:latin typeface="Cambria Math" panose="02040503050406030204" pitchFamily="18" charset="0"/>
                            <a:ea typeface="+mn-ea"/>
                            <a:cs typeface="+mn-cs"/>
                          </a:rPr>
                          <m:t>𝑠𝑡𝑎𝑛𝑑𝑎𝑟𝑑</m:t>
                        </m:r>
                        <m:r>
                          <a:rPr lang="en-US" sz="1100" b="1">
                            <a:solidFill>
                              <a:schemeClr val="accent5"/>
                            </a:solidFill>
                            <a:effectLst/>
                            <a:latin typeface="Cambria Math" panose="02040503050406030204" pitchFamily="18" charset="0"/>
                            <a:ea typeface="+mn-ea"/>
                            <a:cs typeface="+mn-cs"/>
                          </a:rPr>
                          <m:t>_</m:t>
                        </m:r>
                        <m:r>
                          <a:rPr lang="en-US" sz="1100" b="1" i="1">
                            <a:solidFill>
                              <a:schemeClr val="accent5"/>
                            </a:solidFill>
                            <a:effectLst/>
                            <a:latin typeface="Cambria Math" panose="02040503050406030204" pitchFamily="18" charset="0"/>
                            <a:ea typeface="+mn-ea"/>
                            <a:cs typeface="+mn-cs"/>
                          </a:rPr>
                          <m:t>𝑑𝑒𝑣𝑖𝑎𝑡𝑖𝑜𝑛</m:t>
                        </m:r>
                        <m:r>
                          <a:rPr lang="en-US" sz="1100" b="1">
                            <a:solidFill>
                              <a:schemeClr val="accent5"/>
                            </a:solidFill>
                            <a:effectLst/>
                            <a:latin typeface="Cambria Math" panose="02040503050406030204" pitchFamily="18" charset="0"/>
                            <a:ea typeface="+mn-ea"/>
                            <a:cs typeface="+mn-cs"/>
                          </a:rPr>
                          <m:t> (</m:t>
                        </m:r>
                        <m:r>
                          <a:rPr lang="en-US" sz="1100" b="1" i="1">
                            <a:solidFill>
                              <a:schemeClr val="accent5"/>
                            </a:solidFill>
                            <a:effectLst/>
                            <a:latin typeface="Cambria Math" panose="02040503050406030204" pitchFamily="18" charset="0"/>
                            <a:ea typeface="+mn-ea"/>
                            <a:cs typeface="+mn-cs"/>
                          </a:rPr>
                          <m:t>𝑥</m:t>
                        </m:r>
                        <m:r>
                          <a:rPr lang="en-US" sz="1100" b="1">
                            <a:solidFill>
                              <a:schemeClr val="accent5"/>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m:t>
                        </m:r>
                        <m:r>
                          <a:rPr lang="en-US" sz="1100" b="1" i="1">
                            <a:solidFill>
                              <a:srgbClr val="7030A0"/>
                            </a:solidFill>
                            <a:effectLst/>
                            <a:latin typeface="Cambria Math" panose="02040503050406030204" pitchFamily="18" charset="0"/>
                            <a:ea typeface="+mn-ea"/>
                            <a:cs typeface="+mn-cs"/>
                          </a:rPr>
                          <m:t>𝑠𝑡𝑎𝑛𝑑𝑎𝑟𝑑</m:t>
                        </m:r>
                        <m:r>
                          <a:rPr lang="en-US" sz="1100" b="1">
                            <a:solidFill>
                              <a:srgbClr val="7030A0"/>
                            </a:solidFill>
                            <a:effectLst/>
                            <a:latin typeface="Cambria Math" panose="02040503050406030204" pitchFamily="18" charset="0"/>
                            <a:ea typeface="+mn-ea"/>
                            <a:cs typeface="+mn-cs"/>
                          </a:rPr>
                          <m:t>_</m:t>
                        </m:r>
                        <m:r>
                          <a:rPr lang="en-US" sz="1100" b="1" i="1">
                            <a:solidFill>
                              <a:srgbClr val="7030A0"/>
                            </a:solidFill>
                            <a:effectLst/>
                            <a:latin typeface="Cambria Math" panose="02040503050406030204" pitchFamily="18" charset="0"/>
                            <a:ea typeface="+mn-ea"/>
                            <a:cs typeface="+mn-cs"/>
                          </a:rPr>
                          <m:t>𝑑𝑒𝑣𝑖𝑎𝑡𝑖𝑜𝑛</m:t>
                        </m:r>
                        <m:d>
                          <m:dPr>
                            <m:ctrlPr>
                              <a:rPr lang="en-IN" sz="1100" b="1" i="1">
                                <a:solidFill>
                                  <a:srgbClr val="7030A0"/>
                                </a:solidFill>
                                <a:effectLst/>
                                <a:latin typeface="Cambria Math" panose="02040503050406030204" pitchFamily="18" charset="0"/>
                                <a:ea typeface="+mn-ea"/>
                                <a:cs typeface="+mn-cs"/>
                              </a:rPr>
                            </m:ctrlPr>
                          </m:dPr>
                          <m:e>
                            <m:r>
                              <a:rPr lang="en-US" sz="1100" b="1" i="1">
                                <a:solidFill>
                                  <a:srgbClr val="7030A0"/>
                                </a:solidFill>
                                <a:effectLst/>
                                <a:latin typeface="Cambria Math" panose="02040503050406030204" pitchFamily="18" charset="0"/>
                                <a:ea typeface="+mn-ea"/>
                                <a:cs typeface="+mn-cs"/>
                              </a:rPr>
                              <m:t>𝑦</m:t>
                            </m:r>
                          </m:e>
                        </m:d>
                      </m:den>
                    </m:f>
                    <m:r>
                      <a:rPr lang="en-US" sz="1100" b="1">
                        <a:solidFill>
                          <a:schemeClr val="tx1"/>
                        </a:solidFill>
                        <a:effectLst/>
                        <a:latin typeface="Cambria Math" panose="02040503050406030204" pitchFamily="18" charset="0"/>
                        <a:ea typeface="+mn-ea"/>
                        <a:cs typeface="+mn-cs"/>
                      </a:rPr>
                      <m:t>=</m:t>
                    </m:r>
                    <m:f>
                      <m:fPr>
                        <m:ctrlPr>
                          <a:rPr lang="en-IN" sz="1100" b="1" i="1">
                            <a:solidFill>
                              <a:schemeClr val="tx1"/>
                            </a:solidFill>
                            <a:effectLst/>
                            <a:latin typeface="Cambria Math" panose="02040503050406030204" pitchFamily="18" charset="0"/>
                            <a:ea typeface="+mn-ea"/>
                            <a:cs typeface="+mn-cs"/>
                          </a:rPr>
                        </m:ctrlPr>
                      </m:fPr>
                      <m:num>
                        <m:sSub>
                          <m:sSubPr>
                            <m:ctrlPr>
                              <a:rPr lang="en-IN" sz="1100" b="1" i="1">
                                <a:solidFill>
                                  <a:schemeClr val="tx1"/>
                                </a:solidFill>
                                <a:effectLst/>
                                <a:latin typeface="Cambria Math" panose="02040503050406030204" pitchFamily="18" charset="0"/>
                                <a:ea typeface="+mn-ea"/>
                                <a:cs typeface="+mn-cs"/>
                              </a:rPr>
                            </m:ctrlPr>
                          </m:sSubPr>
                          <m:e>
                            <m:r>
                              <a:rPr lang="en-US" sz="1100" b="1" i="1">
                                <a:solidFill>
                                  <a:schemeClr val="tx1"/>
                                </a:solidFill>
                                <a:effectLst/>
                                <a:latin typeface="Cambria Math" panose="02040503050406030204" pitchFamily="18" charset="0"/>
                                <a:ea typeface="+mn-ea"/>
                                <a:cs typeface="+mn-cs"/>
                              </a:rPr>
                              <m:t>𝑆</m:t>
                            </m:r>
                          </m:e>
                          <m:sub>
                            <m:r>
                              <a:rPr lang="en-US" sz="1100" b="1" i="1">
                                <a:solidFill>
                                  <a:schemeClr val="tx1"/>
                                </a:solidFill>
                                <a:effectLst/>
                                <a:latin typeface="Cambria Math" panose="02040503050406030204" pitchFamily="18" charset="0"/>
                                <a:ea typeface="+mn-ea"/>
                                <a:cs typeface="+mn-cs"/>
                              </a:rPr>
                              <m:t>𝑥𝑦</m:t>
                            </m:r>
                          </m:sub>
                        </m:sSub>
                      </m:num>
                      <m:den>
                        <m:sSub>
                          <m:sSubPr>
                            <m:ctrlPr>
                              <a:rPr lang="en-IN" sz="1100" b="1" i="1">
                                <a:solidFill>
                                  <a:schemeClr val="tx1"/>
                                </a:solidFill>
                                <a:effectLst/>
                                <a:latin typeface="Cambria Math" panose="02040503050406030204" pitchFamily="18" charset="0"/>
                                <a:ea typeface="+mn-ea"/>
                                <a:cs typeface="+mn-cs"/>
                              </a:rPr>
                            </m:ctrlPr>
                          </m:sSubPr>
                          <m:e>
                            <m:r>
                              <a:rPr lang="en-US" sz="1100" b="1" i="1">
                                <a:solidFill>
                                  <a:schemeClr val="tx1"/>
                                </a:solidFill>
                                <a:effectLst/>
                                <a:latin typeface="Cambria Math" panose="02040503050406030204" pitchFamily="18" charset="0"/>
                                <a:ea typeface="+mn-ea"/>
                                <a:cs typeface="+mn-cs"/>
                              </a:rPr>
                              <m:t>𝑆</m:t>
                            </m:r>
                          </m:e>
                          <m:sub>
                            <m:r>
                              <a:rPr lang="en-US" sz="1100" b="1" i="1">
                                <a:solidFill>
                                  <a:schemeClr val="tx1"/>
                                </a:solidFill>
                                <a:effectLst/>
                                <a:latin typeface="Cambria Math" panose="02040503050406030204" pitchFamily="18" charset="0"/>
                                <a:ea typeface="+mn-ea"/>
                                <a:cs typeface="+mn-cs"/>
                              </a:rPr>
                              <m:t>𝑥</m:t>
                            </m:r>
                          </m:sub>
                        </m:sSub>
                        <m:sSub>
                          <m:sSubPr>
                            <m:ctrlPr>
                              <a:rPr lang="en-IN" sz="1100" b="1" i="1">
                                <a:solidFill>
                                  <a:schemeClr val="tx1"/>
                                </a:solidFill>
                                <a:effectLst/>
                                <a:latin typeface="Cambria Math" panose="02040503050406030204" pitchFamily="18" charset="0"/>
                                <a:ea typeface="+mn-ea"/>
                                <a:cs typeface="+mn-cs"/>
                              </a:rPr>
                            </m:ctrlPr>
                          </m:sSubPr>
                          <m:e>
                            <m:r>
                              <a:rPr lang="en-US" sz="1100" b="1" i="1">
                                <a:solidFill>
                                  <a:schemeClr val="tx1"/>
                                </a:solidFill>
                                <a:effectLst/>
                                <a:latin typeface="Cambria Math" panose="02040503050406030204" pitchFamily="18" charset="0"/>
                                <a:ea typeface="+mn-ea"/>
                                <a:cs typeface="+mn-cs"/>
                              </a:rPr>
                              <m:t>𝑆</m:t>
                            </m:r>
                          </m:e>
                          <m:sub>
                            <m:r>
                              <a:rPr lang="en-US" sz="1100" b="1" i="1">
                                <a:solidFill>
                                  <a:schemeClr val="tx1"/>
                                </a:solidFill>
                                <a:effectLst/>
                                <a:latin typeface="Cambria Math" panose="02040503050406030204" pitchFamily="18" charset="0"/>
                                <a:ea typeface="+mn-ea"/>
                                <a:cs typeface="+mn-cs"/>
                              </a:rPr>
                              <m:t>𝑦</m:t>
                            </m:r>
                          </m:sub>
                        </m:sSub>
                      </m:den>
                    </m:f>
                  </m:oMath>
                </m:oMathPara>
              </a14:m>
              <a:endParaRPr lang="en-IN" sz="1100" b="1">
                <a:solidFill>
                  <a:schemeClr val="tx1"/>
                </a:solidFill>
                <a:effectLst/>
                <a:latin typeface="+mn-lt"/>
                <a:ea typeface="+mn-ea"/>
                <a:cs typeface="+mn-cs"/>
              </a:endParaRPr>
            </a:p>
            <a:p>
              <a:endParaRPr lang="en-IN" sz="1100"/>
            </a:p>
          </xdr:txBody>
        </xdr:sp>
      </mc:Choice>
      <mc:Fallback xmlns="">
        <xdr:sp macro="" textlink="">
          <xdr:nvSpPr>
            <xdr:cNvPr id="2" name="TextBox 1">
              <a:extLst>
                <a:ext uri="{FF2B5EF4-FFF2-40B4-BE49-F238E27FC236}">
                  <a16:creationId xmlns:a16="http://schemas.microsoft.com/office/drawing/2014/main" id="{3675032C-E907-4FA0-9047-0F6C03DC9A8C}"/>
                </a:ext>
              </a:extLst>
            </xdr:cNvPr>
            <xdr:cNvSpPr txBox="1"/>
          </xdr:nvSpPr>
          <xdr:spPr>
            <a:xfrm>
              <a:off x="14573250" y="2738437"/>
              <a:ext cx="4585614" cy="546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tx1"/>
                  </a:solidFill>
                  <a:effectLst/>
                  <a:latin typeface="+mn-lt"/>
                  <a:ea typeface="+mn-ea"/>
                  <a:cs typeface="+mn-cs"/>
                </a:rPr>
                <a:t>𝑐𝑜𝑟𝑟</a:t>
              </a:r>
              <a:r>
                <a:rPr lang="en-IN" sz="1100" b="1" i="0">
                  <a:solidFill>
                    <a:schemeClr val="tx1"/>
                  </a:solidFill>
                  <a:effectLst/>
                  <a:latin typeface="+mn-lt"/>
                  <a:ea typeface="+mn-ea"/>
                  <a:cs typeface="+mn-cs"/>
                </a:rPr>
                <a:t>(</a:t>
              </a:r>
              <a:r>
                <a:rPr lang="en-US" sz="1100" b="1" i="0">
                  <a:solidFill>
                    <a:schemeClr val="tx1"/>
                  </a:solidFill>
                  <a:effectLst/>
                  <a:latin typeface="+mn-lt"/>
                  <a:ea typeface="+mn-ea"/>
                  <a:cs typeface="+mn-cs"/>
                </a:rPr>
                <a:t>𝑥,𝑦)=</a:t>
              </a:r>
              <a:r>
                <a:rPr lang="en-IN" sz="1100" b="1" i="0">
                  <a:solidFill>
                    <a:schemeClr val="tx1"/>
                  </a:solidFill>
                  <a:effectLst/>
                  <a:latin typeface="+mn-lt"/>
                  <a:ea typeface="+mn-ea"/>
                  <a:cs typeface="+mn-cs"/>
                </a:rPr>
                <a:t>(</a:t>
              </a:r>
              <a:r>
                <a:rPr lang="en-US" sz="1100" b="1" i="0">
                  <a:solidFill>
                    <a:srgbClr val="C00000"/>
                  </a:solidFill>
                  <a:effectLst/>
                  <a:latin typeface="+mn-lt"/>
                  <a:ea typeface="+mn-ea"/>
                  <a:cs typeface="+mn-cs"/>
                </a:rPr>
                <a:t>𝑐𝑜𝑣𝑎𝑟𝑖𝑎𝑛𝑐𝑒(𝑥,𝑦)</a:t>
              </a:r>
              <a:r>
                <a:rPr lang="en-IN" sz="1100" b="1" i="0">
                  <a:solidFill>
                    <a:schemeClr val="tx1"/>
                  </a:solidFill>
                  <a:effectLst/>
                  <a:latin typeface="+mn-lt"/>
                  <a:ea typeface="+mn-ea"/>
                  <a:cs typeface="+mn-cs"/>
                </a:rPr>
                <a:t>)/(</a:t>
              </a:r>
              <a:r>
                <a:rPr lang="en-US" sz="1100" b="1" i="0">
                  <a:solidFill>
                    <a:schemeClr val="accent5"/>
                  </a:solidFill>
                  <a:effectLst/>
                  <a:latin typeface="+mn-lt"/>
                  <a:ea typeface="+mn-ea"/>
                  <a:cs typeface="+mn-cs"/>
                </a:rPr>
                <a:t>𝑠𝑡𝑎𝑛𝑑𝑎𝑟𝑑_𝑑𝑒𝑣𝑖𝑎𝑡𝑖𝑜𝑛 (𝑥)</a:t>
              </a:r>
              <a:r>
                <a:rPr lang="en-US" sz="1100" b="1" i="0">
                  <a:solidFill>
                    <a:schemeClr val="tx1"/>
                  </a:solidFill>
                  <a:effectLst/>
                  <a:latin typeface="+mn-lt"/>
                  <a:ea typeface="+mn-ea"/>
                  <a:cs typeface="+mn-cs"/>
                </a:rPr>
                <a:t>∗</a:t>
              </a:r>
              <a:r>
                <a:rPr lang="en-US" sz="1100" b="1" i="0">
                  <a:solidFill>
                    <a:srgbClr val="7030A0"/>
                  </a:solidFill>
                  <a:effectLst/>
                  <a:latin typeface="+mn-lt"/>
                  <a:ea typeface="+mn-ea"/>
                  <a:cs typeface="+mn-cs"/>
                </a:rPr>
                <a:t>𝑠𝑡𝑎𝑛𝑑𝑎𝑟𝑑_𝑑𝑒𝑣𝑖𝑎𝑡𝑖𝑜𝑛</a:t>
              </a:r>
              <a:r>
                <a:rPr lang="en-IN" sz="1100" b="1" i="0">
                  <a:solidFill>
                    <a:srgbClr val="7030A0"/>
                  </a:solidFill>
                  <a:effectLst/>
                  <a:latin typeface="+mn-lt"/>
                  <a:ea typeface="+mn-ea"/>
                  <a:cs typeface="+mn-cs"/>
                </a:rPr>
                <a:t>(</a:t>
              </a:r>
              <a:r>
                <a:rPr lang="en-US" sz="1100" b="1" i="0">
                  <a:solidFill>
                    <a:srgbClr val="7030A0"/>
                  </a:solidFill>
                  <a:effectLst/>
                  <a:latin typeface="+mn-lt"/>
                  <a:ea typeface="+mn-ea"/>
                  <a:cs typeface="+mn-cs"/>
                </a:rPr>
                <a:t>𝑦)</a:t>
              </a:r>
              <a:r>
                <a:rPr lang="en-US" sz="1100" b="1" i="0">
                  <a:solidFill>
                    <a:schemeClr val="tx1"/>
                  </a:solidFill>
                  <a:effectLst/>
                  <a:latin typeface="+mn-lt"/>
                  <a:ea typeface="+mn-ea"/>
                  <a:cs typeface="+mn-cs"/>
                </a:rPr>
                <a:t> </a:t>
              </a:r>
              <a:r>
                <a:rPr lang="en-IN" sz="1100" b="1" i="0">
                  <a:solidFill>
                    <a:schemeClr val="tx1"/>
                  </a:solidFill>
                  <a:effectLst/>
                  <a:latin typeface="+mn-lt"/>
                  <a:ea typeface="+mn-ea"/>
                  <a:cs typeface="+mn-cs"/>
                </a:rPr>
                <a:t>)</a:t>
              </a:r>
              <a:r>
                <a:rPr lang="en-US" sz="1100" b="1" i="0">
                  <a:solidFill>
                    <a:schemeClr val="tx1"/>
                  </a:solidFill>
                  <a:effectLst/>
                  <a:latin typeface="+mn-lt"/>
                  <a:ea typeface="+mn-ea"/>
                  <a:cs typeface="+mn-cs"/>
                </a:rPr>
                <a:t>=𝑆</a:t>
              </a:r>
              <a:r>
                <a:rPr lang="en-IN" sz="1100" b="1" i="0">
                  <a:solidFill>
                    <a:schemeClr val="tx1"/>
                  </a:solidFill>
                  <a:effectLst/>
                  <a:latin typeface="+mn-lt"/>
                  <a:ea typeface="+mn-ea"/>
                  <a:cs typeface="+mn-cs"/>
                </a:rPr>
                <a:t>_</a:t>
              </a:r>
              <a:r>
                <a:rPr lang="en-US" sz="1100" b="1" i="0">
                  <a:solidFill>
                    <a:schemeClr val="tx1"/>
                  </a:solidFill>
                  <a:effectLst/>
                  <a:latin typeface="+mn-lt"/>
                  <a:ea typeface="+mn-ea"/>
                  <a:cs typeface="+mn-cs"/>
                </a:rPr>
                <a:t>𝑥𝑦</a:t>
              </a:r>
              <a:r>
                <a:rPr lang="en-IN" sz="1100" b="1" i="0">
                  <a:solidFill>
                    <a:schemeClr val="tx1"/>
                  </a:solidFill>
                  <a:effectLst/>
                  <a:latin typeface="+mn-lt"/>
                  <a:ea typeface="+mn-ea"/>
                  <a:cs typeface="+mn-cs"/>
                </a:rPr>
                <a:t>/(</a:t>
              </a:r>
              <a:r>
                <a:rPr lang="en-US" sz="1100" b="1" i="0">
                  <a:solidFill>
                    <a:schemeClr val="tx1"/>
                  </a:solidFill>
                  <a:effectLst/>
                  <a:latin typeface="+mn-lt"/>
                  <a:ea typeface="+mn-ea"/>
                  <a:cs typeface="+mn-cs"/>
                </a:rPr>
                <a:t>𝑆</a:t>
              </a:r>
              <a:r>
                <a:rPr lang="en-IN" sz="1100" b="1" i="0">
                  <a:solidFill>
                    <a:schemeClr val="tx1"/>
                  </a:solidFill>
                  <a:effectLst/>
                  <a:latin typeface="+mn-lt"/>
                  <a:ea typeface="+mn-ea"/>
                  <a:cs typeface="+mn-cs"/>
                </a:rPr>
                <a:t>_</a:t>
              </a:r>
              <a:r>
                <a:rPr lang="en-US" sz="1100" b="1" i="0">
                  <a:solidFill>
                    <a:schemeClr val="tx1"/>
                  </a:solidFill>
                  <a:effectLst/>
                  <a:latin typeface="+mn-lt"/>
                  <a:ea typeface="+mn-ea"/>
                  <a:cs typeface="+mn-cs"/>
                </a:rPr>
                <a:t>𝑥</a:t>
              </a:r>
              <a:r>
                <a:rPr lang="en-IN" sz="1100" b="1" i="0">
                  <a:solidFill>
                    <a:schemeClr val="tx1"/>
                  </a:solidFill>
                  <a:effectLst/>
                  <a:latin typeface="+mn-lt"/>
                  <a:ea typeface="+mn-ea"/>
                  <a:cs typeface="+mn-cs"/>
                </a:rPr>
                <a:t> </a:t>
              </a:r>
              <a:r>
                <a:rPr lang="en-US" sz="1100" b="1" i="0">
                  <a:solidFill>
                    <a:schemeClr val="tx1"/>
                  </a:solidFill>
                  <a:effectLst/>
                  <a:latin typeface="+mn-lt"/>
                  <a:ea typeface="+mn-ea"/>
                  <a:cs typeface="+mn-cs"/>
                </a:rPr>
                <a:t>𝑆</a:t>
              </a:r>
              <a:r>
                <a:rPr lang="en-IN" sz="1100" b="1" i="0">
                  <a:solidFill>
                    <a:schemeClr val="tx1"/>
                  </a:solidFill>
                  <a:effectLst/>
                  <a:latin typeface="+mn-lt"/>
                  <a:ea typeface="+mn-ea"/>
                  <a:cs typeface="+mn-cs"/>
                </a:rPr>
                <a:t>_</a:t>
              </a:r>
              <a:r>
                <a:rPr lang="en-US" sz="1100" b="1" i="0">
                  <a:solidFill>
                    <a:schemeClr val="tx1"/>
                  </a:solidFill>
                  <a:effectLst/>
                  <a:latin typeface="+mn-lt"/>
                  <a:ea typeface="+mn-ea"/>
                  <a:cs typeface="+mn-cs"/>
                </a:rPr>
                <a:t>𝑦 </a:t>
              </a:r>
              <a:r>
                <a:rPr lang="en-IN" sz="1100" b="1" i="0">
                  <a:solidFill>
                    <a:schemeClr val="tx1"/>
                  </a:solidFill>
                  <a:effectLst/>
                  <a:latin typeface="+mn-lt"/>
                  <a:ea typeface="+mn-ea"/>
                  <a:cs typeface="+mn-cs"/>
                </a:rPr>
                <a:t>)</a:t>
              </a:r>
              <a:endParaRPr lang="en-IN" sz="1100" b="1">
                <a:solidFill>
                  <a:schemeClr val="tx1"/>
                </a:solidFill>
                <a:effectLst/>
                <a:latin typeface="+mn-lt"/>
                <a:ea typeface="+mn-ea"/>
                <a:cs typeface="+mn-cs"/>
              </a:endParaRPr>
            </a:p>
            <a:p>
              <a:endParaRPr lang="en-IN" sz="1100"/>
            </a:p>
          </xdr:txBody>
        </xdr:sp>
      </mc:Fallback>
    </mc:AlternateContent>
    <xdr:clientData/>
  </xdr:oneCellAnchor>
  <xdr:oneCellAnchor>
    <xdr:from>
      <xdr:col>13</xdr:col>
      <xdr:colOff>352425</xdr:colOff>
      <xdr:row>17</xdr:row>
      <xdr:rowOff>33337</xdr:rowOff>
    </xdr:from>
    <xdr:ext cx="3300584" cy="631840"/>
    <mc:AlternateContent xmlns:mc="http://schemas.openxmlformats.org/markup-compatibility/2006" xmlns:a14="http://schemas.microsoft.com/office/drawing/2010/main">
      <mc:Choice Requires="a14">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14658975" y="3271837"/>
              <a:ext cx="3300584" cy="631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100" i="1">
                        <a:solidFill>
                          <a:schemeClr val="tx1"/>
                        </a:solidFill>
                        <a:effectLst/>
                        <a:latin typeface="Cambria Math" panose="02040503050406030204" pitchFamily="18" charset="0"/>
                        <a:ea typeface="+mn-ea"/>
                        <a:cs typeface="+mn-cs"/>
                      </a:rPr>
                      <m:t>𝑐𝑜𝑣𝑎𝑟𝑖𝑎𝑛𝑐𝑒</m:t>
                    </m:r>
                    <m:d>
                      <m:dPr>
                        <m:ctrlPr>
                          <a:rPr lang="en-IN" sz="1100" i="1">
                            <a:solidFill>
                              <a:schemeClr val="tx1"/>
                            </a:solidFill>
                            <a:effectLst/>
                            <a:latin typeface="Cambria Math" panose="02040503050406030204" pitchFamily="18" charset="0"/>
                            <a:ea typeface="+mn-ea"/>
                            <a:cs typeface="+mn-cs"/>
                          </a:rPr>
                        </m:ctrlPr>
                      </m:dPr>
                      <m:e>
                        <m:r>
                          <a:rPr lang="en-US" sz="1100" i="1">
                            <a:solidFill>
                              <a:schemeClr val="tx1"/>
                            </a:solidFill>
                            <a:effectLst/>
                            <a:latin typeface="Cambria Math" panose="02040503050406030204" pitchFamily="18" charset="0"/>
                            <a:ea typeface="+mn-ea"/>
                            <a:cs typeface="+mn-cs"/>
                          </a:rPr>
                          <m:t>𝑥</m:t>
                        </m:r>
                        <m:r>
                          <a:rPr lang="en-US" sz="1100">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𝑦</m:t>
                        </m:r>
                      </m:e>
                    </m:d>
                    <m:r>
                      <a:rPr lang="en-US" sz="1100">
                        <a:solidFill>
                          <a:schemeClr val="tx1"/>
                        </a:solidFill>
                        <a:effectLst/>
                        <a:latin typeface="Cambria Math" panose="02040503050406030204" pitchFamily="18" charset="0"/>
                        <a:ea typeface="+mn-ea"/>
                        <a:cs typeface="+mn-cs"/>
                      </a:rPr>
                      <m:t>=</m:t>
                    </m:r>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𝑠</m:t>
                        </m:r>
                      </m:e>
                      <m:sub>
                        <m:r>
                          <a:rPr lang="en-US" sz="1100" i="1">
                            <a:solidFill>
                              <a:schemeClr val="tx1"/>
                            </a:solidFill>
                            <a:effectLst/>
                            <a:latin typeface="Cambria Math" panose="02040503050406030204" pitchFamily="18" charset="0"/>
                            <a:ea typeface="+mn-ea"/>
                            <a:cs typeface="+mn-cs"/>
                          </a:rPr>
                          <m:t>𝑥𝑦</m:t>
                        </m:r>
                      </m:sub>
                    </m:sSub>
                    <m:r>
                      <a:rPr lang="en-US" sz="1100">
                        <a:solidFill>
                          <a:schemeClr val="tx1"/>
                        </a:solidFill>
                        <a:effectLst/>
                        <a:latin typeface="Cambria Math" panose="02040503050406030204" pitchFamily="18" charset="0"/>
                        <a:ea typeface="+mn-ea"/>
                        <a:cs typeface="+mn-cs"/>
                      </a:rPr>
                      <m:t>=</m:t>
                    </m:r>
                    <m:f>
                      <m:fPr>
                        <m:ctrlPr>
                          <a:rPr lang="en-IN" sz="1100" i="1">
                            <a:solidFill>
                              <a:schemeClr val="tx1"/>
                            </a:solidFill>
                            <a:effectLst/>
                            <a:latin typeface="Cambria Math" panose="02040503050406030204" pitchFamily="18" charset="0"/>
                            <a:ea typeface="+mn-ea"/>
                            <a:cs typeface="+mn-cs"/>
                          </a:rPr>
                        </m:ctrlPr>
                      </m:fPr>
                      <m:num>
                        <m:r>
                          <a:rPr lang="en-US" sz="1100">
                            <a:solidFill>
                              <a:schemeClr val="tx1"/>
                            </a:solidFill>
                            <a:effectLst/>
                            <a:latin typeface="Cambria Math" panose="02040503050406030204" pitchFamily="18" charset="0"/>
                            <a:ea typeface="+mn-ea"/>
                            <a:cs typeface="+mn-cs"/>
                          </a:rPr>
                          <m:t>1</m:t>
                        </m:r>
                      </m:num>
                      <m:den>
                        <m:r>
                          <a:rPr lang="en-US" sz="1100" i="1">
                            <a:solidFill>
                              <a:schemeClr val="tx1"/>
                            </a:solidFill>
                            <a:effectLst/>
                            <a:latin typeface="Cambria Math" panose="02040503050406030204" pitchFamily="18" charset="0"/>
                            <a:ea typeface="+mn-ea"/>
                            <a:cs typeface="+mn-cs"/>
                          </a:rPr>
                          <m:t>𝑛</m:t>
                        </m:r>
                        <m:r>
                          <a:rPr lang="en-US" sz="1100" i="1">
                            <a:solidFill>
                              <a:schemeClr val="tx1"/>
                            </a:solidFill>
                            <a:effectLst/>
                            <a:latin typeface="Cambria Math" panose="02040503050406030204" pitchFamily="18" charset="0"/>
                            <a:ea typeface="+mn-ea"/>
                            <a:cs typeface="+mn-cs"/>
                          </a:rPr>
                          <m:t>−</m:t>
                        </m:r>
                        <m:r>
                          <a:rPr lang="en-US" sz="1100">
                            <a:solidFill>
                              <a:schemeClr val="tx1"/>
                            </a:solidFill>
                            <a:effectLst/>
                            <a:latin typeface="Cambria Math" panose="02040503050406030204" pitchFamily="18" charset="0"/>
                            <a:ea typeface="+mn-ea"/>
                            <a:cs typeface="+mn-cs"/>
                          </a:rPr>
                          <m:t>1</m:t>
                        </m:r>
                      </m:den>
                    </m:f>
                    <m:nary>
                      <m:naryPr>
                        <m:chr m:val="∑"/>
                        <m:limLoc m:val="undOvr"/>
                        <m:grow m:val="on"/>
                        <m:ctrlPr>
                          <a:rPr lang="en-IN" sz="1100" i="1">
                            <a:solidFill>
                              <a:schemeClr val="tx1"/>
                            </a:solidFill>
                            <a:effectLst/>
                            <a:latin typeface="Cambria Math" panose="02040503050406030204" pitchFamily="18" charset="0"/>
                            <a:ea typeface="+mn-ea"/>
                            <a:cs typeface="+mn-cs"/>
                          </a:rPr>
                        </m:ctrlPr>
                      </m:naryPr>
                      <m:sub>
                        <m:r>
                          <a:rPr lang="en-US" sz="1100" i="1">
                            <a:solidFill>
                              <a:schemeClr val="tx1"/>
                            </a:solidFill>
                            <a:effectLst/>
                            <a:latin typeface="Cambria Math" panose="02040503050406030204" pitchFamily="18" charset="0"/>
                            <a:ea typeface="+mn-ea"/>
                            <a:cs typeface="+mn-cs"/>
                          </a:rPr>
                          <m:t>𝑖</m:t>
                        </m:r>
                        <m:r>
                          <a:rPr lang="en-US" sz="1100">
                            <a:solidFill>
                              <a:schemeClr val="tx1"/>
                            </a:solidFill>
                            <a:effectLst/>
                            <a:latin typeface="Cambria Math" panose="02040503050406030204" pitchFamily="18" charset="0"/>
                            <a:ea typeface="+mn-ea"/>
                            <a:cs typeface="+mn-cs"/>
                          </a:rPr>
                          <m:t>=1</m:t>
                        </m:r>
                      </m:sub>
                      <m:sup>
                        <m:r>
                          <a:rPr lang="en-US" sz="1100" i="1">
                            <a:solidFill>
                              <a:schemeClr val="tx1"/>
                            </a:solidFill>
                            <a:effectLst/>
                            <a:latin typeface="Cambria Math" panose="02040503050406030204" pitchFamily="18" charset="0"/>
                            <a:ea typeface="+mn-ea"/>
                            <a:cs typeface="+mn-cs"/>
                          </a:rPr>
                          <m:t>𝑛</m:t>
                        </m:r>
                      </m:sup>
                      <m:e>
                        <m:d>
                          <m:dPr>
                            <m:ctrlPr>
                              <a:rPr lang="en-IN" sz="1100" i="1">
                                <a:solidFill>
                                  <a:schemeClr val="tx1"/>
                                </a:solidFill>
                                <a:effectLst/>
                                <a:latin typeface="Cambria Math" panose="02040503050406030204" pitchFamily="18" charset="0"/>
                                <a:ea typeface="+mn-ea"/>
                                <a:cs typeface="+mn-cs"/>
                              </a:rPr>
                            </m:ctrlPr>
                          </m:dPr>
                          <m:e>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𝑥</m:t>
                                </m:r>
                              </m:e>
                              <m:sub>
                                <m:r>
                                  <a:rPr lang="en-US" sz="1100" i="1">
                                    <a:solidFill>
                                      <a:schemeClr val="tx1"/>
                                    </a:solidFill>
                                    <a:effectLst/>
                                    <a:latin typeface="Cambria Math" panose="02040503050406030204" pitchFamily="18" charset="0"/>
                                    <a:ea typeface="+mn-ea"/>
                                    <a:cs typeface="+mn-cs"/>
                                  </a:rPr>
                                  <m:t>𝑖</m:t>
                                </m:r>
                              </m:sub>
                            </m:sSub>
                            <m:r>
                              <a:rPr lang="en-US" sz="1100" i="1">
                                <a:solidFill>
                                  <a:schemeClr val="tx1"/>
                                </a:solidFill>
                                <a:effectLst/>
                                <a:latin typeface="Cambria Math" panose="02040503050406030204" pitchFamily="18" charset="0"/>
                                <a:ea typeface="+mn-ea"/>
                                <a:cs typeface="+mn-cs"/>
                              </a:rPr>
                              <m:t>−</m:t>
                            </m:r>
                            <m:acc>
                              <m:accPr>
                                <m:chr m:val="̅"/>
                                <m:ctrlPr>
                                  <a:rPr lang="en-IN" sz="1100" i="1">
                                    <a:solidFill>
                                      <a:schemeClr val="tx1"/>
                                    </a:solidFill>
                                    <a:effectLst/>
                                    <a:latin typeface="Cambria Math" panose="02040503050406030204" pitchFamily="18" charset="0"/>
                                    <a:ea typeface="+mn-ea"/>
                                    <a:cs typeface="+mn-cs"/>
                                  </a:rPr>
                                </m:ctrlPr>
                              </m:accPr>
                              <m:e>
                                <m:r>
                                  <a:rPr lang="en-US" sz="1100" i="1">
                                    <a:solidFill>
                                      <a:schemeClr val="tx1"/>
                                    </a:solidFill>
                                    <a:effectLst/>
                                    <a:latin typeface="Cambria Math" panose="02040503050406030204" pitchFamily="18" charset="0"/>
                                    <a:ea typeface="+mn-ea"/>
                                    <a:cs typeface="+mn-cs"/>
                                  </a:rPr>
                                  <m:t>𝑥</m:t>
                                </m:r>
                              </m:e>
                            </m:acc>
                          </m:e>
                        </m:d>
                        <m:d>
                          <m:dPr>
                            <m:ctrlPr>
                              <a:rPr lang="en-IN" sz="1100" i="1">
                                <a:solidFill>
                                  <a:schemeClr val="tx1"/>
                                </a:solidFill>
                                <a:effectLst/>
                                <a:latin typeface="Cambria Math" panose="02040503050406030204" pitchFamily="18" charset="0"/>
                                <a:ea typeface="+mn-ea"/>
                                <a:cs typeface="+mn-cs"/>
                              </a:rPr>
                            </m:ctrlPr>
                          </m:dPr>
                          <m:e>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𝑦</m:t>
                                </m:r>
                              </m:e>
                              <m:sub>
                                <m:r>
                                  <a:rPr lang="en-US" sz="1100" i="1">
                                    <a:solidFill>
                                      <a:schemeClr val="tx1"/>
                                    </a:solidFill>
                                    <a:effectLst/>
                                    <a:latin typeface="Cambria Math" panose="02040503050406030204" pitchFamily="18" charset="0"/>
                                    <a:ea typeface="+mn-ea"/>
                                    <a:cs typeface="+mn-cs"/>
                                  </a:rPr>
                                  <m:t>𝑖</m:t>
                                </m:r>
                              </m:sub>
                            </m:sSub>
                            <m:r>
                              <a:rPr lang="en-US" sz="1100" i="1">
                                <a:solidFill>
                                  <a:schemeClr val="tx1"/>
                                </a:solidFill>
                                <a:effectLst/>
                                <a:latin typeface="Cambria Math" panose="02040503050406030204" pitchFamily="18" charset="0"/>
                                <a:ea typeface="+mn-ea"/>
                                <a:cs typeface="+mn-cs"/>
                              </a:rPr>
                              <m:t>−</m:t>
                            </m:r>
                            <m:acc>
                              <m:accPr>
                                <m:chr m:val="̅"/>
                                <m:ctrlPr>
                                  <a:rPr lang="en-IN" sz="1100" i="1">
                                    <a:solidFill>
                                      <a:schemeClr val="tx1"/>
                                    </a:solidFill>
                                    <a:effectLst/>
                                    <a:latin typeface="Cambria Math" panose="02040503050406030204" pitchFamily="18" charset="0"/>
                                    <a:ea typeface="+mn-ea"/>
                                    <a:cs typeface="+mn-cs"/>
                                  </a:rPr>
                                </m:ctrlPr>
                              </m:accPr>
                              <m:e>
                                <m:r>
                                  <a:rPr lang="en-US" sz="1100" i="1">
                                    <a:solidFill>
                                      <a:schemeClr val="tx1"/>
                                    </a:solidFill>
                                    <a:effectLst/>
                                    <a:latin typeface="Cambria Math" panose="02040503050406030204" pitchFamily="18" charset="0"/>
                                    <a:ea typeface="+mn-ea"/>
                                    <a:cs typeface="+mn-cs"/>
                                  </a:rPr>
                                  <m:t>𝑦</m:t>
                                </m:r>
                              </m:e>
                            </m:acc>
                          </m:e>
                        </m:d>
                      </m:e>
                    </m:nary>
                  </m:oMath>
                </m:oMathPara>
              </a14:m>
              <a:endParaRPr lang="en-IN" sz="1100">
                <a:solidFill>
                  <a:schemeClr val="tx1"/>
                </a:solidFill>
                <a:effectLst/>
                <a:latin typeface="+mn-lt"/>
                <a:ea typeface="+mn-ea"/>
                <a:cs typeface="+mn-cs"/>
              </a:endParaRPr>
            </a:p>
            <a:p>
              <a:endParaRPr lang="en-IN" sz="1100"/>
            </a:p>
          </xdr:txBody>
        </xdr:sp>
      </mc:Choice>
      <mc:Fallback xmlns="">
        <xdr:sp macro="" textlink="">
          <xdr:nvSpPr>
            <xdr:cNvPr id="3" name="TextBox 2">
              <a:extLst>
                <a:ext uri="{FF2B5EF4-FFF2-40B4-BE49-F238E27FC236}">
                  <a16:creationId xmlns:a16="http://schemas.microsoft.com/office/drawing/2014/main" id="{F282EB84-BFE3-4C95-BCD3-083280DFC189}"/>
                </a:ext>
              </a:extLst>
            </xdr:cNvPr>
            <xdr:cNvSpPr txBox="1"/>
          </xdr:nvSpPr>
          <xdr:spPr>
            <a:xfrm>
              <a:off x="14658975" y="3271837"/>
              <a:ext cx="3300584" cy="631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i="0">
                  <a:solidFill>
                    <a:schemeClr val="tx1"/>
                  </a:solidFill>
                  <a:effectLst/>
                  <a:latin typeface="+mn-lt"/>
                  <a:ea typeface="+mn-ea"/>
                  <a:cs typeface="+mn-cs"/>
                </a:rPr>
                <a:t>𝑐𝑜𝑣𝑎𝑟𝑖𝑎𝑛𝑐𝑒</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𝑥,𝑦)=𝑠</a:t>
              </a:r>
              <a:r>
                <a:rPr lang="en-IN" sz="1100" i="0">
                  <a:solidFill>
                    <a:schemeClr val="tx1"/>
                  </a:solidFill>
                  <a:effectLst/>
                  <a:latin typeface="+mn-lt"/>
                  <a:ea typeface="+mn-ea"/>
                  <a:cs typeface="+mn-cs"/>
                </a:rPr>
                <a:t>_</a:t>
              </a:r>
              <a:r>
                <a:rPr lang="en-US" sz="1100" i="0">
                  <a:solidFill>
                    <a:schemeClr val="tx1"/>
                  </a:solidFill>
                  <a:effectLst/>
                  <a:latin typeface="+mn-lt"/>
                  <a:ea typeface="+mn-ea"/>
                  <a:cs typeface="+mn-cs"/>
                </a:rPr>
                <a:t>𝑥𝑦=1</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𝑛−1</a:t>
              </a:r>
              <a:r>
                <a:rPr lang="en-IN" sz="1100" i="0">
                  <a:solidFill>
                    <a:schemeClr val="tx1"/>
                  </a:solidFill>
                  <a:effectLst/>
                  <a:latin typeface="+mn-lt"/>
                  <a:ea typeface="+mn-ea"/>
                  <a:cs typeface="+mn-cs"/>
                </a:rPr>
                <a:t>) ∑129</a:t>
              </a:r>
              <a:r>
                <a:rPr lang="en-US" sz="1100" i="0">
                  <a:solidFill>
                    <a:schemeClr val="tx1"/>
                  </a:solidFill>
                  <a:effectLst/>
                  <a:latin typeface="+mn-lt"/>
                  <a:ea typeface="+mn-ea"/>
                  <a:cs typeface="+mn-cs"/>
                </a:rPr>
                <a:t>_</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𝑖=1</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^𝑛▒</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𝑥</a:t>
              </a:r>
              <a:r>
                <a:rPr lang="en-IN" sz="1100" i="0">
                  <a:solidFill>
                    <a:schemeClr val="tx1"/>
                  </a:solidFill>
                  <a:effectLst/>
                  <a:latin typeface="+mn-lt"/>
                  <a:ea typeface="+mn-ea"/>
                  <a:cs typeface="+mn-cs"/>
                </a:rPr>
                <a:t>_</a:t>
              </a:r>
              <a:r>
                <a:rPr lang="en-US" sz="1100" i="0">
                  <a:solidFill>
                    <a:schemeClr val="tx1"/>
                  </a:solidFill>
                  <a:effectLst/>
                  <a:latin typeface="+mn-lt"/>
                  <a:ea typeface="+mn-ea"/>
                  <a:cs typeface="+mn-cs"/>
                </a:rPr>
                <a:t>𝑖−𝑥</a:t>
              </a:r>
              <a:r>
                <a:rPr lang="en-IN" sz="1100" i="0">
                  <a:solidFill>
                    <a:schemeClr val="tx1"/>
                  </a:solidFill>
                  <a:effectLst/>
                  <a:latin typeface="+mn-lt"/>
                  <a:ea typeface="+mn-ea"/>
                  <a:cs typeface="+mn-cs"/>
                </a:rPr>
                <a:t> ̅</a:t>
              </a:r>
              <a:r>
                <a:rPr lang="en-US" sz="1100" i="0">
                  <a:solidFill>
                    <a:schemeClr val="tx1"/>
                  </a:solidFill>
                  <a:effectLst/>
                  <a:latin typeface="+mn-lt"/>
                  <a:ea typeface="+mn-ea"/>
                  <a:cs typeface="+mn-cs"/>
                </a:rPr>
                <a:t> )</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𝑦</a:t>
              </a:r>
              <a:r>
                <a:rPr lang="en-IN" sz="1100" i="0">
                  <a:solidFill>
                    <a:schemeClr val="tx1"/>
                  </a:solidFill>
                  <a:effectLst/>
                  <a:latin typeface="+mn-lt"/>
                  <a:ea typeface="+mn-ea"/>
                  <a:cs typeface="+mn-cs"/>
                </a:rPr>
                <a:t>_</a:t>
              </a:r>
              <a:r>
                <a:rPr lang="en-US" sz="1100" i="0">
                  <a:solidFill>
                    <a:schemeClr val="tx1"/>
                  </a:solidFill>
                  <a:effectLst/>
                  <a:latin typeface="+mn-lt"/>
                  <a:ea typeface="+mn-ea"/>
                  <a:cs typeface="+mn-cs"/>
                </a:rPr>
                <a:t>𝑖−𝑦</a:t>
              </a:r>
              <a:r>
                <a:rPr lang="en-IN" sz="1100" i="0">
                  <a:solidFill>
                    <a:schemeClr val="tx1"/>
                  </a:solidFill>
                  <a:effectLst/>
                  <a:latin typeface="+mn-lt"/>
                  <a:ea typeface="+mn-ea"/>
                  <a:cs typeface="+mn-cs"/>
                </a:rPr>
                <a:t> ̅</a:t>
              </a:r>
              <a:r>
                <a:rPr lang="en-US" sz="1100" i="0">
                  <a:solidFill>
                    <a:schemeClr val="tx1"/>
                  </a:solidFill>
                  <a:effectLst/>
                  <a:latin typeface="+mn-lt"/>
                  <a:ea typeface="+mn-ea"/>
                  <a:cs typeface="+mn-cs"/>
                </a:rPr>
                <a:t> ) </a:t>
              </a:r>
              <a:endParaRPr lang="en-IN" sz="1100">
                <a:solidFill>
                  <a:schemeClr val="tx1"/>
                </a:solidFill>
                <a:effectLst/>
                <a:latin typeface="+mn-lt"/>
                <a:ea typeface="+mn-ea"/>
                <a:cs typeface="+mn-cs"/>
              </a:endParaRPr>
            </a:p>
            <a:p>
              <a:endParaRPr lang="en-IN" sz="1100"/>
            </a:p>
          </xdr:txBody>
        </xdr:sp>
      </mc:Fallback>
    </mc:AlternateContent>
    <xdr:clientData/>
  </xdr:oneCellAnchor>
  <xdr:oneCellAnchor>
    <xdr:from>
      <xdr:col>13</xdr:col>
      <xdr:colOff>419100</xdr:colOff>
      <xdr:row>20</xdr:row>
      <xdr:rowOff>90487</xdr:rowOff>
    </xdr:from>
    <xdr:ext cx="3149645" cy="830740"/>
    <mc:AlternateContent xmlns:mc="http://schemas.openxmlformats.org/markup-compatibility/2006" xmlns:a14="http://schemas.microsoft.com/office/drawing/2010/main">
      <mc:Choice Requires="a14">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14725650" y="3900487"/>
              <a:ext cx="3149645" cy="830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100" i="1">
                        <a:solidFill>
                          <a:schemeClr val="tx1"/>
                        </a:solidFill>
                        <a:effectLst/>
                        <a:latin typeface="Cambria Math" panose="02040503050406030204" pitchFamily="18" charset="0"/>
                        <a:ea typeface="+mn-ea"/>
                        <a:cs typeface="+mn-cs"/>
                      </a:rPr>
                      <m:t>𝑠𝑡𝑎𝑛𝑑𝑎𝑟</m:t>
                    </m:r>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𝑑</m:t>
                        </m:r>
                      </m:e>
                      <m:sub>
                        <m:r>
                          <a:rPr lang="en-US" sz="1100" i="1">
                            <a:solidFill>
                              <a:schemeClr val="tx1"/>
                            </a:solidFill>
                            <a:effectLst/>
                            <a:latin typeface="Cambria Math" panose="02040503050406030204" pitchFamily="18" charset="0"/>
                            <a:ea typeface="+mn-ea"/>
                            <a:cs typeface="+mn-cs"/>
                          </a:rPr>
                          <m:t>𝑑𝑒𝑣𝑖𝑎𝑡𝑖𝑜𝑛</m:t>
                        </m:r>
                      </m:sub>
                    </m:sSub>
                    <m:d>
                      <m:dPr>
                        <m:ctrlPr>
                          <a:rPr lang="en-IN" sz="1100" i="1">
                            <a:solidFill>
                              <a:schemeClr val="tx1"/>
                            </a:solidFill>
                            <a:effectLst/>
                            <a:latin typeface="Cambria Math" panose="02040503050406030204" pitchFamily="18" charset="0"/>
                            <a:ea typeface="+mn-ea"/>
                            <a:cs typeface="+mn-cs"/>
                          </a:rPr>
                        </m:ctrlPr>
                      </m:dPr>
                      <m:e>
                        <m:r>
                          <a:rPr lang="en-US" sz="1100" i="1">
                            <a:solidFill>
                              <a:schemeClr val="tx1"/>
                            </a:solidFill>
                            <a:effectLst/>
                            <a:latin typeface="Cambria Math" panose="02040503050406030204" pitchFamily="18" charset="0"/>
                            <a:ea typeface="+mn-ea"/>
                            <a:cs typeface="+mn-cs"/>
                          </a:rPr>
                          <m:t>𝑥</m:t>
                        </m:r>
                      </m:e>
                    </m:d>
                    <m:r>
                      <a:rPr lang="en-US" sz="1100">
                        <a:solidFill>
                          <a:schemeClr val="tx1"/>
                        </a:solidFill>
                        <a:effectLst/>
                        <a:latin typeface="Cambria Math" panose="02040503050406030204" pitchFamily="18" charset="0"/>
                        <a:ea typeface="+mn-ea"/>
                        <a:cs typeface="+mn-cs"/>
                      </a:rPr>
                      <m:t>=</m:t>
                    </m:r>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𝑠</m:t>
                        </m:r>
                      </m:e>
                      <m:sub>
                        <m:r>
                          <a:rPr lang="en-US" sz="1100" i="1">
                            <a:solidFill>
                              <a:schemeClr val="tx1"/>
                            </a:solidFill>
                            <a:effectLst/>
                            <a:latin typeface="Cambria Math" panose="02040503050406030204" pitchFamily="18" charset="0"/>
                            <a:ea typeface="+mn-ea"/>
                            <a:cs typeface="+mn-cs"/>
                          </a:rPr>
                          <m:t>𝑥</m:t>
                        </m:r>
                      </m:sub>
                    </m:sSub>
                    <m:r>
                      <a:rPr lang="en-US" sz="1100">
                        <a:solidFill>
                          <a:schemeClr val="tx1"/>
                        </a:solidFill>
                        <a:effectLst/>
                        <a:latin typeface="Cambria Math" panose="02040503050406030204" pitchFamily="18" charset="0"/>
                        <a:ea typeface="+mn-ea"/>
                        <a:cs typeface="+mn-cs"/>
                      </a:rPr>
                      <m:t>=</m:t>
                    </m:r>
                    <m:rad>
                      <m:radPr>
                        <m:degHide m:val="on"/>
                        <m:ctrlPr>
                          <a:rPr lang="en-IN" sz="1100" i="1">
                            <a:solidFill>
                              <a:schemeClr val="tx1"/>
                            </a:solidFill>
                            <a:effectLst/>
                            <a:latin typeface="Cambria Math" panose="02040503050406030204" pitchFamily="18" charset="0"/>
                            <a:ea typeface="+mn-ea"/>
                            <a:cs typeface="+mn-cs"/>
                          </a:rPr>
                        </m:ctrlPr>
                      </m:radPr>
                      <m:deg/>
                      <m:e>
                        <m:f>
                          <m:fPr>
                            <m:ctrlPr>
                              <a:rPr lang="en-IN" sz="1100" i="1">
                                <a:solidFill>
                                  <a:schemeClr val="tx1"/>
                                </a:solidFill>
                                <a:effectLst/>
                                <a:latin typeface="Cambria Math" panose="02040503050406030204" pitchFamily="18" charset="0"/>
                                <a:ea typeface="+mn-ea"/>
                                <a:cs typeface="+mn-cs"/>
                              </a:rPr>
                            </m:ctrlPr>
                          </m:fPr>
                          <m:num>
                            <m:r>
                              <a:rPr lang="en-US" sz="1100">
                                <a:solidFill>
                                  <a:schemeClr val="tx1"/>
                                </a:solidFill>
                                <a:effectLst/>
                                <a:latin typeface="Cambria Math" panose="02040503050406030204" pitchFamily="18" charset="0"/>
                                <a:ea typeface="+mn-ea"/>
                                <a:cs typeface="+mn-cs"/>
                              </a:rPr>
                              <m:t>1</m:t>
                            </m:r>
                          </m:num>
                          <m:den>
                            <m:r>
                              <a:rPr lang="en-US" sz="1100" i="1">
                                <a:solidFill>
                                  <a:schemeClr val="tx1"/>
                                </a:solidFill>
                                <a:effectLst/>
                                <a:latin typeface="Cambria Math" panose="02040503050406030204" pitchFamily="18" charset="0"/>
                                <a:ea typeface="+mn-ea"/>
                                <a:cs typeface="+mn-cs"/>
                              </a:rPr>
                              <m:t>𝑛</m:t>
                            </m:r>
                            <m:r>
                              <a:rPr lang="en-US" sz="1100" i="1">
                                <a:solidFill>
                                  <a:schemeClr val="tx1"/>
                                </a:solidFill>
                                <a:effectLst/>
                                <a:latin typeface="Cambria Math" panose="02040503050406030204" pitchFamily="18" charset="0"/>
                                <a:ea typeface="+mn-ea"/>
                                <a:cs typeface="+mn-cs"/>
                              </a:rPr>
                              <m:t>−</m:t>
                            </m:r>
                            <m:r>
                              <a:rPr lang="en-US" sz="1100">
                                <a:solidFill>
                                  <a:schemeClr val="tx1"/>
                                </a:solidFill>
                                <a:effectLst/>
                                <a:latin typeface="Cambria Math" panose="02040503050406030204" pitchFamily="18" charset="0"/>
                                <a:ea typeface="+mn-ea"/>
                                <a:cs typeface="+mn-cs"/>
                              </a:rPr>
                              <m:t>1</m:t>
                            </m:r>
                          </m:den>
                        </m:f>
                        <m:nary>
                          <m:naryPr>
                            <m:chr m:val="∑"/>
                            <m:limLoc m:val="undOvr"/>
                            <m:grow m:val="on"/>
                            <m:ctrlPr>
                              <a:rPr lang="en-IN" sz="1100" i="1">
                                <a:solidFill>
                                  <a:schemeClr val="tx1"/>
                                </a:solidFill>
                                <a:effectLst/>
                                <a:latin typeface="Cambria Math" panose="02040503050406030204" pitchFamily="18" charset="0"/>
                                <a:ea typeface="+mn-ea"/>
                                <a:cs typeface="+mn-cs"/>
                              </a:rPr>
                            </m:ctrlPr>
                          </m:naryPr>
                          <m:sub>
                            <m:r>
                              <a:rPr lang="en-US" sz="1100" i="1">
                                <a:solidFill>
                                  <a:schemeClr val="tx1"/>
                                </a:solidFill>
                                <a:effectLst/>
                                <a:latin typeface="Cambria Math" panose="02040503050406030204" pitchFamily="18" charset="0"/>
                                <a:ea typeface="+mn-ea"/>
                                <a:cs typeface="+mn-cs"/>
                              </a:rPr>
                              <m:t>𝑖</m:t>
                            </m:r>
                            <m:r>
                              <a:rPr lang="en-US" sz="1100">
                                <a:solidFill>
                                  <a:schemeClr val="tx1"/>
                                </a:solidFill>
                                <a:effectLst/>
                                <a:latin typeface="Cambria Math" panose="02040503050406030204" pitchFamily="18" charset="0"/>
                                <a:ea typeface="+mn-ea"/>
                                <a:cs typeface="+mn-cs"/>
                              </a:rPr>
                              <m:t>=1</m:t>
                            </m:r>
                          </m:sub>
                          <m:sup>
                            <m:r>
                              <a:rPr lang="en-US" sz="1100" i="1">
                                <a:solidFill>
                                  <a:schemeClr val="tx1"/>
                                </a:solidFill>
                                <a:effectLst/>
                                <a:latin typeface="Cambria Math" panose="02040503050406030204" pitchFamily="18" charset="0"/>
                                <a:ea typeface="+mn-ea"/>
                                <a:cs typeface="+mn-cs"/>
                              </a:rPr>
                              <m:t>𝑛</m:t>
                            </m:r>
                          </m:sup>
                          <m:e>
                            <m:sSup>
                              <m:sSupPr>
                                <m:ctrlPr>
                                  <a:rPr lang="en-IN" sz="1100" i="1">
                                    <a:solidFill>
                                      <a:schemeClr val="tx1"/>
                                    </a:solidFill>
                                    <a:effectLst/>
                                    <a:latin typeface="Cambria Math" panose="02040503050406030204" pitchFamily="18" charset="0"/>
                                    <a:ea typeface="+mn-ea"/>
                                    <a:cs typeface="+mn-cs"/>
                                  </a:rPr>
                                </m:ctrlPr>
                              </m:sSupPr>
                              <m:e>
                                <m:d>
                                  <m:dPr>
                                    <m:ctrlPr>
                                      <a:rPr lang="en-IN" sz="1100" i="1">
                                        <a:solidFill>
                                          <a:schemeClr val="tx1"/>
                                        </a:solidFill>
                                        <a:effectLst/>
                                        <a:latin typeface="Cambria Math" panose="02040503050406030204" pitchFamily="18" charset="0"/>
                                        <a:ea typeface="+mn-ea"/>
                                        <a:cs typeface="+mn-cs"/>
                                      </a:rPr>
                                    </m:ctrlPr>
                                  </m:dPr>
                                  <m:e>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𝑥</m:t>
                                        </m:r>
                                      </m:e>
                                      <m:sub>
                                        <m:r>
                                          <a:rPr lang="en-US" sz="1100" i="1">
                                            <a:solidFill>
                                              <a:schemeClr val="tx1"/>
                                            </a:solidFill>
                                            <a:effectLst/>
                                            <a:latin typeface="Cambria Math" panose="02040503050406030204" pitchFamily="18" charset="0"/>
                                            <a:ea typeface="+mn-ea"/>
                                            <a:cs typeface="+mn-cs"/>
                                          </a:rPr>
                                          <m:t>𝑖</m:t>
                                        </m:r>
                                      </m:sub>
                                    </m:sSub>
                                    <m:r>
                                      <a:rPr lang="en-US" sz="1100" i="1">
                                        <a:solidFill>
                                          <a:schemeClr val="tx1"/>
                                        </a:solidFill>
                                        <a:effectLst/>
                                        <a:latin typeface="Cambria Math" panose="02040503050406030204" pitchFamily="18" charset="0"/>
                                        <a:ea typeface="+mn-ea"/>
                                        <a:cs typeface="+mn-cs"/>
                                      </a:rPr>
                                      <m:t>−</m:t>
                                    </m:r>
                                    <m:acc>
                                      <m:accPr>
                                        <m:chr m:val="̅"/>
                                        <m:ctrlPr>
                                          <a:rPr lang="en-IN" sz="1100" i="1">
                                            <a:solidFill>
                                              <a:schemeClr val="tx1"/>
                                            </a:solidFill>
                                            <a:effectLst/>
                                            <a:latin typeface="Cambria Math" panose="02040503050406030204" pitchFamily="18" charset="0"/>
                                            <a:ea typeface="+mn-ea"/>
                                            <a:cs typeface="+mn-cs"/>
                                          </a:rPr>
                                        </m:ctrlPr>
                                      </m:accPr>
                                      <m:e>
                                        <m:r>
                                          <a:rPr lang="en-US" sz="1100" i="1">
                                            <a:solidFill>
                                              <a:schemeClr val="tx1"/>
                                            </a:solidFill>
                                            <a:effectLst/>
                                            <a:latin typeface="Cambria Math" panose="02040503050406030204" pitchFamily="18" charset="0"/>
                                            <a:ea typeface="+mn-ea"/>
                                            <a:cs typeface="+mn-cs"/>
                                          </a:rPr>
                                          <m:t>𝑥</m:t>
                                        </m:r>
                                      </m:e>
                                    </m:acc>
                                  </m:e>
                                </m:d>
                              </m:e>
                              <m:sup>
                                <m:r>
                                  <a:rPr lang="en-US" sz="1100">
                                    <a:solidFill>
                                      <a:schemeClr val="tx1"/>
                                    </a:solidFill>
                                    <a:effectLst/>
                                    <a:latin typeface="Cambria Math" panose="02040503050406030204" pitchFamily="18" charset="0"/>
                                    <a:ea typeface="+mn-ea"/>
                                    <a:cs typeface="+mn-cs"/>
                                  </a:rPr>
                                  <m:t>2</m:t>
                                </m:r>
                              </m:sup>
                            </m:sSup>
                          </m:e>
                        </m:nary>
                      </m:e>
                    </m:rad>
                  </m:oMath>
                </m:oMathPara>
              </a14:m>
              <a:endParaRPr lang="en-IN" sz="1100">
                <a:solidFill>
                  <a:schemeClr val="tx1"/>
                </a:solidFill>
                <a:effectLst/>
                <a:latin typeface="+mn-lt"/>
                <a:ea typeface="+mn-ea"/>
                <a:cs typeface="+mn-cs"/>
              </a:endParaRPr>
            </a:p>
            <a:p>
              <a:endParaRPr lang="en-IN" sz="1100"/>
            </a:p>
          </xdr:txBody>
        </xdr:sp>
      </mc:Choice>
      <mc:Fallback xmlns="">
        <xdr:sp macro="" textlink="">
          <xdr:nvSpPr>
            <xdr:cNvPr id="4" name="TextBox 3">
              <a:extLst>
                <a:ext uri="{FF2B5EF4-FFF2-40B4-BE49-F238E27FC236}">
                  <a16:creationId xmlns:a16="http://schemas.microsoft.com/office/drawing/2014/main" id="{9DEE374D-E087-4DB5-8681-94F60CA4D1E4}"/>
                </a:ext>
              </a:extLst>
            </xdr:cNvPr>
            <xdr:cNvSpPr txBox="1"/>
          </xdr:nvSpPr>
          <xdr:spPr>
            <a:xfrm>
              <a:off x="14725650" y="3900487"/>
              <a:ext cx="3149645" cy="830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i="0">
                  <a:solidFill>
                    <a:schemeClr val="tx1"/>
                  </a:solidFill>
                  <a:effectLst/>
                  <a:latin typeface="+mn-lt"/>
                  <a:ea typeface="+mn-ea"/>
                  <a:cs typeface="+mn-cs"/>
                </a:rPr>
                <a:t>𝑠𝑡𝑎𝑛𝑑𝑎𝑟𝑑</a:t>
              </a:r>
              <a:r>
                <a:rPr lang="en-IN" sz="1100" i="0">
                  <a:solidFill>
                    <a:schemeClr val="tx1"/>
                  </a:solidFill>
                  <a:effectLst/>
                  <a:latin typeface="+mn-lt"/>
                  <a:ea typeface="+mn-ea"/>
                  <a:cs typeface="+mn-cs"/>
                </a:rPr>
                <a:t>_</a:t>
              </a:r>
              <a:r>
                <a:rPr lang="en-US" sz="1100" i="0">
                  <a:solidFill>
                    <a:schemeClr val="tx1"/>
                  </a:solidFill>
                  <a:effectLst/>
                  <a:latin typeface="+mn-lt"/>
                  <a:ea typeface="+mn-ea"/>
                  <a:cs typeface="+mn-cs"/>
                </a:rPr>
                <a:t>𝑑𝑒𝑣𝑖𝑎𝑡𝑖𝑜𝑛</a:t>
              </a:r>
              <a:r>
                <a:rPr lang="en-IN" sz="1100" i="0">
                  <a:solidFill>
                    <a:schemeClr val="tx1"/>
                  </a:solidFill>
                  <a:effectLst/>
                  <a:latin typeface="+mn-lt"/>
                  <a:ea typeface="+mn-ea"/>
                  <a:cs typeface="+mn-cs"/>
                </a:rPr>
                <a:t> (</a:t>
              </a:r>
              <a:r>
                <a:rPr lang="en-US" sz="1100" i="0">
                  <a:solidFill>
                    <a:schemeClr val="tx1"/>
                  </a:solidFill>
                  <a:effectLst/>
                  <a:latin typeface="+mn-lt"/>
                  <a:ea typeface="+mn-ea"/>
                  <a:cs typeface="+mn-cs"/>
                </a:rPr>
                <a:t>𝑥)=𝑠</a:t>
              </a:r>
              <a:r>
                <a:rPr lang="en-IN" sz="1100" i="0">
                  <a:solidFill>
                    <a:schemeClr val="tx1"/>
                  </a:solidFill>
                  <a:effectLst/>
                  <a:latin typeface="+mn-lt"/>
                  <a:ea typeface="+mn-ea"/>
                  <a:cs typeface="+mn-cs"/>
                </a:rPr>
                <a:t>_</a:t>
              </a:r>
              <a:r>
                <a:rPr lang="en-US" sz="1100" i="0">
                  <a:solidFill>
                    <a:schemeClr val="tx1"/>
                  </a:solidFill>
                  <a:effectLst/>
                  <a:latin typeface="+mn-lt"/>
                  <a:ea typeface="+mn-ea"/>
                  <a:cs typeface="+mn-cs"/>
                </a:rPr>
                <a:t>𝑥=</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1</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𝑛−1</a:t>
              </a:r>
              <a:r>
                <a:rPr lang="en-IN" sz="1100" i="0">
                  <a:solidFill>
                    <a:schemeClr val="tx1"/>
                  </a:solidFill>
                  <a:effectLst/>
                  <a:latin typeface="+mn-lt"/>
                  <a:ea typeface="+mn-ea"/>
                  <a:cs typeface="+mn-cs"/>
                </a:rPr>
                <a:t>) ∑129</a:t>
              </a:r>
              <a:r>
                <a:rPr lang="en-US" sz="1100" i="0">
                  <a:solidFill>
                    <a:schemeClr val="tx1"/>
                  </a:solidFill>
                  <a:effectLst/>
                  <a:latin typeface="+mn-lt"/>
                  <a:ea typeface="+mn-ea"/>
                  <a:cs typeface="+mn-cs"/>
                </a:rPr>
                <a:t>_</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𝑖=1</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^𝑛▒</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𝑥</a:t>
              </a:r>
              <a:r>
                <a:rPr lang="en-IN" sz="1100" i="0">
                  <a:solidFill>
                    <a:schemeClr val="tx1"/>
                  </a:solidFill>
                  <a:effectLst/>
                  <a:latin typeface="+mn-lt"/>
                  <a:ea typeface="+mn-ea"/>
                  <a:cs typeface="+mn-cs"/>
                </a:rPr>
                <a:t>_</a:t>
              </a:r>
              <a:r>
                <a:rPr lang="en-US" sz="1100" i="0">
                  <a:solidFill>
                    <a:schemeClr val="tx1"/>
                  </a:solidFill>
                  <a:effectLst/>
                  <a:latin typeface="+mn-lt"/>
                  <a:ea typeface="+mn-ea"/>
                  <a:cs typeface="+mn-cs"/>
                </a:rPr>
                <a:t>𝑖−𝑥</a:t>
              </a:r>
              <a:r>
                <a:rPr lang="en-IN" sz="1100" i="0">
                  <a:solidFill>
                    <a:schemeClr val="tx1"/>
                  </a:solidFill>
                  <a:effectLst/>
                  <a:latin typeface="+mn-lt"/>
                  <a:ea typeface="+mn-ea"/>
                  <a:cs typeface="+mn-cs"/>
                </a:rPr>
                <a:t> ̅</a:t>
              </a:r>
              <a:r>
                <a:rPr lang="en-US" sz="1100" i="0">
                  <a:solidFill>
                    <a:schemeClr val="tx1"/>
                  </a:solidFill>
                  <a:effectLst/>
                  <a:latin typeface="+mn-lt"/>
                  <a:ea typeface="+mn-ea"/>
                  <a:cs typeface="+mn-cs"/>
                </a:rPr>
                <a:t> )</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2 </a:t>
              </a:r>
              <a:r>
                <a:rPr lang="en-IN" sz="1100" i="0">
                  <a:solidFill>
                    <a:schemeClr val="tx1"/>
                  </a:solidFill>
                  <a:effectLst/>
                  <a:latin typeface="+mn-lt"/>
                  <a:ea typeface="+mn-ea"/>
                  <a:cs typeface="+mn-cs"/>
                </a:rPr>
                <a:t>)</a:t>
              </a:r>
              <a:endParaRPr lang="en-IN" sz="1100">
                <a:solidFill>
                  <a:schemeClr val="tx1"/>
                </a:solidFill>
                <a:effectLst/>
                <a:latin typeface="+mn-lt"/>
                <a:ea typeface="+mn-ea"/>
                <a:cs typeface="+mn-cs"/>
              </a:endParaRPr>
            </a:p>
            <a:p>
              <a:endParaRPr lang="en-IN" sz="1100"/>
            </a:p>
          </xdr:txBody>
        </xdr:sp>
      </mc:Fallback>
    </mc:AlternateContent>
    <xdr:clientData/>
  </xdr:oneCellAnchor>
  <xdr:twoCellAnchor editAs="oneCell">
    <xdr:from>
      <xdr:col>9</xdr:col>
      <xdr:colOff>419100</xdr:colOff>
      <xdr:row>0</xdr:row>
      <xdr:rowOff>180975</xdr:rowOff>
    </xdr:from>
    <xdr:to>
      <xdr:col>11</xdr:col>
      <xdr:colOff>38099</xdr:colOff>
      <xdr:row>5</xdr:row>
      <xdr:rowOff>66674</xdr:rowOff>
    </xdr:to>
    <xdr:pic>
      <xdr:nvPicPr>
        <xdr:cNvPr id="5" name="Picture 4">
          <a:hlinkClick xmlns:r="http://schemas.openxmlformats.org/officeDocument/2006/relationships" r:id="rId1"/>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192125" y="180975"/>
          <a:ext cx="838199" cy="838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1400175</xdr:colOff>
      <xdr:row>35</xdr:row>
      <xdr:rowOff>160020</xdr:rowOff>
    </xdr:from>
    <xdr:to>
      <xdr:col>33</xdr:col>
      <xdr:colOff>8583</xdr:colOff>
      <xdr:row>54</xdr:row>
      <xdr:rowOff>169091</xdr:rowOff>
    </xdr:to>
    <xdr:pic>
      <xdr:nvPicPr>
        <xdr:cNvPr id="2" name="Picture 1">
          <a:extLst>
            <a:ext uri="{FF2B5EF4-FFF2-40B4-BE49-F238E27FC236}">
              <a16:creationId xmlns="" xmlns:a16="http://schemas.microsoft.com/office/drawing/2014/main" id="{A6868AFA-D020-4E2A-97F5-1C992FC9A810}"/>
            </a:ext>
          </a:extLst>
        </xdr:cNvPr>
        <xdr:cNvPicPr>
          <a:picLocks noChangeAspect="1"/>
        </xdr:cNvPicPr>
      </xdr:nvPicPr>
      <xdr:blipFill>
        <a:blip xmlns:r="http://schemas.openxmlformats.org/officeDocument/2006/relationships" r:embed="rId1"/>
        <a:stretch>
          <a:fillRect/>
        </a:stretch>
      </xdr:blipFill>
      <xdr:spPr>
        <a:xfrm>
          <a:off x="16754475" y="7780020"/>
          <a:ext cx="7352358" cy="3628571"/>
        </a:xfrm>
        <a:prstGeom prst="rect">
          <a:avLst/>
        </a:prstGeom>
      </xdr:spPr>
    </xdr:pic>
    <xdr:clientData/>
  </xdr:twoCellAnchor>
  <xdr:twoCellAnchor editAs="oneCell">
    <xdr:from>
      <xdr:col>20</xdr:col>
      <xdr:colOff>920115</xdr:colOff>
      <xdr:row>24</xdr:row>
      <xdr:rowOff>0</xdr:rowOff>
    </xdr:from>
    <xdr:to>
      <xdr:col>31</xdr:col>
      <xdr:colOff>301964</xdr:colOff>
      <xdr:row>42</xdr:row>
      <xdr:rowOff>78596</xdr:rowOff>
    </xdr:to>
    <xdr:pic>
      <xdr:nvPicPr>
        <xdr:cNvPr id="3" name="Picture 2">
          <a:extLst>
            <a:ext uri="{FF2B5EF4-FFF2-40B4-BE49-F238E27FC236}">
              <a16:creationId xmlns="" xmlns:a16="http://schemas.microsoft.com/office/drawing/2014/main" id="{03704E3F-0164-4A93-BE94-4C0006D997CF}"/>
            </a:ext>
          </a:extLst>
        </xdr:cNvPr>
        <xdr:cNvPicPr>
          <a:picLocks noChangeAspect="1"/>
        </xdr:cNvPicPr>
      </xdr:nvPicPr>
      <xdr:blipFill>
        <a:blip xmlns:r="http://schemas.openxmlformats.org/officeDocument/2006/relationships" r:embed="rId2"/>
        <a:stretch>
          <a:fillRect/>
        </a:stretch>
      </xdr:blipFill>
      <xdr:spPr>
        <a:xfrm>
          <a:off x="17569815" y="4267200"/>
          <a:ext cx="7584779" cy="3370436"/>
        </a:xfrm>
        <a:prstGeom prst="rect">
          <a:avLst/>
        </a:prstGeom>
      </xdr:spPr>
    </xdr:pic>
    <xdr:clientData/>
  </xdr:twoCellAnchor>
  <xdr:oneCellAnchor>
    <xdr:from>
      <xdr:col>24</xdr:col>
      <xdr:colOff>12668</xdr:colOff>
      <xdr:row>9</xdr:row>
      <xdr:rowOff>17938</xdr:rowOff>
    </xdr:from>
    <xdr:ext cx="1904176" cy="17222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 xmlns:a16="http://schemas.microsoft.com/office/drawing/2014/main" id="{DD8BBB16-4ED4-4703-846F-C3DF87F7614D}"/>
                </a:ext>
              </a:extLst>
            </xdr:cNvPr>
            <xdr:cNvSpPr txBox="1"/>
          </xdr:nvSpPr>
          <xdr:spPr>
            <a:xfrm>
              <a:off x="19123628" y="1115218"/>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solidFill>
                          <a:schemeClr val="bg1"/>
                        </a:solidFill>
                        <a:effectLst/>
                        <a:latin typeface="Cambria Math" panose="02040503050406030204" pitchFamily="18" charset="0"/>
                        <a:ea typeface="+mn-ea"/>
                        <a:cs typeface="+mn-cs"/>
                      </a:rPr>
                      <m:t>𝑆𝑢𝑝𝑟𝑒𝑚𝑢𝑚</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i="1">
                            <a:solidFill>
                              <a:schemeClr val="bg1"/>
                            </a:solidFill>
                            <a:effectLst/>
                            <a:latin typeface="Cambria Math" panose="02040503050406030204" pitchFamily="18" charset="0"/>
                            <a:ea typeface="+mn-ea"/>
                            <a:cs typeface="+mn-cs"/>
                          </a:rPr>
                          <m:t>𝑚𝑎𝑥</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𝑜𝑟</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a:solidFill>
                              <a:schemeClr val="bg1"/>
                            </a:solidFill>
                            <a:effectLst/>
                            <a:latin typeface="Cambria Math" panose="02040503050406030204" pitchFamily="18" charset="0"/>
                            <a:ea typeface="+mn-ea"/>
                            <a:cs typeface="+mn-cs"/>
                          </a:rPr>
                          <m:t>∞</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𝑛𝑜𝑟𝑚</m:t>
                    </m:r>
                    <m:r>
                      <a:rPr lang="en-IN" sz="1100" b="0" i="1">
                        <a:solidFill>
                          <a:schemeClr val="bg1"/>
                        </a:solidFill>
                        <a:effectLst/>
                        <a:latin typeface="Cambria Math" panose="02040503050406030204" pitchFamily="18" charset="0"/>
                        <a:ea typeface="+mn-ea"/>
                        <a:cs typeface="+mn-cs"/>
                      </a:rPr>
                      <m:t>)</m:t>
                    </m:r>
                  </m:oMath>
                </m:oMathPara>
              </a14:m>
              <a:endParaRPr lang="en-IN" sz="1100">
                <a:solidFill>
                  <a:schemeClr val="bg1"/>
                </a:solidFill>
              </a:endParaRPr>
            </a:p>
          </xdr:txBody>
        </xdr:sp>
      </mc:Choice>
      <mc:Fallback xmlns="">
        <xdr:sp macro="" textlink="">
          <xdr:nvSpPr>
            <xdr:cNvPr id="4" name="TextBox 3">
              <a:extLst>
                <a:ext uri="{FF2B5EF4-FFF2-40B4-BE49-F238E27FC236}">
                  <a16:creationId xmlns:a16="http://schemas.microsoft.com/office/drawing/2014/main" id="{DD8BBB16-4ED4-4703-846F-C3DF87F7614D}"/>
                </a:ext>
              </a:extLst>
            </xdr:cNvPr>
            <xdr:cNvSpPr txBox="1"/>
          </xdr:nvSpPr>
          <xdr:spPr>
            <a:xfrm>
              <a:off x="19123628" y="1115218"/>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chemeClr val="bg1"/>
                  </a:solidFill>
                  <a:effectLst/>
                  <a:latin typeface="Cambria Math" panose="02040503050406030204" pitchFamily="18" charset="0"/>
                  <a:ea typeface="+mn-ea"/>
                  <a:cs typeface="+mn-cs"/>
                </a:rPr>
                <a:t>𝑆𝑢𝑝𝑟𝑒𝑚𝑢𝑚 (𝐿</a:t>
              </a:r>
              <a:r>
                <a:rPr lang="en-IN" sz="1100" i="0">
                  <a:solidFill>
                    <a:schemeClr val="bg1"/>
                  </a:solidFill>
                  <a:effectLst/>
                  <a:latin typeface="Cambria Math" panose="02040503050406030204" pitchFamily="18" charset="0"/>
                  <a:ea typeface="+mn-ea"/>
                  <a:cs typeface="+mn-cs"/>
                </a:rPr>
                <a:t>_</a:t>
              </a:r>
              <a:r>
                <a:rPr lang="en-US" sz="1100" i="0">
                  <a:solidFill>
                    <a:schemeClr val="bg1"/>
                  </a:solidFill>
                  <a:effectLst/>
                  <a:latin typeface="Cambria Math" panose="02040503050406030204" pitchFamily="18" charset="0"/>
                  <a:ea typeface="+mn-ea"/>
                  <a:cs typeface="+mn-cs"/>
                </a:rPr>
                <a:t>𝑚𝑎𝑥  𝑜𝑟 𝐿</a:t>
              </a:r>
              <a:r>
                <a:rPr lang="en-IN" sz="1100" i="0">
                  <a:solidFill>
                    <a:schemeClr val="bg1"/>
                  </a:solidFill>
                  <a:effectLst/>
                  <a:latin typeface="Cambria Math" panose="02040503050406030204" pitchFamily="18" charset="0"/>
                  <a:ea typeface="+mn-ea"/>
                  <a:cs typeface="+mn-cs"/>
                </a:rPr>
                <a:t>_</a:t>
              </a:r>
              <a:r>
                <a:rPr lang="en-US" sz="1100" i="0">
                  <a:solidFill>
                    <a:schemeClr val="bg1"/>
                  </a:solidFill>
                  <a:effectLst/>
                  <a:latin typeface="Cambria Math" panose="02040503050406030204" pitchFamily="18" charset="0"/>
                  <a:ea typeface="+mn-ea"/>
                  <a:cs typeface="+mn-cs"/>
                </a:rPr>
                <a:t>∞  𝑛𝑜𝑟𝑚</a:t>
              </a:r>
              <a:r>
                <a:rPr lang="en-IN" sz="1100" b="0" i="0">
                  <a:solidFill>
                    <a:schemeClr val="bg1"/>
                  </a:solidFill>
                  <a:effectLst/>
                  <a:latin typeface="Cambria Math" panose="02040503050406030204" pitchFamily="18" charset="0"/>
                  <a:ea typeface="+mn-ea"/>
                  <a:cs typeface="+mn-cs"/>
                </a:rPr>
                <a:t>)</a:t>
              </a:r>
              <a:endParaRPr lang="en-IN" sz="1100">
                <a:solidFill>
                  <a:schemeClr val="bg1"/>
                </a:solidFill>
              </a:endParaRPr>
            </a:p>
          </xdr:txBody>
        </xdr:sp>
      </mc:Fallback>
    </mc:AlternateContent>
    <xdr:clientData/>
  </xdr:oneCellAnchor>
  <xdr:twoCellAnchor editAs="oneCell">
    <xdr:from>
      <xdr:col>13</xdr:col>
      <xdr:colOff>466726</xdr:colOff>
      <xdr:row>0</xdr:row>
      <xdr:rowOff>62687</xdr:rowOff>
    </xdr:from>
    <xdr:to>
      <xdr:col>15</xdr:col>
      <xdr:colOff>333375</xdr:colOff>
      <xdr:row>4</xdr:row>
      <xdr:rowOff>138886</xdr:rowOff>
    </xdr:to>
    <xdr:pic>
      <xdr:nvPicPr>
        <xdr:cNvPr id="5" name="Picture 4">
          <a:hlinkClick xmlns:r="http://schemas.openxmlformats.org/officeDocument/2006/relationships" r:id="rId3"/>
          <a:extLst>
            <a:ext uri="{FF2B5EF4-FFF2-40B4-BE49-F238E27FC236}">
              <a16:creationId xmlns="" xmlns:a16="http://schemas.microsoft.com/office/drawing/2014/main" id="{7C8AC2BB-0E24-4F3D-930F-4572A5E7F2A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80796" y="62687"/>
          <a:ext cx="918209" cy="807719"/>
        </a:xfrm>
        <a:prstGeom prst="rect">
          <a:avLst/>
        </a:prstGeom>
      </xdr:spPr>
    </xdr:pic>
    <xdr:clientData/>
  </xdr:twoCellAnchor>
  <xdr:twoCellAnchor editAs="oneCell">
    <xdr:from>
      <xdr:col>33</xdr:col>
      <xdr:colOff>0</xdr:colOff>
      <xdr:row>4</xdr:row>
      <xdr:rowOff>0</xdr:rowOff>
    </xdr:from>
    <xdr:to>
      <xdr:col>40</xdr:col>
      <xdr:colOff>304800</xdr:colOff>
      <xdr:row>13</xdr:row>
      <xdr:rowOff>137160</xdr:rowOff>
    </xdr:to>
    <xdr:pic>
      <xdr:nvPicPr>
        <xdr:cNvPr id="7" name="Picture 6" descr="get nth largest value2">
          <a:extLst>
            <a:ext uri="{FF2B5EF4-FFF2-40B4-BE49-F238E27FC236}">
              <a16:creationId xmlns="" xmlns:a16="http://schemas.microsoft.com/office/drawing/2014/main" id="{76A4DDCD-0AFA-49DB-9462-FEACF7B9C50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334720" y="731520"/>
          <a:ext cx="4781550" cy="1783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12668</xdr:colOff>
      <xdr:row>37</xdr:row>
      <xdr:rowOff>17938</xdr:rowOff>
    </xdr:from>
    <xdr:ext cx="1904176" cy="172227"/>
    <mc:AlternateContent xmlns:mc="http://schemas.openxmlformats.org/markup-compatibility/2006" xmlns:a14="http://schemas.microsoft.com/office/drawing/2010/main">
      <mc:Choice Requires="a14">
        <xdr:sp macro="" textlink="">
          <xdr:nvSpPr>
            <xdr:cNvPr id="9" name="TextBox 8">
              <a:extLst>
                <a:ext uri="{FF2B5EF4-FFF2-40B4-BE49-F238E27FC236}">
                  <a16:creationId xmlns="" xmlns:a16="http://schemas.microsoft.com/office/drawing/2014/main" id="{3921B311-F28C-4FB0-BFD0-A530333BF3ED}"/>
                </a:ext>
              </a:extLst>
            </xdr:cNvPr>
            <xdr:cNvSpPr txBox="1"/>
          </xdr:nvSpPr>
          <xdr:spPr>
            <a:xfrm>
              <a:off x="11873198" y="3858418"/>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solidFill>
                          <a:schemeClr val="bg1"/>
                        </a:solidFill>
                        <a:effectLst/>
                        <a:latin typeface="Cambria Math" panose="02040503050406030204" pitchFamily="18" charset="0"/>
                        <a:ea typeface="+mn-ea"/>
                        <a:cs typeface="+mn-cs"/>
                      </a:rPr>
                      <m:t>𝑆𝑢𝑝𝑟𝑒𝑚𝑢𝑚</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i="1">
                            <a:solidFill>
                              <a:schemeClr val="bg1"/>
                            </a:solidFill>
                            <a:effectLst/>
                            <a:latin typeface="Cambria Math" panose="02040503050406030204" pitchFamily="18" charset="0"/>
                            <a:ea typeface="+mn-ea"/>
                            <a:cs typeface="+mn-cs"/>
                          </a:rPr>
                          <m:t>𝑚𝑎𝑥</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𝑜𝑟</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a:solidFill>
                              <a:schemeClr val="bg1"/>
                            </a:solidFill>
                            <a:effectLst/>
                            <a:latin typeface="Cambria Math" panose="02040503050406030204" pitchFamily="18" charset="0"/>
                            <a:ea typeface="+mn-ea"/>
                            <a:cs typeface="+mn-cs"/>
                          </a:rPr>
                          <m:t>∞</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𝑛𝑜𝑟𝑚</m:t>
                    </m:r>
                    <m:r>
                      <a:rPr lang="en-IN" sz="1100" b="0" i="1">
                        <a:solidFill>
                          <a:schemeClr val="bg1"/>
                        </a:solidFill>
                        <a:effectLst/>
                        <a:latin typeface="Cambria Math" panose="02040503050406030204" pitchFamily="18" charset="0"/>
                        <a:ea typeface="+mn-ea"/>
                        <a:cs typeface="+mn-cs"/>
                      </a:rPr>
                      <m:t>)</m:t>
                    </m:r>
                  </m:oMath>
                </m:oMathPara>
              </a14:m>
              <a:endParaRPr lang="en-IN" sz="1100">
                <a:solidFill>
                  <a:schemeClr val="bg1"/>
                </a:solidFill>
              </a:endParaRPr>
            </a:p>
          </xdr:txBody>
        </xdr:sp>
      </mc:Choice>
      <mc:Fallback xmlns="">
        <xdr:sp macro="" textlink="">
          <xdr:nvSpPr>
            <xdr:cNvPr id="9" name="TextBox 8">
              <a:extLst>
                <a:ext uri="{FF2B5EF4-FFF2-40B4-BE49-F238E27FC236}">
                  <a16:creationId xmlns:a16="http://schemas.microsoft.com/office/drawing/2014/main" id="{3921B311-F28C-4FB0-BFD0-A530333BF3ED}"/>
                </a:ext>
              </a:extLst>
            </xdr:cNvPr>
            <xdr:cNvSpPr txBox="1"/>
          </xdr:nvSpPr>
          <xdr:spPr>
            <a:xfrm>
              <a:off x="11873198" y="3858418"/>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chemeClr val="bg1"/>
                  </a:solidFill>
                  <a:effectLst/>
                  <a:latin typeface="Cambria Math" panose="02040503050406030204" pitchFamily="18" charset="0"/>
                  <a:ea typeface="+mn-ea"/>
                  <a:cs typeface="+mn-cs"/>
                </a:rPr>
                <a:t>𝑆𝑢𝑝𝑟𝑒𝑚𝑢𝑚 (𝐿</a:t>
              </a:r>
              <a:r>
                <a:rPr lang="en-IN" sz="1100" i="0">
                  <a:solidFill>
                    <a:schemeClr val="bg1"/>
                  </a:solidFill>
                  <a:effectLst/>
                  <a:latin typeface="Cambria Math" panose="02040503050406030204" pitchFamily="18" charset="0"/>
                  <a:ea typeface="+mn-ea"/>
                  <a:cs typeface="+mn-cs"/>
                </a:rPr>
                <a:t>_</a:t>
              </a:r>
              <a:r>
                <a:rPr lang="en-US" sz="1100" i="0">
                  <a:solidFill>
                    <a:schemeClr val="bg1"/>
                  </a:solidFill>
                  <a:effectLst/>
                  <a:latin typeface="Cambria Math" panose="02040503050406030204" pitchFamily="18" charset="0"/>
                  <a:ea typeface="+mn-ea"/>
                  <a:cs typeface="+mn-cs"/>
                </a:rPr>
                <a:t>𝑚𝑎𝑥  𝑜𝑟 𝐿</a:t>
              </a:r>
              <a:r>
                <a:rPr lang="en-IN" sz="1100" i="0">
                  <a:solidFill>
                    <a:schemeClr val="bg1"/>
                  </a:solidFill>
                  <a:effectLst/>
                  <a:latin typeface="Cambria Math" panose="02040503050406030204" pitchFamily="18" charset="0"/>
                  <a:ea typeface="+mn-ea"/>
                  <a:cs typeface="+mn-cs"/>
                </a:rPr>
                <a:t>_</a:t>
              </a:r>
              <a:r>
                <a:rPr lang="en-US" sz="1100" i="0">
                  <a:solidFill>
                    <a:schemeClr val="bg1"/>
                  </a:solidFill>
                  <a:effectLst/>
                  <a:latin typeface="Cambria Math" panose="02040503050406030204" pitchFamily="18" charset="0"/>
                  <a:ea typeface="+mn-ea"/>
                  <a:cs typeface="+mn-cs"/>
                </a:rPr>
                <a:t>∞  𝑛𝑜𝑟𝑚</a:t>
              </a:r>
              <a:r>
                <a:rPr lang="en-IN" sz="1100" b="0" i="0">
                  <a:solidFill>
                    <a:schemeClr val="bg1"/>
                  </a:solidFill>
                  <a:effectLst/>
                  <a:latin typeface="Cambria Math" panose="02040503050406030204" pitchFamily="18" charset="0"/>
                  <a:ea typeface="+mn-ea"/>
                  <a:cs typeface="+mn-cs"/>
                </a:rPr>
                <a:t>)</a:t>
              </a:r>
              <a:endParaRPr lang="en-IN" sz="1100">
                <a:solidFill>
                  <a:schemeClr val="bg1"/>
                </a:solidFill>
              </a:endParaRPr>
            </a:p>
          </xdr:txBody>
        </xdr:sp>
      </mc:Fallback>
    </mc:AlternateContent>
    <xdr:clientData/>
  </xdr:oneCellAnchor>
  <xdr:oneCellAnchor>
    <xdr:from>
      <xdr:col>10</xdr:col>
      <xdr:colOff>12668</xdr:colOff>
      <xdr:row>49</xdr:row>
      <xdr:rowOff>17938</xdr:rowOff>
    </xdr:from>
    <xdr:ext cx="1904176" cy="172227"/>
    <mc:AlternateContent xmlns:mc="http://schemas.openxmlformats.org/markup-compatibility/2006" xmlns:a14="http://schemas.microsoft.com/office/drawing/2010/main">
      <mc:Choice Requires="a14">
        <xdr:sp macro="" textlink="">
          <xdr:nvSpPr>
            <xdr:cNvPr id="8" name="TextBox 7">
              <a:extLst>
                <a:ext uri="{FF2B5EF4-FFF2-40B4-BE49-F238E27FC236}">
                  <a16:creationId xmlns="" xmlns:a16="http://schemas.microsoft.com/office/drawing/2014/main" id="{385D4214-31AD-4AFF-9E23-CE142AE1C95C}"/>
                </a:ext>
              </a:extLst>
            </xdr:cNvPr>
            <xdr:cNvSpPr txBox="1"/>
          </xdr:nvSpPr>
          <xdr:spPr>
            <a:xfrm>
              <a:off x="11877008" y="7698898"/>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solidFill>
                          <a:schemeClr val="bg1"/>
                        </a:solidFill>
                        <a:effectLst/>
                        <a:latin typeface="Cambria Math" panose="02040503050406030204" pitchFamily="18" charset="0"/>
                        <a:ea typeface="+mn-ea"/>
                        <a:cs typeface="+mn-cs"/>
                      </a:rPr>
                      <m:t>𝑆𝑢𝑝𝑟𝑒𝑚𝑢𝑚</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i="1">
                            <a:solidFill>
                              <a:schemeClr val="bg1"/>
                            </a:solidFill>
                            <a:effectLst/>
                            <a:latin typeface="Cambria Math" panose="02040503050406030204" pitchFamily="18" charset="0"/>
                            <a:ea typeface="+mn-ea"/>
                            <a:cs typeface="+mn-cs"/>
                          </a:rPr>
                          <m:t>𝑚𝑎𝑥</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𝑜𝑟</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a:solidFill>
                              <a:schemeClr val="bg1"/>
                            </a:solidFill>
                            <a:effectLst/>
                            <a:latin typeface="Cambria Math" panose="02040503050406030204" pitchFamily="18" charset="0"/>
                            <a:ea typeface="+mn-ea"/>
                            <a:cs typeface="+mn-cs"/>
                          </a:rPr>
                          <m:t>∞</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𝑛𝑜𝑟𝑚</m:t>
                    </m:r>
                    <m:r>
                      <a:rPr lang="en-IN" sz="1100" b="0" i="1">
                        <a:solidFill>
                          <a:schemeClr val="bg1"/>
                        </a:solidFill>
                        <a:effectLst/>
                        <a:latin typeface="Cambria Math" panose="02040503050406030204" pitchFamily="18" charset="0"/>
                        <a:ea typeface="+mn-ea"/>
                        <a:cs typeface="+mn-cs"/>
                      </a:rPr>
                      <m:t>)</m:t>
                    </m:r>
                  </m:oMath>
                </m:oMathPara>
              </a14:m>
              <a:endParaRPr lang="en-IN" sz="1100">
                <a:solidFill>
                  <a:schemeClr val="bg1"/>
                </a:solidFill>
              </a:endParaRPr>
            </a:p>
          </xdr:txBody>
        </xdr:sp>
      </mc:Choice>
      <mc:Fallback xmlns="">
        <xdr:sp macro="" textlink="">
          <xdr:nvSpPr>
            <xdr:cNvPr id="8" name="TextBox 7">
              <a:extLst>
                <a:ext uri="{FF2B5EF4-FFF2-40B4-BE49-F238E27FC236}">
                  <a16:creationId xmlns:a16="http://schemas.microsoft.com/office/drawing/2014/main" id="{385D4214-31AD-4AFF-9E23-CE142AE1C95C}"/>
                </a:ext>
              </a:extLst>
            </xdr:cNvPr>
            <xdr:cNvSpPr txBox="1"/>
          </xdr:nvSpPr>
          <xdr:spPr>
            <a:xfrm>
              <a:off x="11877008" y="7698898"/>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chemeClr val="bg1"/>
                  </a:solidFill>
                  <a:effectLst/>
                  <a:latin typeface="Cambria Math" panose="02040503050406030204" pitchFamily="18" charset="0"/>
                  <a:ea typeface="+mn-ea"/>
                  <a:cs typeface="+mn-cs"/>
                </a:rPr>
                <a:t>𝑆𝑢𝑝𝑟𝑒𝑚𝑢𝑚 (𝐿</a:t>
              </a:r>
              <a:r>
                <a:rPr lang="en-IN" sz="1100" i="0">
                  <a:solidFill>
                    <a:schemeClr val="bg1"/>
                  </a:solidFill>
                  <a:effectLst/>
                  <a:latin typeface="Cambria Math" panose="02040503050406030204" pitchFamily="18" charset="0"/>
                  <a:ea typeface="+mn-ea"/>
                  <a:cs typeface="+mn-cs"/>
                </a:rPr>
                <a:t>_</a:t>
              </a:r>
              <a:r>
                <a:rPr lang="en-US" sz="1100" i="0">
                  <a:solidFill>
                    <a:schemeClr val="bg1"/>
                  </a:solidFill>
                  <a:effectLst/>
                  <a:latin typeface="Cambria Math" panose="02040503050406030204" pitchFamily="18" charset="0"/>
                  <a:ea typeface="+mn-ea"/>
                  <a:cs typeface="+mn-cs"/>
                </a:rPr>
                <a:t>𝑚𝑎𝑥  𝑜𝑟 𝐿</a:t>
              </a:r>
              <a:r>
                <a:rPr lang="en-IN" sz="1100" i="0">
                  <a:solidFill>
                    <a:schemeClr val="bg1"/>
                  </a:solidFill>
                  <a:effectLst/>
                  <a:latin typeface="Cambria Math" panose="02040503050406030204" pitchFamily="18" charset="0"/>
                  <a:ea typeface="+mn-ea"/>
                  <a:cs typeface="+mn-cs"/>
                </a:rPr>
                <a:t>_</a:t>
              </a:r>
              <a:r>
                <a:rPr lang="en-US" sz="1100" i="0">
                  <a:solidFill>
                    <a:schemeClr val="bg1"/>
                  </a:solidFill>
                  <a:effectLst/>
                  <a:latin typeface="Cambria Math" panose="02040503050406030204" pitchFamily="18" charset="0"/>
                  <a:ea typeface="+mn-ea"/>
                  <a:cs typeface="+mn-cs"/>
                </a:rPr>
                <a:t>∞  𝑛𝑜𝑟𝑚</a:t>
              </a:r>
              <a:r>
                <a:rPr lang="en-IN" sz="1100" b="0" i="0">
                  <a:solidFill>
                    <a:schemeClr val="bg1"/>
                  </a:solidFill>
                  <a:effectLst/>
                  <a:latin typeface="Cambria Math" panose="02040503050406030204" pitchFamily="18" charset="0"/>
                  <a:ea typeface="+mn-ea"/>
                  <a:cs typeface="+mn-cs"/>
                </a:rPr>
                <a:t>)</a:t>
              </a:r>
              <a:endParaRPr lang="en-IN" sz="1100">
                <a:solidFill>
                  <a:schemeClr val="bg1"/>
                </a:solidFill>
              </a:endParaRPr>
            </a:p>
          </xdr:txBody>
        </xdr:sp>
      </mc:Fallback>
    </mc:AlternateContent>
    <xdr:clientData/>
  </xdr:oneCellAnchor>
  <xdr:oneCellAnchor>
    <xdr:from>
      <xdr:col>10</xdr:col>
      <xdr:colOff>12668</xdr:colOff>
      <xdr:row>61</xdr:row>
      <xdr:rowOff>17938</xdr:rowOff>
    </xdr:from>
    <xdr:ext cx="1904176" cy="172227"/>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 xmlns:a16="http://schemas.microsoft.com/office/drawing/2014/main" id="{08183CED-CAA3-4F5D-8186-0D10F511B7B0}"/>
                </a:ext>
              </a:extLst>
            </xdr:cNvPr>
            <xdr:cNvSpPr txBox="1"/>
          </xdr:nvSpPr>
          <xdr:spPr>
            <a:xfrm>
              <a:off x="11871293" y="8885713"/>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solidFill>
                          <a:schemeClr val="bg1"/>
                        </a:solidFill>
                        <a:effectLst/>
                        <a:latin typeface="Cambria Math" panose="02040503050406030204" pitchFamily="18" charset="0"/>
                        <a:ea typeface="+mn-ea"/>
                        <a:cs typeface="+mn-cs"/>
                      </a:rPr>
                      <m:t>𝑆𝑢𝑝𝑟𝑒𝑚𝑢𝑚</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i="1">
                            <a:solidFill>
                              <a:schemeClr val="bg1"/>
                            </a:solidFill>
                            <a:effectLst/>
                            <a:latin typeface="Cambria Math" panose="02040503050406030204" pitchFamily="18" charset="0"/>
                            <a:ea typeface="+mn-ea"/>
                            <a:cs typeface="+mn-cs"/>
                          </a:rPr>
                          <m:t>𝑚𝑎𝑥</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𝑜𝑟</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a:solidFill>
                              <a:schemeClr val="bg1"/>
                            </a:solidFill>
                            <a:effectLst/>
                            <a:latin typeface="Cambria Math" panose="02040503050406030204" pitchFamily="18" charset="0"/>
                            <a:ea typeface="+mn-ea"/>
                            <a:cs typeface="+mn-cs"/>
                          </a:rPr>
                          <m:t>∞</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𝑛𝑜𝑟𝑚</m:t>
                    </m:r>
                    <m:r>
                      <a:rPr lang="en-IN" sz="1100" b="0" i="1">
                        <a:solidFill>
                          <a:schemeClr val="bg1"/>
                        </a:solidFill>
                        <a:effectLst/>
                        <a:latin typeface="Cambria Math" panose="02040503050406030204" pitchFamily="18" charset="0"/>
                        <a:ea typeface="+mn-ea"/>
                        <a:cs typeface="+mn-cs"/>
                      </a:rPr>
                      <m:t>)</m:t>
                    </m:r>
                  </m:oMath>
                </m:oMathPara>
              </a14:m>
              <a:endParaRPr lang="en-IN" sz="1100">
                <a:solidFill>
                  <a:schemeClr val="bg1"/>
                </a:solidFill>
              </a:endParaRPr>
            </a:p>
          </xdr:txBody>
        </xdr:sp>
      </mc:Choice>
      <mc:Fallback xmlns="">
        <xdr:sp macro="" textlink="">
          <xdr:nvSpPr>
            <xdr:cNvPr id="10" name="TextBox 9">
              <a:extLst>
                <a:ext uri="{FF2B5EF4-FFF2-40B4-BE49-F238E27FC236}">
                  <a16:creationId xmlns:a16="http://schemas.microsoft.com/office/drawing/2014/main" id="{08183CED-CAA3-4F5D-8186-0D10F511B7B0}"/>
                </a:ext>
              </a:extLst>
            </xdr:cNvPr>
            <xdr:cNvSpPr txBox="1"/>
          </xdr:nvSpPr>
          <xdr:spPr>
            <a:xfrm>
              <a:off x="11871293" y="8885713"/>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chemeClr val="bg1"/>
                  </a:solidFill>
                  <a:effectLst/>
                  <a:latin typeface="Cambria Math" panose="02040503050406030204" pitchFamily="18" charset="0"/>
                  <a:ea typeface="+mn-ea"/>
                  <a:cs typeface="+mn-cs"/>
                </a:rPr>
                <a:t>𝑆𝑢𝑝𝑟𝑒𝑚𝑢𝑚 (𝐿</a:t>
              </a:r>
              <a:r>
                <a:rPr lang="en-IN" sz="1100" i="0">
                  <a:solidFill>
                    <a:schemeClr val="bg1"/>
                  </a:solidFill>
                  <a:effectLst/>
                  <a:latin typeface="Cambria Math" panose="02040503050406030204" pitchFamily="18" charset="0"/>
                  <a:ea typeface="+mn-ea"/>
                  <a:cs typeface="+mn-cs"/>
                </a:rPr>
                <a:t>_</a:t>
              </a:r>
              <a:r>
                <a:rPr lang="en-US" sz="1100" i="0">
                  <a:solidFill>
                    <a:schemeClr val="bg1"/>
                  </a:solidFill>
                  <a:effectLst/>
                  <a:latin typeface="Cambria Math" panose="02040503050406030204" pitchFamily="18" charset="0"/>
                  <a:ea typeface="+mn-ea"/>
                  <a:cs typeface="+mn-cs"/>
                </a:rPr>
                <a:t>𝑚𝑎𝑥  𝑜𝑟 𝐿</a:t>
              </a:r>
              <a:r>
                <a:rPr lang="en-IN" sz="1100" i="0">
                  <a:solidFill>
                    <a:schemeClr val="bg1"/>
                  </a:solidFill>
                  <a:effectLst/>
                  <a:latin typeface="Cambria Math" panose="02040503050406030204" pitchFamily="18" charset="0"/>
                  <a:ea typeface="+mn-ea"/>
                  <a:cs typeface="+mn-cs"/>
                </a:rPr>
                <a:t>_</a:t>
              </a:r>
              <a:r>
                <a:rPr lang="en-US" sz="1100" i="0">
                  <a:solidFill>
                    <a:schemeClr val="bg1"/>
                  </a:solidFill>
                  <a:effectLst/>
                  <a:latin typeface="Cambria Math" panose="02040503050406030204" pitchFamily="18" charset="0"/>
                  <a:ea typeface="+mn-ea"/>
                  <a:cs typeface="+mn-cs"/>
                </a:rPr>
                <a:t>∞  𝑛𝑜𝑟𝑚</a:t>
              </a:r>
              <a:r>
                <a:rPr lang="en-IN" sz="1100" b="0" i="0">
                  <a:solidFill>
                    <a:schemeClr val="bg1"/>
                  </a:solidFill>
                  <a:effectLst/>
                  <a:latin typeface="Cambria Math" panose="02040503050406030204" pitchFamily="18" charset="0"/>
                  <a:ea typeface="+mn-ea"/>
                  <a:cs typeface="+mn-cs"/>
                </a:rPr>
                <a:t>)</a:t>
              </a:r>
              <a:endParaRPr lang="en-IN" sz="1100">
                <a:solidFill>
                  <a:schemeClr val="bg1"/>
                </a:solidFill>
              </a:endParaRPr>
            </a:p>
          </xdr:txBody>
        </xdr:sp>
      </mc:Fallback>
    </mc:AlternateContent>
    <xdr:clientData/>
  </xdr:oneCellAnchor>
  <xdr:twoCellAnchor>
    <xdr:from>
      <xdr:col>1</xdr:col>
      <xdr:colOff>533401</xdr:colOff>
      <xdr:row>24</xdr:row>
      <xdr:rowOff>33337</xdr:rowOff>
    </xdr:from>
    <xdr:to>
      <xdr:col>4</xdr:col>
      <xdr:colOff>142875</xdr:colOff>
      <xdr:row>39</xdr:row>
      <xdr:rowOff>57149</xdr:rowOff>
    </xdr:to>
    <xdr:graphicFrame macro="">
      <xdr:nvGraphicFramePr>
        <xdr:cNvPr id="6" name="Chart 5">
          <a:extLst>
            <a:ext uri="{FF2B5EF4-FFF2-40B4-BE49-F238E27FC236}">
              <a16:creationId xmlns="" xmlns:a16="http://schemas.microsoft.com/office/drawing/2014/main" id="{C42FCDC5-8C1A-4FD0-8857-A502F8DF9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9525</xdr:colOff>
      <xdr:row>3</xdr:row>
      <xdr:rowOff>180975</xdr:rowOff>
    </xdr:from>
    <xdr:to>
      <xdr:col>12</xdr:col>
      <xdr:colOff>47625</xdr:colOff>
      <xdr:row>6</xdr:row>
      <xdr:rowOff>161925</xdr:rowOff>
    </xdr:to>
    <xdr:pic>
      <xdr:nvPicPr>
        <xdr:cNvPr id="3" name="Picture 2">
          <a:extLst>
            <a:ext uri="{FF2B5EF4-FFF2-40B4-BE49-F238E27FC236}">
              <a16:creationId xmlns=""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9467850" y="752475"/>
          <a:ext cx="1314450" cy="55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762000</xdr:colOff>
      <xdr:row>4</xdr:row>
      <xdr:rowOff>114300</xdr:rowOff>
    </xdr:from>
    <xdr:to>
      <xdr:col>8</xdr:col>
      <xdr:colOff>676275</xdr:colOff>
      <xdr:row>6</xdr:row>
      <xdr:rowOff>171450</xdr:rowOff>
    </xdr:to>
    <xdr:pic>
      <xdr:nvPicPr>
        <xdr:cNvPr id="6" name="Picture 5">
          <a:extLst>
            <a:ext uri="{FF2B5EF4-FFF2-40B4-BE49-F238E27FC236}">
              <a16:creationId xmlns=""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134225" y="876300"/>
          <a:ext cx="6858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571500</xdr:colOff>
      <xdr:row>1</xdr:row>
      <xdr:rowOff>57150</xdr:rowOff>
    </xdr:from>
    <xdr:to>
      <xdr:col>15</xdr:col>
      <xdr:colOff>190499</xdr:colOff>
      <xdr:row>5</xdr:row>
      <xdr:rowOff>133349</xdr:rowOff>
    </xdr:to>
    <xdr:pic>
      <xdr:nvPicPr>
        <xdr:cNvPr id="4" name="Picture 3">
          <a:hlinkClick xmlns:r="http://schemas.openxmlformats.org/officeDocument/2006/relationships" r:id="rId3"/>
          <a:extLst>
            <a:ext uri="{FF2B5EF4-FFF2-40B4-BE49-F238E27FC236}">
              <a16:creationId xmlns="" xmlns:a16="http://schemas.microsoft.com/office/drawing/2014/main" id="{00000000-0008-0000-03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915775" y="247650"/>
          <a:ext cx="838199" cy="838199"/>
        </a:xfrm>
        <a:prstGeom prst="rect">
          <a:avLst/>
        </a:prstGeom>
      </xdr:spPr>
    </xdr:pic>
    <xdr:clientData/>
  </xdr:twoCellAnchor>
  <xdr:twoCellAnchor editAs="oneCell">
    <xdr:from>
      <xdr:col>6</xdr:col>
      <xdr:colOff>314325</xdr:colOff>
      <xdr:row>1</xdr:row>
      <xdr:rowOff>47625</xdr:rowOff>
    </xdr:from>
    <xdr:to>
      <xdr:col>6</xdr:col>
      <xdr:colOff>1152524</xdr:colOff>
      <xdr:row>5</xdr:row>
      <xdr:rowOff>123824</xdr:rowOff>
    </xdr:to>
    <xdr:pic>
      <xdr:nvPicPr>
        <xdr:cNvPr id="5" name="Picture 4">
          <a:hlinkClick xmlns:r="http://schemas.openxmlformats.org/officeDocument/2006/relationships" r:id="rId3"/>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000" y="238125"/>
          <a:ext cx="838199" cy="838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333375</xdr:colOff>
      <xdr:row>28</xdr:row>
      <xdr:rowOff>114300</xdr:rowOff>
    </xdr:from>
    <xdr:to>
      <xdr:col>30</xdr:col>
      <xdr:colOff>446733</xdr:colOff>
      <xdr:row>47</xdr:row>
      <xdr:rowOff>123371</xdr:rowOff>
    </xdr:to>
    <xdr:pic>
      <xdr:nvPicPr>
        <xdr:cNvPr id="3" name="Picture 2">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3630275" y="5257800"/>
          <a:ext cx="7533333" cy="3628571"/>
        </a:xfrm>
        <a:prstGeom prst="rect">
          <a:avLst/>
        </a:prstGeom>
      </xdr:spPr>
    </xdr:pic>
    <xdr:clientData/>
  </xdr:twoCellAnchor>
  <xdr:twoCellAnchor editAs="oneCell">
    <xdr:from>
      <xdr:col>5</xdr:col>
      <xdr:colOff>561975</xdr:colOff>
      <xdr:row>28</xdr:row>
      <xdr:rowOff>114300</xdr:rowOff>
    </xdr:from>
    <xdr:to>
      <xdr:col>16</xdr:col>
      <xdr:colOff>134324</xdr:colOff>
      <xdr:row>47</xdr:row>
      <xdr:rowOff>10016</xdr:rowOff>
    </xdr:to>
    <xdr:pic>
      <xdr:nvPicPr>
        <xdr:cNvPr id="4" name="Picture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6448425" y="5257800"/>
          <a:ext cx="6982799" cy="3515216"/>
        </a:xfrm>
        <a:prstGeom prst="rect">
          <a:avLst/>
        </a:prstGeom>
      </xdr:spPr>
    </xdr:pic>
    <xdr:clientData/>
  </xdr:twoCellAnchor>
  <xdr:oneCellAnchor>
    <xdr:from>
      <xdr:col>24</xdr:col>
      <xdr:colOff>12668</xdr:colOff>
      <xdr:row>6</xdr:row>
      <xdr:rowOff>17938</xdr:rowOff>
    </xdr:from>
    <xdr:ext cx="1904176" cy="172227"/>
    <mc:AlternateContent xmlns:mc="http://schemas.openxmlformats.org/markup-compatibility/2006" xmlns:a14="http://schemas.microsoft.com/office/drawing/2010/main">
      <mc:Choice Requires="a14">
        <xdr:sp macro="" textlink="">
          <xdr:nvSpPr>
            <xdr:cNvPr id="5" name="TextBox 4">
              <a:extLst>
                <a:ext uri="{FF2B5EF4-FFF2-40B4-BE49-F238E27FC236}">
                  <a16:creationId xmlns="" xmlns:a16="http://schemas.microsoft.com/office/drawing/2014/main" id="{00000000-0008-0000-0400-000005000000}"/>
                </a:ext>
              </a:extLst>
            </xdr:cNvPr>
            <xdr:cNvSpPr txBox="1"/>
          </xdr:nvSpPr>
          <xdr:spPr>
            <a:xfrm>
              <a:off x="19510343" y="970438"/>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solidFill>
                          <a:schemeClr val="bg1"/>
                        </a:solidFill>
                        <a:effectLst/>
                        <a:latin typeface="Cambria Math" panose="02040503050406030204" pitchFamily="18" charset="0"/>
                        <a:ea typeface="+mn-ea"/>
                        <a:cs typeface="+mn-cs"/>
                      </a:rPr>
                      <m:t>𝑆𝑢𝑝𝑟𝑒𝑚𝑢𝑚</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i="1">
                            <a:solidFill>
                              <a:schemeClr val="bg1"/>
                            </a:solidFill>
                            <a:effectLst/>
                            <a:latin typeface="Cambria Math" panose="02040503050406030204" pitchFamily="18" charset="0"/>
                            <a:ea typeface="+mn-ea"/>
                            <a:cs typeface="+mn-cs"/>
                          </a:rPr>
                          <m:t>𝑚𝑎𝑥</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𝑜𝑟</m:t>
                    </m:r>
                    <m:r>
                      <a:rPr lang="en-US" sz="1100">
                        <a:solidFill>
                          <a:schemeClr val="bg1"/>
                        </a:solidFill>
                        <a:effectLst/>
                        <a:latin typeface="Cambria Math" panose="02040503050406030204" pitchFamily="18" charset="0"/>
                        <a:ea typeface="+mn-ea"/>
                        <a:cs typeface="+mn-cs"/>
                      </a:rPr>
                      <m:t> </m:t>
                    </m:r>
                    <m:sSub>
                      <m:sSubPr>
                        <m:ctrlPr>
                          <a:rPr lang="en-IN" sz="1100" i="1">
                            <a:solidFill>
                              <a:schemeClr val="bg1"/>
                            </a:solidFill>
                            <a:effectLst/>
                            <a:latin typeface="Cambria Math" panose="02040503050406030204" pitchFamily="18" charset="0"/>
                            <a:ea typeface="+mn-ea"/>
                            <a:cs typeface="+mn-cs"/>
                          </a:rPr>
                        </m:ctrlPr>
                      </m:sSubPr>
                      <m:e>
                        <m:r>
                          <a:rPr lang="en-US" sz="1100" i="1">
                            <a:solidFill>
                              <a:schemeClr val="bg1"/>
                            </a:solidFill>
                            <a:effectLst/>
                            <a:latin typeface="Cambria Math" panose="02040503050406030204" pitchFamily="18" charset="0"/>
                            <a:ea typeface="+mn-ea"/>
                            <a:cs typeface="+mn-cs"/>
                          </a:rPr>
                          <m:t>𝐿</m:t>
                        </m:r>
                      </m:e>
                      <m:sub>
                        <m:r>
                          <a:rPr lang="en-US" sz="1100">
                            <a:solidFill>
                              <a:schemeClr val="bg1"/>
                            </a:solidFill>
                            <a:effectLst/>
                            <a:latin typeface="Cambria Math" panose="02040503050406030204" pitchFamily="18" charset="0"/>
                            <a:ea typeface="+mn-ea"/>
                            <a:cs typeface="+mn-cs"/>
                          </a:rPr>
                          <m:t>∞</m:t>
                        </m:r>
                      </m:sub>
                    </m:sSub>
                    <m:r>
                      <a:rPr lang="en-US" sz="1100">
                        <a:solidFill>
                          <a:schemeClr val="bg1"/>
                        </a:solidFill>
                        <a:effectLst/>
                        <a:latin typeface="Cambria Math" panose="02040503050406030204" pitchFamily="18" charset="0"/>
                        <a:ea typeface="+mn-ea"/>
                        <a:cs typeface="+mn-cs"/>
                      </a:rPr>
                      <m:t> </m:t>
                    </m:r>
                    <m:r>
                      <a:rPr lang="en-US" sz="1100" i="1">
                        <a:solidFill>
                          <a:schemeClr val="bg1"/>
                        </a:solidFill>
                        <a:effectLst/>
                        <a:latin typeface="Cambria Math" panose="02040503050406030204" pitchFamily="18" charset="0"/>
                        <a:ea typeface="+mn-ea"/>
                        <a:cs typeface="+mn-cs"/>
                      </a:rPr>
                      <m:t>𝑛𝑜𝑟𝑚</m:t>
                    </m:r>
                    <m:r>
                      <a:rPr lang="en-IN" sz="1100" b="0" i="1">
                        <a:solidFill>
                          <a:schemeClr val="bg1"/>
                        </a:solidFill>
                        <a:effectLst/>
                        <a:latin typeface="Cambria Math" panose="02040503050406030204" pitchFamily="18" charset="0"/>
                        <a:ea typeface="+mn-ea"/>
                        <a:cs typeface="+mn-cs"/>
                      </a:rPr>
                      <m:t>)</m:t>
                    </m:r>
                  </m:oMath>
                </m:oMathPara>
              </a14:m>
              <a:endParaRPr lang="en-IN" sz="1100">
                <a:solidFill>
                  <a:schemeClr val="bg1"/>
                </a:solidFill>
              </a:endParaRPr>
            </a:p>
          </xdr:txBody>
        </xdr:sp>
      </mc:Choice>
      <mc:Fallback xmlns="">
        <xdr:sp macro="" textlink="">
          <xdr:nvSpPr>
            <xdr:cNvPr id="5" name="TextBox 4">
              <a:extLst>
                <a:ext uri="{FF2B5EF4-FFF2-40B4-BE49-F238E27FC236}">
                  <a16:creationId xmlns:a16="http://schemas.microsoft.com/office/drawing/2014/main" id="{CA2AF459-7A08-4504-ADAB-528217EF5AF2}"/>
                </a:ext>
              </a:extLst>
            </xdr:cNvPr>
            <xdr:cNvSpPr txBox="1"/>
          </xdr:nvSpPr>
          <xdr:spPr>
            <a:xfrm>
              <a:off x="19510343" y="970438"/>
              <a:ext cx="19041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solidFill>
                    <a:schemeClr val="bg1"/>
                  </a:solidFill>
                  <a:effectLst/>
                  <a:latin typeface="+mn-lt"/>
                  <a:ea typeface="+mn-ea"/>
                  <a:cs typeface="+mn-cs"/>
                </a:rPr>
                <a:t>𝑆𝑢𝑝𝑟𝑒𝑚𝑢𝑚 (𝐿</a:t>
              </a:r>
              <a:r>
                <a:rPr lang="en-IN" sz="1100" i="0">
                  <a:solidFill>
                    <a:schemeClr val="bg1"/>
                  </a:solidFill>
                  <a:effectLst/>
                  <a:latin typeface="+mn-lt"/>
                  <a:ea typeface="+mn-ea"/>
                  <a:cs typeface="+mn-cs"/>
                </a:rPr>
                <a:t>_</a:t>
              </a:r>
              <a:r>
                <a:rPr lang="en-US" sz="1100" i="0">
                  <a:solidFill>
                    <a:schemeClr val="bg1"/>
                  </a:solidFill>
                  <a:effectLst/>
                  <a:latin typeface="+mn-lt"/>
                  <a:ea typeface="+mn-ea"/>
                  <a:cs typeface="+mn-cs"/>
                </a:rPr>
                <a:t>𝑚𝑎𝑥  𝑜𝑟 𝐿</a:t>
              </a:r>
              <a:r>
                <a:rPr lang="en-IN" sz="1100" i="0">
                  <a:solidFill>
                    <a:schemeClr val="bg1"/>
                  </a:solidFill>
                  <a:effectLst/>
                  <a:latin typeface="+mn-lt"/>
                  <a:ea typeface="+mn-ea"/>
                  <a:cs typeface="+mn-cs"/>
                </a:rPr>
                <a:t>_</a:t>
              </a:r>
              <a:r>
                <a:rPr lang="en-US" sz="1100" i="0">
                  <a:solidFill>
                    <a:schemeClr val="bg1"/>
                  </a:solidFill>
                  <a:effectLst/>
                  <a:latin typeface="+mn-lt"/>
                  <a:ea typeface="+mn-ea"/>
                  <a:cs typeface="+mn-cs"/>
                </a:rPr>
                <a:t>∞  𝑛𝑜𝑟𝑚</a:t>
              </a:r>
              <a:r>
                <a:rPr lang="en-IN" sz="1100" b="0" i="0">
                  <a:solidFill>
                    <a:schemeClr val="bg1"/>
                  </a:solidFill>
                  <a:effectLst/>
                  <a:latin typeface="Cambria Math" panose="02040503050406030204" pitchFamily="18" charset="0"/>
                  <a:ea typeface="+mn-ea"/>
                  <a:cs typeface="+mn-cs"/>
                </a:rPr>
                <a:t>)</a:t>
              </a:r>
              <a:endParaRPr lang="en-IN" sz="1100">
                <a:solidFill>
                  <a:schemeClr val="bg1"/>
                </a:solidFill>
              </a:endParaRPr>
            </a:p>
          </xdr:txBody>
        </xdr:sp>
      </mc:Fallback>
    </mc:AlternateContent>
    <xdr:clientData/>
  </xdr:oneCellAnchor>
  <xdr:twoCellAnchor editAs="oneCell">
    <xdr:from>
      <xdr:col>13</xdr:col>
      <xdr:colOff>466726</xdr:colOff>
      <xdr:row>0</xdr:row>
      <xdr:rowOff>62687</xdr:rowOff>
    </xdr:from>
    <xdr:to>
      <xdr:col>15</xdr:col>
      <xdr:colOff>333375</xdr:colOff>
      <xdr:row>4</xdr:row>
      <xdr:rowOff>138886</xdr:rowOff>
    </xdr:to>
    <xdr:pic>
      <xdr:nvPicPr>
        <xdr:cNvPr id="7" name="Picture 6">
          <a:hlinkClick xmlns:r="http://schemas.openxmlformats.org/officeDocument/2006/relationships" r:id="rId3"/>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44476" y="62687"/>
          <a:ext cx="838199" cy="838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495300</xdr:colOff>
      <xdr:row>0</xdr:row>
      <xdr:rowOff>95250</xdr:rowOff>
    </xdr:from>
    <xdr:to>
      <xdr:col>10</xdr:col>
      <xdr:colOff>47624</xdr:colOff>
      <xdr:row>4</xdr:row>
      <xdr:rowOff>171449</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734800" y="95250"/>
          <a:ext cx="838199" cy="8381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18</xdr:col>
      <xdr:colOff>28575</xdr:colOff>
      <xdr:row>0</xdr:row>
      <xdr:rowOff>42862</xdr:rowOff>
    </xdr:from>
    <xdr:ext cx="2429575" cy="317779"/>
    <mc:AlternateContent xmlns:mc="http://schemas.openxmlformats.org/markup-compatibility/2006" xmlns:a14="http://schemas.microsoft.com/office/drawing/2010/main">
      <mc:Choice Requires="a14">
        <xdr:sp macro="" textlink="">
          <xdr:nvSpPr>
            <xdr:cNvPr id="2" name="TextBox 1">
              <a:extLst>
                <a:ext uri="{FF2B5EF4-FFF2-40B4-BE49-F238E27FC236}">
                  <a16:creationId xmlns="" xmlns:a16="http://schemas.microsoft.com/office/drawing/2014/main" id="{F115A785-1ED9-4897-91D4-C576C5BEAE24}"/>
                </a:ext>
              </a:extLst>
            </xdr:cNvPr>
            <xdr:cNvSpPr txBox="1"/>
          </xdr:nvSpPr>
          <xdr:spPr>
            <a:xfrm>
              <a:off x="14344650" y="42862"/>
              <a:ext cx="2429575" cy="317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tx1"/>
                        </a:solidFill>
                        <a:effectLst/>
                        <a:latin typeface="Cambria Math" panose="02040503050406030204" pitchFamily="18" charset="0"/>
                        <a:ea typeface="+mn-ea"/>
                        <a:cs typeface="+mn-cs"/>
                      </a:rPr>
                      <m:t>𝐂𝐨𝐬𝐢𝐧𝐞</m:t>
                    </m:r>
                    <m:r>
                      <a:rPr lang="en-US" sz="1100" b="1">
                        <a:solidFill>
                          <a:schemeClr val="tx1"/>
                        </a:solidFill>
                        <a:effectLst/>
                        <a:latin typeface="Cambria Math" panose="02040503050406030204" pitchFamily="18" charset="0"/>
                        <a:ea typeface="+mn-ea"/>
                        <a:cs typeface="+mn-cs"/>
                      </a:rPr>
                      <m:t> </m:t>
                    </m:r>
                    <m:r>
                      <a:rPr lang="en-US" sz="1100" b="1" i="1">
                        <a:solidFill>
                          <a:schemeClr val="tx1"/>
                        </a:solidFill>
                        <a:effectLst/>
                        <a:latin typeface="Cambria Math" panose="02040503050406030204" pitchFamily="18" charset="0"/>
                        <a:ea typeface="+mn-ea"/>
                        <a:cs typeface="+mn-cs"/>
                      </a:rPr>
                      <m:t>𝐒𝐢𝐦𝐢𝐥𝐚𝐫𝐢𝐭𝐲</m:t>
                    </m:r>
                    <m:func>
                      <m:funcPr>
                        <m:ctrlPr>
                          <a:rPr lang="en-IN" sz="1100" i="1">
                            <a:solidFill>
                              <a:schemeClr val="tx1"/>
                            </a:solidFill>
                            <a:effectLst/>
                            <a:latin typeface="Cambria Math" panose="02040503050406030204" pitchFamily="18" charset="0"/>
                            <a:ea typeface="+mn-ea"/>
                            <a:cs typeface="+mn-cs"/>
                          </a:rPr>
                        </m:ctrlPr>
                      </m:funcPr>
                      <m:fName>
                        <m:r>
                          <m:rPr>
                            <m:sty m:val="p"/>
                          </m:rPr>
                          <a:rPr lang="en-US" sz="1100">
                            <a:solidFill>
                              <a:schemeClr val="tx1"/>
                            </a:solidFill>
                            <a:effectLst/>
                            <a:latin typeface="Cambria Math" panose="02040503050406030204" pitchFamily="18" charset="0"/>
                            <a:ea typeface="+mn-ea"/>
                            <a:cs typeface="+mn-cs"/>
                          </a:rPr>
                          <m:t>cos</m:t>
                        </m:r>
                      </m:fName>
                      <m:e>
                        <m:d>
                          <m:dPr>
                            <m:ctrlPr>
                              <a:rPr lang="en-IN" sz="1100" i="1">
                                <a:solidFill>
                                  <a:schemeClr val="tx1"/>
                                </a:solidFill>
                                <a:effectLst/>
                                <a:latin typeface="Cambria Math" panose="02040503050406030204" pitchFamily="18" charset="0"/>
                                <a:ea typeface="+mn-ea"/>
                                <a:cs typeface="+mn-cs"/>
                              </a:rPr>
                            </m:ctrlPr>
                          </m:dPr>
                          <m:e>
                            <m:r>
                              <m:rPr>
                                <m:sty m:val="p"/>
                              </m:rPr>
                              <a:rPr lang="en-US" sz="1100">
                                <a:solidFill>
                                  <a:schemeClr val="tx1"/>
                                </a:solidFill>
                                <a:effectLst/>
                                <a:latin typeface="Cambria Math" panose="02040503050406030204" pitchFamily="18" charset="0"/>
                                <a:ea typeface="+mn-ea"/>
                                <a:cs typeface="+mn-cs"/>
                              </a:rPr>
                              <m:t>x</m:t>
                            </m:r>
                            <m:r>
                              <a:rPr lang="en-US" sz="1100">
                                <a:solidFill>
                                  <a:schemeClr val="tx1"/>
                                </a:solidFill>
                                <a:effectLst/>
                                <a:latin typeface="Cambria Math" panose="02040503050406030204" pitchFamily="18" charset="0"/>
                                <a:ea typeface="+mn-ea"/>
                                <a:cs typeface="+mn-cs"/>
                              </a:rPr>
                              <m:t>,</m:t>
                            </m:r>
                            <m:r>
                              <m:rPr>
                                <m:sty m:val="p"/>
                              </m:rPr>
                              <a:rPr lang="en-US" sz="1100">
                                <a:solidFill>
                                  <a:schemeClr val="tx1"/>
                                </a:solidFill>
                                <a:effectLst/>
                                <a:latin typeface="Cambria Math" panose="02040503050406030204" pitchFamily="18" charset="0"/>
                                <a:ea typeface="+mn-ea"/>
                                <a:cs typeface="+mn-cs"/>
                              </a:rPr>
                              <m:t>y</m:t>
                            </m:r>
                          </m:e>
                        </m:d>
                      </m:e>
                    </m:func>
                    <m:r>
                      <a:rPr lang="en-US" sz="1100">
                        <a:solidFill>
                          <a:schemeClr val="tx1"/>
                        </a:solidFill>
                        <a:effectLst/>
                        <a:latin typeface="Cambria Math" panose="02040503050406030204" pitchFamily="18" charset="0"/>
                        <a:ea typeface="+mn-ea"/>
                        <a:cs typeface="+mn-cs"/>
                      </a:rPr>
                      <m:t>=</m:t>
                    </m:r>
                    <m:f>
                      <m:fPr>
                        <m:ctrlPr>
                          <a:rPr lang="en-IN" sz="1100" i="1">
                            <a:solidFill>
                              <a:schemeClr val="tx1"/>
                            </a:solidFill>
                            <a:effectLst/>
                            <a:latin typeface="Cambria Math" panose="02040503050406030204" pitchFamily="18" charset="0"/>
                            <a:ea typeface="+mn-ea"/>
                            <a:cs typeface="+mn-cs"/>
                          </a:rPr>
                        </m:ctrlPr>
                      </m:fPr>
                      <m:num>
                        <m:r>
                          <m:rPr>
                            <m:sty m:val="p"/>
                          </m:rPr>
                          <a:rPr lang="en-US" sz="1100">
                            <a:solidFill>
                              <a:schemeClr val="tx1"/>
                            </a:solidFill>
                            <a:effectLst/>
                            <a:latin typeface="Cambria Math" panose="02040503050406030204" pitchFamily="18" charset="0"/>
                            <a:ea typeface="+mn-ea"/>
                            <a:cs typeface="+mn-cs"/>
                          </a:rPr>
                          <m:t>x</m:t>
                        </m:r>
                        <m:r>
                          <a:rPr lang="en-US" sz="1100">
                            <a:solidFill>
                              <a:schemeClr val="tx1"/>
                            </a:solidFill>
                            <a:effectLst/>
                            <a:latin typeface="Cambria Math" panose="02040503050406030204" pitchFamily="18" charset="0"/>
                            <a:ea typeface="+mn-ea"/>
                            <a:cs typeface="+mn-cs"/>
                          </a:rPr>
                          <m:t>.</m:t>
                        </m:r>
                        <m:r>
                          <m:rPr>
                            <m:sty m:val="p"/>
                          </m:rPr>
                          <a:rPr lang="en-US" sz="1100">
                            <a:solidFill>
                              <a:schemeClr val="tx1"/>
                            </a:solidFill>
                            <a:effectLst/>
                            <a:latin typeface="Cambria Math" panose="02040503050406030204" pitchFamily="18" charset="0"/>
                            <a:ea typeface="+mn-ea"/>
                            <a:cs typeface="+mn-cs"/>
                          </a:rPr>
                          <m:t>y</m:t>
                        </m:r>
                      </m:num>
                      <m:den>
                        <m:r>
                          <m:rPr>
                            <m:lit/>
                          </m:rPr>
                          <a:rPr lang="en-US" sz="1100">
                            <a:solidFill>
                              <a:schemeClr val="tx1"/>
                            </a:solidFill>
                            <a:effectLst/>
                            <a:latin typeface="Cambria Math" panose="02040503050406030204" pitchFamily="18" charset="0"/>
                            <a:ea typeface="+mn-ea"/>
                            <a:cs typeface="+mn-cs"/>
                          </a:rPr>
                          <m:t>|</m:t>
                        </m:r>
                        <m:d>
                          <m:dPr>
                            <m:begChr m:val="|"/>
                            <m:endChr m:val="|"/>
                            <m:ctrlPr>
                              <a:rPr lang="en-IN" sz="1100" i="1">
                                <a:solidFill>
                                  <a:schemeClr val="tx1"/>
                                </a:solidFill>
                                <a:effectLst/>
                                <a:latin typeface="Cambria Math" panose="02040503050406030204" pitchFamily="18" charset="0"/>
                                <a:ea typeface="+mn-ea"/>
                                <a:cs typeface="+mn-cs"/>
                              </a:rPr>
                            </m:ctrlPr>
                          </m:dPr>
                          <m:e>
                            <m:r>
                              <m:rPr>
                                <m:sty m:val="p"/>
                              </m:rPr>
                              <a:rPr lang="en-US" sz="1100">
                                <a:solidFill>
                                  <a:schemeClr val="tx1"/>
                                </a:solidFill>
                                <a:effectLst/>
                                <a:latin typeface="Cambria Math" panose="02040503050406030204" pitchFamily="18" charset="0"/>
                                <a:ea typeface="+mn-ea"/>
                                <a:cs typeface="+mn-cs"/>
                              </a:rPr>
                              <m:t>x</m:t>
                            </m:r>
                          </m:e>
                        </m:d>
                        <m:r>
                          <a:rPr lang="en-US" sz="1100">
                            <a:solidFill>
                              <a:schemeClr val="tx1"/>
                            </a:solidFill>
                            <a:effectLst/>
                            <a:latin typeface="Cambria Math" panose="02040503050406030204" pitchFamily="18" charset="0"/>
                            <a:ea typeface="+mn-ea"/>
                            <a:cs typeface="+mn-cs"/>
                          </a:rPr>
                          <m:t>|.|</m:t>
                        </m:r>
                        <m:d>
                          <m:dPr>
                            <m:begChr m:val="|"/>
                            <m:endChr m:val="|"/>
                            <m:ctrlPr>
                              <a:rPr lang="en-IN" sz="1100" i="1">
                                <a:solidFill>
                                  <a:schemeClr val="tx1"/>
                                </a:solidFill>
                                <a:effectLst/>
                                <a:latin typeface="Cambria Math" panose="02040503050406030204" pitchFamily="18" charset="0"/>
                                <a:ea typeface="+mn-ea"/>
                                <a:cs typeface="+mn-cs"/>
                              </a:rPr>
                            </m:ctrlPr>
                          </m:dPr>
                          <m:e>
                            <m:r>
                              <m:rPr>
                                <m:sty m:val="p"/>
                              </m:rPr>
                              <a:rPr lang="en-US" sz="1100">
                                <a:solidFill>
                                  <a:schemeClr val="tx1"/>
                                </a:solidFill>
                                <a:effectLst/>
                                <a:latin typeface="Cambria Math" panose="02040503050406030204" pitchFamily="18" charset="0"/>
                                <a:ea typeface="+mn-ea"/>
                                <a:cs typeface="+mn-cs"/>
                              </a:rPr>
                              <m:t>y</m:t>
                            </m:r>
                          </m:e>
                        </m:d>
                        <m:r>
                          <a:rPr lang="en-US" sz="1100">
                            <a:solidFill>
                              <a:schemeClr val="tx1"/>
                            </a:solidFill>
                            <a:effectLst/>
                            <a:latin typeface="Cambria Math" panose="02040503050406030204" pitchFamily="18" charset="0"/>
                            <a:ea typeface="+mn-ea"/>
                            <a:cs typeface="+mn-cs"/>
                          </a:rPr>
                          <m:t>|</m:t>
                        </m:r>
                      </m:den>
                    </m:f>
                  </m:oMath>
                </m:oMathPara>
              </a14:m>
              <a:endParaRPr lang="en-IN" sz="1100"/>
            </a:p>
          </xdr:txBody>
        </xdr:sp>
      </mc:Choice>
      <mc:Fallback xmlns="">
        <xdr:sp macro="" textlink="">
          <xdr:nvSpPr>
            <xdr:cNvPr id="2" name="TextBox 1">
              <a:extLst>
                <a:ext uri="{FF2B5EF4-FFF2-40B4-BE49-F238E27FC236}">
                  <a16:creationId xmlns:a16="http://schemas.microsoft.com/office/drawing/2014/main" id="{F115A785-1ED9-4897-91D4-C576C5BEAE24}"/>
                </a:ext>
              </a:extLst>
            </xdr:cNvPr>
            <xdr:cNvSpPr txBox="1"/>
          </xdr:nvSpPr>
          <xdr:spPr>
            <a:xfrm>
              <a:off x="14344650" y="42862"/>
              <a:ext cx="2429575" cy="317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tx1"/>
                  </a:solidFill>
                  <a:effectLst/>
                  <a:latin typeface="Cambria Math" panose="02040503050406030204" pitchFamily="18" charset="0"/>
                  <a:ea typeface="+mn-ea"/>
                  <a:cs typeface="+mn-cs"/>
                </a:rPr>
                <a:t>𝐂𝐨𝐬𝐢𝐧𝐞 𝐒𝐢𝐦𝐢𝐥𝐚𝐫𝐢𝐭𝐲</a:t>
              </a:r>
              <a:r>
                <a:rPr lang="en-US" sz="1100" i="0">
                  <a:solidFill>
                    <a:schemeClr val="tx1"/>
                  </a:solidFill>
                  <a:effectLst/>
                  <a:latin typeface="Cambria Math" panose="02040503050406030204" pitchFamily="18" charset="0"/>
                  <a:ea typeface="+mn-ea"/>
                  <a:cs typeface="+mn-cs"/>
                </a:rPr>
                <a:t> cos</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x,y)=</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x.y</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x||.|</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y||</a:t>
              </a:r>
              <a:r>
                <a:rPr lang="en-IN" sz="1100" i="0">
                  <a:solidFill>
                    <a:schemeClr val="tx1"/>
                  </a:solidFill>
                  <a:effectLst/>
                  <a:latin typeface="Cambria Math" panose="02040503050406030204" pitchFamily="18" charset="0"/>
                  <a:ea typeface="+mn-ea"/>
                  <a:cs typeface="+mn-cs"/>
                </a:rPr>
                <a:t>)</a:t>
              </a:r>
              <a:endParaRPr lang="en-IN" sz="1100"/>
            </a:p>
          </xdr:txBody>
        </xdr:sp>
      </mc:Fallback>
    </mc:AlternateContent>
    <xdr:clientData/>
  </xdr:oneCellAnchor>
  <xdr:oneCellAnchor>
    <xdr:from>
      <xdr:col>16</xdr:col>
      <xdr:colOff>2025015</xdr:colOff>
      <xdr:row>2</xdr:row>
      <xdr:rowOff>123825</xdr:rowOff>
    </xdr:from>
    <xdr:ext cx="4432047" cy="532966"/>
    <mc:AlternateContent xmlns:mc="http://schemas.openxmlformats.org/markup-compatibility/2006" xmlns:a14="http://schemas.microsoft.com/office/drawing/2010/main">
      <mc:Choice Requires="a14">
        <xdr:sp macro="" textlink="">
          <xdr:nvSpPr>
            <xdr:cNvPr id="3" name="TextBox 2">
              <a:extLst>
                <a:ext uri="{FF2B5EF4-FFF2-40B4-BE49-F238E27FC236}">
                  <a16:creationId xmlns="" xmlns:a16="http://schemas.microsoft.com/office/drawing/2014/main" id="{02389306-9501-4E78-A9D9-436C1D08DB06}"/>
                </a:ext>
              </a:extLst>
            </xdr:cNvPr>
            <xdr:cNvSpPr txBox="1"/>
          </xdr:nvSpPr>
          <xdr:spPr>
            <a:xfrm>
              <a:off x="13693140" y="504825"/>
              <a:ext cx="4432047" cy="5329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tx1"/>
                        </a:solidFill>
                        <a:effectLst/>
                        <a:latin typeface="Cambria Math" panose="02040503050406030204" pitchFamily="18" charset="0"/>
                        <a:ea typeface="+mn-ea"/>
                        <a:cs typeface="+mn-cs"/>
                      </a:rPr>
                      <m:t>𝐂𝐨𝐬𝐢𝐧𝐞</m:t>
                    </m:r>
                    <m:r>
                      <a:rPr lang="en-US" sz="1100" b="1" i="1">
                        <a:solidFill>
                          <a:schemeClr val="tx1"/>
                        </a:solidFill>
                        <a:effectLst/>
                        <a:latin typeface="Cambria Math" panose="02040503050406030204" pitchFamily="18" charset="0"/>
                        <a:ea typeface="+mn-ea"/>
                        <a:cs typeface="+mn-cs"/>
                      </a:rPr>
                      <m:t> </m:t>
                    </m:r>
                    <m:r>
                      <a:rPr lang="en-US" sz="1100" b="1" i="1">
                        <a:solidFill>
                          <a:schemeClr val="tx1"/>
                        </a:solidFill>
                        <a:effectLst/>
                        <a:latin typeface="Cambria Math" panose="02040503050406030204" pitchFamily="18" charset="0"/>
                        <a:ea typeface="+mn-ea"/>
                        <a:cs typeface="+mn-cs"/>
                      </a:rPr>
                      <m:t>𝐒𝐢𝐦𝐢𝐥𝐚𝐫𝐢𝐭𝐲</m:t>
                    </m:r>
                    <m:func>
                      <m:funcPr>
                        <m:ctrlPr>
                          <a:rPr lang="en-IN" sz="1100" i="1">
                            <a:solidFill>
                              <a:schemeClr val="tx1"/>
                            </a:solidFill>
                            <a:effectLst/>
                            <a:latin typeface="Cambria Math" panose="02040503050406030204" pitchFamily="18" charset="0"/>
                            <a:ea typeface="+mn-ea"/>
                            <a:cs typeface="+mn-cs"/>
                          </a:rPr>
                        </m:ctrlPr>
                      </m:funcPr>
                      <m:fName>
                        <m:r>
                          <m:rPr>
                            <m:sty m:val="p"/>
                          </m:rPr>
                          <a:rPr lang="en-US" sz="1100">
                            <a:solidFill>
                              <a:schemeClr val="tx1"/>
                            </a:solidFill>
                            <a:effectLst/>
                            <a:latin typeface="Cambria Math" panose="02040503050406030204" pitchFamily="18" charset="0"/>
                            <a:ea typeface="+mn-ea"/>
                            <a:cs typeface="+mn-cs"/>
                          </a:rPr>
                          <m:t>cos</m:t>
                        </m:r>
                      </m:fName>
                      <m:e>
                        <m:d>
                          <m:dPr>
                            <m:ctrlPr>
                              <a:rPr lang="en-IN" sz="1100" i="1">
                                <a:solidFill>
                                  <a:schemeClr val="tx1"/>
                                </a:solidFill>
                                <a:effectLst/>
                                <a:latin typeface="Cambria Math" panose="02040503050406030204" pitchFamily="18" charset="0"/>
                                <a:ea typeface="+mn-ea"/>
                                <a:cs typeface="+mn-cs"/>
                              </a:rPr>
                            </m:ctrlPr>
                          </m:dPr>
                          <m:e>
                            <m:r>
                              <m:rPr>
                                <m:sty m:val="p"/>
                              </m:rPr>
                              <a:rPr lang="en-US" sz="1100">
                                <a:solidFill>
                                  <a:schemeClr val="tx1"/>
                                </a:solidFill>
                                <a:effectLst/>
                                <a:latin typeface="Cambria Math" panose="02040503050406030204" pitchFamily="18" charset="0"/>
                                <a:ea typeface="+mn-ea"/>
                                <a:cs typeface="+mn-cs"/>
                              </a:rPr>
                              <m:t>x</m:t>
                            </m:r>
                            <m:r>
                              <a:rPr lang="en-US" sz="1100">
                                <a:solidFill>
                                  <a:schemeClr val="tx1"/>
                                </a:solidFill>
                                <a:effectLst/>
                                <a:latin typeface="Cambria Math" panose="02040503050406030204" pitchFamily="18" charset="0"/>
                                <a:ea typeface="+mn-ea"/>
                                <a:cs typeface="+mn-cs"/>
                              </a:rPr>
                              <m:t>,</m:t>
                            </m:r>
                            <m:r>
                              <m:rPr>
                                <m:sty m:val="p"/>
                              </m:rPr>
                              <a:rPr lang="en-US" sz="1100">
                                <a:solidFill>
                                  <a:schemeClr val="tx1"/>
                                </a:solidFill>
                                <a:effectLst/>
                                <a:latin typeface="Cambria Math" panose="02040503050406030204" pitchFamily="18" charset="0"/>
                                <a:ea typeface="+mn-ea"/>
                                <a:cs typeface="+mn-cs"/>
                              </a:rPr>
                              <m:t>y</m:t>
                            </m:r>
                          </m:e>
                        </m:d>
                      </m:e>
                    </m:func>
                    <m:r>
                      <a:rPr lang="en-US" sz="1100">
                        <a:solidFill>
                          <a:schemeClr val="tx1"/>
                        </a:solidFill>
                        <a:effectLst/>
                        <a:latin typeface="Cambria Math" panose="02040503050406030204" pitchFamily="18" charset="0"/>
                        <a:ea typeface="+mn-ea"/>
                        <a:cs typeface="+mn-cs"/>
                      </a:rPr>
                      <m:t>=</m:t>
                    </m:r>
                    <m:f>
                      <m:fPr>
                        <m:ctrlPr>
                          <a:rPr lang="en-IN" sz="1100" i="1">
                            <a:solidFill>
                              <a:schemeClr val="tx1"/>
                            </a:solidFill>
                            <a:effectLst/>
                            <a:latin typeface="Cambria Math" panose="02040503050406030204" pitchFamily="18" charset="0"/>
                            <a:ea typeface="+mn-ea"/>
                            <a:cs typeface="+mn-cs"/>
                          </a:rPr>
                        </m:ctrlPr>
                      </m:fPr>
                      <m:num>
                        <m:r>
                          <a:rPr lang="en-US" sz="1100">
                            <a:solidFill>
                              <a:schemeClr val="accent1"/>
                            </a:solidFill>
                            <a:effectLst/>
                            <a:latin typeface="Cambria Math" panose="02040503050406030204" pitchFamily="18" charset="0"/>
                            <a:ea typeface="+mn-ea"/>
                            <a:cs typeface="+mn-cs"/>
                          </a:rPr>
                          <m:t>∑</m:t>
                        </m:r>
                        <m:sSub>
                          <m:sSubPr>
                            <m:ctrlPr>
                              <a:rPr lang="en-IN" sz="1100" i="1">
                                <a:solidFill>
                                  <a:schemeClr val="accent1"/>
                                </a:solidFill>
                                <a:effectLst/>
                                <a:latin typeface="Cambria Math" panose="02040503050406030204" pitchFamily="18" charset="0"/>
                                <a:ea typeface="+mn-ea"/>
                                <a:cs typeface="+mn-cs"/>
                              </a:rPr>
                            </m:ctrlPr>
                          </m:sSubPr>
                          <m:e>
                            <m:r>
                              <a:rPr lang="en-US" sz="1100">
                                <a:solidFill>
                                  <a:schemeClr val="accent1"/>
                                </a:solidFill>
                                <a:effectLst/>
                                <a:latin typeface="Cambria Math" panose="02040503050406030204" pitchFamily="18" charset="0"/>
                                <a:ea typeface="+mn-ea"/>
                                <a:cs typeface="+mn-cs"/>
                              </a:rPr>
                              <m:t>(</m:t>
                            </m:r>
                            <m:r>
                              <m:rPr>
                                <m:sty m:val="p"/>
                              </m:rPr>
                              <a:rPr lang="en-US" sz="1100">
                                <a:solidFill>
                                  <a:schemeClr val="accent1"/>
                                </a:solidFill>
                                <a:effectLst/>
                                <a:latin typeface="Cambria Math" panose="02040503050406030204" pitchFamily="18" charset="0"/>
                                <a:ea typeface="+mn-ea"/>
                                <a:cs typeface="+mn-cs"/>
                              </a:rPr>
                              <m:t>x</m:t>
                            </m:r>
                          </m:e>
                          <m:sub>
                            <m:r>
                              <m:rPr>
                                <m:sty m:val="p"/>
                              </m:rPr>
                              <a:rPr lang="en-US" sz="1100">
                                <a:solidFill>
                                  <a:schemeClr val="accent1"/>
                                </a:solidFill>
                                <a:effectLst/>
                                <a:latin typeface="Cambria Math" panose="02040503050406030204" pitchFamily="18" charset="0"/>
                                <a:ea typeface="+mn-ea"/>
                                <a:cs typeface="+mn-cs"/>
                              </a:rPr>
                              <m:t>i</m:t>
                            </m:r>
                          </m:sub>
                        </m:sSub>
                        <m:r>
                          <a:rPr lang="en-US" sz="1100" i="1">
                            <a:solidFill>
                              <a:schemeClr val="accent1"/>
                            </a:solidFill>
                            <a:effectLst/>
                            <a:latin typeface="Cambria Math" panose="02040503050406030204" pitchFamily="18" charset="0"/>
                            <a:ea typeface="+mn-ea"/>
                            <a:cs typeface="+mn-cs"/>
                          </a:rPr>
                          <m:t>∗</m:t>
                        </m:r>
                        <m:sSub>
                          <m:sSubPr>
                            <m:ctrlPr>
                              <a:rPr lang="en-IN" sz="1100" i="1">
                                <a:solidFill>
                                  <a:schemeClr val="accent1"/>
                                </a:solidFill>
                                <a:effectLst/>
                                <a:latin typeface="Cambria Math" panose="02040503050406030204" pitchFamily="18" charset="0"/>
                                <a:ea typeface="+mn-ea"/>
                                <a:cs typeface="+mn-cs"/>
                              </a:rPr>
                            </m:ctrlPr>
                          </m:sSubPr>
                          <m:e>
                            <m:r>
                              <m:rPr>
                                <m:sty m:val="p"/>
                              </m:rPr>
                              <a:rPr lang="en-US" sz="1100">
                                <a:solidFill>
                                  <a:schemeClr val="accent1"/>
                                </a:solidFill>
                                <a:effectLst/>
                                <a:latin typeface="Cambria Math" panose="02040503050406030204" pitchFamily="18" charset="0"/>
                                <a:ea typeface="+mn-ea"/>
                                <a:cs typeface="+mn-cs"/>
                              </a:rPr>
                              <m:t>y</m:t>
                            </m:r>
                          </m:e>
                          <m:sub>
                            <m:r>
                              <m:rPr>
                                <m:sty m:val="p"/>
                              </m:rPr>
                              <a:rPr lang="en-US" sz="1100">
                                <a:solidFill>
                                  <a:schemeClr val="accent1"/>
                                </a:solidFill>
                                <a:effectLst/>
                                <a:latin typeface="Cambria Math" panose="02040503050406030204" pitchFamily="18" charset="0"/>
                                <a:ea typeface="+mn-ea"/>
                                <a:cs typeface="+mn-cs"/>
                              </a:rPr>
                              <m:t>i</m:t>
                            </m:r>
                          </m:sub>
                        </m:sSub>
                        <m:r>
                          <a:rPr lang="en-US" sz="1100">
                            <a:solidFill>
                              <a:schemeClr val="accent1"/>
                            </a:solidFill>
                            <a:effectLst/>
                            <a:latin typeface="Cambria Math" panose="02040503050406030204" pitchFamily="18" charset="0"/>
                            <a:ea typeface="+mn-ea"/>
                            <a:cs typeface="+mn-cs"/>
                          </a:rPr>
                          <m:t>)</m:t>
                        </m:r>
                      </m:num>
                      <m:den>
                        <m:rad>
                          <m:radPr>
                            <m:degHide m:val="on"/>
                            <m:ctrlPr>
                              <a:rPr lang="en-IN" sz="1100" i="1">
                                <a:solidFill>
                                  <a:schemeClr val="tx1"/>
                                </a:solidFill>
                                <a:effectLst/>
                                <a:latin typeface="Cambria Math" panose="02040503050406030204" pitchFamily="18" charset="0"/>
                                <a:ea typeface="+mn-ea"/>
                                <a:cs typeface="+mn-cs"/>
                              </a:rPr>
                            </m:ctrlPr>
                          </m:radPr>
                          <m:deg/>
                          <m:e>
                            <m:r>
                              <a:rPr lang="en-US" sz="1100">
                                <a:solidFill>
                                  <a:srgbClr val="C00000"/>
                                </a:solidFill>
                                <a:effectLst/>
                                <a:latin typeface="Cambria Math" panose="02040503050406030204" pitchFamily="18" charset="0"/>
                                <a:ea typeface="+mn-ea"/>
                                <a:cs typeface="+mn-cs"/>
                              </a:rPr>
                              <m:t>(</m:t>
                            </m:r>
                            <m:sSubSup>
                              <m:sSubSupPr>
                                <m:ctrlPr>
                                  <a:rPr lang="en-IN" sz="1100" i="1">
                                    <a:solidFill>
                                      <a:srgbClr val="C00000"/>
                                    </a:solidFill>
                                    <a:effectLst/>
                                    <a:latin typeface="Cambria Math" panose="02040503050406030204" pitchFamily="18" charset="0"/>
                                    <a:ea typeface="+mn-ea"/>
                                    <a:cs typeface="+mn-cs"/>
                                  </a:rPr>
                                </m:ctrlPr>
                              </m:sSubSupPr>
                              <m:e>
                                <m:r>
                                  <m:rPr>
                                    <m:sty m:val="p"/>
                                  </m:rPr>
                                  <a:rPr lang="en-US" sz="1100">
                                    <a:solidFill>
                                      <a:srgbClr val="C00000"/>
                                    </a:solidFill>
                                    <a:effectLst/>
                                    <a:latin typeface="Cambria Math" panose="02040503050406030204" pitchFamily="18" charset="0"/>
                                    <a:ea typeface="+mn-ea"/>
                                    <a:cs typeface="+mn-cs"/>
                                  </a:rPr>
                                  <m:t>x</m:t>
                                </m:r>
                              </m:e>
                              <m:sub>
                                <m:r>
                                  <a:rPr lang="en-US" sz="1100">
                                    <a:solidFill>
                                      <a:srgbClr val="C00000"/>
                                    </a:solidFill>
                                    <a:effectLst/>
                                    <a:latin typeface="Cambria Math" panose="02040503050406030204" pitchFamily="18" charset="0"/>
                                    <a:ea typeface="+mn-ea"/>
                                    <a:cs typeface="+mn-cs"/>
                                  </a:rPr>
                                  <m:t>0</m:t>
                                </m:r>
                              </m:sub>
                              <m:sup>
                                <m:r>
                                  <a:rPr lang="en-US" sz="1100">
                                    <a:solidFill>
                                      <a:srgbClr val="C00000"/>
                                    </a:solidFill>
                                    <a:effectLst/>
                                    <a:latin typeface="Cambria Math" panose="02040503050406030204" pitchFamily="18" charset="0"/>
                                    <a:ea typeface="+mn-ea"/>
                                    <a:cs typeface="+mn-cs"/>
                                  </a:rPr>
                                  <m:t>2</m:t>
                                </m:r>
                              </m:sup>
                            </m:sSubSup>
                            <m:r>
                              <a:rPr lang="en-US" sz="1100">
                                <a:solidFill>
                                  <a:srgbClr val="C00000"/>
                                </a:solidFill>
                                <a:effectLst/>
                                <a:latin typeface="Cambria Math" panose="02040503050406030204" pitchFamily="18" charset="0"/>
                                <a:ea typeface="+mn-ea"/>
                                <a:cs typeface="+mn-cs"/>
                              </a:rPr>
                              <m:t>+</m:t>
                            </m:r>
                            <m:sSubSup>
                              <m:sSubSupPr>
                                <m:ctrlPr>
                                  <a:rPr lang="en-IN" sz="1100" i="1">
                                    <a:solidFill>
                                      <a:srgbClr val="C00000"/>
                                    </a:solidFill>
                                    <a:effectLst/>
                                    <a:latin typeface="Cambria Math" panose="02040503050406030204" pitchFamily="18" charset="0"/>
                                    <a:ea typeface="+mn-ea"/>
                                    <a:cs typeface="+mn-cs"/>
                                  </a:rPr>
                                </m:ctrlPr>
                              </m:sSubSupPr>
                              <m:e>
                                <m:r>
                                  <m:rPr>
                                    <m:sty m:val="p"/>
                                  </m:rPr>
                                  <a:rPr lang="en-US" sz="1100">
                                    <a:solidFill>
                                      <a:srgbClr val="C00000"/>
                                    </a:solidFill>
                                    <a:effectLst/>
                                    <a:latin typeface="Cambria Math" panose="02040503050406030204" pitchFamily="18" charset="0"/>
                                    <a:ea typeface="+mn-ea"/>
                                    <a:cs typeface="+mn-cs"/>
                                  </a:rPr>
                                  <m:t>x</m:t>
                                </m:r>
                              </m:e>
                              <m:sub>
                                <m:r>
                                  <a:rPr lang="en-US" sz="1100">
                                    <a:solidFill>
                                      <a:srgbClr val="C00000"/>
                                    </a:solidFill>
                                    <a:effectLst/>
                                    <a:latin typeface="Cambria Math" panose="02040503050406030204" pitchFamily="18" charset="0"/>
                                    <a:ea typeface="+mn-ea"/>
                                    <a:cs typeface="+mn-cs"/>
                                  </a:rPr>
                                  <m:t>1</m:t>
                                </m:r>
                              </m:sub>
                              <m:sup>
                                <m:r>
                                  <a:rPr lang="en-US" sz="1100">
                                    <a:solidFill>
                                      <a:srgbClr val="C00000"/>
                                    </a:solidFill>
                                    <a:effectLst/>
                                    <a:latin typeface="Cambria Math" panose="02040503050406030204" pitchFamily="18" charset="0"/>
                                    <a:ea typeface="+mn-ea"/>
                                    <a:cs typeface="+mn-cs"/>
                                  </a:rPr>
                                  <m:t>2</m:t>
                                </m:r>
                              </m:sup>
                            </m:sSubSup>
                            <m:r>
                              <a:rPr lang="en-US" sz="1100">
                                <a:solidFill>
                                  <a:srgbClr val="C00000"/>
                                </a:solidFill>
                                <a:effectLst/>
                                <a:latin typeface="Cambria Math" panose="02040503050406030204" pitchFamily="18" charset="0"/>
                                <a:ea typeface="+mn-ea"/>
                                <a:cs typeface="+mn-cs"/>
                              </a:rPr>
                              <m:t>+…+</m:t>
                            </m:r>
                            <m:sSubSup>
                              <m:sSubSupPr>
                                <m:ctrlPr>
                                  <a:rPr lang="en-IN" sz="1100" i="1">
                                    <a:solidFill>
                                      <a:srgbClr val="C00000"/>
                                    </a:solidFill>
                                    <a:effectLst/>
                                    <a:latin typeface="Cambria Math" panose="02040503050406030204" pitchFamily="18" charset="0"/>
                                    <a:ea typeface="+mn-ea"/>
                                    <a:cs typeface="+mn-cs"/>
                                  </a:rPr>
                                </m:ctrlPr>
                              </m:sSubSupPr>
                              <m:e>
                                <m:r>
                                  <m:rPr>
                                    <m:sty m:val="p"/>
                                  </m:rPr>
                                  <a:rPr lang="en-US" sz="1100">
                                    <a:solidFill>
                                      <a:srgbClr val="C00000"/>
                                    </a:solidFill>
                                    <a:effectLst/>
                                    <a:latin typeface="Cambria Math" panose="02040503050406030204" pitchFamily="18" charset="0"/>
                                    <a:ea typeface="+mn-ea"/>
                                    <a:cs typeface="+mn-cs"/>
                                  </a:rPr>
                                  <m:t>x</m:t>
                                </m:r>
                              </m:e>
                              <m:sub>
                                <m:r>
                                  <m:rPr>
                                    <m:sty m:val="p"/>
                                  </m:rPr>
                                  <a:rPr lang="en-US" sz="1100">
                                    <a:solidFill>
                                      <a:srgbClr val="C00000"/>
                                    </a:solidFill>
                                    <a:effectLst/>
                                    <a:latin typeface="Cambria Math" panose="02040503050406030204" pitchFamily="18" charset="0"/>
                                    <a:ea typeface="+mn-ea"/>
                                    <a:cs typeface="+mn-cs"/>
                                  </a:rPr>
                                  <m:t>n</m:t>
                                </m:r>
                              </m:sub>
                              <m:sup>
                                <m:r>
                                  <a:rPr lang="en-US" sz="1100">
                                    <a:solidFill>
                                      <a:srgbClr val="C00000"/>
                                    </a:solidFill>
                                    <a:effectLst/>
                                    <a:latin typeface="Cambria Math" panose="02040503050406030204" pitchFamily="18" charset="0"/>
                                    <a:ea typeface="+mn-ea"/>
                                    <a:cs typeface="+mn-cs"/>
                                  </a:rPr>
                                  <m:t>2</m:t>
                                </m:r>
                              </m:sup>
                            </m:sSubSup>
                            <m:r>
                              <a:rPr lang="en-US" sz="1100">
                                <a:solidFill>
                                  <a:srgbClr val="C00000"/>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m:t>
                            </m:r>
                            <m:r>
                              <a:rPr lang="en-US" sz="1100">
                                <a:solidFill>
                                  <a:schemeClr val="accent6"/>
                                </a:solidFill>
                                <a:effectLst/>
                                <a:latin typeface="Cambria Math" panose="02040503050406030204" pitchFamily="18" charset="0"/>
                                <a:ea typeface="+mn-ea"/>
                                <a:cs typeface="+mn-cs"/>
                              </a:rPr>
                              <m:t>(</m:t>
                            </m:r>
                            <m:sSubSup>
                              <m:sSubSupPr>
                                <m:ctrlPr>
                                  <a:rPr lang="en-IN" sz="1100" i="1">
                                    <a:solidFill>
                                      <a:schemeClr val="accent6"/>
                                    </a:solidFill>
                                    <a:effectLst/>
                                    <a:latin typeface="Cambria Math" panose="02040503050406030204" pitchFamily="18" charset="0"/>
                                    <a:ea typeface="+mn-ea"/>
                                    <a:cs typeface="+mn-cs"/>
                                  </a:rPr>
                                </m:ctrlPr>
                              </m:sSubSupPr>
                              <m:e>
                                <m:r>
                                  <m:rPr>
                                    <m:sty m:val="p"/>
                                  </m:rPr>
                                  <a:rPr lang="en-US" sz="1100">
                                    <a:solidFill>
                                      <a:schemeClr val="accent6"/>
                                    </a:solidFill>
                                    <a:effectLst/>
                                    <a:latin typeface="Cambria Math" panose="02040503050406030204" pitchFamily="18" charset="0"/>
                                    <a:ea typeface="+mn-ea"/>
                                    <a:cs typeface="+mn-cs"/>
                                  </a:rPr>
                                  <m:t>y</m:t>
                                </m:r>
                              </m:e>
                              <m:sub>
                                <m:r>
                                  <a:rPr lang="en-US" sz="1100">
                                    <a:solidFill>
                                      <a:schemeClr val="accent6"/>
                                    </a:solidFill>
                                    <a:effectLst/>
                                    <a:latin typeface="Cambria Math" panose="02040503050406030204" pitchFamily="18" charset="0"/>
                                    <a:ea typeface="+mn-ea"/>
                                    <a:cs typeface="+mn-cs"/>
                                  </a:rPr>
                                  <m:t>0</m:t>
                                </m:r>
                              </m:sub>
                              <m:sup>
                                <m:r>
                                  <a:rPr lang="en-US" sz="1100">
                                    <a:solidFill>
                                      <a:schemeClr val="accent6"/>
                                    </a:solidFill>
                                    <a:effectLst/>
                                    <a:latin typeface="Cambria Math" panose="02040503050406030204" pitchFamily="18" charset="0"/>
                                    <a:ea typeface="+mn-ea"/>
                                    <a:cs typeface="+mn-cs"/>
                                  </a:rPr>
                                  <m:t>2</m:t>
                                </m:r>
                              </m:sup>
                            </m:sSubSup>
                            <m:r>
                              <a:rPr lang="en-US" sz="1100">
                                <a:solidFill>
                                  <a:schemeClr val="accent6"/>
                                </a:solidFill>
                                <a:effectLst/>
                                <a:latin typeface="Cambria Math" panose="02040503050406030204" pitchFamily="18" charset="0"/>
                                <a:ea typeface="+mn-ea"/>
                                <a:cs typeface="+mn-cs"/>
                              </a:rPr>
                              <m:t>+</m:t>
                            </m:r>
                            <m:sSubSup>
                              <m:sSubSupPr>
                                <m:ctrlPr>
                                  <a:rPr lang="en-IN" sz="1100" i="1">
                                    <a:solidFill>
                                      <a:schemeClr val="accent6"/>
                                    </a:solidFill>
                                    <a:effectLst/>
                                    <a:latin typeface="Cambria Math" panose="02040503050406030204" pitchFamily="18" charset="0"/>
                                    <a:ea typeface="+mn-ea"/>
                                    <a:cs typeface="+mn-cs"/>
                                  </a:rPr>
                                </m:ctrlPr>
                              </m:sSubSupPr>
                              <m:e>
                                <m:r>
                                  <m:rPr>
                                    <m:sty m:val="p"/>
                                  </m:rPr>
                                  <a:rPr lang="en-US" sz="1100">
                                    <a:solidFill>
                                      <a:schemeClr val="accent6"/>
                                    </a:solidFill>
                                    <a:effectLst/>
                                    <a:latin typeface="Cambria Math" panose="02040503050406030204" pitchFamily="18" charset="0"/>
                                    <a:ea typeface="+mn-ea"/>
                                    <a:cs typeface="+mn-cs"/>
                                  </a:rPr>
                                  <m:t>y</m:t>
                                </m:r>
                              </m:e>
                              <m:sub>
                                <m:r>
                                  <a:rPr lang="en-US" sz="1100">
                                    <a:solidFill>
                                      <a:schemeClr val="accent6"/>
                                    </a:solidFill>
                                    <a:effectLst/>
                                    <a:latin typeface="Cambria Math" panose="02040503050406030204" pitchFamily="18" charset="0"/>
                                    <a:ea typeface="+mn-ea"/>
                                    <a:cs typeface="+mn-cs"/>
                                  </a:rPr>
                                  <m:t>1</m:t>
                                </m:r>
                              </m:sub>
                              <m:sup>
                                <m:r>
                                  <a:rPr lang="en-US" sz="1100">
                                    <a:solidFill>
                                      <a:schemeClr val="accent6"/>
                                    </a:solidFill>
                                    <a:effectLst/>
                                    <a:latin typeface="Cambria Math" panose="02040503050406030204" pitchFamily="18" charset="0"/>
                                    <a:ea typeface="+mn-ea"/>
                                    <a:cs typeface="+mn-cs"/>
                                  </a:rPr>
                                  <m:t>2</m:t>
                                </m:r>
                              </m:sup>
                            </m:sSubSup>
                            <m:r>
                              <a:rPr lang="en-US" sz="1100">
                                <a:solidFill>
                                  <a:schemeClr val="accent6"/>
                                </a:solidFill>
                                <a:effectLst/>
                                <a:latin typeface="Cambria Math" panose="02040503050406030204" pitchFamily="18" charset="0"/>
                                <a:ea typeface="+mn-ea"/>
                                <a:cs typeface="+mn-cs"/>
                              </a:rPr>
                              <m:t>+…+</m:t>
                            </m:r>
                            <m:sSubSup>
                              <m:sSubSupPr>
                                <m:ctrlPr>
                                  <a:rPr lang="en-IN" sz="1100" i="1">
                                    <a:solidFill>
                                      <a:schemeClr val="accent6"/>
                                    </a:solidFill>
                                    <a:effectLst/>
                                    <a:latin typeface="Cambria Math" panose="02040503050406030204" pitchFamily="18" charset="0"/>
                                    <a:ea typeface="+mn-ea"/>
                                    <a:cs typeface="+mn-cs"/>
                                  </a:rPr>
                                </m:ctrlPr>
                              </m:sSubSupPr>
                              <m:e>
                                <m:r>
                                  <m:rPr>
                                    <m:sty m:val="p"/>
                                  </m:rPr>
                                  <a:rPr lang="en-US" sz="1100">
                                    <a:solidFill>
                                      <a:schemeClr val="accent6"/>
                                    </a:solidFill>
                                    <a:effectLst/>
                                    <a:latin typeface="Cambria Math" panose="02040503050406030204" pitchFamily="18" charset="0"/>
                                    <a:ea typeface="+mn-ea"/>
                                    <a:cs typeface="+mn-cs"/>
                                  </a:rPr>
                                  <m:t>y</m:t>
                                </m:r>
                              </m:e>
                              <m:sub>
                                <m:r>
                                  <m:rPr>
                                    <m:sty m:val="p"/>
                                  </m:rPr>
                                  <a:rPr lang="en-US" sz="1100">
                                    <a:solidFill>
                                      <a:schemeClr val="accent6"/>
                                    </a:solidFill>
                                    <a:effectLst/>
                                    <a:latin typeface="Cambria Math" panose="02040503050406030204" pitchFamily="18" charset="0"/>
                                    <a:ea typeface="+mn-ea"/>
                                    <a:cs typeface="+mn-cs"/>
                                  </a:rPr>
                                  <m:t>n</m:t>
                                </m:r>
                              </m:sub>
                              <m:sup>
                                <m:r>
                                  <a:rPr lang="en-US" sz="1100">
                                    <a:solidFill>
                                      <a:schemeClr val="accent6"/>
                                    </a:solidFill>
                                    <a:effectLst/>
                                    <a:latin typeface="Cambria Math" panose="02040503050406030204" pitchFamily="18" charset="0"/>
                                    <a:ea typeface="+mn-ea"/>
                                    <a:cs typeface="+mn-cs"/>
                                  </a:rPr>
                                  <m:t>2</m:t>
                                </m:r>
                              </m:sup>
                            </m:sSubSup>
                          </m:e>
                        </m:rad>
                        <m:r>
                          <a:rPr lang="en-US" sz="1100">
                            <a:solidFill>
                              <a:schemeClr val="tx1"/>
                            </a:solidFill>
                            <a:effectLst/>
                            <a:latin typeface="Cambria Math" panose="02040503050406030204" pitchFamily="18" charset="0"/>
                            <a:ea typeface="+mn-ea"/>
                            <a:cs typeface="+mn-cs"/>
                          </a:rPr>
                          <m:t>)</m:t>
                        </m:r>
                      </m:den>
                    </m:f>
                  </m:oMath>
                </m:oMathPara>
              </a14:m>
              <a:endParaRPr lang="en-IN" sz="1100"/>
            </a:p>
          </xdr:txBody>
        </xdr:sp>
      </mc:Choice>
      <mc:Fallback xmlns="">
        <xdr:sp macro="" textlink="">
          <xdr:nvSpPr>
            <xdr:cNvPr id="3" name="TextBox 2">
              <a:extLst>
                <a:ext uri="{FF2B5EF4-FFF2-40B4-BE49-F238E27FC236}">
                  <a16:creationId xmlns:a16="http://schemas.microsoft.com/office/drawing/2014/main" id="{02389306-9501-4E78-A9D9-436C1D08DB06}"/>
                </a:ext>
              </a:extLst>
            </xdr:cNvPr>
            <xdr:cNvSpPr txBox="1"/>
          </xdr:nvSpPr>
          <xdr:spPr>
            <a:xfrm>
              <a:off x="13693140" y="504825"/>
              <a:ext cx="4432047" cy="5329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tx1"/>
                  </a:solidFill>
                  <a:effectLst/>
                  <a:latin typeface="Cambria Math" panose="02040503050406030204" pitchFamily="18" charset="0"/>
                  <a:ea typeface="+mn-ea"/>
                  <a:cs typeface="+mn-cs"/>
                </a:rPr>
                <a:t>𝐂𝐨𝐬𝐢𝐧𝐞 𝐒𝐢𝐦𝐢𝐥𝐚𝐫𝐢𝐭𝐲</a:t>
              </a:r>
              <a:r>
                <a:rPr lang="en-US" sz="1100" i="0">
                  <a:solidFill>
                    <a:schemeClr val="tx1"/>
                  </a:solidFill>
                  <a:effectLst/>
                  <a:latin typeface="Cambria Math" panose="02040503050406030204" pitchFamily="18" charset="0"/>
                  <a:ea typeface="+mn-ea"/>
                  <a:cs typeface="+mn-cs"/>
                </a:rPr>
                <a:t> cos</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x,y)=</a:t>
              </a:r>
              <a:r>
                <a:rPr lang="en-IN" sz="1100" i="0">
                  <a:solidFill>
                    <a:schemeClr val="tx1"/>
                  </a:solidFill>
                  <a:effectLst/>
                  <a:latin typeface="Cambria Math" panose="02040503050406030204" pitchFamily="18" charset="0"/>
                  <a:ea typeface="+mn-ea"/>
                  <a:cs typeface="+mn-cs"/>
                </a:rPr>
                <a:t>(</a:t>
              </a:r>
              <a:r>
                <a:rPr lang="en-US" sz="1100" i="0">
                  <a:solidFill>
                    <a:schemeClr val="accent1"/>
                  </a:solidFill>
                  <a:effectLst/>
                  <a:latin typeface="Cambria Math" panose="02040503050406030204" pitchFamily="18" charset="0"/>
                  <a:ea typeface="+mn-ea"/>
                  <a:cs typeface="+mn-cs"/>
                </a:rPr>
                <a:t>∑</a:t>
              </a:r>
              <a:r>
                <a:rPr lang="en-IN" sz="1100" i="0">
                  <a:solidFill>
                    <a:schemeClr val="accent1"/>
                  </a:solidFill>
                  <a:effectLst/>
                  <a:latin typeface="Cambria Math" panose="02040503050406030204" pitchFamily="18" charset="0"/>
                  <a:ea typeface="+mn-ea"/>
                  <a:cs typeface="+mn-cs"/>
                </a:rPr>
                <a:t>〖</a:t>
              </a:r>
              <a:r>
                <a:rPr lang="en-US" sz="1100" i="0">
                  <a:solidFill>
                    <a:schemeClr val="accent1"/>
                  </a:solidFill>
                  <a:effectLst/>
                  <a:latin typeface="Cambria Math" panose="02040503050406030204" pitchFamily="18" charset="0"/>
                  <a:ea typeface="+mn-ea"/>
                  <a:cs typeface="+mn-cs"/>
                </a:rPr>
                <a:t>(x</a:t>
              </a:r>
              <a:r>
                <a:rPr lang="en-IN" sz="1100" i="0">
                  <a:solidFill>
                    <a:schemeClr val="accent1"/>
                  </a:solidFill>
                  <a:effectLst/>
                  <a:latin typeface="Cambria Math" panose="02040503050406030204" pitchFamily="18" charset="0"/>
                  <a:ea typeface="+mn-ea"/>
                  <a:cs typeface="+mn-cs"/>
                </a:rPr>
                <a:t>〗_</a:t>
              </a:r>
              <a:r>
                <a:rPr lang="en-US" sz="1100" i="0">
                  <a:solidFill>
                    <a:schemeClr val="accent1"/>
                  </a:solidFill>
                  <a:effectLst/>
                  <a:latin typeface="Cambria Math" panose="02040503050406030204" pitchFamily="18" charset="0"/>
                  <a:ea typeface="+mn-ea"/>
                  <a:cs typeface="+mn-cs"/>
                </a:rPr>
                <a:t>i∗y</a:t>
              </a:r>
              <a:r>
                <a:rPr lang="en-IN" sz="1100" i="0">
                  <a:solidFill>
                    <a:schemeClr val="accent1"/>
                  </a:solidFill>
                  <a:effectLst/>
                  <a:latin typeface="Cambria Math" panose="02040503050406030204" pitchFamily="18" charset="0"/>
                  <a:ea typeface="+mn-ea"/>
                  <a:cs typeface="+mn-cs"/>
                </a:rPr>
                <a:t>_</a:t>
              </a:r>
              <a:r>
                <a:rPr lang="en-US" sz="1100" i="0">
                  <a:solidFill>
                    <a:schemeClr val="accent1"/>
                  </a:solidFill>
                  <a:effectLst/>
                  <a:latin typeface="Cambria Math" panose="02040503050406030204" pitchFamily="18" charset="0"/>
                  <a:ea typeface="+mn-ea"/>
                  <a:cs typeface="+mn-cs"/>
                </a:rPr>
                <a:t>i)</a:t>
              </a:r>
              <a:r>
                <a:rPr lang="en-IN" sz="1100" i="0">
                  <a:solidFill>
                    <a:schemeClr val="tx1"/>
                  </a:solidFill>
                  <a:effectLst/>
                  <a:latin typeface="Cambria Math" panose="02040503050406030204" pitchFamily="18" charset="0"/>
                  <a:ea typeface="+mn-ea"/>
                  <a:cs typeface="+mn-cs"/>
                </a:rPr>
                <a:t>)/(√(</a:t>
              </a:r>
              <a:r>
                <a:rPr lang="en-US" sz="1100" i="0">
                  <a:solidFill>
                    <a:srgbClr val="C00000"/>
                  </a:solidFill>
                  <a:effectLst/>
                  <a:latin typeface="Cambria Math" panose="02040503050406030204" pitchFamily="18" charset="0"/>
                  <a:ea typeface="+mn-ea"/>
                  <a:cs typeface="+mn-cs"/>
                </a:rPr>
                <a:t>(x</a:t>
              </a:r>
              <a:r>
                <a:rPr lang="en-IN" sz="1100" i="0">
                  <a:solidFill>
                    <a:srgbClr val="C00000"/>
                  </a:solidFill>
                  <a:effectLst/>
                  <a:latin typeface="Cambria Math" panose="02040503050406030204" pitchFamily="18" charset="0"/>
                  <a:ea typeface="+mn-ea"/>
                  <a:cs typeface="+mn-cs"/>
                </a:rPr>
                <a:t>_</a:t>
              </a:r>
              <a:r>
                <a:rPr lang="en-US" sz="1100" i="0">
                  <a:solidFill>
                    <a:srgbClr val="C00000"/>
                  </a:solidFill>
                  <a:effectLst/>
                  <a:latin typeface="Cambria Math" panose="02040503050406030204" pitchFamily="18" charset="0"/>
                  <a:ea typeface="+mn-ea"/>
                  <a:cs typeface="+mn-cs"/>
                </a:rPr>
                <a:t>0^2+x</a:t>
              </a:r>
              <a:r>
                <a:rPr lang="en-IN" sz="1100" i="0">
                  <a:solidFill>
                    <a:srgbClr val="C00000"/>
                  </a:solidFill>
                  <a:effectLst/>
                  <a:latin typeface="Cambria Math" panose="02040503050406030204" pitchFamily="18" charset="0"/>
                  <a:ea typeface="+mn-ea"/>
                  <a:cs typeface="+mn-cs"/>
                </a:rPr>
                <a:t>_</a:t>
              </a:r>
              <a:r>
                <a:rPr lang="en-US" sz="1100" i="0">
                  <a:solidFill>
                    <a:srgbClr val="C00000"/>
                  </a:solidFill>
                  <a:effectLst/>
                  <a:latin typeface="Cambria Math" panose="02040503050406030204" pitchFamily="18" charset="0"/>
                  <a:ea typeface="+mn-ea"/>
                  <a:cs typeface="+mn-cs"/>
                </a:rPr>
                <a:t>1^2+…+x</a:t>
              </a:r>
              <a:r>
                <a:rPr lang="en-IN" sz="1100" i="0">
                  <a:solidFill>
                    <a:srgbClr val="C00000"/>
                  </a:solidFill>
                  <a:effectLst/>
                  <a:latin typeface="Cambria Math" panose="02040503050406030204" pitchFamily="18" charset="0"/>
                  <a:ea typeface="+mn-ea"/>
                  <a:cs typeface="+mn-cs"/>
                </a:rPr>
                <a:t>_</a:t>
              </a:r>
              <a:r>
                <a:rPr lang="en-US" sz="1100" i="0">
                  <a:solidFill>
                    <a:srgbClr val="C00000"/>
                  </a:solidFill>
                  <a:effectLst/>
                  <a:latin typeface="Cambria Math" panose="02040503050406030204" pitchFamily="18" charset="0"/>
                  <a:ea typeface="+mn-ea"/>
                  <a:cs typeface="+mn-cs"/>
                </a:rPr>
                <a:t>n^2)</a:t>
              </a:r>
              <a:r>
                <a:rPr lang="en-US" sz="1100" i="0">
                  <a:solidFill>
                    <a:schemeClr val="tx1"/>
                  </a:solidFill>
                  <a:effectLst/>
                  <a:latin typeface="Cambria Math" panose="02040503050406030204" pitchFamily="18" charset="0"/>
                  <a:ea typeface="+mn-ea"/>
                  <a:cs typeface="+mn-cs"/>
                </a:rPr>
                <a:t>∗</a:t>
              </a:r>
              <a:r>
                <a:rPr lang="en-US" sz="1100" i="0">
                  <a:solidFill>
                    <a:schemeClr val="accent6"/>
                  </a:solidFill>
                  <a:effectLst/>
                  <a:latin typeface="Cambria Math" panose="02040503050406030204" pitchFamily="18" charset="0"/>
                  <a:ea typeface="+mn-ea"/>
                  <a:cs typeface="+mn-cs"/>
                </a:rPr>
                <a:t>(y</a:t>
              </a:r>
              <a:r>
                <a:rPr lang="en-IN" sz="1100" i="0">
                  <a:solidFill>
                    <a:schemeClr val="accent6"/>
                  </a:solidFill>
                  <a:effectLst/>
                  <a:latin typeface="Cambria Math" panose="02040503050406030204" pitchFamily="18" charset="0"/>
                  <a:ea typeface="+mn-ea"/>
                  <a:cs typeface="+mn-cs"/>
                </a:rPr>
                <a:t>_</a:t>
              </a:r>
              <a:r>
                <a:rPr lang="en-US" sz="1100" i="0">
                  <a:solidFill>
                    <a:schemeClr val="accent6"/>
                  </a:solidFill>
                  <a:effectLst/>
                  <a:latin typeface="Cambria Math" panose="02040503050406030204" pitchFamily="18" charset="0"/>
                  <a:ea typeface="+mn-ea"/>
                  <a:cs typeface="+mn-cs"/>
                </a:rPr>
                <a:t>0^2+y</a:t>
              </a:r>
              <a:r>
                <a:rPr lang="en-IN" sz="1100" i="0">
                  <a:solidFill>
                    <a:schemeClr val="accent6"/>
                  </a:solidFill>
                  <a:effectLst/>
                  <a:latin typeface="Cambria Math" panose="02040503050406030204" pitchFamily="18" charset="0"/>
                  <a:ea typeface="+mn-ea"/>
                  <a:cs typeface="+mn-cs"/>
                </a:rPr>
                <a:t>_</a:t>
              </a:r>
              <a:r>
                <a:rPr lang="en-US" sz="1100" i="0">
                  <a:solidFill>
                    <a:schemeClr val="accent6"/>
                  </a:solidFill>
                  <a:effectLst/>
                  <a:latin typeface="Cambria Math" panose="02040503050406030204" pitchFamily="18" charset="0"/>
                  <a:ea typeface="+mn-ea"/>
                  <a:cs typeface="+mn-cs"/>
                </a:rPr>
                <a:t>1^2+…+y</a:t>
              </a:r>
              <a:r>
                <a:rPr lang="en-IN" sz="1100" i="0">
                  <a:solidFill>
                    <a:schemeClr val="accent6"/>
                  </a:solidFill>
                  <a:effectLst/>
                  <a:latin typeface="Cambria Math" panose="02040503050406030204" pitchFamily="18" charset="0"/>
                  <a:ea typeface="+mn-ea"/>
                  <a:cs typeface="+mn-cs"/>
                </a:rPr>
                <a:t>_</a:t>
              </a:r>
              <a:r>
                <a:rPr lang="en-US" sz="1100" i="0">
                  <a:solidFill>
                    <a:schemeClr val="accent6"/>
                  </a:solidFill>
                  <a:effectLst/>
                  <a:latin typeface="Cambria Math" panose="02040503050406030204" pitchFamily="18" charset="0"/>
                  <a:ea typeface="+mn-ea"/>
                  <a:cs typeface="+mn-cs"/>
                </a:rPr>
                <a:t>n^2 </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en-IN" sz="1100" i="0">
                  <a:solidFill>
                    <a:schemeClr val="tx1"/>
                  </a:solidFill>
                  <a:effectLst/>
                  <a:latin typeface="Cambria Math" panose="02040503050406030204" pitchFamily="18" charset="0"/>
                  <a:ea typeface="+mn-ea"/>
                  <a:cs typeface="+mn-cs"/>
                </a:rPr>
                <a:t>)</a:t>
              </a:r>
              <a:endParaRPr lang="en-IN" sz="1100"/>
            </a:p>
          </xdr:txBody>
        </xdr:sp>
      </mc:Fallback>
    </mc:AlternateContent>
    <xdr:clientData/>
  </xdr:oneCellAnchor>
  <xdr:oneCellAnchor>
    <xdr:from>
      <xdr:col>30</xdr:col>
      <xdr:colOff>95250</xdr:colOff>
      <xdr:row>1</xdr:row>
      <xdr:rowOff>119062</xdr:rowOff>
    </xdr:from>
    <xdr:ext cx="3771353" cy="585225"/>
    <mc:AlternateContent xmlns:mc="http://schemas.openxmlformats.org/markup-compatibility/2006" xmlns:a14="http://schemas.microsoft.com/office/drawing/2010/main">
      <mc:Choice Requires="a14">
        <xdr:sp macro="" textlink="">
          <xdr:nvSpPr>
            <xdr:cNvPr id="4" name="TextBox 3">
              <a:extLst>
                <a:ext uri="{FF2B5EF4-FFF2-40B4-BE49-F238E27FC236}">
                  <a16:creationId xmlns="" xmlns:a16="http://schemas.microsoft.com/office/drawing/2014/main" id="{E33508D6-BDE1-49D7-B0FA-7B3F78C733CC}"/>
                </a:ext>
              </a:extLst>
            </xdr:cNvPr>
            <xdr:cNvSpPr txBox="1"/>
          </xdr:nvSpPr>
          <xdr:spPr>
            <a:xfrm>
              <a:off x="19135725" y="309562"/>
              <a:ext cx="3771353" cy="5852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tx1"/>
                        </a:solidFill>
                        <a:effectLst/>
                        <a:latin typeface="Cambria Math" panose="02040503050406030204" pitchFamily="18" charset="0"/>
                        <a:ea typeface="+mn-ea"/>
                        <a:cs typeface="+mn-cs"/>
                      </a:rPr>
                      <m:t>𝑴𝒊𝒏𝒌𝒐𝒘𝒔𝒌𝒊</m:t>
                    </m:r>
                    <m:r>
                      <a:rPr lang="en-US" sz="1100" b="1" i="1">
                        <a:solidFill>
                          <a:schemeClr val="tx1"/>
                        </a:solidFill>
                        <a:effectLst/>
                        <a:latin typeface="Cambria Math" panose="02040503050406030204" pitchFamily="18" charset="0"/>
                        <a:ea typeface="+mn-ea"/>
                        <a:cs typeface="+mn-cs"/>
                      </a:rPr>
                      <m:t> </m:t>
                    </m:r>
                    <m:r>
                      <a:rPr lang="en-US" sz="1100" b="1" i="1">
                        <a:solidFill>
                          <a:schemeClr val="tx1"/>
                        </a:solidFill>
                        <a:effectLst/>
                        <a:latin typeface="Cambria Math" panose="02040503050406030204" pitchFamily="18" charset="0"/>
                        <a:ea typeface="+mn-ea"/>
                        <a:cs typeface="+mn-cs"/>
                      </a:rPr>
                      <m:t>𝒅𝒊𝒔𝒕𝒂𝒏𝒄𝒆</m:t>
                    </m:r>
                    <m:r>
                      <a:rPr lang="en-US" sz="1100" b="1" i="1">
                        <a:solidFill>
                          <a:schemeClr val="tx1"/>
                        </a:solidFill>
                        <a:effectLst/>
                        <a:latin typeface="Cambria Math" panose="02040503050406030204" pitchFamily="18" charset="0"/>
                        <a:ea typeface="+mn-ea"/>
                        <a:cs typeface="+mn-cs"/>
                      </a:rPr>
                      <m:t> </m:t>
                    </m:r>
                    <m:r>
                      <a:rPr lang="en-US" sz="1100" b="1" i="1">
                        <a:solidFill>
                          <a:schemeClr val="tx1"/>
                        </a:solidFill>
                        <a:effectLst/>
                        <a:latin typeface="Cambria Math" panose="02040503050406030204" pitchFamily="18" charset="0"/>
                        <a:ea typeface="+mn-ea"/>
                        <a:cs typeface="+mn-cs"/>
                      </a:rPr>
                      <m:t>𝒎𝒆𝒕𝒓𝒊𝒄𝒔</m:t>
                    </m:r>
                    <m:r>
                      <a:rPr lang="en-US" sz="1100" b="1" i="1">
                        <a:solidFill>
                          <a:schemeClr val="tx1"/>
                        </a:solidFill>
                        <a:effectLst/>
                        <a:latin typeface="Cambria Math" panose="02040503050406030204" pitchFamily="18" charset="0"/>
                        <a:ea typeface="+mn-ea"/>
                        <a:cs typeface="+mn-cs"/>
                      </a:rPr>
                      <m:t> </m:t>
                    </m:r>
                    <m:r>
                      <a:rPr lang="en-US" sz="1100" i="1">
                        <a:solidFill>
                          <a:schemeClr val="tx1"/>
                        </a:solidFill>
                        <a:effectLst/>
                        <a:latin typeface="Cambria Math" panose="02040503050406030204" pitchFamily="18" charset="0"/>
                        <a:ea typeface="+mn-ea"/>
                        <a:cs typeface="+mn-cs"/>
                      </a:rPr>
                      <m:t>𝑑</m:t>
                    </m:r>
                    <m:d>
                      <m:dPr>
                        <m:ctrlPr>
                          <a:rPr lang="en-IN" sz="1100" i="1">
                            <a:solidFill>
                              <a:schemeClr val="tx1"/>
                            </a:solidFill>
                            <a:effectLst/>
                            <a:latin typeface="Cambria Math" panose="02040503050406030204" pitchFamily="18" charset="0"/>
                            <a:ea typeface="+mn-ea"/>
                            <a:cs typeface="+mn-cs"/>
                          </a:rPr>
                        </m:ctrlPr>
                      </m:dPr>
                      <m:e>
                        <m:r>
                          <a:rPr lang="en-US" sz="1100" i="1">
                            <a:solidFill>
                              <a:schemeClr val="tx1"/>
                            </a:solidFill>
                            <a:effectLst/>
                            <a:latin typeface="Cambria Math" panose="02040503050406030204" pitchFamily="18" charset="0"/>
                            <a:ea typeface="+mn-ea"/>
                            <a:cs typeface="+mn-cs"/>
                          </a:rPr>
                          <m:t>𝑥</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𝑦</m:t>
                        </m:r>
                      </m:e>
                    </m:d>
                    <m:r>
                      <a:rPr lang="en-US" sz="1100" i="1">
                        <a:solidFill>
                          <a:schemeClr val="tx1"/>
                        </a:solidFill>
                        <a:effectLst/>
                        <a:latin typeface="Cambria Math" panose="02040503050406030204" pitchFamily="18" charset="0"/>
                        <a:ea typeface="+mn-ea"/>
                        <a:cs typeface="+mn-cs"/>
                      </a:rPr>
                      <m:t>=</m:t>
                    </m:r>
                    <m:sSup>
                      <m:sSupPr>
                        <m:ctrlPr>
                          <a:rPr lang="en-IN" sz="1100" i="1">
                            <a:solidFill>
                              <a:schemeClr val="tx1"/>
                            </a:solidFill>
                            <a:effectLst/>
                            <a:latin typeface="Cambria Math" panose="02040503050406030204" pitchFamily="18" charset="0"/>
                            <a:ea typeface="+mn-ea"/>
                            <a:cs typeface="+mn-cs"/>
                          </a:rPr>
                        </m:ctrlPr>
                      </m:sSupPr>
                      <m:e>
                        <m:d>
                          <m:dPr>
                            <m:ctrlPr>
                              <a:rPr lang="en-IN" sz="1100" i="1">
                                <a:solidFill>
                                  <a:schemeClr val="tx1"/>
                                </a:solidFill>
                                <a:effectLst/>
                                <a:latin typeface="Cambria Math" panose="02040503050406030204" pitchFamily="18" charset="0"/>
                                <a:ea typeface="+mn-ea"/>
                                <a:cs typeface="+mn-cs"/>
                              </a:rPr>
                            </m:ctrlPr>
                          </m:dPr>
                          <m:e>
                            <m:sSup>
                              <m:sSupPr>
                                <m:ctrlPr>
                                  <a:rPr lang="en-IN" sz="1100" i="1">
                                    <a:solidFill>
                                      <a:schemeClr val="tx1"/>
                                    </a:solidFill>
                                    <a:effectLst/>
                                    <a:latin typeface="Cambria Math" panose="02040503050406030204" pitchFamily="18" charset="0"/>
                                    <a:ea typeface="+mn-ea"/>
                                    <a:cs typeface="+mn-cs"/>
                                  </a:rPr>
                                </m:ctrlPr>
                              </m:sSupPr>
                              <m:e>
                                <m:nary>
                                  <m:naryPr>
                                    <m:chr m:val="∑"/>
                                    <m:limLoc m:val="undOvr"/>
                                    <m:grow m:val="on"/>
                                    <m:ctrlPr>
                                      <a:rPr lang="en-IN" sz="1100" i="1">
                                        <a:solidFill>
                                          <a:schemeClr val="tx1"/>
                                        </a:solidFill>
                                        <a:effectLst/>
                                        <a:latin typeface="Cambria Math" panose="02040503050406030204" pitchFamily="18" charset="0"/>
                                        <a:ea typeface="+mn-ea"/>
                                        <a:cs typeface="+mn-cs"/>
                                      </a:rPr>
                                    </m:ctrlPr>
                                  </m:naryPr>
                                  <m:sub>
                                    <m:r>
                                      <a:rPr lang="en-US" sz="1100" i="1">
                                        <a:solidFill>
                                          <a:schemeClr val="tx1"/>
                                        </a:solidFill>
                                        <a:effectLst/>
                                        <a:latin typeface="Cambria Math" panose="02040503050406030204" pitchFamily="18" charset="0"/>
                                        <a:ea typeface="+mn-ea"/>
                                        <a:cs typeface="+mn-cs"/>
                                      </a:rPr>
                                      <m:t>𝑘</m:t>
                                    </m:r>
                                    <m:r>
                                      <a:rPr lang="en-US" sz="1100" i="1">
                                        <a:solidFill>
                                          <a:schemeClr val="tx1"/>
                                        </a:solidFill>
                                        <a:effectLst/>
                                        <a:latin typeface="Cambria Math" panose="02040503050406030204" pitchFamily="18" charset="0"/>
                                        <a:ea typeface="+mn-ea"/>
                                        <a:cs typeface="+mn-cs"/>
                                      </a:rPr>
                                      <m:t>=1</m:t>
                                    </m:r>
                                  </m:sub>
                                  <m:sup>
                                    <m:r>
                                      <a:rPr lang="en-US" sz="1100" i="1">
                                        <a:solidFill>
                                          <a:schemeClr val="tx1"/>
                                        </a:solidFill>
                                        <a:effectLst/>
                                        <a:latin typeface="Cambria Math" panose="02040503050406030204" pitchFamily="18" charset="0"/>
                                        <a:ea typeface="+mn-ea"/>
                                        <a:cs typeface="+mn-cs"/>
                                      </a:rPr>
                                      <m:t>𝑛</m:t>
                                    </m:r>
                                  </m:sup>
                                  <m:e>
                                    <m:d>
                                      <m:dPr>
                                        <m:begChr m:val="|"/>
                                        <m:endChr m:val="|"/>
                                        <m:ctrlPr>
                                          <a:rPr lang="en-IN" sz="1100" i="1">
                                            <a:solidFill>
                                              <a:schemeClr val="tx1"/>
                                            </a:solidFill>
                                            <a:effectLst/>
                                            <a:latin typeface="Cambria Math" panose="02040503050406030204" pitchFamily="18" charset="0"/>
                                            <a:ea typeface="+mn-ea"/>
                                            <a:cs typeface="+mn-cs"/>
                                          </a:rPr>
                                        </m:ctrlPr>
                                      </m:dPr>
                                      <m:e>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𝑥</m:t>
                                            </m:r>
                                          </m:e>
                                          <m:sub>
                                            <m:r>
                                              <a:rPr lang="en-US" sz="1100" i="1">
                                                <a:solidFill>
                                                  <a:schemeClr val="tx1"/>
                                                </a:solidFill>
                                                <a:effectLst/>
                                                <a:latin typeface="Cambria Math" panose="02040503050406030204" pitchFamily="18" charset="0"/>
                                                <a:ea typeface="+mn-ea"/>
                                                <a:cs typeface="+mn-cs"/>
                                              </a:rPr>
                                              <m:t>𝑘</m:t>
                                            </m:r>
                                          </m:sub>
                                        </m:sSub>
                                        <m:r>
                                          <a:rPr lang="en-US" sz="1100" i="1">
                                            <a:solidFill>
                                              <a:schemeClr val="tx1"/>
                                            </a:solidFill>
                                            <a:effectLst/>
                                            <a:latin typeface="Cambria Math" panose="02040503050406030204" pitchFamily="18" charset="0"/>
                                            <a:ea typeface="+mn-ea"/>
                                            <a:cs typeface="+mn-cs"/>
                                          </a:rPr>
                                          <m:t>−</m:t>
                                        </m:r>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𝑦</m:t>
                                            </m:r>
                                          </m:e>
                                          <m:sub>
                                            <m:r>
                                              <a:rPr lang="en-US" sz="1100" i="1">
                                                <a:solidFill>
                                                  <a:schemeClr val="tx1"/>
                                                </a:solidFill>
                                                <a:effectLst/>
                                                <a:latin typeface="Cambria Math" panose="02040503050406030204" pitchFamily="18" charset="0"/>
                                                <a:ea typeface="+mn-ea"/>
                                                <a:cs typeface="+mn-cs"/>
                                              </a:rPr>
                                              <m:t>𝑘</m:t>
                                            </m:r>
                                          </m:sub>
                                        </m:sSub>
                                      </m:e>
                                    </m:d>
                                  </m:e>
                                </m:nary>
                              </m:e>
                              <m:sup>
                                <m:r>
                                  <a:rPr lang="en-US" sz="1100" i="1">
                                    <a:solidFill>
                                      <a:schemeClr val="tx1"/>
                                    </a:solidFill>
                                    <a:effectLst/>
                                    <a:latin typeface="Cambria Math" panose="02040503050406030204" pitchFamily="18" charset="0"/>
                                    <a:ea typeface="+mn-ea"/>
                                    <a:cs typeface="+mn-cs"/>
                                  </a:rPr>
                                  <m:t>𝑟</m:t>
                                </m:r>
                              </m:sup>
                            </m:sSup>
                          </m:e>
                        </m:d>
                      </m:e>
                      <m:sup>
                        <m:r>
                          <a:rPr lang="en-US" sz="1100" i="1">
                            <a:solidFill>
                              <a:schemeClr val="tx1"/>
                            </a:solidFill>
                            <a:effectLst/>
                            <a:latin typeface="Cambria Math" panose="02040503050406030204" pitchFamily="18" charset="0"/>
                            <a:ea typeface="+mn-ea"/>
                            <a:cs typeface="+mn-cs"/>
                          </a:rPr>
                          <m:t>1∕</m:t>
                        </m:r>
                        <m:r>
                          <a:rPr lang="en-US" sz="1100" i="1">
                            <a:solidFill>
                              <a:schemeClr val="tx1"/>
                            </a:solidFill>
                            <a:effectLst/>
                            <a:latin typeface="Cambria Math" panose="02040503050406030204" pitchFamily="18" charset="0"/>
                            <a:ea typeface="+mn-ea"/>
                            <a:cs typeface="+mn-cs"/>
                          </a:rPr>
                          <m:t>𝑟</m:t>
                        </m:r>
                      </m:sup>
                    </m:sSup>
                  </m:oMath>
                </m:oMathPara>
              </a14:m>
              <a:endParaRPr lang="en-IN" sz="1100" i="1">
                <a:solidFill>
                  <a:schemeClr val="tx1"/>
                </a:solidFill>
                <a:effectLst/>
                <a:latin typeface="+mn-lt"/>
                <a:ea typeface="+mn-ea"/>
                <a:cs typeface="+mn-cs"/>
              </a:endParaRPr>
            </a:p>
          </xdr:txBody>
        </xdr:sp>
      </mc:Choice>
      <mc:Fallback xmlns="">
        <xdr:sp macro="" textlink="">
          <xdr:nvSpPr>
            <xdr:cNvPr id="4" name="TextBox 3">
              <a:extLst>
                <a:ext uri="{FF2B5EF4-FFF2-40B4-BE49-F238E27FC236}">
                  <a16:creationId xmlns:a16="http://schemas.microsoft.com/office/drawing/2014/main" id="{E33508D6-BDE1-49D7-B0FA-7B3F78C733CC}"/>
                </a:ext>
              </a:extLst>
            </xdr:cNvPr>
            <xdr:cNvSpPr txBox="1"/>
          </xdr:nvSpPr>
          <xdr:spPr>
            <a:xfrm>
              <a:off x="19135725" y="309562"/>
              <a:ext cx="3771353" cy="5852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tx1"/>
                  </a:solidFill>
                  <a:effectLst/>
                  <a:latin typeface="Cambria Math" panose="02040503050406030204" pitchFamily="18" charset="0"/>
                  <a:ea typeface="+mn-ea"/>
                  <a:cs typeface="+mn-cs"/>
                </a:rPr>
                <a:t>𝑴𝒊𝒏𝒌𝒐𝒘𝒔𝒌𝒊 𝒅𝒊𝒔𝒕𝒂𝒏𝒄𝒆 𝒎𝒆𝒕𝒓𝒊𝒄𝒔 </a:t>
              </a:r>
              <a:r>
                <a:rPr lang="en-US" sz="1100" i="0">
                  <a:solidFill>
                    <a:schemeClr val="tx1"/>
                  </a:solidFill>
                  <a:effectLst/>
                  <a:latin typeface="Cambria Math" panose="02040503050406030204" pitchFamily="18" charset="0"/>
                  <a:ea typeface="+mn-ea"/>
                  <a:cs typeface="+mn-cs"/>
                </a:rPr>
                <a:t>𝑑</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𝑥,𝑦)=</a:t>
              </a:r>
              <a:r>
                <a:rPr lang="en-IN" sz="1100" i="0">
                  <a:solidFill>
                    <a:schemeClr val="tx1"/>
                  </a:solidFill>
                  <a:effectLst/>
                  <a:latin typeface="Cambria Math" panose="02040503050406030204" pitchFamily="18" charset="0"/>
                  <a:ea typeface="+mn-ea"/>
                  <a:cs typeface="+mn-cs"/>
                </a:rPr>
                <a:t>(∑129</a:t>
              </a:r>
              <a:r>
                <a:rPr lang="en-US" sz="1100" i="0">
                  <a:solidFill>
                    <a:schemeClr val="tx1"/>
                  </a:solidFill>
                  <a:effectLst/>
                  <a:latin typeface="Cambria Math" panose="02040503050406030204" pitchFamily="18" charset="0"/>
                  <a:ea typeface="+mn-ea"/>
                  <a:cs typeface="+mn-cs"/>
                </a:rPr>
                <a:t>_</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𝑘=1</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^𝑛▒</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𝑥</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𝑘−𝑦</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𝑘 | </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𝑟 )</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1∕𝑟</a:t>
              </a:r>
              <a:r>
                <a:rPr lang="en-IN" sz="1100" i="0">
                  <a:solidFill>
                    <a:schemeClr val="tx1"/>
                  </a:solidFill>
                  <a:effectLst/>
                  <a:latin typeface="Cambria Math" panose="02040503050406030204" pitchFamily="18" charset="0"/>
                  <a:ea typeface="+mn-ea"/>
                  <a:cs typeface="+mn-cs"/>
                </a:rPr>
                <a:t>)</a:t>
              </a:r>
              <a:endParaRPr lang="en-IN" sz="1100" i="1">
                <a:solidFill>
                  <a:schemeClr val="tx1"/>
                </a:solidFill>
                <a:effectLst/>
                <a:latin typeface="+mn-lt"/>
                <a:ea typeface="+mn-ea"/>
                <a:cs typeface="+mn-cs"/>
              </a:endParaRPr>
            </a:p>
          </xdr:txBody>
        </xdr:sp>
      </mc:Fallback>
    </mc:AlternateContent>
    <xdr:clientData/>
  </xdr:oneCellAnchor>
  <xdr:twoCellAnchor editAs="oneCell">
    <xdr:from>
      <xdr:col>11</xdr:col>
      <xdr:colOff>0</xdr:colOff>
      <xdr:row>8</xdr:row>
      <xdr:rowOff>0</xdr:rowOff>
    </xdr:from>
    <xdr:to>
      <xdr:col>11</xdr:col>
      <xdr:colOff>838199</xdr:colOff>
      <xdr:row>12</xdr:row>
      <xdr:rowOff>76199</xdr:rowOff>
    </xdr:to>
    <xdr:pic>
      <xdr:nvPicPr>
        <xdr:cNvPr id="5" name="Picture 4">
          <a:hlinkClick xmlns:r="http://schemas.openxmlformats.org/officeDocument/2006/relationships" r:id="rId1"/>
          <a:extLst>
            <a:ext uri="{FF2B5EF4-FFF2-40B4-BE49-F238E27FC236}">
              <a16:creationId xmlns="" xmlns:a16="http://schemas.microsoft.com/office/drawing/2014/main" id="{D8BD1435-537A-42B2-BA6B-B0CB42F9D7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43725" y="1524000"/>
          <a:ext cx="838199" cy="8381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18</xdr:col>
      <xdr:colOff>28575</xdr:colOff>
      <xdr:row>0</xdr:row>
      <xdr:rowOff>42862</xdr:rowOff>
    </xdr:from>
    <xdr:ext cx="2429575" cy="317779"/>
    <mc:AlternateContent xmlns:mc="http://schemas.openxmlformats.org/markup-compatibility/2006" xmlns:a14="http://schemas.microsoft.com/office/drawing/2010/main">
      <mc:Choice Requires="a14">
        <xdr:sp macro="" textlink="">
          <xdr:nvSpPr>
            <xdr:cNvPr id="3" name="TextBox 2">
              <a:extLst>
                <a:ext uri="{FF2B5EF4-FFF2-40B4-BE49-F238E27FC236}">
                  <a16:creationId xmlns="" xmlns:a16="http://schemas.microsoft.com/office/drawing/2014/main" id="{00000000-0008-0000-0600-000003000000}"/>
                </a:ext>
              </a:extLst>
            </xdr:cNvPr>
            <xdr:cNvSpPr txBox="1"/>
          </xdr:nvSpPr>
          <xdr:spPr>
            <a:xfrm>
              <a:off x="14811375" y="42862"/>
              <a:ext cx="2429575" cy="317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tx1"/>
                        </a:solidFill>
                        <a:effectLst/>
                        <a:latin typeface="Cambria Math" panose="02040503050406030204" pitchFamily="18" charset="0"/>
                        <a:ea typeface="+mn-ea"/>
                        <a:cs typeface="+mn-cs"/>
                      </a:rPr>
                      <m:t>𝐂𝐨𝐬𝐢𝐧𝐞</m:t>
                    </m:r>
                    <m:r>
                      <a:rPr lang="en-US" sz="1100" b="1">
                        <a:solidFill>
                          <a:schemeClr val="tx1"/>
                        </a:solidFill>
                        <a:effectLst/>
                        <a:latin typeface="Cambria Math" panose="02040503050406030204" pitchFamily="18" charset="0"/>
                        <a:ea typeface="+mn-ea"/>
                        <a:cs typeface="+mn-cs"/>
                      </a:rPr>
                      <m:t> </m:t>
                    </m:r>
                    <m:r>
                      <a:rPr lang="en-US" sz="1100" b="1" i="1">
                        <a:solidFill>
                          <a:schemeClr val="tx1"/>
                        </a:solidFill>
                        <a:effectLst/>
                        <a:latin typeface="Cambria Math" panose="02040503050406030204" pitchFamily="18" charset="0"/>
                        <a:ea typeface="+mn-ea"/>
                        <a:cs typeface="+mn-cs"/>
                      </a:rPr>
                      <m:t>𝐒𝐢𝐦𝐢𝐥𝐚𝐫𝐢𝐭𝐲</m:t>
                    </m:r>
                    <m:func>
                      <m:funcPr>
                        <m:ctrlPr>
                          <a:rPr lang="en-IN" sz="1100" i="1">
                            <a:solidFill>
                              <a:schemeClr val="tx1"/>
                            </a:solidFill>
                            <a:effectLst/>
                            <a:latin typeface="Cambria Math" panose="02040503050406030204" pitchFamily="18" charset="0"/>
                            <a:ea typeface="+mn-ea"/>
                            <a:cs typeface="+mn-cs"/>
                          </a:rPr>
                        </m:ctrlPr>
                      </m:funcPr>
                      <m:fName>
                        <m:r>
                          <m:rPr>
                            <m:sty m:val="p"/>
                          </m:rPr>
                          <a:rPr lang="en-US" sz="1100">
                            <a:solidFill>
                              <a:schemeClr val="tx1"/>
                            </a:solidFill>
                            <a:effectLst/>
                            <a:latin typeface="Cambria Math" panose="02040503050406030204" pitchFamily="18" charset="0"/>
                            <a:ea typeface="+mn-ea"/>
                            <a:cs typeface="+mn-cs"/>
                          </a:rPr>
                          <m:t>cos</m:t>
                        </m:r>
                      </m:fName>
                      <m:e>
                        <m:d>
                          <m:dPr>
                            <m:ctrlPr>
                              <a:rPr lang="en-IN" sz="1100" i="1">
                                <a:solidFill>
                                  <a:schemeClr val="tx1"/>
                                </a:solidFill>
                                <a:effectLst/>
                                <a:latin typeface="Cambria Math" panose="02040503050406030204" pitchFamily="18" charset="0"/>
                                <a:ea typeface="+mn-ea"/>
                                <a:cs typeface="+mn-cs"/>
                              </a:rPr>
                            </m:ctrlPr>
                          </m:dPr>
                          <m:e>
                            <m:r>
                              <m:rPr>
                                <m:sty m:val="p"/>
                              </m:rPr>
                              <a:rPr lang="en-US" sz="1100">
                                <a:solidFill>
                                  <a:schemeClr val="tx1"/>
                                </a:solidFill>
                                <a:effectLst/>
                                <a:latin typeface="Cambria Math" panose="02040503050406030204" pitchFamily="18" charset="0"/>
                                <a:ea typeface="+mn-ea"/>
                                <a:cs typeface="+mn-cs"/>
                              </a:rPr>
                              <m:t>x</m:t>
                            </m:r>
                            <m:r>
                              <a:rPr lang="en-US" sz="1100">
                                <a:solidFill>
                                  <a:schemeClr val="tx1"/>
                                </a:solidFill>
                                <a:effectLst/>
                                <a:latin typeface="Cambria Math" panose="02040503050406030204" pitchFamily="18" charset="0"/>
                                <a:ea typeface="+mn-ea"/>
                                <a:cs typeface="+mn-cs"/>
                              </a:rPr>
                              <m:t>,</m:t>
                            </m:r>
                            <m:r>
                              <m:rPr>
                                <m:sty m:val="p"/>
                              </m:rPr>
                              <a:rPr lang="en-US" sz="1100">
                                <a:solidFill>
                                  <a:schemeClr val="tx1"/>
                                </a:solidFill>
                                <a:effectLst/>
                                <a:latin typeface="Cambria Math" panose="02040503050406030204" pitchFamily="18" charset="0"/>
                                <a:ea typeface="+mn-ea"/>
                                <a:cs typeface="+mn-cs"/>
                              </a:rPr>
                              <m:t>y</m:t>
                            </m:r>
                          </m:e>
                        </m:d>
                      </m:e>
                    </m:func>
                    <m:r>
                      <a:rPr lang="en-US" sz="1100">
                        <a:solidFill>
                          <a:schemeClr val="tx1"/>
                        </a:solidFill>
                        <a:effectLst/>
                        <a:latin typeface="Cambria Math" panose="02040503050406030204" pitchFamily="18" charset="0"/>
                        <a:ea typeface="+mn-ea"/>
                        <a:cs typeface="+mn-cs"/>
                      </a:rPr>
                      <m:t>=</m:t>
                    </m:r>
                    <m:f>
                      <m:fPr>
                        <m:ctrlPr>
                          <a:rPr lang="en-IN" sz="1100" i="1">
                            <a:solidFill>
                              <a:schemeClr val="tx1"/>
                            </a:solidFill>
                            <a:effectLst/>
                            <a:latin typeface="Cambria Math" panose="02040503050406030204" pitchFamily="18" charset="0"/>
                            <a:ea typeface="+mn-ea"/>
                            <a:cs typeface="+mn-cs"/>
                          </a:rPr>
                        </m:ctrlPr>
                      </m:fPr>
                      <m:num>
                        <m:r>
                          <m:rPr>
                            <m:sty m:val="p"/>
                          </m:rPr>
                          <a:rPr lang="en-US" sz="1100">
                            <a:solidFill>
                              <a:schemeClr val="tx1"/>
                            </a:solidFill>
                            <a:effectLst/>
                            <a:latin typeface="Cambria Math" panose="02040503050406030204" pitchFamily="18" charset="0"/>
                            <a:ea typeface="+mn-ea"/>
                            <a:cs typeface="+mn-cs"/>
                          </a:rPr>
                          <m:t>x</m:t>
                        </m:r>
                        <m:r>
                          <a:rPr lang="en-US" sz="1100">
                            <a:solidFill>
                              <a:schemeClr val="tx1"/>
                            </a:solidFill>
                            <a:effectLst/>
                            <a:latin typeface="Cambria Math" panose="02040503050406030204" pitchFamily="18" charset="0"/>
                            <a:ea typeface="+mn-ea"/>
                            <a:cs typeface="+mn-cs"/>
                          </a:rPr>
                          <m:t>.</m:t>
                        </m:r>
                        <m:r>
                          <m:rPr>
                            <m:sty m:val="p"/>
                          </m:rPr>
                          <a:rPr lang="en-US" sz="1100">
                            <a:solidFill>
                              <a:schemeClr val="tx1"/>
                            </a:solidFill>
                            <a:effectLst/>
                            <a:latin typeface="Cambria Math" panose="02040503050406030204" pitchFamily="18" charset="0"/>
                            <a:ea typeface="+mn-ea"/>
                            <a:cs typeface="+mn-cs"/>
                          </a:rPr>
                          <m:t>y</m:t>
                        </m:r>
                      </m:num>
                      <m:den>
                        <m:r>
                          <m:rPr>
                            <m:lit/>
                          </m:rPr>
                          <a:rPr lang="en-US" sz="1100">
                            <a:solidFill>
                              <a:schemeClr val="tx1"/>
                            </a:solidFill>
                            <a:effectLst/>
                            <a:latin typeface="Cambria Math" panose="02040503050406030204" pitchFamily="18" charset="0"/>
                            <a:ea typeface="+mn-ea"/>
                            <a:cs typeface="+mn-cs"/>
                          </a:rPr>
                          <m:t>|</m:t>
                        </m:r>
                        <m:d>
                          <m:dPr>
                            <m:begChr m:val="|"/>
                            <m:endChr m:val="|"/>
                            <m:ctrlPr>
                              <a:rPr lang="en-IN" sz="1100" i="1">
                                <a:solidFill>
                                  <a:schemeClr val="tx1"/>
                                </a:solidFill>
                                <a:effectLst/>
                                <a:latin typeface="Cambria Math" panose="02040503050406030204" pitchFamily="18" charset="0"/>
                                <a:ea typeface="+mn-ea"/>
                                <a:cs typeface="+mn-cs"/>
                              </a:rPr>
                            </m:ctrlPr>
                          </m:dPr>
                          <m:e>
                            <m:r>
                              <m:rPr>
                                <m:sty m:val="p"/>
                              </m:rPr>
                              <a:rPr lang="en-US" sz="1100">
                                <a:solidFill>
                                  <a:schemeClr val="tx1"/>
                                </a:solidFill>
                                <a:effectLst/>
                                <a:latin typeface="Cambria Math" panose="02040503050406030204" pitchFamily="18" charset="0"/>
                                <a:ea typeface="+mn-ea"/>
                                <a:cs typeface="+mn-cs"/>
                              </a:rPr>
                              <m:t>x</m:t>
                            </m:r>
                          </m:e>
                        </m:d>
                        <m:r>
                          <a:rPr lang="en-US" sz="1100">
                            <a:solidFill>
                              <a:schemeClr val="tx1"/>
                            </a:solidFill>
                            <a:effectLst/>
                            <a:latin typeface="Cambria Math" panose="02040503050406030204" pitchFamily="18" charset="0"/>
                            <a:ea typeface="+mn-ea"/>
                            <a:cs typeface="+mn-cs"/>
                          </a:rPr>
                          <m:t>|.|</m:t>
                        </m:r>
                        <m:d>
                          <m:dPr>
                            <m:begChr m:val="|"/>
                            <m:endChr m:val="|"/>
                            <m:ctrlPr>
                              <a:rPr lang="en-IN" sz="1100" i="1">
                                <a:solidFill>
                                  <a:schemeClr val="tx1"/>
                                </a:solidFill>
                                <a:effectLst/>
                                <a:latin typeface="Cambria Math" panose="02040503050406030204" pitchFamily="18" charset="0"/>
                                <a:ea typeface="+mn-ea"/>
                                <a:cs typeface="+mn-cs"/>
                              </a:rPr>
                            </m:ctrlPr>
                          </m:dPr>
                          <m:e>
                            <m:r>
                              <m:rPr>
                                <m:sty m:val="p"/>
                              </m:rPr>
                              <a:rPr lang="en-US" sz="1100">
                                <a:solidFill>
                                  <a:schemeClr val="tx1"/>
                                </a:solidFill>
                                <a:effectLst/>
                                <a:latin typeface="Cambria Math" panose="02040503050406030204" pitchFamily="18" charset="0"/>
                                <a:ea typeface="+mn-ea"/>
                                <a:cs typeface="+mn-cs"/>
                              </a:rPr>
                              <m:t>y</m:t>
                            </m:r>
                          </m:e>
                        </m:d>
                        <m:r>
                          <a:rPr lang="en-US" sz="1100">
                            <a:solidFill>
                              <a:schemeClr val="tx1"/>
                            </a:solidFill>
                            <a:effectLst/>
                            <a:latin typeface="Cambria Math" panose="02040503050406030204" pitchFamily="18" charset="0"/>
                            <a:ea typeface="+mn-ea"/>
                            <a:cs typeface="+mn-cs"/>
                          </a:rPr>
                          <m:t>|</m:t>
                        </m:r>
                      </m:den>
                    </m:f>
                  </m:oMath>
                </m:oMathPara>
              </a14:m>
              <a:endParaRPr lang="en-IN" sz="1100"/>
            </a:p>
          </xdr:txBody>
        </xdr:sp>
      </mc:Choice>
      <mc:Fallback xmlns="">
        <xdr:sp macro="" textlink="">
          <xdr:nvSpPr>
            <xdr:cNvPr id="3" name="TextBox 2">
              <a:extLst>
                <a:ext uri="{FF2B5EF4-FFF2-40B4-BE49-F238E27FC236}">
                  <a16:creationId xmlns:a16="http://schemas.microsoft.com/office/drawing/2014/main" id="{B9A2E4D7-1E56-453D-A106-1EB14DF77967}"/>
                </a:ext>
              </a:extLst>
            </xdr:cNvPr>
            <xdr:cNvSpPr txBox="1"/>
          </xdr:nvSpPr>
          <xdr:spPr>
            <a:xfrm>
              <a:off x="14811375" y="42862"/>
              <a:ext cx="2429575" cy="317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solidFill>
                    <a:schemeClr val="tx1"/>
                  </a:solidFill>
                  <a:effectLst/>
                  <a:latin typeface="+mn-lt"/>
                  <a:ea typeface="+mn-ea"/>
                  <a:cs typeface="+mn-cs"/>
                </a:rPr>
                <a:t>𝐂𝐨𝐬𝐢𝐧𝐞 𝐒𝐢𝐦𝐢𝐥𝐚𝐫𝐢𝐭𝐲</a:t>
              </a:r>
              <a:r>
                <a:rPr lang="en-US" sz="1100" i="0">
                  <a:solidFill>
                    <a:schemeClr val="tx1"/>
                  </a:solidFill>
                  <a:effectLst/>
                  <a:latin typeface="+mn-lt"/>
                  <a:ea typeface="+mn-ea"/>
                  <a:cs typeface="+mn-cs"/>
                </a:rPr>
                <a:t> cos</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x,y)=</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x.y</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x||.|</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y||</a:t>
              </a:r>
              <a:r>
                <a:rPr lang="en-IN" sz="1100" i="0">
                  <a:solidFill>
                    <a:schemeClr val="tx1"/>
                  </a:solidFill>
                  <a:effectLst/>
                  <a:latin typeface="+mn-lt"/>
                  <a:ea typeface="+mn-ea"/>
                  <a:cs typeface="+mn-cs"/>
                </a:rPr>
                <a:t>)</a:t>
              </a:r>
              <a:endParaRPr lang="en-IN" sz="1100"/>
            </a:p>
          </xdr:txBody>
        </xdr:sp>
      </mc:Fallback>
    </mc:AlternateContent>
    <xdr:clientData/>
  </xdr:oneCellAnchor>
  <xdr:oneCellAnchor>
    <xdr:from>
      <xdr:col>16</xdr:col>
      <xdr:colOff>2025015</xdr:colOff>
      <xdr:row>2</xdr:row>
      <xdr:rowOff>123825</xdr:rowOff>
    </xdr:from>
    <xdr:ext cx="4432047" cy="532966"/>
    <mc:AlternateContent xmlns:mc="http://schemas.openxmlformats.org/markup-compatibility/2006" xmlns:a14="http://schemas.microsoft.com/office/drawing/2010/main">
      <mc:Choice Requires="a14">
        <xdr:sp macro="" textlink="">
          <xdr:nvSpPr>
            <xdr:cNvPr id="4" name="TextBox 3">
              <a:extLst>
                <a:ext uri="{FF2B5EF4-FFF2-40B4-BE49-F238E27FC236}">
                  <a16:creationId xmlns="" xmlns:a16="http://schemas.microsoft.com/office/drawing/2014/main" id="{00000000-0008-0000-0600-000004000000}"/>
                </a:ext>
              </a:extLst>
            </xdr:cNvPr>
            <xdr:cNvSpPr txBox="1"/>
          </xdr:nvSpPr>
          <xdr:spPr>
            <a:xfrm>
              <a:off x="13693140" y="504825"/>
              <a:ext cx="4432047" cy="5329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tx1"/>
                        </a:solidFill>
                        <a:effectLst/>
                        <a:latin typeface="Cambria Math" panose="02040503050406030204" pitchFamily="18" charset="0"/>
                        <a:ea typeface="+mn-ea"/>
                        <a:cs typeface="+mn-cs"/>
                      </a:rPr>
                      <m:t>𝐂𝐨𝐬𝐢𝐧𝐞</m:t>
                    </m:r>
                    <m:r>
                      <a:rPr lang="en-US" sz="1100" b="1" i="1">
                        <a:solidFill>
                          <a:schemeClr val="tx1"/>
                        </a:solidFill>
                        <a:effectLst/>
                        <a:latin typeface="Cambria Math" panose="02040503050406030204" pitchFamily="18" charset="0"/>
                        <a:ea typeface="+mn-ea"/>
                        <a:cs typeface="+mn-cs"/>
                      </a:rPr>
                      <m:t> </m:t>
                    </m:r>
                    <m:r>
                      <a:rPr lang="en-US" sz="1100" b="1" i="1">
                        <a:solidFill>
                          <a:schemeClr val="tx1"/>
                        </a:solidFill>
                        <a:effectLst/>
                        <a:latin typeface="Cambria Math" panose="02040503050406030204" pitchFamily="18" charset="0"/>
                        <a:ea typeface="+mn-ea"/>
                        <a:cs typeface="+mn-cs"/>
                      </a:rPr>
                      <m:t>𝐒𝐢𝐦𝐢𝐥𝐚𝐫𝐢𝐭𝐲</m:t>
                    </m:r>
                    <m:func>
                      <m:funcPr>
                        <m:ctrlPr>
                          <a:rPr lang="en-IN" sz="1100" i="1">
                            <a:solidFill>
                              <a:schemeClr val="tx1"/>
                            </a:solidFill>
                            <a:effectLst/>
                            <a:latin typeface="Cambria Math" panose="02040503050406030204" pitchFamily="18" charset="0"/>
                            <a:ea typeface="+mn-ea"/>
                            <a:cs typeface="+mn-cs"/>
                          </a:rPr>
                        </m:ctrlPr>
                      </m:funcPr>
                      <m:fName>
                        <m:r>
                          <m:rPr>
                            <m:sty m:val="p"/>
                          </m:rPr>
                          <a:rPr lang="en-US" sz="1100">
                            <a:solidFill>
                              <a:schemeClr val="tx1"/>
                            </a:solidFill>
                            <a:effectLst/>
                            <a:latin typeface="Cambria Math" panose="02040503050406030204" pitchFamily="18" charset="0"/>
                            <a:ea typeface="+mn-ea"/>
                            <a:cs typeface="+mn-cs"/>
                          </a:rPr>
                          <m:t>cos</m:t>
                        </m:r>
                      </m:fName>
                      <m:e>
                        <m:d>
                          <m:dPr>
                            <m:ctrlPr>
                              <a:rPr lang="en-IN" sz="1100" i="1">
                                <a:solidFill>
                                  <a:schemeClr val="tx1"/>
                                </a:solidFill>
                                <a:effectLst/>
                                <a:latin typeface="Cambria Math" panose="02040503050406030204" pitchFamily="18" charset="0"/>
                                <a:ea typeface="+mn-ea"/>
                                <a:cs typeface="+mn-cs"/>
                              </a:rPr>
                            </m:ctrlPr>
                          </m:dPr>
                          <m:e>
                            <m:r>
                              <m:rPr>
                                <m:sty m:val="p"/>
                              </m:rPr>
                              <a:rPr lang="en-US" sz="1100">
                                <a:solidFill>
                                  <a:schemeClr val="tx1"/>
                                </a:solidFill>
                                <a:effectLst/>
                                <a:latin typeface="Cambria Math" panose="02040503050406030204" pitchFamily="18" charset="0"/>
                                <a:ea typeface="+mn-ea"/>
                                <a:cs typeface="+mn-cs"/>
                              </a:rPr>
                              <m:t>x</m:t>
                            </m:r>
                            <m:r>
                              <a:rPr lang="en-US" sz="1100">
                                <a:solidFill>
                                  <a:schemeClr val="tx1"/>
                                </a:solidFill>
                                <a:effectLst/>
                                <a:latin typeface="Cambria Math" panose="02040503050406030204" pitchFamily="18" charset="0"/>
                                <a:ea typeface="+mn-ea"/>
                                <a:cs typeface="+mn-cs"/>
                              </a:rPr>
                              <m:t>,</m:t>
                            </m:r>
                            <m:r>
                              <m:rPr>
                                <m:sty m:val="p"/>
                              </m:rPr>
                              <a:rPr lang="en-US" sz="1100">
                                <a:solidFill>
                                  <a:schemeClr val="tx1"/>
                                </a:solidFill>
                                <a:effectLst/>
                                <a:latin typeface="Cambria Math" panose="02040503050406030204" pitchFamily="18" charset="0"/>
                                <a:ea typeface="+mn-ea"/>
                                <a:cs typeface="+mn-cs"/>
                              </a:rPr>
                              <m:t>y</m:t>
                            </m:r>
                          </m:e>
                        </m:d>
                      </m:e>
                    </m:func>
                    <m:r>
                      <a:rPr lang="en-US" sz="1100">
                        <a:solidFill>
                          <a:schemeClr val="tx1"/>
                        </a:solidFill>
                        <a:effectLst/>
                        <a:latin typeface="Cambria Math" panose="02040503050406030204" pitchFamily="18" charset="0"/>
                        <a:ea typeface="+mn-ea"/>
                        <a:cs typeface="+mn-cs"/>
                      </a:rPr>
                      <m:t>=</m:t>
                    </m:r>
                    <m:f>
                      <m:fPr>
                        <m:ctrlPr>
                          <a:rPr lang="en-IN" sz="1100" i="1">
                            <a:solidFill>
                              <a:schemeClr val="tx1"/>
                            </a:solidFill>
                            <a:effectLst/>
                            <a:latin typeface="Cambria Math" panose="02040503050406030204" pitchFamily="18" charset="0"/>
                            <a:ea typeface="+mn-ea"/>
                            <a:cs typeface="+mn-cs"/>
                          </a:rPr>
                        </m:ctrlPr>
                      </m:fPr>
                      <m:num>
                        <m:r>
                          <a:rPr lang="en-US" sz="1100">
                            <a:solidFill>
                              <a:schemeClr val="accent1"/>
                            </a:solidFill>
                            <a:effectLst/>
                            <a:latin typeface="Cambria Math" panose="02040503050406030204" pitchFamily="18" charset="0"/>
                            <a:ea typeface="+mn-ea"/>
                            <a:cs typeface="+mn-cs"/>
                          </a:rPr>
                          <m:t>∑</m:t>
                        </m:r>
                        <m:sSub>
                          <m:sSubPr>
                            <m:ctrlPr>
                              <a:rPr lang="en-IN" sz="1100" i="1">
                                <a:solidFill>
                                  <a:schemeClr val="accent1"/>
                                </a:solidFill>
                                <a:effectLst/>
                                <a:latin typeface="Cambria Math" panose="02040503050406030204" pitchFamily="18" charset="0"/>
                                <a:ea typeface="+mn-ea"/>
                                <a:cs typeface="+mn-cs"/>
                              </a:rPr>
                            </m:ctrlPr>
                          </m:sSubPr>
                          <m:e>
                            <m:r>
                              <a:rPr lang="en-US" sz="1100">
                                <a:solidFill>
                                  <a:schemeClr val="accent1"/>
                                </a:solidFill>
                                <a:effectLst/>
                                <a:latin typeface="Cambria Math" panose="02040503050406030204" pitchFamily="18" charset="0"/>
                                <a:ea typeface="+mn-ea"/>
                                <a:cs typeface="+mn-cs"/>
                              </a:rPr>
                              <m:t>(</m:t>
                            </m:r>
                            <m:r>
                              <m:rPr>
                                <m:sty m:val="p"/>
                              </m:rPr>
                              <a:rPr lang="en-US" sz="1100">
                                <a:solidFill>
                                  <a:schemeClr val="accent1"/>
                                </a:solidFill>
                                <a:effectLst/>
                                <a:latin typeface="Cambria Math" panose="02040503050406030204" pitchFamily="18" charset="0"/>
                                <a:ea typeface="+mn-ea"/>
                                <a:cs typeface="+mn-cs"/>
                              </a:rPr>
                              <m:t>x</m:t>
                            </m:r>
                          </m:e>
                          <m:sub>
                            <m:r>
                              <m:rPr>
                                <m:sty m:val="p"/>
                              </m:rPr>
                              <a:rPr lang="en-US" sz="1100">
                                <a:solidFill>
                                  <a:schemeClr val="accent1"/>
                                </a:solidFill>
                                <a:effectLst/>
                                <a:latin typeface="Cambria Math" panose="02040503050406030204" pitchFamily="18" charset="0"/>
                                <a:ea typeface="+mn-ea"/>
                                <a:cs typeface="+mn-cs"/>
                              </a:rPr>
                              <m:t>i</m:t>
                            </m:r>
                          </m:sub>
                        </m:sSub>
                        <m:r>
                          <a:rPr lang="en-US" sz="1100" i="1">
                            <a:solidFill>
                              <a:schemeClr val="accent1"/>
                            </a:solidFill>
                            <a:effectLst/>
                            <a:latin typeface="Cambria Math" panose="02040503050406030204" pitchFamily="18" charset="0"/>
                            <a:ea typeface="+mn-ea"/>
                            <a:cs typeface="+mn-cs"/>
                          </a:rPr>
                          <m:t>∗</m:t>
                        </m:r>
                        <m:sSub>
                          <m:sSubPr>
                            <m:ctrlPr>
                              <a:rPr lang="en-IN" sz="1100" i="1">
                                <a:solidFill>
                                  <a:schemeClr val="accent1"/>
                                </a:solidFill>
                                <a:effectLst/>
                                <a:latin typeface="Cambria Math" panose="02040503050406030204" pitchFamily="18" charset="0"/>
                                <a:ea typeface="+mn-ea"/>
                                <a:cs typeface="+mn-cs"/>
                              </a:rPr>
                            </m:ctrlPr>
                          </m:sSubPr>
                          <m:e>
                            <m:r>
                              <m:rPr>
                                <m:sty m:val="p"/>
                              </m:rPr>
                              <a:rPr lang="en-US" sz="1100">
                                <a:solidFill>
                                  <a:schemeClr val="accent1"/>
                                </a:solidFill>
                                <a:effectLst/>
                                <a:latin typeface="Cambria Math" panose="02040503050406030204" pitchFamily="18" charset="0"/>
                                <a:ea typeface="+mn-ea"/>
                                <a:cs typeface="+mn-cs"/>
                              </a:rPr>
                              <m:t>y</m:t>
                            </m:r>
                          </m:e>
                          <m:sub>
                            <m:r>
                              <m:rPr>
                                <m:sty m:val="p"/>
                              </m:rPr>
                              <a:rPr lang="en-US" sz="1100">
                                <a:solidFill>
                                  <a:schemeClr val="accent1"/>
                                </a:solidFill>
                                <a:effectLst/>
                                <a:latin typeface="Cambria Math" panose="02040503050406030204" pitchFamily="18" charset="0"/>
                                <a:ea typeface="+mn-ea"/>
                                <a:cs typeface="+mn-cs"/>
                              </a:rPr>
                              <m:t>i</m:t>
                            </m:r>
                          </m:sub>
                        </m:sSub>
                        <m:r>
                          <a:rPr lang="en-US" sz="1100">
                            <a:solidFill>
                              <a:schemeClr val="accent1"/>
                            </a:solidFill>
                            <a:effectLst/>
                            <a:latin typeface="Cambria Math" panose="02040503050406030204" pitchFamily="18" charset="0"/>
                            <a:ea typeface="+mn-ea"/>
                            <a:cs typeface="+mn-cs"/>
                          </a:rPr>
                          <m:t>)</m:t>
                        </m:r>
                      </m:num>
                      <m:den>
                        <m:rad>
                          <m:radPr>
                            <m:degHide m:val="on"/>
                            <m:ctrlPr>
                              <a:rPr lang="en-IN" sz="1100" i="1">
                                <a:solidFill>
                                  <a:schemeClr val="tx1"/>
                                </a:solidFill>
                                <a:effectLst/>
                                <a:latin typeface="Cambria Math" panose="02040503050406030204" pitchFamily="18" charset="0"/>
                                <a:ea typeface="+mn-ea"/>
                                <a:cs typeface="+mn-cs"/>
                              </a:rPr>
                            </m:ctrlPr>
                          </m:radPr>
                          <m:deg/>
                          <m:e>
                            <m:r>
                              <a:rPr lang="en-US" sz="1100">
                                <a:solidFill>
                                  <a:srgbClr val="C00000"/>
                                </a:solidFill>
                                <a:effectLst/>
                                <a:latin typeface="Cambria Math" panose="02040503050406030204" pitchFamily="18" charset="0"/>
                                <a:ea typeface="+mn-ea"/>
                                <a:cs typeface="+mn-cs"/>
                              </a:rPr>
                              <m:t>(</m:t>
                            </m:r>
                            <m:sSubSup>
                              <m:sSubSupPr>
                                <m:ctrlPr>
                                  <a:rPr lang="en-IN" sz="1100" i="1">
                                    <a:solidFill>
                                      <a:srgbClr val="C00000"/>
                                    </a:solidFill>
                                    <a:effectLst/>
                                    <a:latin typeface="Cambria Math" panose="02040503050406030204" pitchFamily="18" charset="0"/>
                                    <a:ea typeface="+mn-ea"/>
                                    <a:cs typeface="+mn-cs"/>
                                  </a:rPr>
                                </m:ctrlPr>
                              </m:sSubSupPr>
                              <m:e>
                                <m:r>
                                  <m:rPr>
                                    <m:sty m:val="p"/>
                                  </m:rPr>
                                  <a:rPr lang="en-US" sz="1100">
                                    <a:solidFill>
                                      <a:srgbClr val="C00000"/>
                                    </a:solidFill>
                                    <a:effectLst/>
                                    <a:latin typeface="Cambria Math" panose="02040503050406030204" pitchFamily="18" charset="0"/>
                                    <a:ea typeface="+mn-ea"/>
                                    <a:cs typeface="+mn-cs"/>
                                  </a:rPr>
                                  <m:t>x</m:t>
                                </m:r>
                              </m:e>
                              <m:sub>
                                <m:r>
                                  <a:rPr lang="en-US" sz="1100">
                                    <a:solidFill>
                                      <a:srgbClr val="C00000"/>
                                    </a:solidFill>
                                    <a:effectLst/>
                                    <a:latin typeface="Cambria Math" panose="02040503050406030204" pitchFamily="18" charset="0"/>
                                    <a:ea typeface="+mn-ea"/>
                                    <a:cs typeface="+mn-cs"/>
                                  </a:rPr>
                                  <m:t>0</m:t>
                                </m:r>
                              </m:sub>
                              <m:sup>
                                <m:r>
                                  <a:rPr lang="en-US" sz="1100">
                                    <a:solidFill>
                                      <a:srgbClr val="C00000"/>
                                    </a:solidFill>
                                    <a:effectLst/>
                                    <a:latin typeface="Cambria Math" panose="02040503050406030204" pitchFamily="18" charset="0"/>
                                    <a:ea typeface="+mn-ea"/>
                                    <a:cs typeface="+mn-cs"/>
                                  </a:rPr>
                                  <m:t>2</m:t>
                                </m:r>
                              </m:sup>
                            </m:sSubSup>
                            <m:r>
                              <a:rPr lang="en-US" sz="1100">
                                <a:solidFill>
                                  <a:srgbClr val="C00000"/>
                                </a:solidFill>
                                <a:effectLst/>
                                <a:latin typeface="Cambria Math" panose="02040503050406030204" pitchFamily="18" charset="0"/>
                                <a:ea typeface="+mn-ea"/>
                                <a:cs typeface="+mn-cs"/>
                              </a:rPr>
                              <m:t>+</m:t>
                            </m:r>
                            <m:sSubSup>
                              <m:sSubSupPr>
                                <m:ctrlPr>
                                  <a:rPr lang="en-IN" sz="1100" i="1">
                                    <a:solidFill>
                                      <a:srgbClr val="C00000"/>
                                    </a:solidFill>
                                    <a:effectLst/>
                                    <a:latin typeface="Cambria Math" panose="02040503050406030204" pitchFamily="18" charset="0"/>
                                    <a:ea typeface="+mn-ea"/>
                                    <a:cs typeface="+mn-cs"/>
                                  </a:rPr>
                                </m:ctrlPr>
                              </m:sSubSupPr>
                              <m:e>
                                <m:r>
                                  <m:rPr>
                                    <m:sty m:val="p"/>
                                  </m:rPr>
                                  <a:rPr lang="en-US" sz="1100">
                                    <a:solidFill>
                                      <a:srgbClr val="C00000"/>
                                    </a:solidFill>
                                    <a:effectLst/>
                                    <a:latin typeface="Cambria Math" panose="02040503050406030204" pitchFamily="18" charset="0"/>
                                    <a:ea typeface="+mn-ea"/>
                                    <a:cs typeface="+mn-cs"/>
                                  </a:rPr>
                                  <m:t>x</m:t>
                                </m:r>
                              </m:e>
                              <m:sub>
                                <m:r>
                                  <a:rPr lang="en-US" sz="1100">
                                    <a:solidFill>
                                      <a:srgbClr val="C00000"/>
                                    </a:solidFill>
                                    <a:effectLst/>
                                    <a:latin typeface="Cambria Math" panose="02040503050406030204" pitchFamily="18" charset="0"/>
                                    <a:ea typeface="+mn-ea"/>
                                    <a:cs typeface="+mn-cs"/>
                                  </a:rPr>
                                  <m:t>1</m:t>
                                </m:r>
                              </m:sub>
                              <m:sup>
                                <m:r>
                                  <a:rPr lang="en-US" sz="1100">
                                    <a:solidFill>
                                      <a:srgbClr val="C00000"/>
                                    </a:solidFill>
                                    <a:effectLst/>
                                    <a:latin typeface="Cambria Math" panose="02040503050406030204" pitchFamily="18" charset="0"/>
                                    <a:ea typeface="+mn-ea"/>
                                    <a:cs typeface="+mn-cs"/>
                                  </a:rPr>
                                  <m:t>2</m:t>
                                </m:r>
                              </m:sup>
                            </m:sSubSup>
                            <m:r>
                              <a:rPr lang="en-US" sz="1100">
                                <a:solidFill>
                                  <a:srgbClr val="C00000"/>
                                </a:solidFill>
                                <a:effectLst/>
                                <a:latin typeface="Cambria Math" panose="02040503050406030204" pitchFamily="18" charset="0"/>
                                <a:ea typeface="+mn-ea"/>
                                <a:cs typeface="+mn-cs"/>
                              </a:rPr>
                              <m:t>+…+</m:t>
                            </m:r>
                            <m:sSubSup>
                              <m:sSubSupPr>
                                <m:ctrlPr>
                                  <a:rPr lang="en-IN" sz="1100" i="1">
                                    <a:solidFill>
                                      <a:srgbClr val="C00000"/>
                                    </a:solidFill>
                                    <a:effectLst/>
                                    <a:latin typeface="Cambria Math" panose="02040503050406030204" pitchFamily="18" charset="0"/>
                                    <a:ea typeface="+mn-ea"/>
                                    <a:cs typeface="+mn-cs"/>
                                  </a:rPr>
                                </m:ctrlPr>
                              </m:sSubSupPr>
                              <m:e>
                                <m:r>
                                  <m:rPr>
                                    <m:sty m:val="p"/>
                                  </m:rPr>
                                  <a:rPr lang="en-US" sz="1100">
                                    <a:solidFill>
                                      <a:srgbClr val="C00000"/>
                                    </a:solidFill>
                                    <a:effectLst/>
                                    <a:latin typeface="Cambria Math" panose="02040503050406030204" pitchFamily="18" charset="0"/>
                                    <a:ea typeface="+mn-ea"/>
                                    <a:cs typeface="+mn-cs"/>
                                  </a:rPr>
                                  <m:t>x</m:t>
                                </m:r>
                              </m:e>
                              <m:sub>
                                <m:r>
                                  <m:rPr>
                                    <m:sty m:val="p"/>
                                  </m:rPr>
                                  <a:rPr lang="en-US" sz="1100">
                                    <a:solidFill>
                                      <a:srgbClr val="C00000"/>
                                    </a:solidFill>
                                    <a:effectLst/>
                                    <a:latin typeface="Cambria Math" panose="02040503050406030204" pitchFamily="18" charset="0"/>
                                    <a:ea typeface="+mn-ea"/>
                                    <a:cs typeface="+mn-cs"/>
                                  </a:rPr>
                                  <m:t>n</m:t>
                                </m:r>
                              </m:sub>
                              <m:sup>
                                <m:r>
                                  <a:rPr lang="en-US" sz="1100">
                                    <a:solidFill>
                                      <a:srgbClr val="C00000"/>
                                    </a:solidFill>
                                    <a:effectLst/>
                                    <a:latin typeface="Cambria Math" panose="02040503050406030204" pitchFamily="18" charset="0"/>
                                    <a:ea typeface="+mn-ea"/>
                                    <a:cs typeface="+mn-cs"/>
                                  </a:rPr>
                                  <m:t>2</m:t>
                                </m:r>
                              </m:sup>
                            </m:sSubSup>
                            <m:r>
                              <a:rPr lang="en-US" sz="1100">
                                <a:solidFill>
                                  <a:srgbClr val="C00000"/>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m:t>
                            </m:r>
                            <m:r>
                              <a:rPr lang="en-US" sz="1100">
                                <a:solidFill>
                                  <a:schemeClr val="accent6"/>
                                </a:solidFill>
                                <a:effectLst/>
                                <a:latin typeface="Cambria Math" panose="02040503050406030204" pitchFamily="18" charset="0"/>
                                <a:ea typeface="+mn-ea"/>
                                <a:cs typeface="+mn-cs"/>
                              </a:rPr>
                              <m:t>(</m:t>
                            </m:r>
                            <m:sSubSup>
                              <m:sSubSupPr>
                                <m:ctrlPr>
                                  <a:rPr lang="en-IN" sz="1100" i="1">
                                    <a:solidFill>
                                      <a:schemeClr val="accent6"/>
                                    </a:solidFill>
                                    <a:effectLst/>
                                    <a:latin typeface="Cambria Math" panose="02040503050406030204" pitchFamily="18" charset="0"/>
                                    <a:ea typeface="+mn-ea"/>
                                    <a:cs typeface="+mn-cs"/>
                                  </a:rPr>
                                </m:ctrlPr>
                              </m:sSubSupPr>
                              <m:e>
                                <m:r>
                                  <m:rPr>
                                    <m:sty m:val="p"/>
                                  </m:rPr>
                                  <a:rPr lang="en-US" sz="1100">
                                    <a:solidFill>
                                      <a:schemeClr val="accent6"/>
                                    </a:solidFill>
                                    <a:effectLst/>
                                    <a:latin typeface="Cambria Math" panose="02040503050406030204" pitchFamily="18" charset="0"/>
                                    <a:ea typeface="+mn-ea"/>
                                    <a:cs typeface="+mn-cs"/>
                                  </a:rPr>
                                  <m:t>y</m:t>
                                </m:r>
                              </m:e>
                              <m:sub>
                                <m:r>
                                  <a:rPr lang="en-US" sz="1100">
                                    <a:solidFill>
                                      <a:schemeClr val="accent6"/>
                                    </a:solidFill>
                                    <a:effectLst/>
                                    <a:latin typeface="Cambria Math" panose="02040503050406030204" pitchFamily="18" charset="0"/>
                                    <a:ea typeface="+mn-ea"/>
                                    <a:cs typeface="+mn-cs"/>
                                  </a:rPr>
                                  <m:t>0</m:t>
                                </m:r>
                              </m:sub>
                              <m:sup>
                                <m:r>
                                  <a:rPr lang="en-US" sz="1100">
                                    <a:solidFill>
                                      <a:schemeClr val="accent6"/>
                                    </a:solidFill>
                                    <a:effectLst/>
                                    <a:latin typeface="Cambria Math" panose="02040503050406030204" pitchFamily="18" charset="0"/>
                                    <a:ea typeface="+mn-ea"/>
                                    <a:cs typeface="+mn-cs"/>
                                  </a:rPr>
                                  <m:t>2</m:t>
                                </m:r>
                              </m:sup>
                            </m:sSubSup>
                            <m:r>
                              <a:rPr lang="en-US" sz="1100">
                                <a:solidFill>
                                  <a:schemeClr val="accent6"/>
                                </a:solidFill>
                                <a:effectLst/>
                                <a:latin typeface="Cambria Math" panose="02040503050406030204" pitchFamily="18" charset="0"/>
                                <a:ea typeface="+mn-ea"/>
                                <a:cs typeface="+mn-cs"/>
                              </a:rPr>
                              <m:t>+</m:t>
                            </m:r>
                            <m:sSubSup>
                              <m:sSubSupPr>
                                <m:ctrlPr>
                                  <a:rPr lang="en-IN" sz="1100" i="1">
                                    <a:solidFill>
                                      <a:schemeClr val="accent6"/>
                                    </a:solidFill>
                                    <a:effectLst/>
                                    <a:latin typeface="Cambria Math" panose="02040503050406030204" pitchFamily="18" charset="0"/>
                                    <a:ea typeface="+mn-ea"/>
                                    <a:cs typeface="+mn-cs"/>
                                  </a:rPr>
                                </m:ctrlPr>
                              </m:sSubSupPr>
                              <m:e>
                                <m:r>
                                  <m:rPr>
                                    <m:sty m:val="p"/>
                                  </m:rPr>
                                  <a:rPr lang="en-US" sz="1100">
                                    <a:solidFill>
                                      <a:schemeClr val="accent6"/>
                                    </a:solidFill>
                                    <a:effectLst/>
                                    <a:latin typeface="Cambria Math" panose="02040503050406030204" pitchFamily="18" charset="0"/>
                                    <a:ea typeface="+mn-ea"/>
                                    <a:cs typeface="+mn-cs"/>
                                  </a:rPr>
                                  <m:t>y</m:t>
                                </m:r>
                              </m:e>
                              <m:sub>
                                <m:r>
                                  <a:rPr lang="en-US" sz="1100">
                                    <a:solidFill>
                                      <a:schemeClr val="accent6"/>
                                    </a:solidFill>
                                    <a:effectLst/>
                                    <a:latin typeface="Cambria Math" panose="02040503050406030204" pitchFamily="18" charset="0"/>
                                    <a:ea typeface="+mn-ea"/>
                                    <a:cs typeface="+mn-cs"/>
                                  </a:rPr>
                                  <m:t>1</m:t>
                                </m:r>
                              </m:sub>
                              <m:sup>
                                <m:r>
                                  <a:rPr lang="en-US" sz="1100">
                                    <a:solidFill>
                                      <a:schemeClr val="accent6"/>
                                    </a:solidFill>
                                    <a:effectLst/>
                                    <a:latin typeface="Cambria Math" panose="02040503050406030204" pitchFamily="18" charset="0"/>
                                    <a:ea typeface="+mn-ea"/>
                                    <a:cs typeface="+mn-cs"/>
                                  </a:rPr>
                                  <m:t>2</m:t>
                                </m:r>
                              </m:sup>
                            </m:sSubSup>
                            <m:r>
                              <a:rPr lang="en-US" sz="1100">
                                <a:solidFill>
                                  <a:schemeClr val="accent6"/>
                                </a:solidFill>
                                <a:effectLst/>
                                <a:latin typeface="Cambria Math" panose="02040503050406030204" pitchFamily="18" charset="0"/>
                                <a:ea typeface="+mn-ea"/>
                                <a:cs typeface="+mn-cs"/>
                              </a:rPr>
                              <m:t>+…+</m:t>
                            </m:r>
                            <m:sSubSup>
                              <m:sSubSupPr>
                                <m:ctrlPr>
                                  <a:rPr lang="en-IN" sz="1100" i="1">
                                    <a:solidFill>
                                      <a:schemeClr val="accent6"/>
                                    </a:solidFill>
                                    <a:effectLst/>
                                    <a:latin typeface="Cambria Math" panose="02040503050406030204" pitchFamily="18" charset="0"/>
                                    <a:ea typeface="+mn-ea"/>
                                    <a:cs typeface="+mn-cs"/>
                                  </a:rPr>
                                </m:ctrlPr>
                              </m:sSubSupPr>
                              <m:e>
                                <m:r>
                                  <m:rPr>
                                    <m:sty m:val="p"/>
                                  </m:rPr>
                                  <a:rPr lang="en-US" sz="1100">
                                    <a:solidFill>
                                      <a:schemeClr val="accent6"/>
                                    </a:solidFill>
                                    <a:effectLst/>
                                    <a:latin typeface="Cambria Math" panose="02040503050406030204" pitchFamily="18" charset="0"/>
                                    <a:ea typeface="+mn-ea"/>
                                    <a:cs typeface="+mn-cs"/>
                                  </a:rPr>
                                  <m:t>y</m:t>
                                </m:r>
                              </m:e>
                              <m:sub>
                                <m:r>
                                  <m:rPr>
                                    <m:sty m:val="p"/>
                                  </m:rPr>
                                  <a:rPr lang="en-US" sz="1100">
                                    <a:solidFill>
                                      <a:schemeClr val="accent6"/>
                                    </a:solidFill>
                                    <a:effectLst/>
                                    <a:latin typeface="Cambria Math" panose="02040503050406030204" pitchFamily="18" charset="0"/>
                                    <a:ea typeface="+mn-ea"/>
                                    <a:cs typeface="+mn-cs"/>
                                  </a:rPr>
                                  <m:t>n</m:t>
                                </m:r>
                              </m:sub>
                              <m:sup>
                                <m:r>
                                  <a:rPr lang="en-US" sz="1100">
                                    <a:solidFill>
                                      <a:schemeClr val="accent6"/>
                                    </a:solidFill>
                                    <a:effectLst/>
                                    <a:latin typeface="Cambria Math" panose="02040503050406030204" pitchFamily="18" charset="0"/>
                                    <a:ea typeface="+mn-ea"/>
                                    <a:cs typeface="+mn-cs"/>
                                  </a:rPr>
                                  <m:t>2</m:t>
                                </m:r>
                              </m:sup>
                            </m:sSubSup>
                          </m:e>
                        </m:rad>
                        <m:r>
                          <a:rPr lang="en-US" sz="1100">
                            <a:solidFill>
                              <a:schemeClr val="tx1"/>
                            </a:solidFill>
                            <a:effectLst/>
                            <a:latin typeface="Cambria Math" panose="02040503050406030204" pitchFamily="18" charset="0"/>
                            <a:ea typeface="+mn-ea"/>
                            <a:cs typeface="+mn-cs"/>
                          </a:rPr>
                          <m:t>)</m:t>
                        </m:r>
                      </m:den>
                    </m:f>
                  </m:oMath>
                </m:oMathPara>
              </a14:m>
              <a:endParaRPr lang="en-IN" sz="1100"/>
            </a:p>
          </xdr:txBody>
        </xdr:sp>
      </mc:Choice>
      <mc:Fallback xmlns="">
        <xdr:sp macro="" textlink="">
          <xdr:nvSpPr>
            <xdr:cNvPr id="4" name="TextBox 3">
              <a:extLst>
                <a:ext uri="{FF2B5EF4-FFF2-40B4-BE49-F238E27FC236}">
                  <a16:creationId xmlns:a16="http://schemas.microsoft.com/office/drawing/2014/main" id="{870CEADD-37B7-4659-83C1-0F94B29D8218}"/>
                </a:ext>
              </a:extLst>
            </xdr:cNvPr>
            <xdr:cNvSpPr txBox="1"/>
          </xdr:nvSpPr>
          <xdr:spPr>
            <a:xfrm>
              <a:off x="13693140" y="504825"/>
              <a:ext cx="4432047" cy="5329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tx1"/>
                  </a:solidFill>
                  <a:effectLst/>
                  <a:latin typeface="+mn-lt"/>
                  <a:ea typeface="+mn-ea"/>
                  <a:cs typeface="+mn-cs"/>
                </a:rPr>
                <a:t>𝐂𝐨𝐬𝐢𝐧𝐞 𝐒𝐢𝐦𝐢𝐥𝐚𝐫𝐢𝐭𝐲</a:t>
              </a:r>
              <a:r>
                <a:rPr lang="en-US" sz="1100" i="0">
                  <a:solidFill>
                    <a:schemeClr val="tx1"/>
                  </a:solidFill>
                  <a:effectLst/>
                  <a:latin typeface="+mn-lt"/>
                  <a:ea typeface="+mn-ea"/>
                  <a:cs typeface="+mn-cs"/>
                </a:rPr>
                <a:t> cos</a:t>
              </a:r>
              <a:r>
                <a:rPr lang="en-IN" sz="1100" i="0">
                  <a:solidFill>
                    <a:schemeClr val="tx1"/>
                  </a:solidFill>
                  <a:effectLst/>
                  <a:latin typeface="+mn-lt"/>
                  <a:ea typeface="+mn-ea"/>
                  <a:cs typeface="+mn-cs"/>
                </a:rPr>
                <a:t>⁡(</a:t>
              </a:r>
              <a:r>
                <a:rPr lang="en-US" sz="1100" i="0">
                  <a:solidFill>
                    <a:schemeClr val="tx1"/>
                  </a:solidFill>
                  <a:effectLst/>
                  <a:latin typeface="+mn-lt"/>
                  <a:ea typeface="+mn-ea"/>
                  <a:cs typeface="+mn-cs"/>
                </a:rPr>
                <a:t>x,y)</a:t>
              </a:r>
              <a:r>
                <a:rPr lang="en-US" sz="1100" i="0">
                  <a:solidFill>
                    <a:schemeClr val="tx1"/>
                  </a:solidFill>
                  <a:effectLst/>
                  <a:latin typeface="Cambria Math" panose="02040503050406030204" pitchFamily="18" charset="0"/>
                  <a:ea typeface="+mn-ea"/>
                  <a:cs typeface="+mn-cs"/>
                </a:rPr>
                <a:t>=</a:t>
              </a:r>
              <a:r>
                <a:rPr lang="en-IN" sz="1100" i="0">
                  <a:solidFill>
                    <a:schemeClr val="tx1"/>
                  </a:solidFill>
                  <a:effectLst/>
                  <a:latin typeface="Cambria Math" panose="02040503050406030204" pitchFamily="18" charset="0"/>
                  <a:ea typeface="+mn-ea"/>
                  <a:cs typeface="+mn-cs"/>
                </a:rPr>
                <a:t>(</a:t>
              </a:r>
              <a:r>
                <a:rPr lang="en-US" sz="1100" i="0">
                  <a:solidFill>
                    <a:schemeClr val="accent1"/>
                  </a:solidFill>
                  <a:effectLst/>
                  <a:latin typeface="Cambria Math" panose="02040503050406030204" pitchFamily="18" charset="0"/>
                  <a:ea typeface="+mn-ea"/>
                  <a:cs typeface="+mn-cs"/>
                </a:rPr>
                <a:t>∑</a:t>
              </a:r>
              <a:r>
                <a:rPr lang="en-IN" sz="1100" i="0">
                  <a:solidFill>
                    <a:schemeClr val="accent1"/>
                  </a:solidFill>
                  <a:effectLst/>
                  <a:latin typeface="Cambria Math" panose="02040503050406030204" pitchFamily="18" charset="0"/>
                  <a:ea typeface="+mn-ea"/>
                  <a:cs typeface="+mn-cs"/>
                </a:rPr>
                <a:t>〖</a:t>
              </a:r>
              <a:r>
                <a:rPr lang="en-US" sz="1100" i="0">
                  <a:solidFill>
                    <a:schemeClr val="accent1"/>
                  </a:solidFill>
                  <a:effectLst/>
                  <a:latin typeface="Cambria Math" panose="02040503050406030204" pitchFamily="18" charset="0"/>
                  <a:ea typeface="+mn-ea"/>
                  <a:cs typeface="+mn-cs"/>
                </a:rPr>
                <a:t>(x</a:t>
              </a:r>
              <a:r>
                <a:rPr lang="en-IN" sz="1100" i="0">
                  <a:solidFill>
                    <a:schemeClr val="accent1"/>
                  </a:solidFill>
                  <a:effectLst/>
                  <a:latin typeface="Cambria Math" panose="02040503050406030204" pitchFamily="18" charset="0"/>
                  <a:ea typeface="+mn-ea"/>
                  <a:cs typeface="+mn-cs"/>
                </a:rPr>
                <a:t>〗_</a:t>
              </a:r>
              <a:r>
                <a:rPr lang="en-US" sz="1100" i="0">
                  <a:solidFill>
                    <a:schemeClr val="accent1"/>
                  </a:solidFill>
                  <a:effectLst/>
                  <a:latin typeface="Cambria Math" panose="02040503050406030204" pitchFamily="18" charset="0"/>
                  <a:ea typeface="+mn-ea"/>
                  <a:cs typeface="+mn-cs"/>
                </a:rPr>
                <a:t>i∗y</a:t>
              </a:r>
              <a:r>
                <a:rPr lang="en-IN" sz="1100" i="0">
                  <a:solidFill>
                    <a:schemeClr val="accent1"/>
                  </a:solidFill>
                  <a:effectLst/>
                  <a:latin typeface="Cambria Math" panose="02040503050406030204" pitchFamily="18" charset="0"/>
                  <a:ea typeface="+mn-ea"/>
                  <a:cs typeface="+mn-cs"/>
                </a:rPr>
                <a:t>_</a:t>
              </a:r>
              <a:r>
                <a:rPr lang="en-US" sz="1100" i="0">
                  <a:solidFill>
                    <a:schemeClr val="accent1"/>
                  </a:solidFill>
                  <a:effectLst/>
                  <a:latin typeface="Cambria Math" panose="02040503050406030204" pitchFamily="18" charset="0"/>
                  <a:ea typeface="+mn-ea"/>
                  <a:cs typeface="+mn-cs"/>
                </a:rPr>
                <a:t>i)</a:t>
              </a:r>
              <a:r>
                <a:rPr lang="en-IN" sz="1100" i="0">
                  <a:solidFill>
                    <a:schemeClr val="tx1"/>
                  </a:solidFill>
                  <a:effectLst/>
                  <a:latin typeface="Cambria Math" panose="02040503050406030204" pitchFamily="18" charset="0"/>
                  <a:ea typeface="+mn-ea"/>
                  <a:cs typeface="+mn-cs"/>
                </a:rPr>
                <a:t>)/(√(</a:t>
              </a:r>
              <a:r>
                <a:rPr lang="en-US" sz="1100" i="0">
                  <a:solidFill>
                    <a:srgbClr val="C00000"/>
                  </a:solidFill>
                  <a:effectLst/>
                  <a:latin typeface="Cambria Math" panose="02040503050406030204" pitchFamily="18" charset="0"/>
                  <a:ea typeface="+mn-ea"/>
                  <a:cs typeface="+mn-cs"/>
                </a:rPr>
                <a:t>(x</a:t>
              </a:r>
              <a:r>
                <a:rPr lang="en-IN" sz="1100" i="0">
                  <a:solidFill>
                    <a:srgbClr val="C00000"/>
                  </a:solidFill>
                  <a:effectLst/>
                  <a:latin typeface="Cambria Math" panose="02040503050406030204" pitchFamily="18" charset="0"/>
                  <a:ea typeface="+mn-ea"/>
                  <a:cs typeface="+mn-cs"/>
                </a:rPr>
                <a:t>_</a:t>
              </a:r>
              <a:r>
                <a:rPr lang="en-US" sz="1100" i="0">
                  <a:solidFill>
                    <a:srgbClr val="C00000"/>
                  </a:solidFill>
                  <a:effectLst/>
                  <a:latin typeface="Cambria Math" panose="02040503050406030204" pitchFamily="18" charset="0"/>
                  <a:ea typeface="+mn-ea"/>
                  <a:cs typeface="+mn-cs"/>
                </a:rPr>
                <a:t>0^2+x</a:t>
              </a:r>
              <a:r>
                <a:rPr lang="en-IN" sz="1100" i="0">
                  <a:solidFill>
                    <a:srgbClr val="C00000"/>
                  </a:solidFill>
                  <a:effectLst/>
                  <a:latin typeface="Cambria Math" panose="02040503050406030204" pitchFamily="18" charset="0"/>
                  <a:ea typeface="+mn-ea"/>
                  <a:cs typeface="+mn-cs"/>
                </a:rPr>
                <a:t>_</a:t>
              </a:r>
              <a:r>
                <a:rPr lang="en-US" sz="1100" i="0">
                  <a:solidFill>
                    <a:srgbClr val="C00000"/>
                  </a:solidFill>
                  <a:effectLst/>
                  <a:latin typeface="Cambria Math" panose="02040503050406030204" pitchFamily="18" charset="0"/>
                  <a:ea typeface="+mn-ea"/>
                  <a:cs typeface="+mn-cs"/>
                </a:rPr>
                <a:t>1^2+…+x</a:t>
              </a:r>
              <a:r>
                <a:rPr lang="en-IN" sz="1100" i="0">
                  <a:solidFill>
                    <a:srgbClr val="C00000"/>
                  </a:solidFill>
                  <a:effectLst/>
                  <a:latin typeface="Cambria Math" panose="02040503050406030204" pitchFamily="18" charset="0"/>
                  <a:ea typeface="+mn-ea"/>
                  <a:cs typeface="+mn-cs"/>
                </a:rPr>
                <a:t>_</a:t>
              </a:r>
              <a:r>
                <a:rPr lang="en-US" sz="1100" i="0">
                  <a:solidFill>
                    <a:srgbClr val="C00000"/>
                  </a:solidFill>
                  <a:effectLst/>
                  <a:latin typeface="Cambria Math" panose="02040503050406030204" pitchFamily="18" charset="0"/>
                  <a:ea typeface="+mn-ea"/>
                  <a:cs typeface="+mn-cs"/>
                </a:rPr>
                <a:t>n^2)</a:t>
              </a:r>
              <a:r>
                <a:rPr lang="en-US" sz="1100" i="0">
                  <a:solidFill>
                    <a:schemeClr val="tx1"/>
                  </a:solidFill>
                  <a:effectLst/>
                  <a:latin typeface="Cambria Math" panose="02040503050406030204" pitchFamily="18" charset="0"/>
                  <a:ea typeface="+mn-ea"/>
                  <a:cs typeface="+mn-cs"/>
                </a:rPr>
                <a:t>∗</a:t>
              </a:r>
              <a:r>
                <a:rPr lang="en-US" sz="1100" i="0">
                  <a:solidFill>
                    <a:schemeClr val="accent6"/>
                  </a:solidFill>
                  <a:effectLst/>
                  <a:latin typeface="Cambria Math" panose="02040503050406030204" pitchFamily="18" charset="0"/>
                  <a:ea typeface="+mn-ea"/>
                  <a:cs typeface="+mn-cs"/>
                </a:rPr>
                <a:t>(y</a:t>
              </a:r>
              <a:r>
                <a:rPr lang="en-IN" sz="1100" i="0">
                  <a:solidFill>
                    <a:schemeClr val="accent6"/>
                  </a:solidFill>
                  <a:effectLst/>
                  <a:latin typeface="Cambria Math" panose="02040503050406030204" pitchFamily="18" charset="0"/>
                  <a:ea typeface="+mn-ea"/>
                  <a:cs typeface="+mn-cs"/>
                </a:rPr>
                <a:t>_</a:t>
              </a:r>
              <a:r>
                <a:rPr lang="en-US" sz="1100" i="0">
                  <a:solidFill>
                    <a:schemeClr val="accent6"/>
                  </a:solidFill>
                  <a:effectLst/>
                  <a:latin typeface="Cambria Math" panose="02040503050406030204" pitchFamily="18" charset="0"/>
                  <a:ea typeface="+mn-ea"/>
                  <a:cs typeface="+mn-cs"/>
                </a:rPr>
                <a:t>0^2+y</a:t>
              </a:r>
              <a:r>
                <a:rPr lang="en-IN" sz="1100" i="0">
                  <a:solidFill>
                    <a:schemeClr val="accent6"/>
                  </a:solidFill>
                  <a:effectLst/>
                  <a:latin typeface="Cambria Math" panose="02040503050406030204" pitchFamily="18" charset="0"/>
                  <a:ea typeface="+mn-ea"/>
                  <a:cs typeface="+mn-cs"/>
                </a:rPr>
                <a:t>_</a:t>
              </a:r>
              <a:r>
                <a:rPr lang="en-US" sz="1100" i="0">
                  <a:solidFill>
                    <a:schemeClr val="accent6"/>
                  </a:solidFill>
                  <a:effectLst/>
                  <a:latin typeface="Cambria Math" panose="02040503050406030204" pitchFamily="18" charset="0"/>
                  <a:ea typeface="+mn-ea"/>
                  <a:cs typeface="+mn-cs"/>
                </a:rPr>
                <a:t>1^2+…+y</a:t>
              </a:r>
              <a:r>
                <a:rPr lang="en-IN" sz="1100" i="0">
                  <a:solidFill>
                    <a:schemeClr val="accent6"/>
                  </a:solidFill>
                  <a:effectLst/>
                  <a:latin typeface="Cambria Math" panose="02040503050406030204" pitchFamily="18" charset="0"/>
                  <a:ea typeface="+mn-ea"/>
                  <a:cs typeface="+mn-cs"/>
                </a:rPr>
                <a:t>_</a:t>
              </a:r>
              <a:r>
                <a:rPr lang="en-US" sz="1100" i="0">
                  <a:solidFill>
                    <a:schemeClr val="accent6"/>
                  </a:solidFill>
                  <a:effectLst/>
                  <a:latin typeface="Cambria Math" panose="02040503050406030204" pitchFamily="18" charset="0"/>
                  <a:ea typeface="+mn-ea"/>
                  <a:cs typeface="+mn-cs"/>
                </a:rPr>
                <a:t>n^2</a:t>
              </a:r>
              <a:r>
                <a:rPr lang="en-US" sz="1100" i="0">
                  <a:solidFill>
                    <a:schemeClr val="tx1"/>
                  </a:solidFill>
                  <a:effectLst/>
                  <a:latin typeface="Cambria Math" panose="02040503050406030204" pitchFamily="18" charset="0"/>
                  <a:ea typeface="+mn-ea"/>
                  <a:cs typeface="+mn-cs"/>
                </a:rPr>
                <a:t> </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en-IN" sz="1100" i="0">
                  <a:solidFill>
                    <a:schemeClr val="tx1"/>
                  </a:solidFill>
                  <a:effectLst/>
                  <a:latin typeface="Cambria Math" panose="02040503050406030204" pitchFamily="18" charset="0"/>
                  <a:ea typeface="+mn-ea"/>
                  <a:cs typeface="+mn-cs"/>
                </a:rPr>
                <a:t>)</a:t>
              </a:r>
              <a:endParaRPr lang="en-IN" sz="1100"/>
            </a:p>
          </xdr:txBody>
        </xdr:sp>
      </mc:Fallback>
    </mc:AlternateContent>
    <xdr:clientData/>
  </xdr:oneCellAnchor>
  <xdr:oneCellAnchor>
    <xdr:from>
      <xdr:col>30</xdr:col>
      <xdr:colOff>95250</xdr:colOff>
      <xdr:row>1</xdr:row>
      <xdr:rowOff>119062</xdr:rowOff>
    </xdr:from>
    <xdr:ext cx="3771353" cy="585225"/>
    <mc:AlternateContent xmlns:mc="http://schemas.openxmlformats.org/markup-compatibility/2006" xmlns:a14="http://schemas.microsoft.com/office/drawing/2010/main">
      <mc:Choice Requires="a14">
        <xdr:sp macro="" textlink="">
          <xdr:nvSpPr>
            <xdr:cNvPr id="5" name="TextBox 4">
              <a:extLst>
                <a:ext uri="{FF2B5EF4-FFF2-40B4-BE49-F238E27FC236}">
                  <a16:creationId xmlns="" xmlns:a16="http://schemas.microsoft.com/office/drawing/2014/main" id="{00000000-0008-0000-0600-000005000000}"/>
                </a:ext>
              </a:extLst>
            </xdr:cNvPr>
            <xdr:cNvSpPr txBox="1"/>
          </xdr:nvSpPr>
          <xdr:spPr>
            <a:xfrm>
              <a:off x="19364325" y="309562"/>
              <a:ext cx="3771353" cy="5852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tx1"/>
                        </a:solidFill>
                        <a:effectLst/>
                        <a:latin typeface="Cambria Math" panose="02040503050406030204" pitchFamily="18" charset="0"/>
                        <a:ea typeface="+mn-ea"/>
                        <a:cs typeface="+mn-cs"/>
                      </a:rPr>
                      <m:t>𝑴𝒊𝒏𝒌𝒐𝒘𝒔𝒌𝒊</m:t>
                    </m:r>
                    <m:r>
                      <a:rPr lang="en-US" sz="1100" b="1" i="1">
                        <a:solidFill>
                          <a:schemeClr val="tx1"/>
                        </a:solidFill>
                        <a:effectLst/>
                        <a:latin typeface="Cambria Math" panose="02040503050406030204" pitchFamily="18" charset="0"/>
                        <a:ea typeface="+mn-ea"/>
                        <a:cs typeface="+mn-cs"/>
                      </a:rPr>
                      <m:t> </m:t>
                    </m:r>
                    <m:r>
                      <a:rPr lang="en-US" sz="1100" b="1" i="1">
                        <a:solidFill>
                          <a:schemeClr val="tx1"/>
                        </a:solidFill>
                        <a:effectLst/>
                        <a:latin typeface="Cambria Math" panose="02040503050406030204" pitchFamily="18" charset="0"/>
                        <a:ea typeface="+mn-ea"/>
                        <a:cs typeface="+mn-cs"/>
                      </a:rPr>
                      <m:t>𝒅𝒊𝒔𝒕𝒂𝒏𝒄𝒆</m:t>
                    </m:r>
                    <m:r>
                      <a:rPr lang="en-US" sz="1100" b="1" i="1">
                        <a:solidFill>
                          <a:schemeClr val="tx1"/>
                        </a:solidFill>
                        <a:effectLst/>
                        <a:latin typeface="Cambria Math" panose="02040503050406030204" pitchFamily="18" charset="0"/>
                        <a:ea typeface="+mn-ea"/>
                        <a:cs typeface="+mn-cs"/>
                      </a:rPr>
                      <m:t> </m:t>
                    </m:r>
                    <m:r>
                      <a:rPr lang="en-US" sz="1100" b="1" i="1">
                        <a:solidFill>
                          <a:schemeClr val="tx1"/>
                        </a:solidFill>
                        <a:effectLst/>
                        <a:latin typeface="Cambria Math" panose="02040503050406030204" pitchFamily="18" charset="0"/>
                        <a:ea typeface="+mn-ea"/>
                        <a:cs typeface="+mn-cs"/>
                      </a:rPr>
                      <m:t>𝒎𝒆𝒕𝒓𝒊𝒄𝒔</m:t>
                    </m:r>
                    <m:r>
                      <a:rPr lang="en-US" sz="1100" b="1" i="1">
                        <a:solidFill>
                          <a:schemeClr val="tx1"/>
                        </a:solidFill>
                        <a:effectLst/>
                        <a:latin typeface="Cambria Math" panose="02040503050406030204" pitchFamily="18" charset="0"/>
                        <a:ea typeface="+mn-ea"/>
                        <a:cs typeface="+mn-cs"/>
                      </a:rPr>
                      <m:t> </m:t>
                    </m:r>
                    <m:r>
                      <a:rPr lang="en-US" sz="1100" i="1">
                        <a:solidFill>
                          <a:schemeClr val="tx1"/>
                        </a:solidFill>
                        <a:effectLst/>
                        <a:latin typeface="Cambria Math" panose="02040503050406030204" pitchFamily="18" charset="0"/>
                        <a:ea typeface="+mn-ea"/>
                        <a:cs typeface="+mn-cs"/>
                      </a:rPr>
                      <m:t>𝑑</m:t>
                    </m:r>
                    <m:d>
                      <m:dPr>
                        <m:ctrlPr>
                          <a:rPr lang="en-IN" sz="1100" i="1">
                            <a:solidFill>
                              <a:schemeClr val="tx1"/>
                            </a:solidFill>
                            <a:effectLst/>
                            <a:latin typeface="Cambria Math" panose="02040503050406030204" pitchFamily="18" charset="0"/>
                            <a:ea typeface="+mn-ea"/>
                            <a:cs typeface="+mn-cs"/>
                          </a:rPr>
                        </m:ctrlPr>
                      </m:dPr>
                      <m:e>
                        <m:r>
                          <a:rPr lang="en-US" sz="1100" i="1">
                            <a:solidFill>
                              <a:schemeClr val="tx1"/>
                            </a:solidFill>
                            <a:effectLst/>
                            <a:latin typeface="Cambria Math" panose="02040503050406030204" pitchFamily="18" charset="0"/>
                            <a:ea typeface="+mn-ea"/>
                            <a:cs typeface="+mn-cs"/>
                          </a:rPr>
                          <m:t>𝑥</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𝑦</m:t>
                        </m:r>
                      </m:e>
                    </m:d>
                    <m:r>
                      <a:rPr lang="en-US" sz="1100" i="1">
                        <a:solidFill>
                          <a:schemeClr val="tx1"/>
                        </a:solidFill>
                        <a:effectLst/>
                        <a:latin typeface="Cambria Math" panose="02040503050406030204" pitchFamily="18" charset="0"/>
                        <a:ea typeface="+mn-ea"/>
                        <a:cs typeface="+mn-cs"/>
                      </a:rPr>
                      <m:t>=</m:t>
                    </m:r>
                    <m:sSup>
                      <m:sSupPr>
                        <m:ctrlPr>
                          <a:rPr lang="en-IN" sz="1100" i="1">
                            <a:solidFill>
                              <a:schemeClr val="tx1"/>
                            </a:solidFill>
                            <a:effectLst/>
                            <a:latin typeface="Cambria Math" panose="02040503050406030204" pitchFamily="18" charset="0"/>
                            <a:ea typeface="+mn-ea"/>
                            <a:cs typeface="+mn-cs"/>
                          </a:rPr>
                        </m:ctrlPr>
                      </m:sSupPr>
                      <m:e>
                        <m:d>
                          <m:dPr>
                            <m:ctrlPr>
                              <a:rPr lang="en-IN" sz="1100" i="1">
                                <a:solidFill>
                                  <a:schemeClr val="tx1"/>
                                </a:solidFill>
                                <a:effectLst/>
                                <a:latin typeface="Cambria Math" panose="02040503050406030204" pitchFamily="18" charset="0"/>
                                <a:ea typeface="+mn-ea"/>
                                <a:cs typeface="+mn-cs"/>
                              </a:rPr>
                            </m:ctrlPr>
                          </m:dPr>
                          <m:e>
                            <m:sSup>
                              <m:sSupPr>
                                <m:ctrlPr>
                                  <a:rPr lang="en-IN" sz="1100" i="1">
                                    <a:solidFill>
                                      <a:schemeClr val="tx1"/>
                                    </a:solidFill>
                                    <a:effectLst/>
                                    <a:latin typeface="Cambria Math" panose="02040503050406030204" pitchFamily="18" charset="0"/>
                                    <a:ea typeface="+mn-ea"/>
                                    <a:cs typeface="+mn-cs"/>
                                  </a:rPr>
                                </m:ctrlPr>
                              </m:sSupPr>
                              <m:e>
                                <m:nary>
                                  <m:naryPr>
                                    <m:chr m:val="∑"/>
                                    <m:limLoc m:val="undOvr"/>
                                    <m:grow m:val="on"/>
                                    <m:ctrlPr>
                                      <a:rPr lang="en-IN" sz="1100" i="1">
                                        <a:solidFill>
                                          <a:schemeClr val="tx1"/>
                                        </a:solidFill>
                                        <a:effectLst/>
                                        <a:latin typeface="Cambria Math" panose="02040503050406030204" pitchFamily="18" charset="0"/>
                                        <a:ea typeface="+mn-ea"/>
                                        <a:cs typeface="+mn-cs"/>
                                      </a:rPr>
                                    </m:ctrlPr>
                                  </m:naryPr>
                                  <m:sub>
                                    <m:r>
                                      <a:rPr lang="en-US" sz="1100" i="1">
                                        <a:solidFill>
                                          <a:schemeClr val="tx1"/>
                                        </a:solidFill>
                                        <a:effectLst/>
                                        <a:latin typeface="Cambria Math" panose="02040503050406030204" pitchFamily="18" charset="0"/>
                                        <a:ea typeface="+mn-ea"/>
                                        <a:cs typeface="+mn-cs"/>
                                      </a:rPr>
                                      <m:t>𝑘</m:t>
                                    </m:r>
                                    <m:r>
                                      <a:rPr lang="en-US" sz="1100" i="1">
                                        <a:solidFill>
                                          <a:schemeClr val="tx1"/>
                                        </a:solidFill>
                                        <a:effectLst/>
                                        <a:latin typeface="Cambria Math" panose="02040503050406030204" pitchFamily="18" charset="0"/>
                                        <a:ea typeface="+mn-ea"/>
                                        <a:cs typeface="+mn-cs"/>
                                      </a:rPr>
                                      <m:t>=1</m:t>
                                    </m:r>
                                  </m:sub>
                                  <m:sup>
                                    <m:r>
                                      <a:rPr lang="en-US" sz="1100" i="1">
                                        <a:solidFill>
                                          <a:schemeClr val="tx1"/>
                                        </a:solidFill>
                                        <a:effectLst/>
                                        <a:latin typeface="Cambria Math" panose="02040503050406030204" pitchFamily="18" charset="0"/>
                                        <a:ea typeface="+mn-ea"/>
                                        <a:cs typeface="+mn-cs"/>
                                      </a:rPr>
                                      <m:t>𝑛</m:t>
                                    </m:r>
                                  </m:sup>
                                  <m:e>
                                    <m:d>
                                      <m:dPr>
                                        <m:begChr m:val="|"/>
                                        <m:endChr m:val="|"/>
                                        <m:ctrlPr>
                                          <a:rPr lang="en-IN" sz="1100" i="1">
                                            <a:solidFill>
                                              <a:schemeClr val="tx1"/>
                                            </a:solidFill>
                                            <a:effectLst/>
                                            <a:latin typeface="Cambria Math" panose="02040503050406030204" pitchFamily="18" charset="0"/>
                                            <a:ea typeface="+mn-ea"/>
                                            <a:cs typeface="+mn-cs"/>
                                          </a:rPr>
                                        </m:ctrlPr>
                                      </m:dPr>
                                      <m:e>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𝑥</m:t>
                                            </m:r>
                                          </m:e>
                                          <m:sub>
                                            <m:r>
                                              <a:rPr lang="en-US" sz="1100" i="1">
                                                <a:solidFill>
                                                  <a:schemeClr val="tx1"/>
                                                </a:solidFill>
                                                <a:effectLst/>
                                                <a:latin typeface="Cambria Math" panose="02040503050406030204" pitchFamily="18" charset="0"/>
                                                <a:ea typeface="+mn-ea"/>
                                                <a:cs typeface="+mn-cs"/>
                                              </a:rPr>
                                              <m:t>𝑘</m:t>
                                            </m:r>
                                          </m:sub>
                                        </m:sSub>
                                        <m:r>
                                          <a:rPr lang="en-US" sz="1100" i="1">
                                            <a:solidFill>
                                              <a:schemeClr val="tx1"/>
                                            </a:solidFill>
                                            <a:effectLst/>
                                            <a:latin typeface="Cambria Math" panose="02040503050406030204" pitchFamily="18" charset="0"/>
                                            <a:ea typeface="+mn-ea"/>
                                            <a:cs typeface="+mn-cs"/>
                                          </a:rPr>
                                          <m:t>−</m:t>
                                        </m:r>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𝑦</m:t>
                                            </m:r>
                                          </m:e>
                                          <m:sub>
                                            <m:r>
                                              <a:rPr lang="en-US" sz="1100" i="1">
                                                <a:solidFill>
                                                  <a:schemeClr val="tx1"/>
                                                </a:solidFill>
                                                <a:effectLst/>
                                                <a:latin typeface="Cambria Math" panose="02040503050406030204" pitchFamily="18" charset="0"/>
                                                <a:ea typeface="+mn-ea"/>
                                                <a:cs typeface="+mn-cs"/>
                                              </a:rPr>
                                              <m:t>𝑘</m:t>
                                            </m:r>
                                          </m:sub>
                                        </m:sSub>
                                      </m:e>
                                    </m:d>
                                  </m:e>
                                </m:nary>
                              </m:e>
                              <m:sup>
                                <m:r>
                                  <a:rPr lang="en-US" sz="1100" i="1">
                                    <a:solidFill>
                                      <a:schemeClr val="tx1"/>
                                    </a:solidFill>
                                    <a:effectLst/>
                                    <a:latin typeface="Cambria Math" panose="02040503050406030204" pitchFamily="18" charset="0"/>
                                    <a:ea typeface="+mn-ea"/>
                                    <a:cs typeface="+mn-cs"/>
                                  </a:rPr>
                                  <m:t>𝑟</m:t>
                                </m:r>
                              </m:sup>
                            </m:sSup>
                          </m:e>
                        </m:d>
                      </m:e>
                      <m:sup>
                        <m:r>
                          <a:rPr lang="en-US" sz="1100" i="1">
                            <a:solidFill>
                              <a:schemeClr val="tx1"/>
                            </a:solidFill>
                            <a:effectLst/>
                            <a:latin typeface="Cambria Math" panose="02040503050406030204" pitchFamily="18" charset="0"/>
                            <a:ea typeface="+mn-ea"/>
                            <a:cs typeface="+mn-cs"/>
                          </a:rPr>
                          <m:t>1∕</m:t>
                        </m:r>
                        <m:r>
                          <a:rPr lang="en-US" sz="1100" i="1">
                            <a:solidFill>
                              <a:schemeClr val="tx1"/>
                            </a:solidFill>
                            <a:effectLst/>
                            <a:latin typeface="Cambria Math" panose="02040503050406030204" pitchFamily="18" charset="0"/>
                            <a:ea typeface="+mn-ea"/>
                            <a:cs typeface="+mn-cs"/>
                          </a:rPr>
                          <m:t>𝑟</m:t>
                        </m:r>
                      </m:sup>
                    </m:sSup>
                  </m:oMath>
                </m:oMathPara>
              </a14:m>
              <a:endParaRPr lang="en-IN" sz="1100" i="1">
                <a:solidFill>
                  <a:schemeClr val="tx1"/>
                </a:solidFill>
                <a:effectLst/>
                <a:latin typeface="+mn-lt"/>
                <a:ea typeface="+mn-ea"/>
                <a:cs typeface="+mn-cs"/>
              </a:endParaRPr>
            </a:p>
          </xdr:txBody>
        </xdr:sp>
      </mc:Choice>
      <mc:Fallback xmlns="">
        <xdr:sp macro="" textlink="">
          <xdr:nvSpPr>
            <xdr:cNvPr id="5" name="TextBox 4">
              <a:extLst>
                <a:ext uri="{FF2B5EF4-FFF2-40B4-BE49-F238E27FC236}">
                  <a16:creationId xmlns:a16="http://schemas.microsoft.com/office/drawing/2014/main" id="{C0711FB3-4A7E-4B5A-B5EA-FD6B972DE845}"/>
                </a:ext>
              </a:extLst>
            </xdr:cNvPr>
            <xdr:cNvSpPr txBox="1"/>
          </xdr:nvSpPr>
          <xdr:spPr>
            <a:xfrm>
              <a:off x="19364325" y="309562"/>
              <a:ext cx="3771353" cy="5852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1" i="0">
                  <a:solidFill>
                    <a:schemeClr val="tx1"/>
                  </a:solidFill>
                  <a:effectLst/>
                  <a:latin typeface="Cambria Math" panose="02040503050406030204" pitchFamily="18" charset="0"/>
                  <a:ea typeface="+mn-ea"/>
                  <a:cs typeface="+mn-cs"/>
                </a:rPr>
                <a:t>𝑴𝒊𝒏𝒌𝒐𝒘𝒔𝒌𝒊 𝒅𝒊𝒔𝒕𝒂𝒏𝒄𝒆 𝒎𝒆𝒕𝒓𝒊𝒄𝒔 </a:t>
              </a:r>
              <a:r>
                <a:rPr lang="en-US" sz="1100" i="0">
                  <a:solidFill>
                    <a:schemeClr val="tx1"/>
                  </a:solidFill>
                  <a:effectLst/>
                  <a:latin typeface="Cambria Math" panose="02040503050406030204" pitchFamily="18" charset="0"/>
                  <a:ea typeface="+mn-ea"/>
                  <a:cs typeface="+mn-cs"/>
                </a:rPr>
                <a:t>𝑑</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𝑥,𝑦)=</a:t>
              </a:r>
              <a:r>
                <a:rPr lang="en-IN" sz="1100" i="0">
                  <a:solidFill>
                    <a:schemeClr val="tx1"/>
                  </a:solidFill>
                  <a:effectLst/>
                  <a:latin typeface="Cambria Math" panose="02040503050406030204" pitchFamily="18" charset="0"/>
                  <a:ea typeface="+mn-ea"/>
                  <a:cs typeface="+mn-cs"/>
                </a:rPr>
                <a:t>(∑129</a:t>
              </a:r>
              <a:r>
                <a:rPr lang="en-US" sz="1100" i="0">
                  <a:solidFill>
                    <a:schemeClr val="tx1"/>
                  </a:solidFill>
                  <a:effectLst/>
                  <a:latin typeface="Cambria Math" panose="02040503050406030204" pitchFamily="18" charset="0"/>
                  <a:ea typeface="+mn-ea"/>
                  <a:cs typeface="+mn-cs"/>
                </a:rPr>
                <a:t>_</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𝑘=1</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^𝑛▒</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𝑥</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𝑘−𝑦</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𝑘 | </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𝑟 )</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1∕𝑟</a:t>
              </a:r>
              <a:r>
                <a:rPr lang="en-IN" sz="1100" i="0">
                  <a:solidFill>
                    <a:schemeClr val="tx1"/>
                  </a:solidFill>
                  <a:effectLst/>
                  <a:latin typeface="Cambria Math" panose="02040503050406030204" pitchFamily="18" charset="0"/>
                  <a:ea typeface="+mn-ea"/>
                  <a:cs typeface="+mn-cs"/>
                </a:rPr>
                <a:t>)</a:t>
              </a:r>
              <a:endParaRPr lang="en-IN" sz="1100" i="1">
                <a:solidFill>
                  <a:schemeClr val="tx1"/>
                </a:solidFill>
                <a:effectLst/>
                <a:latin typeface="+mn-lt"/>
                <a:ea typeface="+mn-ea"/>
                <a:cs typeface="+mn-cs"/>
              </a:endParaRPr>
            </a:p>
          </xdr:txBody>
        </xdr:sp>
      </mc:Fallback>
    </mc:AlternateContent>
    <xdr:clientData/>
  </xdr:oneCellAnchor>
  <xdr:twoCellAnchor editAs="oneCell">
    <xdr:from>
      <xdr:col>11</xdr:col>
      <xdr:colOff>0</xdr:colOff>
      <xdr:row>8</xdr:row>
      <xdr:rowOff>0</xdr:rowOff>
    </xdr:from>
    <xdr:to>
      <xdr:col>11</xdr:col>
      <xdr:colOff>838199</xdr:colOff>
      <xdr:row>12</xdr:row>
      <xdr:rowOff>76199</xdr:rowOff>
    </xdr:to>
    <xdr:pic>
      <xdr:nvPicPr>
        <xdr:cNvPr id="6" name="Picture 5">
          <a:hlinkClick xmlns:r="http://schemas.openxmlformats.org/officeDocument/2006/relationships" r:id="rId1"/>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43725" y="1524000"/>
          <a:ext cx="838199" cy="8381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36</xdr:row>
      <xdr:rowOff>0</xdr:rowOff>
    </xdr:from>
    <xdr:to>
      <xdr:col>5</xdr:col>
      <xdr:colOff>838199</xdr:colOff>
      <xdr:row>40</xdr:row>
      <xdr:rowOff>76199</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53225" y="6858000"/>
          <a:ext cx="838199" cy="838199"/>
        </a:xfrm>
        <a:prstGeom prst="rect">
          <a:avLst/>
        </a:prstGeom>
      </xdr:spPr>
    </xdr:pic>
    <xdr:clientData/>
  </xdr:twoCellAnchor>
  <xdr:twoCellAnchor editAs="oneCell">
    <xdr:from>
      <xdr:col>17</xdr:col>
      <xdr:colOff>447675</xdr:colOff>
      <xdr:row>0</xdr:row>
      <xdr:rowOff>161925</xdr:rowOff>
    </xdr:from>
    <xdr:to>
      <xdr:col>19</xdr:col>
      <xdr:colOff>66674</xdr:colOff>
      <xdr:row>5</xdr:row>
      <xdr:rowOff>47624</xdr:rowOff>
    </xdr:to>
    <xdr:pic>
      <xdr:nvPicPr>
        <xdr:cNvPr id="3" name="Picture 2">
          <a:hlinkClick xmlns:r="http://schemas.openxmlformats.org/officeDocument/2006/relationships" r:id="rId1"/>
          <a:extLst>
            <a:ext uri="{FF2B5EF4-FFF2-40B4-BE49-F238E27FC236}">
              <a16:creationId xmlns=""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106775" y="161925"/>
          <a:ext cx="838199" cy="8381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18</xdr:col>
      <xdr:colOff>109537</xdr:colOff>
      <xdr:row>7</xdr:row>
      <xdr:rowOff>176212</xdr:rowOff>
    </xdr:from>
    <xdr:ext cx="1271502" cy="316882"/>
    <mc:AlternateContent xmlns:mc="http://schemas.openxmlformats.org/markup-compatibility/2006" xmlns:a14="http://schemas.microsoft.com/office/drawing/2010/main">
      <mc:Choice Requires="a14">
        <xdr:sp macro="" textlink="">
          <xdr:nvSpPr>
            <xdr:cNvPr id="3" name="TextBox 2">
              <a:extLst>
                <a:ext uri="{FF2B5EF4-FFF2-40B4-BE49-F238E27FC236}">
                  <a16:creationId xmlns="" xmlns:a16="http://schemas.microsoft.com/office/drawing/2014/main" id="{00000000-0008-0000-0B00-000003000000}"/>
                </a:ext>
              </a:extLst>
            </xdr:cNvPr>
            <xdr:cNvSpPr txBox="1"/>
          </xdr:nvSpPr>
          <xdr:spPr>
            <a:xfrm>
              <a:off x="14892337" y="1509712"/>
              <a:ext cx="1271502"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IN" sz="1100" b="0" i="1">
                            <a:solidFill>
                              <a:srgbClr val="7030A0"/>
                            </a:solidFill>
                            <a:latin typeface="Cambria Math" panose="02040503050406030204" pitchFamily="18" charset="0"/>
                          </a:rPr>
                        </m:ctrlPr>
                      </m:sSubSupPr>
                      <m:e>
                        <m:r>
                          <a:rPr lang="en-IN" sz="1100" b="0" i="1">
                            <a:solidFill>
                              <a:srgbClr val="7030A0"/>
                            </a:solidFill>
                            <a:latin typeface="Cambria Math" panose="02040503050406030204" pitchFamily="18" charset="0"/>
                          </a:rPr>
                          <m:t>𝜎</m:t>
                        </m:r>
                      </m:e>
                      <m:sub>
                        <m:r>
                          <a:rPr lang="en-IN" sz="1100" b="0" i="1">
                            <a:solidFill>
                              <a:srgbClr val="7030A0"/>
                            </a:solidFill>
                            <a:latin typeface="Cambria Math" panose="02040503050406030204" pitchFamily="18" charset="0"/>
                          </a:rPr>
                          <m:t>𝐴</m:t>
                        </m:r>
                      </m:sub>
                      <m:sup>
                        <m:r>
                          <a:rPr lang="en-IN" sz="1100" b="0" i="1">
                            <a:solidFill>
                              <a:srgbClr val="7030A0"/>
                            </a:solidFill>
                            <a:latin typeface="Cambria Math" panose="02040503050406030204" pitchFamily="18" charset="0"/>
                          </a:rPr>
                          <m:t>2</m:t>
                        </m:r>
                      </m:sup>
                    </m:sSubSup>
                    <m:r>
                      <a:rPr lang="en-IN" sz="1100" b="0" i="1">
                        <a:solidFill>
                          <a:srgbClr val="7030A0"/>
                        </a:solidFill>
                        <a:latin typeface="Cambria Math" panose="02040503050406030204" pitchFamily="18" charset="0"/>
                      </a:rPr>
                      <m:t>=</m:t>
                    </m:r>
                    <m:f>
                      <m:fPr>
                        <m:ctrlPr>
                          <a:rPr lang="en-IN" sz="1100" b="0" i="1">
                            <a:solidFill>
                              <a:srgbClr val="7030A0"/>
                            </a:solidFill>
                            <a:latin typeface="Cambria Math" panose="02040503050406030204" pitchFamily="18" charset="0"/>
                          </a:rPr>
                        </m:ctrlPr>
                      </m:fPr>
                      <m:num>
                        <m:r>
                          <a:rPr lang="en-IN" sz="1100" b="0" i="1">
                            <a:solidFill>
                              <a:srgbClr val="7030A0"/>
                            </a:solidFill>
                            <a:latin typeface="Cambria Math" panose="02040503050406030204" pitchFamily="18" charset="0"/>
                          </a:rPr>
                          <m:t>1</m:t>
                        </m:r>
                      </m:num>
                      <m:den>
                        <m:r>
                          <a:rPr lang="en-IN" sz="1100" b="0" i="1">
                            <a:solidFill>
                              <a:srgbClr val="7030A0"/>
                            </a:solidFill>
                            <a:latin typeface="Cambria Math" panose="02040503050406030204" pitchFamily="18" charset="0"/>
                          </a:rPr>
                          <m:t>𝑁</m:t>
                        </m:r>
                      </m:den>
                    </m:f>
                    <m:r>
                      <a:rPr lang="en-IN" sz="1100" b="0" i="1">
                        <a:solidFill>
                          <a:srgbClr val="7030A0"/>
                        </a:solidFill>
                        <a:latin typeface="Cambria Math" panose="02040503050406030204" pitchFamily="18" charset="0"/>
                      </a:rPr>
                      <m:t>∗∑</m:t>
                    </m:r>
                    <m:sSup>
                      <m:sSupPr>
                        <m:ctrlPr>
                          <a:rPr lang="en-IN" sz="1100" b="0" i="1">
                            <a:solidFill>
                              <a:srgbClr val="7030A0"/>
                            </a:solidFill>
                            <a:latin typeface="Cambria Math" panose="02040503050406030204" pitchFamily="18" charset="0"/>
                          </a:rPr>
                        </m:ctrlPr>
                      </m:sSupPr>
                      <m:e>
                        <m:d>
                          <m:dPr>
                            <m:ctrlPr>
                              <a:rPr lang="en-IN" sz="1100" b="0" i="1">
                                <a:solidFill>
                                  <a:srgbClr val="7030A0"/>
                                </a:solidFill>
                                <a:latin typeface="Cambria Math" panose="02040503050406030204" pitchFamily="18" charset="0"/>
                              </a:rPr>
                            </m:ctrlPr>
                          </m:dPr>
                          <m:e>
                            <m:sSub>
                              <m:sSubPr>
                                <m:ctrlPr>
                                  <a:rPr lang="en-IN" sz="1100" b="0" i="1">
                                    <a:solidFill>
                                      <a:srgbClr val="7030A0"/>
                                    </a:solidFill>
                                    <a:latin typeface="Cambria Math" panose="02040503050406030204" pitchFamily="18" charset="0"/>
                                  </a:rPr>
                                </m:ctrlPr>
                              </m:sSubPr>
                              <m:e>
                                <m:r>
                                  <a:rPr lang="en-IN" sz="1100" b="0" i="1">
                                    <a:solidFill>
                                      <a:srgbClr val="7030A0"/>
                                    </a:solidFill>
                                    <a:latin typeface="Cambria Math" panose="02040503050406030204" pitchFamily="18" charset="0"/>
                                  </a:rPr>
                                  <m:t>𝑣</m:t>
                                </m:r>
                              </m:e>
                              <m:sub>
                                <m:r>
                                  <a:rPr lang="en-IN" sz="1100" b="0" i="1">
                                    <a:solidFill>
                                      <a:srgbClr val="7030A0"/>
                                    </a:solidFill>
                                    <a:latin typeface="Cambria Math" panose="02040503050406030204" pitchFamily="18" charset="0"/>
                                  </a:rPr>
                                  <m:t>𝑖</m:t>
                                </m:r>
                              </m:sub>
                            </m:sSub>
                            <m:r>
                              <a:rPr lang="en-IN" sz="1100" b="0" i="1">
                                <a:solidFill>
                                  <a:srgbClr val="7030A0"/>
                                </a:solidFill>
                                <a:latin typeface="Cambria Math" panose="02040503050406030204" pitchFamily="18" charset="0"/>
                              </a:rPr>
                              <m:t>−</m:t>
                            </m:r>
                            <m:r>
                              <a:rPr lang="en-IN" sz="1100" b="0" i="1">
                                <a:solidFill>
                                  <a:srgbClr val="7030A0"/>
                                </a:solidFill>
                                <a:latin typeface="Cambria Math" panose="02040503050406030204" pitchFamily="18" charset="0"/>
                              </a:rPr>
                              <m:t>𝐴</m:t>
                            </m:r>
                          </m:e>
                        </m:d>
                      </m:e>
                      <m:sup>
                        <m:r>
                          <a:rPr lang="en-IN" sz="1100" b="0" i="1">
                            <a:solidFill>
                              <a:srgbClr val="7030A0"/>
                            </a:solidFill>
                            <a:latin typeface="Cambria Math" panose="02040503050406030204" pitchFamily="18" charset="0"/>
                          </a:rPr>
                          <m:t>2</m:t>
                        </m:r>
                      </m:sup>
                    </m:sSup>
                  </m:oMath>
                </m:oMathPara>
              </a14:m>
              <a:endParaRPr lang="en-IN" sz="1100">
                <a:solidFill>
                  <a:srgbClr val="7030A0"/>
                </a:solidFill>
              </a:endParaRPr>
            </a:p>
          </xdr:txBody>
        </xdr:sp>
      </mc:Choice>
      <mc:Fallback xmlns="">
        <xdr:sp macro="" textlink="">
          <xdr:nvSpPr>
            <xdr:cNvPr id="3" name="TextBox 2">
              <a:extLst>
                <a:ext uri="{FF2B5EF4-FFF2-40B4-BE49-F238E27FC236}">
                  <a16:creationId xmlns:a16="http://schemas.microsoft.com/office/drawing/2014/main" id="{BE948EF6-4688-4A2A-98CE-CF9505E68CCF}"/>
                </a:ext>
              </a:extLst>
            </xdr:cNvPr>
            <xdr:cNvSpPr txBox="1"/>
          </xdr:nvSpPr>
          <xdr:spPr>
            <a:xfrm>
              <a:off x="14892337" y="1509712"/>
              <a:ext cx="1271502"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IN" sz="1100" b="0" i="0">
                  <a:solidFill>
                    <a:srgbClr val="7030A0"/>
                  </a:solidFill>
                  <a:latin typeface="Cambria Math" panose="02040503050406030204" pitchFamily="18" charset="0"/>
                </a:rPr>
                <a:t>𝜎_𝐴^2=1/𝑁∗∑(𝑣_𝑖−𝐴)^2</a:t>
              </a:r>
              <a:endParaRPr lang="en-IN" sz="1100">
                <a:solidFill>
                  <a:srgbClr val="7030A0"/>
                </a:solidFill>
              </a:endParaRPr>
            </a:p>
          </xdr:txBody>
        </xdr:sp>
      </mc:Fallback>
    </mc:AlternateContent>
    <xdr:clientData/>
  </xdr:oneCellAnchor>
  <xdr:twoCellAnchor editAs="oneCell">
    <xdr:from>
      <xdr:col>4</xdr:col>
      <xdr:colOff>0</xdr:colOff>
      <xdr:row>30</xdr:row>
      <xdr:rowOff>0</xdr:rowOff>
    </xdr:from>
    <xdr:to>
      <xdr:col>4</xdr:col>
      <xdr:colOff>838199</xdr:colOff>
      <xdr:row>34</xdr:row>
      <xdr:rowOff>76199</xdr:rowOff>
    </xdr:to>
    <xdr:pic>
      <xdr:nvPicPr>
        <xdr:cNvPr id="4" name="Picture 3">
          <a:hlinkClick xmlns:r="http://schemas.openxmlformats.org/officeDocument/2006/relationships" r:id="rId1"/>
          <a:extLst>
            <a:ext uri="{FF2B5EF4-FFF2-40B4-BE49-F238E27FC236}">
              <a16:creationId xmlns="" xmlns:a16="http://schemas.microsoft.com/office/drawing/2014/main" id="{00000000-0008-0000-0B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10100" y="5715000"/>
          <a:ext cx="838199" cy="838199"/>
        </a:xfrm>
        <a:prstGeom prst="rect">
          <a:avLst/>
        </a:prstGeom>
      </xdr:spPr>
    </xdr:pic>
    <xdr:clientData/>
  </xdr:twoCellAnchor>
  <xdr:twoCellAnchor editAs="oneCell">
    <xdr:from>
      <xdr:col>7</xdr:col>
      <xdr:colOff>533400</xdr:colOff>
      <xdr:row>0</xdr:row>
      <xdr:rowOff>133350</xdr:rowOff>
    </xdr:from>
    <xdr:to>
      <xdr:col>15</xdr:col>
      <xdr:colOff>152399</xdr:colOff>
      <xdr:row>5</xdr:row>
      <xdr:rowOff>19049</xdr:rowOff>
    </xdr:to>
    <xdr:pic>
      <xdr:nvPicPr>
        <xdr:cNvPr id="5" name="Picture 4">
          <a:hlinkClick xmlns:r="http://schemas.openxmlformats.org/officeDocument/2006/relationships" r:id="rId1"/>
          <a:extLst>
            <a:ext uri="{FF2B5EF4-FFF2-40B4-BE49-F238E27FC236}">
              <a16:creationId xmlns="" xmlns:a16="http://schemas.microsoft.com/office/drawing/2014/main" id="{00000000-0008-0000-0B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05675" y="133350"/>
          <a:ext cx="838199" cy="83819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0</xdr:col>
      <xdr:colOff>0</xdr:colOff>
      <xdr:row>15</xdr:row>
      <xdr:rowOff>76200</xdr:rowOff>
    </xdr:from>
    <xdr:ext cx="4134978" cy="515654"/>
    <mc:AlternateContent xmlns:mc="http://schemas.openxmlformats.org/markup-compatibility/2006" xmlns:a14="http://schemas.microsoft.com/office/drawing/2010/main">
      <mc:Choice Requires="a14">
        <xdr:sp macro="" textlink="">
          <xdr:nvSpPr>
            <xdr:cNvPr id="2" name="TextBox 1">
              <a:extLst>
                <a:ext uri="{FF2B5EF4-FFF2-40B4-BE49-F238E27FC236}">
                  <a16:creationId xmlns="" xmlns:a16="http://schemas.microsoft.com/office/drawing/2014/main" id="{00000000-0008-0000-0A00-000002000000}"/>
                </a:ext>
              </a:extLst>
            </xdr:cNvPr>
            <xdr:cNvSpPr txBox="1"/>
          </xdr:nvSpPr>
          <xdr:spPr>
            <a:xfrm>
              <a:off x="0" y="2933700"/>
              <a:ext cx="4134978" cy="5156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sSubSup>
                      <m:sSubSupPr>
                        <m:ctrlPr>
                          <a:rPr lang="en-IN" sz="1100" i="1">
                            <a:solidFill>
                              <a:schemeClr val="tx1"/>
                            </a:solidFill>
                            <a:effectLst/>
                            <a:latin typeface="Cambria Math" panose="02040503050406030204" pitchFamily="18" charset="0"/>
                            <a:ea typeface="+mn-ea"/>
                            <a:cs typeface="+mn-cs"/>
                          </a:rPr>
                        </m:ctrlPr>
                      </m:sSubSupPr>
                      <m:e>
                        <m:r>
                          <a:rPr lang="en-US" sz="1100" i="1">
                            <a:solidFill>
                              <a:schemeClr val="tx1"/>
                            </a:solidFill>
                            <a:effectLst/>
                            <a:latin typeface="Cambria Math" panose="02040503050406030204" pitchFamily="18" charset="0"/>
                            <a:ea typeface="+mn-ea"/>
                            <a:cs typeface="+mn-cs"/>
                          </a:rPr>
                          <m:t>𝑣</m:t>
                        </m:r>
                      </m:e>
                      <m:sub>
                        <m:r>
                          <a:rPr lang="en-US" sz="1100" i="1">
                            <a:solidFill>
                              <a:schemeClr val="tx1"/>
                            </a:solidFill>
                            <a:effectLst/>
                            <a:latin typeface="Cambria Math" panose="02040503050406030204" pitchFamily="18" charset="0"/>
                            <a:ea typeface="+mn-ea"/>
                            <a:cs typeface="+mn-cs"/>
                          </a:rPr>
                          <m:t>𝑖</m:t>
                        </m:r>
                      </m:sub>
                      <m:sup>
                        <m:r>
                          <a:rPr lang="en-US" sz="1100" i="1">
                            <a:solidFill>
                              <a:schemeClr val="tx1"/>
                            </a:solidFill>
                            <a:effectLst/>
                            <a:latin typeface="Cambria Math" panose="02040503050406030204" pitchFamily="18" charset="0"/>
                            <a:ea typeface="+mn-ea"/>
                            <a:cs typeface="+mn-cs"/>
                          </a:rPr>
                          <m:t>′</m:t>
                        </m:r>
                      </m:sup>
                    </m:sSubSup>
                    <m:r>
                      <a:rPr lang="en-US" sz="1100" i="1">
                        <a:solidFill>
                          <a:schemeClr val="tx1"/>
                        </a:solidFill>
                        <a:effectLst/>
                        <a:latin typeface="Cambria Math" panose="02040503050406030204" pitchFamily="18" charset="0"/>
                        <a:ea typeface="+mn-ea"/>
                        <a:cs typeface="+mn-cs"/>
                      </a:rPr>
                      <m:t>= </m:t>
                    </m:r>
                    <m:f>
                      <m:fPr>
                        <m:ctrlPr>
                          <a:rPr lang="en-IN" sz="1100" i="1">
                            <a:solidFill>
                              <a:schemeClr val="tx1"/>
                            </a:solidFill>
                            <a:effectLst/>
                            <a:latin typeface="Cambria Math" panose="02040503050406030204" pitchFamily="18" charset="0"/>
                            <a:ea typeface="+mn-ea"/>
                            <a:cs typeface="+mn-cs"/>
                          </a:rPr>
                        </m:ctrlPr>
                      </m:fPr>
                      <m:num>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𝑣</m:t>
                            </m:r>
                          </m:e>
                          <m:sub>
                            <m:r>
                              <a:rPr lang="en-US" sz="1100" i="1">
                                <a:solidFill>
                                  <a:schemeClr val="tx1"/>
                                </a:solidFill>
                                <a:effectLst/>
                                <a:latin typeface="Cambria Math" panose="02040503050406030204" pitchFamily="18" charset="0"/>
                                <a:ea typeface="+mn-ea"/>
                                <a:cs typeface="+mn-cs"/>
                              </a:rPr>
                              <m:t>𝑖</m:t>
                            </m:r>
                          </m:sub>
                        </m:sSub>
                        <m:r>
                          <a:rPr lang="en-US" sz="1100" i="1">
                            <a:solidFill>
                              <a:schemeClr val="tx1"/>
                            </a:solidFill>
                            <a:effectLst/>
                            <a:latin typeface="Cambria Math" panose="02040503050406030204" pitchFamily="18" charset="0"/>
                            <a:ea typeface="+mn-ea"/>
                            <a:cs typeface="+mn-cs"/>
                          </a:rPr>
                          <m:t>−</m:t>
                        </m:r>
                        <m:sSub>
                          <m:sSubPr>
                            <m:ctrlPr>
                              <a:rPr lang="en-IN"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min</m:t>
                            </m:r>
                          </m:e>
                          <m:sub>
                            <m:r>
                              <a:rPr lang="en-US" sz="1100" i="1">
                                <a:solidFill>
                                  <a:schemeClr val="tx1"/>
                                </a:solidFill>
                                <a:effectLst/>
                                <a:latin typeface="Cambria Math" panose="02040503050406030204" pitchFamily="18" charset="0"/>
                                <a:ea typeface="+mn-ea"/>
                                <a:cs typeface="+mn-cs"/>
                              </a:rPr>
                              <m:t>𝐴</m:t>
                            </m:r>
                          </m:sub>
                        </m:sSub>
                        <m:r>
                          <a:rPr lang="en-US" sz="1100" i="1">
                            <a:solidFill>
                              <a:schemeClr val="tx1"/>
                            </a:solidFill>
                            <a:effectLst/>
                            <a:latin typeface="Cambria Math" panose="02040503050406030204" pitchFamily="18" charset="0"/>
                            <a:ea typeface="+mn-ea"/>
                            <a:cs typeface="+mn-cs"/>
                          </a:rPr>
                          <m:t> </m:t>
                        </m:r>
                      </m:num>
                      <m:den>
                        <m:func>
                          <m:funcPr>
                            <m:ctrlPr>
                              <a:rPr lang="en-IN" sz="1100" i="1">
                                <a:solidFill>
                                  <a:schemeClr val="tx1"/>
                                </a:solidFill>
                                <a:effectLst/>
                                <a:latin typeface="Cambria Math" panose="02040503050406030204" pitchFamily="18" charset="0"/>
                                <a:ea typeface="+mn-ea"/>
                                <a:cs typeface="+mn-cs"/>
                              </a:rPr>
                            </m:ctrlPr>
                          </m:funcPr>
                          <m:fName>
                            <m:sSub>
                              <m:sSubPr>
                                <m:ctrlPr>
                                  <a:rPr lang="en-IN"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max</m:t>
                                </m:r>
                              </m:e>
                              <m:sub>
                                <m:r>
                                  <a:rPr lang="en-US" sz="1100" i="1">
                                    <a:solidFill>
                                      <a:schemeClr val="tx1"/>
                                    </a:solidFill>
                                    <a:effectLst/>
                                    <a:latin typeface="Cambria Math" panose="02040503050406030204" pitchFamily="18" charset="0"/>
                                    <a:ea typeface="+mn-ea"/>
                                    <a:cs typeface="+mn-cs"/>
                                  </a:rPr>
                                  <m:t>𝐴</m:t>
                                </m:r>
                              </m:sub>
                            </m:sSub>
                          </m:fName>
                          <m:e>
                            <m:r>
                              <a:rPr lang="en-US" sz="1100" i="1">
                                <a:solidFill>
                                  <a:schemeClr val="tx1"/>
                                </a:solidFill>
                                <a:effectLst/>
                                <a:latin typeface="Cambria Math" panose="02040503050406030204" pitchFamily="18" charset="0"/>
                                <a:ea typeface="+mn-ea"/>
                                <a:cs typeface="+mn-cs"/>
                              </a:rPr>
                              <m:t>−</m:t>
                            </m:r>
                            <m:sSub>
                              <m:sSubPr>
                                <m:ctrlPr>
                                  <a:rPr lang="en-IN"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min</m:t>
                                </m:r>
                              </m:e>
                              <m:sub>
                                <m:r>
                                  <a:rPr lang="en-US" sz="1100" i="1">
                                    <a:solidFill>
                                      <a:schemeClr val="tx1"/>
                                    </a:solidFill>
                                    <a:effectLst/>
                                    <a:latin typeface="Cambria Math" panose="02040503050406030204" pitchFamily="18" charset="0"/>
                                    <a:ea typeface="+mn-ea"/>
                                    <a:cs typeface="+mn-cs"/>
                                  </a:rPr>
                                  <m:t>𝐴</m:t>
                                </m:r>
                              </m:sub>
                            </m:sSub>
                          </m:e>
                        </m:func>
                      </m:den>
                    </m:f>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𝑛𝑒𝑤</m:t>
                    </m:r>
                    <m:r>
                      <a:rPr lang="en-US" sz="1100" i="1">
                        <a:solidFill>
                          <a:schemeClr val="tx1"/>
                        </a:solidFill>
                        <a:effectLst/>
                        <a:latin typeface="Cambria Math" panose="02040503050406030204" pitchFamily="18" charset="0"/>
                        <a:ea typeface="+mn-ea"/>
                        <a:cs typeface="+mn-cs"/>
                      </a:rPr>
                      <m:t>_</m:t>
                    </m:r>
                    <m:func>
                      <m:funcPr>
                        <m:ctrlPr>
                          <a:rPr lang="en-IN" sz="1100" i="1">
                            <a:solidFill>
                              <a:schemeClr val="tx1"/>
                            </a:solidFill>
                            <a:effectLst/>
                            <a:latin typeface="Cambria Math" panose="02040503050406030204" pitchFamily="18" charset="0"/>
                            <a:ea typeface="+mn-ea"/>
                            <a:cs typeface="+mn-cs"/>
                          </a:rPr>
                        </m:ctrlPr>
                      </m:funcPr>
                      <m:fName>
                        <m:sSub>
                          <m:sSubPr>
                            <m:ctrlPr>
                              <a:rPr lang="en-IN"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max</m:t>
                            </m:r>
                          </m:e>
                          <m:sub>
                            <m:r>
                              <a:rPr lang="en-US" sz="1100" i="1">
                                <a:solidFill>
                                  <a:schemeClr val="tx1"/>
                                </a:solidFill>
                                <a:effectLst/>
                                <a:latin typeface="Cambria Math" panose="02040503050406030204" pitchFamily="18" charset="0"/>
                                <a:ea typeface="+mn-ea"/>
                                <a:cs typeface="+mn-cs"/>
                              </a:rPr>
                              <m:t>𝐴</m:t>
                            </m:r>
                          </m:sub>
                        </m:sSub>
                      </m:fName>
                      <m:e>
                        <m:r>
                          <a:rPr lang="en-US" sz="1100" i="1">
                            <a:solidFill>
                              <a:schemeClr val="tx1"/>
                            </a:solidFill>
                            <a:effectLst/>
                            <a:latin typeface="Cambria Math" panose="02040503050406030204" pitchFamily="18" charset="0"/>
                            <a:ea typeface="+mn-ea"/>
                            <a:cs typeface="+mn-cs"/>
                          </a:rPr>
                          <m:t>− </m:t>
                        </m:r>
                        <m:r>
                          <a:rPr lang="en-US" sz="1100" i="1">
                            <a:solidFill>
                              <a:schemeClr val="tx1"/>
                            </a:solidFill>
                            <a:effectLst/>
                            <a:latin typeface="Cambria Math" panose="02040503050406030204" pitchFamily="18" charset="0"/>
                            <a:ea typeface="+mn-ea"/>
                            <a:cs typeface="+mn-cs"/>
                          </a:rPr>
                          <m:t>𝑛𝑒𝑤</m:t>
                        </m:r>
                        <m:r>
                          <a:rPr lang="en-US" sz="1100" i="1">
                            <a:solidFill>
                              <a:schemeClr val="tx1"/>
                            </a:solidFill>
                            <a:effectLst/>
                            <a:latin typeface="Cambria Math" panose="02040503050406030204" pitchFamily="18" charset="0"/>
                            <a:ea typeface="+mn-ea"/>
                            <a:cs typeface="+mn-cs"/>
                          </a:rPr>
                          <m:t>_</m:t>
                        </m:r>
                        <m:func>
                          <m:funcPr>
                            <m:ctrlPr>
                              <a:rPr lang="en-IN" sz="1100" i="1">
                                <a:solidFill>
                                  <a:schemeClr val="tx1"/>
                                </a:solidFill>
                                <a:effectLst/>
                                <a:latin typeface="Cambria Math" panose="02040503050406030204" pitchFamily="18" charset="0"/>
                                <a:ea typeface="+mn-ea"/>
                                <a:cs typeface="+mn-cs"/>
                              </a:rPr>
                            </m:ctrlPr>
                          </m:funcPr>
                          <m:fName>
                            <m:func>
                              <m:funcPr>
                                <m:ctrlPr>
                                  <a:rPr lang="en-IN" sz="1100" i="1">
                                    <a:solidFill>
                                      <a:schemeClr val="tx1"/>
                                    </a:solidFill>
                                    <a:effectLst/>
                                    <a:latin typeface="Cambria Math" panose="02040503050406030204" pitchFamily="18" charset="0"/>
                                    <a:ea typeface="+mn-ea"/>
                                    <a:cs typeface="+mn-cs"/>
                                  </a:rPr>
                                </m:ctrlPr>
                              </m:funcPr>
                              <m:fName>
                                <m:sSub>
                                  <m:sSubPr>
                                    <m:ctrlPr>
                                      <a:rPr lang="en-IN"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min</m:t>
                                    </m:r>
                                  </m:e>
                                  <m:sub>
                                    <m:r>
                                      <a:rPr lang="en-US" sz="1100" i="1">
                                        <a:solidFill>
                                          <a:schemeClr val="tx1"/>
                                        </a:solidFill>
                                        <a:effectLst/>
                                        <a:latin typeface="Cambria Math" panose="02040503050406030204" pitchFamily="18" charset="0"/>
                                        <a:ea typeface="+mn-ea"/>
                                        <a:cs typeface="+mn-cs"/>
                                      </a:rPr>
                                      <m:t>𝐴</m:t>
                                    </m:r>
                                  </m:sub>
                                </m:sSub>
                                <m:r>
                                  <a:rPr lang="en-US" sz="1100" i="1">
                                    <a:solidFill>
                                      <a:schemeClr val="tx1"/>
                                    </a:solidFill>
                                    <a:effectLst/>
                                    <a:latin typeface="Cambria Math" panose="02040503050406030204" pitchFamily="18" charset="0"/>
                                    <a:ea typeface="+mn-ea"/>
                                    <a:cs typeface="+mn-cs"/>
                                  </a:rPr>
                                  <m:t>)+ </m:t>
                                </m:r>
                                <m:r>
                                  <a:rPr lang="en-US" sz="1100" i="1">
                                    <a:solidFill>
                                      <a:schemeClr val="tx1"/>
                                    </a:solidFill>
                                    <a:effectLst/>
                                    <a:latin typeface="Cambria Math" panose="02040503050406030204" pitchFamily="18" charset="0"/>
                                    <a:ea typeface="+mn-ea"/>
                                    <a:cs typeface="+mn-cs"/>
                                  </a:rPr>
                                  <m:t>𝑛𝑒𝑤</m:t>
                                </m:r>
                                <m:r>
                                  <a:rPr lang="en-US" sz="1100" i="1">
                                    <a:solidFill>
                                      <a:schemeClr val="tx1"/>
                                    </a:solidFill>
                                    <a:effectLst/>
                                    <a:latin typeface="Cambria Math" panose="02040503050406030204" pitchFamily="18" charset="0"/>
                                    <a:ea typeface="+mn-ea"/>
                                    <a:cs typeface="+mn-cs"/>
                                  </a:rPr>
                                  <m:t>_</m:t>
                                </m:r>
                                <m:r>
                                  <a:rPr lang="en-US" sz="1100" i="1">
                                    <a:solidFill>
                                      <a:schemeClr val="tx1"/>
                                    </a:solidFill>
                                    <a:effectLst/>
                                    <a:latin typeface="Cambria Math" panose="02040503050406030204" pitchFamily="18" charset="0"/>
                                    <a:ea typeface="+mn-ea"/>
                                    <a:cs typeface="+mn-cs"/>
                                  </a:rPr>
                                  <m:t>𝑚𝑖</m:t>
                                </m:r>
                                <m:sSub>
                                  <m:sSubPr>
                                    <m:ctrlPr>
                                      <a:rPr lang="en-IN" sz="1100" i="1">
                                        <a:solidFill>
                                          <a:schemeClr val="tx1"/>
                                        </a:solidFill>
                                        <a:effectLst/>
                                        <a:latin typeface="Cambria Math" panose="02040503050406030204" pitchFamily="18" charset="0"/>
                                        <a:ea typeface="+mn-ea"/>
                                        <a:cs typeface="+mn-cs"/>
                                      </a:rPr>
                                    </m:ctrlPr>
                                  </m:sSubPr>
                                  <m:e>
                                    <m:r>
                                      <a:rPr lang="en-US" sz="1100" i="1">
                                        <a:solidFill>
                                          <a:schemeClr val="tx1"/>
                                        </a:solidFill>
                                        <a:effectLst/>
                                        <a:latin typeface="Cambria Math" panose="02040503050406030204" pitchFamily="18" charset="0"/>
                                        <a:ea typeface="+mn-ea"/>
                                        <a:cs typeface="+mn-cs"/>
                                      </a:rPr>
                                      <m:t>𝑛</m:t>
                                    </m:r>
                                  </m:e>
                                  <m:sub>
                                    <m:r>
                                      <a:rPr lang="en-US" sz="1100" i="1">
                                        <a:solidFill>
                                          <a:schemeClr val="tx1"/>
                                        </a:solidFill>
                                        <a:effectLst/>
                                        <a:latin typeface="Cambria Math" panose="02040503050406030204" pitchFamily="18" charset="0"/>
                                        <a:ea typeface="+mn-ea"/>
                                        <a:cs typeface="+mn-cs"/>
                                      </a:rPr>
                                      <m:t>𝐴</m:t>
                                    </m:r>
                                  </m:sub>
                                </m:sSub>
                              </m:fName>
                              <m:e/>
                            </m:func>
                          </m:fName>
                          <m:e/>
                        </m:func>
                        <m:r>
                          <a:rPr lang="en-US" sz="1100" i="1">
                            <a:solidFill>
                              <a:schemeClr val="tx1"/>
                            </a:solidFill>
                            <a:effectLst/>
                            <a:latin typeface="Cambria Math" panose="02040503050406030204" pitchFamily="18" charset="0"/>
                            <a:ea typeface="+mn-ea"/>
                            <a:cs typeface="+mn-cs"/>
                          </a:rPr>
                          <m:t> </m:t>
                        </m:r>
                      </m:e>
                    </m:func>
                  </m:oMath>
                </m:oMathPara>
              </a14:m>
              <a:endParaRPr lang="en-IN" sz="1100">
                <a:solidFill>
                  <a:schemeClr val="tx1"/>
                </a:solidFill>
                <a:effectLst/>
                <a:latin typeface="+mn-lt"/>
                <a:ea typeface="+mn-ea"/>
                <a:cs typeface="+mn-cs"/>
              </a:endParaRPr>
            </a:p>
            <a:p>
              <a:endParaRPr lang="en-IN" sz="1100"/>
            </a:p>
          </xdr:txBody>
        </xdr:sp>
      </mc:Choice>
      <mc:Fallback xmlns="">
        <xdr:sp macro="" textlink="">
          <xdr:nvSpPr>
            <xdr:cNvPr id="2" name="TextBox 1">
              <a:extLst>
                <a:ext uri="{FF2B5EF4-FFF2-40B4-BE49-F238E27FC236}">
                  <a16:creationId xmlns:a16="http://schemas.microsoft.com/office/drawing/2014/main" id="{64AA7D04-527F-4432-8FA7-C0D517F0473D}"/>
                </a:ext>
              </a:extLst>
            </xdr:cNvPr>
            <xdr:cNvSpPr txBox="1"/>
          </xdr:nvSpPr>
          <xdr:spPr>
            <a:xfrm>
              <a:off x="0" y="2933700"/>
              <a:ext cx="4134978" cy="5156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i="0">
                  <a:solidFill>
                    <a:schemeClr val="tx1"/>
                  </a:solidFill>
                  <a:effectLst/>
                  <a:latin typeface="Cambria Math" panose="02040503050406030204" pitchFamily="18" charset="0"/>
                  <a:ea typeface="+mn-ea"/>
                  <a:cs typeface="+mn-cs"/>
                </a:rPr>
                <a:t>𝑣</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𝑖^′= </a:t>
              </a:r>
              <a:r>
                <a:rPr lang="en-IN" sz="1100" i="0">
                  <a:solidFill>
                    <a:schemeClr val="tx1"/>
                  </a:solidFill>
                  <a:effectLst/>
                  <a:latin typeface="Cambria Math" panose="02040503050406030204" pitchFamily="18" charset="0"/>
                  <a:ea typeface="+mn-ea"/>
                  <a:cs typeface="+mn-cs"/>
                </a:rPr>
                <a:t> (</a:t>
              </a:r>
              <a:r>
                <a:rPr lang="en-US" sz="1100" i="0">
                  <a:solidFill>
                    <a:schemeClr val="tx1"/>
                  </a:solidFill>
                  <a:effectLst/>
                  <a:latin typeface="Cambria Math" panose="02040503050406030204" pitchFamily="18" charset="0"/>
                  <a:ea typeface="+mn-ea"/>
                  <a:cs typeface="+mn-cs"/>
                </a:rPr>
                <a:t>𝑣</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𝑖−min</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𝐴  </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max</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𝐴</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−min</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𝐴 </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 (𝑛𝑒𝑤_max</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𝐴</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 𝑛𝑒𝑤_</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min</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𝐴)+ 𝑛𝑒𝑤_𝑚𝑖𝑛</a:t>
              </a:r>
              <a:r>
                <a:rPr lang="en-IN"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𝐴</a:t>
              </a:r>
              <a:r>
                <a:rPr lang="en-IN"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  </a:t>
              </a:r>
              <a:r>
                <a:rPr lang="en-IN" sz="1100" i="0">
                  <a:solidFill>
                    <a:schemeClr val="tx1"/>
                  </a:solidFill>
                  <a:effectLst/>
                  <a:latin typeface="Cambria Math" panose="02040503050406030204" pitchFamily="18" charset="0"/>
                  <a:ea typeface="+mn-ea"/>
                  <a:cs typeface="+mn-cs"/>
                </a:rPr>
                <a:t>〗</a:t>
              </a:r>
              <a:endParaRPr lang="en-IN" sz="1100">
                <a:solidFill>
                  <a:schemeClr val="tx1"/>
                </a:solidFill>
                <a:effectLst/>
                <a:latin typeface="+mn-lt"/>
                <a:ea typeface="+mn-ea"/>
                <a:cs typeface="+mn-cs"/>
              </a:endParaRPr>
            </a:p>
            <a:p>
              <a:endParaRPr lang="en-IN" sz="1100"/>
            </a:p>
          </xdr:txBody>
        </xdr:sp>
      </mc:Fallback>
    </mc:AlternateContent>
    <xdr:clientData/>
  </xdr:oneCellAnchor>
  <xdr:twoCellAnchor editAs="oneCell">
    <xdr:from>
      <xdr:col>13</xdr:col>
      <xdr:colOff>152400</xdr:colOff>
      <xdr:row>15</xdr:row>
      <xdr:rowOff>161925</xdr:rowOff>
    </xdr:from>
    <xdr:to>
      <xdr:col>14</xdr:col>
      <xdr:colOff>380999</xdr:colOff>
      <xdr:row>20</xdr:row>
      <xdr:rowOff>47624</xdr:rowOff>
    </xdr:to>
    <xdr:pic>
      <xdr:nvPicPr>
        <xdr:cNvPr id="3" name="Picture 2">
          <a:hlinkClick xmlns:r="http://schemas.openxmlformats.org/officeDocument/2006/relationships" r:id="rId1"/>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515850" y="3019425"/>
          <a:ext cx="838199" cy="83819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127186</xdr:colOff>
      <xdr:row>0</xdr:row>
      <xdr:rowOff>0</xdr:rowOff>
    </xdr:from>
    <xdr:to>
      <xdr:col>21</xdr:col>
      <xdr:colOff>345320</xdr:colOff>
      <xdr:row>19</xdr:row>
      <xdr:rowOff>9071</xdr:rowOff>
    </xdr:to>
    <xdr:pic>
      <xdr:nvPicPr>
        <xdr:cNvPr id="2" name="Picture 1">
          <a:extLst>
            <a:ext uri="{FF2B5EF4-FFF2-40B4-BE49-F238E27FC236}">
              <a16:creationId xmlns=""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7500657" y="0"/>
          <a:ext cx="7479545" cy="3628571"/>
        </a:xfrm>
        <a:prstGeom prst="rect">
          <a:avLst/>
        </a:prstGeom>
      </xdr:spPr>
    </xdr:pic>
    <xdr:clientData/>
  </xdr:twoCellAnchor>
  <xdr:twoCellAnchor editAs="oneCell">
    <xdr:from>
      <xdr:col>1</xdr:col>
      <xdr:colOff>290233</xdr:colOff>
      <xdr:row>26</xdr:row>
      <xdr:rowOff>57150</xdr:rowOff>
    </xdr:from>
    <xdr:to>
      <xdr:col>7</xdr:col>
      <xdr:colOff>101975</xdr:colOff>
      <xdr:row>39</xdr:row>
      <xdr:rowOff>45720</xdr:rowOff>
    </xdr:to>
    <xdr:pic>
      <xdr:nvPicPr>
        <xdr:cNvPr id="3" name="Picture 2" descr="What does a box plot tell you? | Simply Psychology">
          <a:extLst>
            <a:ext uri="{FF2B5EF4-FFF2-40B4-BE49-F238E27FC236}">
              <a16:creationId xmlns="" xmlns:a16="http://schemas.microsoft.com/office/drawing/2014/main" id="{00000000-0008-0000-0C00-000003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5351" y="5010150"/>
          <a:ext cx="5369859" cy="2465070"/>
        </a:xfrm>
        <a:prstGeom prst="rect">
          <a:avLst/>
        </a:prstGeom>
        <a:noFill/>
        <a:ln>
          <a:noFill/>
        </a:ln>
      </xdr:spPr>
    </xdr:pic>
    <xdr:clientData/>
  </xdr:twoCellAnchor>
  <xdr:twoCellAnchor editAs="oneCell">
    <xdr:from>
      <xdr:col>8</xdr:col>
      <xdr:colOff>459441</xdr:colOff>
      <xdr:row>18</xdr:row>
      <xdr:rowOff>145676</xdr:rowOff>
    </xdr:from>
    <xdr:to>
      <xdr:col>21</xdr:col>
      <xdr:colOff>185397</xdr:colOff>
      <xdr:row>39</xdr:row>
      <xdr:rowOff>41445</xdr:rowOff>
    </xdr:to>
    <xdr:pic>
      <xdr:nvPicPr>
        <xdr:cNvPr id="4" name="Picture 3">
          <a:extLst>
            <a:ext uri="{FF2B5EF4-FFF2-40B4-BE49-F238E27FC236}">
              <a16:creationId xmlns=""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7227794" y="3574676"/>
          <a:ext cx="7592485" cy="3896269"/>
        </a:xfrm>
        <a:prstGeom prst="rect">
          <a:avLst/>
        </a:prstGeom>
      </xdr:spPr>
    </xdr:pic>
    <xdr:clientData/>
  </xdr:twoCellAnchor>
  <xdr:oneCellAnchor>
    <xdr:from>
      <xdr:col>9</xdr:col>
      <xdr:colOff>582705</xdr:colOff>
      <xdr:row>23</xdr:row>
      <xdr:rowOff>134471</xdr:rowOff>
    </xdr:from>
    <xdr:ext cx="184731" cy="264560"/>
    <xdr:sp macro="" textlink="">
      <xdr:nvSpPr>
        <xdr:cNvPr id="5" name="TextBox 4">
          <a:extLst>
            <a:ext uri="{FF2B5EF4-FFF2-40B4-BE49-F238E27FC236}">
              <a16:creationId xmlns="" xmlns:a16="http://schemas.microsoft.com/office/drawing/2014/main" id="{00000000-0008-0000-0C00-000005000000}"/>
            </a:ext>
          </a:extLst>
        </xdr:cNvPr>
        <xdr:cNvSpPr txBox="1"/>
      </xdr:nvSpPr>
      <xdr:spPr>
        <a:xfrm>
          <a:off x="7956176" y="45159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9</xdr:col>
      <xdr:colOff>33617</xdr:colOff>
      <xdr:row>23</xdr:row>
      <xdr:rowOff>89647</xdr:rowOff>
    </xdr:from>
    <xdr:ext cx="327654" cy="264560"/>
    <xdr:sp macro="" textlink="">
      <xdr:nvSpPr>
        <xdr:cNvPr id="6" name="TextBox 5">
          <a:extLst>
            <a:ext uri="{FF2B5EF4-FFF2-40B4-BE49-F238E27FC236}">
              <a16:creationId xmlns="" xmlns:a16="http://schemas.microsoft.com/office/drawing/2014/main" id="{00000000-0008-0000-0C00-000006000000}"/>
            </a:ext>
          </a:extLst>
        </xdr:cNvPr>
        <xdr:cNvSpPr txBox="1"/>
      </xdr:nvSpPr>
      <xdr:spPr>
        <a:xfrm>
          <a:off x="7407088" y="4471147"/>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25</a:t>
          </a:r>
        </a:p>
      </xdr:txBody>
    </xdr:sp>
    <xdr:clientData/>
  </xdr:oneCellAnchor>
  <xdr:oneCellAnchor>
    <xdr:from>
      <xdr:col>20</xdr:col>
      <xdr:colOff>197223</xdr:colOff>
      <xdr:row>22</xdr:row>
      <xdr:rowOff>186018</xdr:rowOff>
    </xdr:from>
    <xdr:ext cx="327654" cy="264560"/>
    <xdr:sp macro="" textlink="">
      <xdr:nvSpPr>
        <xdr:cNvPr id="7" name="TextBox 6">
          <a:extLst>
            <a:ext uri="{FF2B5EF4-FFF2-40B4-BE49-F238E27FC236}">
              <a16:creationId xmlns="" xmlns:a16="http://schemas.microsoft.com/office/drawing/2014/main" id="{00000000-0008-0000-0C00-000007000000}"/>
            </a:ext>
          </a:extLst>
        </xdr:cNvPr>
        <xdr:cNvSpPr txBox="1"/>
      </xdr:nvSpPr>
      <xdr:spPr>
        <a:xfrm>
          <a:off x="14226988" y="4377018"/>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99</a:t>
          </a:r>
        </a:p>
      </xdr:txBody>
    </xdr:sp>
    <xdr:clientData/>
  </xdr:oneCellAnchor>
  <xdr:oneCellAnchor>
    <xdr:from>
      <xdr:col>10</xdr:col>
      <xdr:colOff>338417</xdr:colOff>
      <xdr:row>21</xdr:row>
      <xdr:rowOff>125507</xdr:rowOff>
    </xdr:from>
    <xdr:ext cx="327654" cy="264560"/>
    <xdr:sp macro="" textlink="">
      <xdr:nvSpPr>
        <xdr:cNvPr id="8" name="TextBox 7">
          <a:extLst>
            <a:ext uri="{FF2B5EF4-FFF2-40B4-BE49-F238E27FC236}">
              <a16:creationId xmlns="" xmlns:a16="http://schemas.microsoft.com/office/drawing/2014/main" id="{00000000-0008-0000-0C00-000008000000}"/>
            </a:ext>
          </a:extLst>
        </xdr:cNvPr>
        <xdr:cNvSpPr txBox="1"/>
      </xdr:nvSpPr>
      <xdr:spPr>
        <a:xfrm>
          <a:off x="8317005" y="4126007"/>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35</a:t>
          </a:r>
        </a:p>
      </xdr:txBody>
    </xdr:sp>
    <xdr:clientData/>
  </xdr:oneCellAnchor>
  <xdr:oneCellAnchor>
    <xdr:from>
      <xdr:col>10</xdr:col>
      <xdr:colOff>56029</xdr:colOff>
      <xdr:row>27</xdr:row>
      <xdr:rowOff>179293</xdr:rowOff>
    </xdr:from>
    <xdr:ext cx="327654" cy="264560"/>
    <xdr:sp macro="" textlink="">
      <xdr:nvSpPr>
        <xdr:cNvPr id="9" name="TextBox 8">
          <a:extLst>
            <a:ext uri="{FF2B5EF4-FFF2-40B4-BE49-F238E27FC236}">
              <a16:creationId xmlns="" xmlns:a16="http://schemas.microsoft.com/office/drawing/2014/main" id="{00000000-0008-0000-0C00-000009000000}"/>
            </a:ext>
          </a:extLst>
        </xdr:cNvPr>
        <xdr:cNvSpPr txBox="1"/>
      </xdr:nvSpPr>
      <xdr:spPr>
        <a:xfrm>
          <a:off x="8034617" y="5322793"/>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33</a:t>
          </a:r>
        </a:p>
      </xdr:txBody>
    </xdr:sp>
    <xdr:clientData/>
  </xdr:oneCellAnchor>
  <xdr:oneCellAnchor>
    <xdr:from>
      <xdr:col>11</xdr:col>
      <xdr:colOff>410135</xdr:colOff>
      <xdr:row>28</xdr:row>
      <xdr:rowOff>29134</xdr:rowOff>
    </xdr:from>
    <xdr:ext cx="434734" cy="264560"/>
    <xdr:sp macro="" textlink="">
      <xdr:nvSpPr>
        <xdr:cNvPr id="10" name="TextBox 9">
          <a:extLst>
            <a:ext uri="{FF2B5EF4-FFF2-40B4-BE49-F238E27FC236}">
              <a16:creationId xmlns="" xmlns:a16="http://schemas.microsoft.com/office/drawing/2014/main" id="{00000000-0008-0000-0C00-00000A000000}"/>
            </a:ext>
          </a:extLst>
        </xdr:cNvPr>
        <xdr:cNvSpPr txBox="1"/>
      </xdr:nvSpPr>
      <xdr:spPr>
        <a:xfrm>
          <a:off x="8993841" y="5363134"/>
          <a:ext cx="4347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40.5</a:t>
          </a:r>
        </a:p>
      </xdr:txBody>
    </xdr:sp>
    <xdr:clientData/>
  </xdr:oneCellAnchor>
  <xdr:twoCellAnchor editAs="oneCell">
    <xdr:from>
      <xdr:col>22</xdr:col>
      <xdr:colOff>347382</xdr:colOff>
      <xdr:row>1</xdr:row>
      <xdr:rowOff>56030</xdr:rowOff>
    </xdr:from>
    <xdr:to>
      <xdr:col>23</xdr:col>
      <xdr:colOff>580463</xdr:colOff>
      <xdr:row>5</xdr:row>
      <xdr:rowOff>132229</xdr:rowOff>
    </xdr:to>
    <xdr:pic>
      <xdr:nvPicPr>
        <xdr:cNvPr id="11" name="Picture 10">
          <a:hlinkClick xmlns:r="http://schemas.openxmlformats.org/officeDocument/2006/relationships" r:id="rId4"/>
          <a:extLst>
            <a:ext uri="{FF2B5EF4-FFF2-40B4-BE49-F238E27FC236}">
              <a16:creationId xmlns="" xmlns:a16="http://schemas.microsoft.com/office/drawing/2014/main" id="{00000000-0008-0000-0C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587382" y="246530"/>
          <a:ext cx="838199" cy="83819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333375</xdr:colOff>
      <xdr:row>27</xdr:row>
      <xdr:rowOff>66675</xdr:rowOff>
    </xdr:from>
    <xdr:to>
      <xdr:col>2</xdr:col>
      <xdr:colOff>428625</xdr:colOff>
      <xdr:row>40</xdr:row>
      <xdr:rowOff>114300</xdr:rowOff>
    </xdr:to>
    <mc:AlternateContent xmlns:mc="http://schemas.openxmlformats.org/markup-compatibility/2006" xmlns:a14="http://schemas.microsoft.com/office/drawing/2010/main">
      <mc:Choice Requires="a14">
        <xdr:graphicFrame macro="">
          <xdr:nvGraphicFramePr>
            <xdr:cNvPr id="5" name="Outlook">
              <a:extLst>
                <a:ext uri="{FF2B5EF4-FFF2-40B4-BE49-F238E27FC236}">
                  <a16:creationId xmlns=""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Outlook"/>
            </a:graphicData>
          </a:graphic>
        </xdr:graphicFrame>
      </mc:Choice>
      <mc:Fallback xmlns="">
        <xdr:sp macro="" textlink="">
          <xdr:nvSpPr>
            <xdr:cNvPr id="0" name=""/>
            <xdr:cNvSpPr>
              <a:spLocks noTextEdit="1"/>
            </xdr:cNvSpPr>
          </xdr:nvSpPr>
          <xdr:spPr>
            <a:xfrm>
              <a:off x="333375" y="5210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400050</xdr:colOff>
      <xdr:row>27</xdr:row>
      <xdr:rowOff>142875</xdr:rowOff>
    </xdr:from>
    <xdr:to>
      <xdr:col>4</xdr:col>
      <xdr:colOff>600075</xdr:colOff>
      <xdr:row>41</xdr:row>
      <xdr:rowOff>0</xdr:rowOff>
    </xdr:to>
    <mc:AlternateContent xmlns:mc="http://schemas.openxmlformats.org/markup-compatibility/2006" xmlns:a14="http://schemas.microsoft.com/office/drawing/2010/main">
      <mc:Choice Requires="a14">
        <xdr:graphicFrame macro="">
          <xdr:nvGraphicFramePr>
            <xdr:cNvPr id="6" name="Humidity">
              <a:extLst>
                <a:ext uri="{FF2B5EF4-FFF2-40B4-BE49-F238E27FC236}">
                  <a16:creationId xmlns=""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Humidity"/>
            </a:graphicData>
          </a:graphic>
        </xdr:graphicFrame>
      </mc:Choice>
      <mc:Fallback xmlns="">
        <xdr:sp macro="" textlink="">
          <xdr:nvSpPr>
            <xdr:cNvPr id="0" name=""/>
            <xdr:cNvSpPr>
              <a:spLocks noTextEdit="1"/>
            </xdr:cNvSpPr>
          </xdr:nvSpPr>
          <xdr:spPr>
            <a:xfrm>
              <a:off x="2133600" y="5286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27</xdr:row>
      <xdr:rowOff>171450</xdr:rowOff>
    </xdr:from>
    <xdr:to>
      <xdr:col>8</xdr:col>
      <xdr:colOff>628650</xdr:colOff>
      <xdr:row>41</xdr:row>
      <xdr:rowOff>28575</xdr:rowOff>
    </xdr:to>
    <mc:AlternateContent xmlns:mc="http://schemas.openxmlformats.org/markup-compatibility/2006" xmlns:a14="http://schemas.microsoft.com/office/drawing/2010/main">
      <mc:Choice Requires="a14">
        <xdr:graphicFrame macro="">
          <xdr:nvGraphicFramePr>
            <xdr:cNvPr id="7" name="Wind">
              <a:extLst>
                <a:ext uri="{FF2B5EF4-FFF2-40B4-BE49-F238E27FC236}">
                  <a16:creationId xmlns="" xmlns:a16="http://schemas.microsoft.com/office/drawing/2014/main" id="{00000000-0008-0000-0D00-000007000000}"/>
                </a:ext>
              </a:extLst>
            </xdr:cNvPr>
            <xdr:cNvGraphicFramePr/>
          </xdr:nvGraphicFramePr>
          <xdr:xfrm>
            <a:off x="0" y="0"/>
            <a:ext cx="0" cy="0"/>
          </xdr:xfrm>
          <a:graphic>
            <a:graphicData uri="http://schemas.microsoft.com/office/drawing/2010/slicer">
              <sle:slicer xmlns:sle="http://schemas.microsoft.com/office/drawing/2010/slicer" name="Wind"/>
            </a:graphicData>
          </a:graphic>
        </xdr:graphicFrame>
      </mc:Choice>
      <mc:Fallback xmlns="">
        <xdr:sp macro="" textlink="">
          <xdr:nvSpPr>
            <xdr:cNvPr id="0" name=""/>
            <xdr:cNvSpPr>
              <a:spLocks noTextEdit="1"/>
            </xdr:cNvSpPr>
          </xdr:nvSpPr>
          <xdr:spPr>
            <a:xfrm>
              <a:off x="4743450" y="5314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381000</xdr:colOff>
      <xdr:row>21</xdr:row>
      <xdr:rowOff>171450</xdr:rowOff>
    </xdr:from>
    <xdr:to>
      <xdr:col>13</xdr:col>
      <xdr:colOff>333375</xdr:colOff>
      <xdr:row>35</xdr:row>
      <xdr:rowOff>28575</xdr:rowOff>
    </xdr:to>
    <mc:AlternateContent xmlns:mc="http://schemas.openxmlformats.org/markup-compatibility/2006" xmlns:a14="http://schemas.microsoft.com/office/drawing/2010/main">
      <mc:Choice Requires="a14">
        <xdr:graphicFrame macro="">
          <xdr:nvGraphicFramePr>
            <xdr:cNvPr id="2" name="Home Owner">
              <a:extLst>
                <a:ext uri="{FF2B5EF4-FFF2-40B4-BE49-F238E27FC236}">
                  <a16:creationId xmlns="" xmlns:a16="http://schemas.microsoft.com/office/drawing/2014/main" id="{00000000-0008-0000-0D00-000002000000}"/>
                </a:ext>
              </a:extLst>
            </xdr:cNvPr>
            <xdr:cNvGraphicFramePr/>
          </xdr:nvGraphicFramePr>
          <xdr:xfrm>
            <a:off x="0" y="0"/>
            <a:ext cx="0" cy="0"/>
          </xdr:xfrm>
          <a:graphic>
            <a:graphicData uri="http://schemas.microsoft.com/office/drawing/2010/slicer">
              <sle:slicer xmlns:sle="http://schemas.microsoft.com/office/drawing/2010/slicer" name="Home Owner"/>
            </a:graphicData>
          </a:graphic>
        </xdr:graphicFrame>
      </mc:Choice>
      <mc:Fallback xmlns="">
        <xdr:sp macro="" textlink="">
          <xdr:nvSpPr>
            <xdr:cNvPr id="0" name=""/>
            <xdr:cNvSpPr>
              <a:spLocks noTextEdit="1"/>
            </xdr:cNvSpPr>
          </xdr:nvSpPr>
          <xdr:spPr>
            <a:xfrm>
              <a:off x="8753475" y="417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142875</xdr:colOff>
      <xdr:row>22</xdr:row>
      <xdr:rowOff>19050</xdr:rowOff>
    </xdr:from>
    <xdr:to>
      <xdr:col>15</xdr:col>
      <xdr:colOff>1219200</xdr:colOff>
      <xdr:row>35</xdr:row>
      <xdr:rowOff>66675</xdr:rowOff>
    </xdr:to>
    <mc:AlternateContent xmlns:mc="http://schemas.openxmlformats.org/markup-compatibility/2006" xmlns:a14="http://schemas.microsoft.com/office/drawing/2010/main">
      <mc:Choice Requires="a14">
        <xdr:graphicFrame macro="">
          <xdr:nvGraphicFramePr>
            <xdr:cNvPr id="3" name="Marital Status">
              <a:extLst>
                <a:ext uri="{FF2B5EF4-FFF2-40B4-BE49-F238E27FC236}">
                  <a16:creationId xmlns=""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11144250" y="4210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1247775</xdr:colOff>
      <xdr:row>22</xdr:row>
      <xdr:rowOff>57150</xdr:rowOff>
    </xdr:from>
    <xdr:to>
      <xdr:col>18</xdr:col>
      <xdr:colOff>476250</xdr:colOff>
      <xdr:row>35</xdr:row>
      <xdr:rowOff>104775</xdr:rowOff>
    </xdr:to>
    <mc:AlternateContent xmlns:mc="http://schemas.openxmlformats.org/markup-compatibility/2006" xmlns:a14="http://schemas.microsoft.com/office/drawing/2010/main">
      <mc:Choice Requires="a14">
        <xdr:graphicFrame macro="">
          <xdr:nvGraphicFramePr>
            <xdr:cNvPr id="4" name="Annual Income">
              <a:extLst>
                <a:ext uri="{FF2B5EF4-FFF2-40B4-BE49-F238E27FC236}">
                  <a16:creationId xmlns=""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Annual Income"/>
            </a:graphicData>
          </a:graphic>
        </xdr:graphicFrame>
      </mc:Choice>
      <mc:Fallback xmlns="">
        <xdr:sp macro="" textlink="">
          <xdr:nvSpPr>
            <xdr:cNvPr id="0" name=""/>
            <xdr:cNvSpPr>
              <a:spLocks noTextEdit="1"/>
            </xdr:cNvSpPr>
          </xdr:nvSpPr>
          <xdr:spPr>
            <a:xfrm>
              <a:off x="13001625" y="4248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57150</xdr:colOff>
      <xdr:row>28</xdr:row>
      <xdr:rowOff>28575</xdr:rowOff>
    </xdr:from>
    <xdr:to>
      <xdr:col>3</xdr:col>
      <xdr:colOff>323850</xdr:colOff>
      <xdr:row>41</xdr:row>
      <xdr:rowOff>76200</xdr:rowOff>
    </xdr:to>
    <mc:AlternateContent xmlns:mc="http://schemas.openxmlformats.org/markup-compatibility/2006" xmlns:a14="http://schemas.microsoft.com/office/drawing/2010/main">
      <mc:Choice Requires="a14">
        <xdr:graphicFrame macro="">
          <xdr:nvGraphicFramePr>
            <xdr:cNvPr id="2" name="age">
              <a:extLst>
                <a:ext uri="{FF2B5EF4-FFF2-40B4-BE49-F238E27FC236}">
                  <a16:creationId xmlns=""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57150" y="5486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600075</xdr:colOff>
      <xdr:row>23</xdr:row>
      <xdr:rowOff>180975</xdr:rowOff>
    </xdr:from>
    <xdr:to>
      <xdr:col>5</xdr:col>
      <xdr:colOff>133350</xdr:colOff>
      <xdr:row>36</xdr:row>
      <xdr:rowOff>161925</xdr:rowOff>
    </xdr:to>
    <mc:AlternateContent xmlns:mc="http://schemas.openxmlformats.org/markup-compatibility/2006" xmlns:a14="http://schemas.microsoft.com/office/drawing/2010/main">
      <mc:Choice Requires="a14">
        <xdr:graphicFrame macro="">
          <xdr:nvGraphicFramePr>
            <xdr:cNvPr id="3" name="income">
              <a:extLst>
                <a:ext uri="{FF2B5EF4-FFF2-40B4-BE49-F238E27FC236}">
                  <a16:creationId xmlns=""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income"/>
            </a:graphicData>
          </a:graphic>
        </xdr:graphicFrame>
      </mc:Choice>
      <mc:Fallback xmlns="">
        <xdr:sp macro="" textlink="">
          <xdr:nvSpPr>
            <xdr:cNvPr id="0" name=""/>
            <xdr:cNvSpPr>
              <a:spLocks noTextEdit="1"/>
            </xdr:cNvSpPr>
          </xdr:nvSpPr>
          <xdr:spPr>
            <a:xfrm>
              <a:off x="2162175" y="4619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457200</xdr:colOff>
      <xdr:row>23</xdr:row>
      <xdr:rowOff>180975</xdr:rowOff>
    </xdr:from>
    <xdr:to>
      <xdr:col>7</xdr:col>
      <xdr:colOff>352425</xdr:colOff>
      <xdr:row>36</xdr:row>
      <xdr:rowOff>161925</xdr:rowOff>
    </xdr:to>
    <mc:AlternateContent xmlns:mc="http://schemas.openxmlformats.org/markup-compatibility/2006" xmlns:a14="http://schemas.microsoft.com/office/drawing/2010/main">
      <mc:Choice Requires="a14">
        <xdr:graphicFrame macro="">
          <xdr:nvGraphicFramePr>
            <xdr:cNvPr id="4" name="student">
              <a:extLst>
                <a:ext uri="{FF2B5EF4-FFF2-40B4-BE49-F238E27FC236}">
                  <a16:creationId xmlns=""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student"/>
            </a:graphicData>
          </a:graphic>
        </xdr:graphicFrame>
      </mc:Choice>
      <mc:Fallback xmlns="">
        <xdr:sp macro="" textlink="">
          <xdr:nvSpPr>
            <xdr:cNvPr id="0" name=""/>
            <xdr:cNvSpPr>
              <a:spLocks noTextEdit="1"/>
            </xdr:cNvSpPr>
          </xdr:nvSpPr>
          <xdr:spPr>
            <a:xfrm>
              <a:off x="4314825" y="4619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514350</xdr:colOff>
      <xdr:row>23</xdr:row>
      <xdr:rowOff>152400</xdr:rowOff>
    </xdr:from>
    <xdr:to>
      <xdr:col>10</xdr:col>
      <xdr:colOff>514350</xdr:colOff>
      <xdr:row>36</xdr:row>
      <xdr:rowOff>133350</xdr:rowOff>
    </xdr:to>
    <mc:AlternateContent xmlns:mc="http://schemas.openxmlformats.org/markup-compatibility/2006" xmlns:a14="http://schemas.microsoft.com/office/drawing/2010/main">
      <mc:Choice Requires="a14">
        <xdr:graphicFrame macro="">
          <xdr:nvGraphicFramePr>
            <xdr:cNvPr id="5" name="credit">
              <a:extLst>
                <a:ext uri="{FF2B5EF4-FFF2-40B4-BE49-F238E27FC236}">
                  <a16:creationId xmlns=""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redit"/>
            </a:graphicData>
          </a:graphic>
        </xdr:graphicFrame>
      </mc:Choice>
      <mc:Fallback xmlns="">
        <xdr:sp macro="" textlink="">
          <xdr:nvSpPr>
            <xdr:cNvPr id="0" name=""/>
            <xdr:cNvSpPr>
              <a:spLocks noTextEdit="1"/>
            </xdr:cNvSpPr>
          </xdr:nvSpPr>
          <xdr:spPr>
            <a:xfrm>
              <a:off x="6305550" y="4591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419100</xdr:colOff>
      <xdr:row>16</xdr:row>
      <xdr:rowOff>161926</xdr:rowOff>
    </xdr:from>
    <xdr:to>
      <xdr:col>4</xdr:col>
      <xdr:colOff>361950</xdr:colOff>
      <xdr:row>23</xdr:row>
      <xdr:rowOff>9526</xdr:rowOff>
    </xdr:to>
    <mc:AlternateContent xmlns:mc="http://schemas.openxmlformats.org/markup-compatibility/2006" xmlns:a14="http://schemas.microsoft.com/office/drawing/2010/main">
      <mc:Choice Requires="a14">
        <xdr:graphicFrame macro="">
          <xdr:nvGraphicFramePr>
            <xdr:cNvPr id="7" name="buys computer">
              <a:extLst>
                <a:ext uri="{FF2B5EF4-FFF2-40B4-BE49-F238E27FC236}">
                  <a16:creationId xmlns=""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buys computer"/>
            </a:graphicData>
          </a:graphic>
        </xdr:graphicFrame>
      </mc:Choice>
      <mc:Fallback xmlns="">
        <xdr:sp macro="" textlink="">
          <xdr:nvSpPr>
            <xdr:cNvPr id="0" name=""/>
            <xdr:cNvSpPr>
              <a:spLocks noTextEdit="1"/>
            </xdr:cNvSpPr>
          </xdr:nvSpPr>
          <xdr:spPr>
            <a:xfrm>
              <a:off x="1181100" y="3209926"/>
              <a:ext cx="18288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oneCellAnchor>
    <xdr:from>
      <xdr:col>17</xdr:col>
      <xdr:colOff>28575</xdr:colOff>
      <xdr:row>0</xdr:row>
      <xdr:rowOff>42862</xdr:rowOff>
    </xdr:from>
    <xdr:ext cx="2451953" cy="34445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 xmlns:a16="http://schemas.microsoft.com/office/drawing/2014/main" id="{00000000-0008-0000-0F00-000002000000}"/>
                </a:ext>
              </a:extLst>
            </xdr:cNvPr>
            <xdr:cNvSpPr txBox="1"/>
          </xdr:nvSpPr>
          <xdr:spPr>
            <a:xfrm>
              <a:off x="10715625" y="42862"/>
              <a:ext cx="245195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b="1" i="1">
                        <a:solidFill>
                          <a:srgbClr val="7030A0"/>
                        </a:solidFill>
                        <a:effectLst/>
                        <a:latin typeface="Cambria Math" panose="02040503050406030204" pitchFamily="18" charset="0"/>
                        <a:ea typeface="+mn-ea"/>
                        <a:cs typeface="+mn-cs"/>
                      </a:rPr>
                      <m:t>𝑻𝒐</m:t>
                    </m:r>
                    <m:r>
                      <a:rPr lang="en-IN" sz="1100" b="1" i="1">
                        <a:solidFill>
                          <a:srgbClr val="7030A0"/>
                        </a:solidFill>
                        <a:effectLst/>
                        <a:latin typeface="Cambria Math" panose="02040503050406030204" pitchFamily="18" charset="0"/>
                        <a:ea typeface="+mn-ea"/>
                        <a:cs typeface="+mn-cs"/>
                      </a:rPr>
                      <m:t> </m:t>
                    </m:r>
                    <m:r>
                      <a:rPr lang="en-IN" sz="1100" b="1" i="1">
                        <a:solidFill>
                          <a:srgbClr val="7030A0"/>
                        </a:solidFill>
                        <a:effectLst/>
                        <a:latin typeface="Cambria Math" panose="02040503050406030204" pitchFamily="18" charset="0"/>
                        <a:ea typeface="+mn-ea"/>
                        <a:cs typeface="+mn-cs"/>
                      </a:rPr>
                      <m:t>𝒇𝒊𝒏𝒅</m:t>
                    </m:r>
                    <m:r>
                      <a:rPr lang="en-IN" sz="1100" b="1" i="1">
                        <a:solidFill>
                          <a:srgbClr val="7030A0"/>
                        </a:solidFill>
                        <a:effectLst/>
                        <a:latin typeface="Cambria Math" panose="02040503050406030204" pitchFamily="18" charset="0"/>
                        <a:ea typeface="+mn-ea"/>
                        <a:cs typeface="+mn-cs"/>
                      </a:rPr>
                      <m:t> </m:t>
                    </m:r>
                    <m:r>
                      <a:rPr lang="en-IN" sz="1100" b="1" i="1">
                        <a:solidFill>
                          <a:srgbClr val="7030A0"/>
                        </a:solidFill>
                        <a:effectLst/>
                        <a:latin typeface="Cambria Math" panose="02040503050406030204" pitchFamily="18" charset="0"/>
                        <a:ea typeface="+mn-ea"/>
                        <a:cs typeface="+mn-cs"/>
                      </a:rPr>
                      <m:t>𝒕𝒉𝒆</m:t>
                    </m:r>
                    <m:r>
                      <a:rPr lang="en-IN" sz="1100" b="1" i="1">
                        <a:solidFill>
                          <a:srgbClr val="7030A0"/>
                        </a:solidFill>
                        <a:effectLst/>
                        <a:latin typeface="Cambria Math" panose="02040503050406030204" pitchFamily="18" charset="0"/>
                        <a:ea typeface="+mn-ea"/>
                        <a:cs typeface="+mn-cs"/>
                      </a:rPr>
                      <m:t> </m:t>
                    </m:r>
                    <m:r>
                      <a:rPr lang="en-IN" sz="1100" b="1" i="1">
                        <a:solidFill>
                          <a:srgbClr val="7030A0"/>
                        </a:solidFill>
                        <a:effectLst/>
                        <a:latin typeface="Cambria Math" panose="02040503050406030204" pitchFamily="18" charset="0"/>
                        <a:ea typeface="+mn-ea"/>
                        <a:cs typeface="+mn-cs"/>
                      </a:rPr>
                      <m:t>𝑳𝒊𝒏𝒆𝒂𝒓</m:t>
                    </m:r>
                    <m:r>
                      <a:rPr lang="en-IN" sz="1100" b="1" i="1">
                        <a:solidFill>
                          <a:srgbClr val="7030A0"/>
                        </a:solidFill>
                        <a:effectLst/>
                        <a:latin typeface="Cambria Math" panose="02040503050406030204" pitchFamily="18" charset="0"/>
                        <a:ea typeface="+mn-ea"/>
                        <a:cs typeface="+mn-cs"/>
                      </a:rPr>
                      <m:t> </m:t>
                    </m:r>
                    <m:r>
                      <a:rPr lang="en-IN" sz="1100" b="1" i="1">
                        <a:solidFill>
                          <a:srgbClr val="7030A0"/>
                        </a:solidFill>
                        <a:effectLst/>
                        <a:latin typeface="Cambria Math" panose="02040503050406030204" pitchFamily="18" charset="0"/>
                        <a:ea typeface="+mn-ea"/>
                        <a:cs typeface="+mn-cs"/>
                      </a:rPr>
                      <m:t>𝑹𝒆𝒈𝒓𝒆𝒔𝒔𝒊𝒐𝒏</m:t>
                    </m:r>
                    <m:r>
                      <a:rPr lang="en-IN" sz="1100" b="1" i="1">
                        <a:solidFill>
                          <a:srgbClr val="7030A0"/>
                        </a:solidFill>
                        <a:effectLst/>
                        <a:latin typeface="Cambria Math" panose="02040503050406030204" pitchFamily="18" charset="0"/>
                        <a:ea typeface="+mn-ea"/>
                        <a:cs typeface="+mn-cs"/>
                      </a:rPr>
                      <m:t> </m:t>
                    </m:r>
                    <m:r>
                      <a:rPr lang="en-IN" sz="1100" b="1" i="1">
                        <a:solidFill>
                          <a:srgbClr val="7030A0"/>
                        </a:solidFill>
                        <a:effectLst/>
                        <a:latin typeface="Cambria Math" panose="02040503050406030204" pitchFamily="18" charset="0"/>
                        <a:ea typeface="+mn-ea"/>
                        <a:cs typeface="+mn-cs"/>
                      </a:rPr>
                      <m:t>𝑳𝒊𝒏𝒆</m:t>
                    </m:r>
                  </m:oMath>
                  <m:oMath xmlns:m="http://schemas.openxmlformats.org/officeDocument/2006/math">
                    <m:r>
                      <a:rPr lang="en-IN" sz="1100" b="1" i="0">
                        <a:solidFill>
                          <a:srgbClr val="7030A0"/>
                        </a:solidFill>
                        <a:effectLst/>
                        <a:latin typeface="Cambria Math" panose="02040503050406030204" pitchFamily="18" charset="0"/>
                        <a:ea typeface="+mn-ea"/>
                        <a:cs typeface="+mn-cs"/>
                      </a:rPr>
                      <m:t>𝐲</m:t>
                    </m:r>
                    <m:r>
                      <a:rPr lang="en-IN" sz="1100" b="1" i="0">
                        <a:solidFill>
                          <a:srgbClr val="7030A0"/>
                        </a:solidFill>
                        <a:effectLst/>
                        <a:latin typeface="Cambria Math" panose="02040503050406030204" pitchFamily="18" charset="0"/>
                        <a:ea typeface="+mn-ea"/>
                        <a:cs typeface="+mn-cs"/>
                      </a:rPr>
                      <m:t>=</m:t>
                    </m:r>
                    <m:r>
                      <a:rPr lang="en-IN" sz="1100" b="1" i="1">
                        <a:solidFill>
                          <a:srgbClr val="7030A0"/>
                        </a:solidFill>
                        <a:effectLst/>
                        <a:latin typeface="Cambria Math" panose="02040503050406030204" pitchFamily="18" charset="0"/>
                        <a:ea typeface="+mn-ea"/>
                        <a:cs typeface="+mn-cs"/>
                      </a:rPr>
                      <m:t>𝒂</m:t>
                    </m:r>
                    <m:r>
                      <a:rPr lang="en-IN" sz="1100" b="1" i="1">
                        <a:solidFill>
                          <a:srgbClr val="7030A0"/>
                        </a:solidFill>
                        <a:effectLst/>
                        <a:latin typeface="Cambria Math" panose="02040503050406030204" pitchFamily="18" charset="0"/>
                        <a:ea typeface="+mn-ea"/>
                        <a:cs typeface="+mn-cs"/>
                      </a:rPr>
                      <m:t>+</m:t>
                    </m:r>
                    <m:r>
                      <a:rPr lang="en-IN" sz="1100" b="1" i="1">
                        <a:solidFill>
                          <a:srgbClr val="7030A0"/>
                        </a:solidFill>
                        <a:effectLst/>
                        <a:latin typeface="Cambria Math" panose="02040503050406030204" pitchFamily="18" charset="0"/>
                        <a:ea typeface="+mn-ea"/>
                        <a:cs typeface="+mn-cs"/>
                      </a:rPr>
                      <m:t>𝒃𝒙</m:t>
                    </m:r>
                  </m:oMath>
                </m:oMathPara>
              </a14:m>
              <a:endParaRPr lang="en-IN" sz="1100">
                <a:solidFill>
                  <a:srgbClr val="7030A0"/>
                </a:solidFill>
              </a:endParaRPr>
            </a:p>
          </xdr:txBody>
        </xdr:sp>
      </mc:Choice>
      <mc:Fallback xmlns="">
        <xdr:sp macro="" textlink="">
          <xdr:nvSpPr>
            <xdr:cNvPr id="2" name="TextBox 1">
              <a:extLst>
                <a:ext uri="{FF2B5EF4-FFF2-40B4-BE49-F238E27FC236}">
                  <a16:creationId xmlns:a16="http://schemas.microsoft.com/office/drawing/2014/main" id="{B49C62A6-44AE-4340-BCD0-D0AF56A2A9B1}"/>
                </a:ext>
              </a:extLst>
            </xdr:cNvPr>
            <xdr:cNvSpPr txBox="1"/>
          </xdr:nvSpPr>
          <xdr:spPr>
            <a:xfrm>
              <a:off x="10715625" y="42862"/>
              <a:ext cx="245195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IN" sz="1100" b="1" i="0">
                  <a:solidFill>
                    <a:srgbClr val="7030A0"/>
                  </a:solidFill>
                  <a:effectLst/>
                  <a:latin typeface="Cambria Math" panose="02040503050406030204" pitchFamily="18" charset="0"/>
                  <a:ea typeface="+mn-ea"/>
                  <a:cs typeface="+mn-cs"/>
                </a:rPr>
                <a:t>𝑻𝒐 𝒇𝒊𝒏𝒅 𝒕𝒉𝒆 𝑳𝒊𝒏𝒆𝒂𝒓 𝑹𝒆𝒈𝒓𝒆𝒔𝒔𝒊𝒐𝒏 𝑳𝒊𝒏𝒆</a:t>
              </a:r>
              <a:br>
                <a:rPr lang="en-IN" sz="1100" b="1">
                  <a:solidFill>
                    <a:srgbClr val="7030A0"/>
                  </a:solidFill>
                  <a:effectLst/>
                  <a:ea typeface="+mn-ea"/>
                  <a:cs typeface="+mn-cs"/>
                </a:rPr>
              </a:br>
              <a:r>
                <a:rPr lang="en-IN" sz="1100" b="1" i="0">
                  <a:solidFill>
                    <a:srgbClr val="7030A0"/>
                  </a:solidFill>
                  <a:effectLst/>
                  <a:latin typeface="Cambria Math" panose="02040503050406030204" pitchFamily="18" charset="0"/>
                  <a:ea typeface="+mn-ea"/>
                  <a:cs typeface="+mn-cs"/>
                </a:rPr>
                <a:t>𝐲=𝒂+𝒃𝒙</a:t>
              </a:r>
              <a:endParaRPr lang="en-IN" sz="1100">
                <a:solidFill>
                  <a:srgbClr val="7030A0"/>
                </a:solidFill>
              </a:endParaRPr>
            </a:p>
          </xdr:txBody>
        </xdr:sp>
      </mc:Fallback>
    </mc:AlternateContent>
    <xdr:clientData/>
  </xdr:oneCellAnchor>
  <xdr:oneCellAnchor>
    <xdr:from>
      <xdr:col>17</xdr:col>
      <xdr:colOff>5715</xdr:colOff>
      <xdr:row>2</xdr:row>
      <xdr:rowOff>95250</xdr:rowOff>
    </xdr:from>
    <xdr:ext cx="1799467" cy="369781"/>
    <mc:AlternateContent xmlns:mc="http://schemas.openxmlformats.org/markup-compatibility/2006" xmlns:a14="http://schemas.microsoft.com/office/drawing/2010/main">
      <mc:Choice Requires="a14">
        <xdr:sp macro="" textlink="">
          <xdr:nvSpPr>
            <xdr:cNvPr id="3" name="TextBox 2">
              <a:extLst>
                <a:ext uri="{FF2B5EF4-FFF2-40B4-BE49-F238E27FC236}">
                  <a16:creationId xmlns="" xmlns:a16="http://schemas.microsoft.com/office/drawing/2014/main" id="{00000000-0008-0000-0F00-000003000000}"/>
                </a:ext>
              </a:extLst>
            </xdr:cNvPr>
            <xdr:cNvSpPr txBox="1"/>
          </xdr:nvSpPr>
          <xdr:spPr>
            <a:xfrm>
              <a:off x="5120640" y="476250"/>
              <a:ext cx="1799467" cy="369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b="0" i="1">
                        <a:solidFill>
                          <a:srgbClr val="7030A0"/>
                        </a:solidFill>
                        <a:latin typeface="Cambria Math" panose="02040503050406030204" pitchFamily="18" charset="0"/>
                      </a:rPr>
                      <m:t>𝑎</m:t>
                    </m:r>
                    <m:r>
                      <a:rPr lang="en-IN" sz="1100" b="0" i="1">
                        <a:solidFill>
                          <a:srgbClr val="7030A0"/>
                        </a:solidFill>
                        <a:latin typeface="Cambria Math" panose="02040503050406030204" pitchFamily="18" charset="0"/>
                      </a:rPr>
                      <m:t>=</m:t>
                    </m:r>
                    <m:f>
                      <m:fPr>
                        <m:ctrlPr>
                          <a:rPr lang="en-IN" sz="1100" b="0" i="1">
                            <a:solidFill>
                              <a:srgbClr val="7030A0"/>
                            </a:solidFill>
                            <a:latin typeface="Cambria Math" panose="02040503050406030204" pitchFamily="18" charset="0"/>
                          </a:rPr>
                        </m:ctrlPr>
                      </m:fPr>
                      <m:num>
                        <m:d>
                          <m:dPr>
                            <m:ctrlPr>
                              <a:rPr lang="en-IN" sz="1100" b="0" i="1">
                                <a:solidFill>
                                  <a:srgbClr val="7030A0"/>
                                </a:solidFill>
                                <a:latin typeface="Cambria Math" panose="02040503050406030204" pitchFamily="18" charset="0"/>
                              </a:rPr>
                            </m:ctrlPr>
                          </m:dPr>
                          <m:e>
                            <m:r>
                              <a:rPr lang="en-IN" sz="1100" b="0" i="1">
                                <a:solidFill>
                                  <a:srgbClr val="7030A0"/>
                                </a:solidFill>
                                <a:latin typeface="Cambria Math" panose="02040503050406030204" pitchFamily="18" charset="0"/>
                              </a:rPr>
                              <m:t>∑</m:t>
                            </m:r>
                            <m:r>
                              <a:rPr lang="en-IN" sz="1100" b="0" i="1">
                                <a:solidFill>
                                  <a:srgbClr val="7030A0"/>
                                </a:solidFill>
                                <a:latin typeface="Cambria Math" panose="02040503050406030204" pitchFamily="18" charset="0"/>
                              </a:rPr>
                              <m:t>𝑦</m:t>
                            </m:r>
                          </m:e>
                        </m:d>
                        <m:d>
                          <m:dPr>
                            <m:ctrlPr>
                              <a:rPr lang="en-IN" sz="1100" b="0" i="1">
                                <a:solidFill>
                                  <a:srgbClr val="7030A0"/>
                                </a:solidFill>
                                <a:latin typeface="Cambria Math" panose="02040503050406030204" pitchFamily="18" charset="0"/>
                              </a:rPr>
                            </m:ctrlPr>
                          </m:dPr>
                          <m:e>
                            <m:r>
                              <a:rPr lang="en-IN" sz="1100" b="0" i="1">
                                <a:solidFill>
                                  <a:srgbClr val="7030A0"/>
                                </a:solidFill>
                                <a:latin typeface="Cambria Math" panose="02040503050406030204" pitchFamily="18" charset="0"/>
                              </a:rPr>
                              <m:t>∑</m:t>
                            </m:r>
                            <m:sSup>
                              <m:sSupPr>
                                <m:ctrlPr>
                                  <a:rPr lang="en-IN" sz="1100" b="0" i="1">
                                    <a:solidFill>
                                      <a:srgbClr val="7030A0"/>
                                    </a:solidFill>
                                    <a:latin typeface="Cambria Math" panose="02040503050406030204" pitchFamily="18" charset="0"/>
                                  </a:rPr>
                                </m:ctrlPr>
                              </m:sSupPr>
                              <m:e>
                                <m:r>
                                  <a:rPr lang="en-IN" sz="1100" b="0" i="1">
                                    <a:solidFill>
                                      <a:srgbClr val="7030A0"/>
                                    </a:solidFill>
                                    <a:latin typeface="Cambria Math" panose="02040503050406030204" pitchFamily="18" charset="0"/>
                                  </a:rPr>
                                  <m:t>𝑥</m:t>
                                </m:r>
                              </m:e>
                              <m:sup>
                                <m:r>
                                  <a:rPr lang="en-IN" sz="1100" b="0" i="1">
                                    <a:solidFill>
                                      <a:srgbClr val="7030A0"/>
                                    </a:solidFill>
                                    <a:latin typeface="Cambria Math" panose="02040503050406030204" pitchFamily="18" charset="0"/>
                                  </a:rPr>
                                  <m:t>2</m:t>
                                </m:r>
                              </m:sup>
                            </m:sSup>
                          </m:e>
                        </m:d>
                        <m:r>
                          <a:rPr lang="en-IN" sz="1100" b="0" i="1">
                            <a:solidFill>
                              <a:srgbClr val="7030A0"/>
                            </a:solidFill>
                            <a:latin typeface="Cambria Math" panose="02040503050406030204" pitchFamily="18" charset="0"/>
                          </a:rPr>
                          <m:t>−(∑</m:t>
                        </m:r>
                        <m:r>
                          <a:rPr lang="en-IN" sz="1100" b="0" i="1">
                            <a:solidFill>
                              <a:srgbClr val="7030A0"/>
                            </a:solidFill>
                            <a:latin typeface="Cambria Math" panose="02040503050406030204" pitchFamily="18" charset="0"/>
                          </a:rPr>
                          <m:t>𝑥</m:t>
                        </m:r>
                        <m:r>
                          <a:rPr lang="en-IN" sz="1100" b="0" i="1">
                            <a:solidFill>
                              <a:srgbClr val="7030A0"/>
                            </a:solidFill>
                            <a:latin typeface="Cambria Math" panose="02040503050406030204" pitchFamily="18" charset="0"/>
                          </a:rPr>
                          <m:t>)(∑</m:t>
                        </m:r>
                        <m:r>
                          <a:rPr lang="en-IN" sz="1100" b="0" i="1">
                            <a:solidFill>
                              <a:srgbClr val="7030A0"/>
                            </a:solidFill>
                            <a:latin typeface="Cambria Math" panose="02040503050406030204" pitchFamily="18" charset="0"/>
                          </a:rPr>
                          <m:t>𝑥𝑦</m:t>
                        </m:r>
                        <m:r>
                          <a:rPr lang="en-IN" sz="1100" b="0" i="1">
                            <a:solidFill>
                              <a:srgbClr val="7030A0"/>
                            </a:solidFill>
                            <a:latin typeface="Cambria Math" panose="02040503050406030204" pitchFamily="18" charset="0"/>
                          </a:rPr>
                          <m:t>)</m:t>
                        </m:r>
                      </m:num>
                      <m:den>
                        <m:r>
                          <a:rPr lang="en-IN" sz="1100" b="0" i="1">
                            <a:solidFill>
                              <a:srgbClr val="7030A0"/>
                            </a:solidFill>
                            <a:latin typeface="Cambria Math" panose="02040503050406030204" pitchFamily="18" charset="0"/>
                          </a:rPr>
                          <m:t>𝑛</m:t>
                        </m:r>
                        <m:r>
                          <a:rPr lang="en-IN" sz="1100" b="0" i="1">
                            <a:solidFill>
                              <a:srgbClr val="7030A0"/>
                            </a:solidFill>
                            <a:latin typeface="Cambria Math" panose="02040503050406030204" pitchFamily="18" charset="0"/>
                          </a:rPr>
                          <m:t>∗</m:t>
                        </m:r>
                        <m:d>
                          <m:dPr>
                            <m:ctrlPr>
                              <a:rPr lang="en-IN" sz="1100" b="0" i="1">
                                <a:solidFill>
                                  <a:srgbClr val="7030A0"/>
                                </a:solidFill>
                                <a:latin typeface="Cambria Math" panose="02040503050406030204" pitchFamily="18" charset="0"/>
                              </a:rPr>
                            </m:ctrlPr>
                          </m:dPr>
                          <m:e>
                            <m:r>
                              <a:rPr lang="en-IN" sz="1100" b="0" i="1">
                                <a:solidFill>
                                  <a:srgbClr val="7030A0"/>
                                </a:solidFill>
                                <a:latin typeface="Cambria Math" panose="02040503050406030204" pitchFamily="18" charset="0"/>
                              </a:rPr>
                              <m:t>∑</m:t>
                            </m:r>
                            <m:sSup>
                              <m:sSupPr>
                                <m:ctrlPr>
                                  <a:rPr lang="en-IN" sz="1100" b="0" i="1">
                                    <a:solidFill>
                                      <a:srgbClr val="7030A0"/>
                                    </a:solidFill>
                                    <a:latin typeface="Cambria Math" panose="02040503050406030204" pitchFamily="18" charset="0"/>
                                  </a:rPr>
                                </m:ctrlPr>
                              </m:sSupPr>
                              <m:e>
                                <m:r>
                                  <a:rPr lang="en-IN" sz="1100" b="0" i="1">
                                    <a:solidFill>
                                      <a:srgbClr val="7030A0"/>
                                    </a:solidFill>
                                    <a:latin typeface="Cambria Math" panose="02040503050406030204" pitchFamily="18" charset="0"/>
                                  </a:rPr>
                                  <m:t>𝑥</m:t>
                                </m:r>
                              </m:e>
                              <m:sup>
                                <m:r>
                                  <a:rPr lang="en-IN" sz="1100" b="0" i="1">
                                    <a:solidFill>
                                      <a:srgbClr val="7030A0"/>
                                    </a:solidFill>
                                    <a:latin typeface="Cambria Math" panose="02040503050406030204" pitchFamily="18" charset="0"/>
                                  </a:rPr>
                                  <m:t>2</m:t>
                                </m:r>
                              </m:sup>
                            </m:sSup>
                          </m:e>
                        </m:d>
                        <m:r>
                          <a:rPr lang="en-IN" sz="1100" b="0" i="1">
                            <a:solidFill>
                              <a:srgbClr val="7030A0"/>
                            </a:solidFill>
                            <a:latin typeface="Cambria Math" panose="02040503050406030204" pitchFamily="18" charset="0"/>
                          </a:rPr>
                          <m:t>−</m:t>
                        </m:r>
                        <m:sSup>
                          <m:sSupPr>
                            <m:ctrlPr>
                              <a:rPr lang="en-IN" sz="1100" b="0" i="1">
                                <a:solidFill>
                                  <a:srgbClr val="7030A0"/>
                                </a:solidFill>
                                <a:latin typeface="Cambria Math" panose="02040503050406030204" pitchFamily="18" charset="0"/>
                              </a:rPr>
                            </m:ctrlPr>
                          </m:sSupPr>
                          <m:e>
                            <m:d>
                              <m:dPr>
                                <m:ctrlPr>
                                  <a:rPr lang="en-IN" sz="1100" b="0" i="1">
                                    <a:solidFill>
                                      <a:srgbClr val="7030A0"/>
                                    </a:solidFill>
                                    <a:latin typeface="Cambria Math" panose="02040503050406030204" pitchFamily="18" charset="0"/>
                                  </a:rPr>
                                </m:ctrlPr>
                              </m:dPr>
                              <m:e>
                                <m:r>
                                  <a:rPr lang="en-IN" sz="1100" b="0" i="1">
                                    <a:solidFill>
                                      <a:srgbClr val="7030A0"/>
                                    </a:solidFill>
                                    <a:latin typeface="Cambria Math" panose="02040503050406030204" pitchFamily="18" charset="0"/>
                                  </a:rPr>
                                  <m:t>∑</m:t>
                                </m:r>
                                <m:r>
                                  <a:rPr lang="en-IN" sz="1100" b="0" i="1">
                                    <a:solidFill>
                                      <a:srgbClr val="7030A0"/>
                                    </a:solidFill>
                                    <a:latin typeface="Cambria Math" panose="02040503050406030204" pitchFamily="18" charset="0"/>
                                  </a:rPr>
                                  <m:t>𝑥</m:t>
                                </m:r>
                              </m:e>
                            </m:d>
                          </m:e>
                          <m:sup>
                            <m:r>
                              <a:rPr lang="en-IN" sz="1100" b="0" i="1">
                                <a:solidFill>
                                  <a:srgbClr val="7030A0"/>
                                </a:solidFill>
                                <a:latin typeface="Cambria Math" panose="02040503050406030204" pitchFamily="18" charset="0"/>
                              </a:rPr>
                              <m:t>2</m:t>
                            </m:r>
                          </m:sup>
                        </m:sSup>
                      </m:den>
                    </m:f>
                  </m:oMath>
                </m:oMathPara>
              </a14:m>
              <a:endParaRPr lang="en-IN" sz="1100">
                <a:solidFill>
                  <a:srgbClr val="7030A0"/>
                </a:solidFill>
              </a:endParaRPr>
            </a:p>
          </xdr:txBody>
        </xdr:sp>
      </mc:Choice>
      <mc:Fallback xmlns="">
        <xdr:sp macro="" textlink="">
          <xdr:nvSpPr>
            <xdr:cNvPr id="3" name="TextBox 2">
              <a:extLst>
                <a:ext uri="{FF2B5EF4-FFF2-40B4-BE49-F238E27FC236}">
                  <a16:creationId xmlns:a16="http://schemas.microsoft.com/office/drawing/2014/main" id="{814154D2-607C-44B3-917B-434708F6B14D}"/>
                </a:ext>
              </a:extLst>
            </xdr:cNvPr>
            <xdr:cNvSpPr txBox="1"/>
          </xdr:nvSpPr>
          <xdr:spPr>
            <a:xfrm>
              <a:off x="5120640" y="476250"/>
              <a:ext cx="1799467" cy="369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IN" sz="1100" b="0" i="0">
                  <a:solidFill>
                    <a:srgbClr val="7030A0"/>
                  </a:solidFill>
                  <a:latin typeface="Cambria Math" panose="02040503050406030204" pitchFamily="18" charset="0"/>
                </a:rPr>
                <a:t>𝑎=((∑𝑦)(∑𝑥^2 )−(∑𝑥)(∑𝑥𝑦))/(𝑛∗(∑𝑥^2 )−(∑𝑥)^2 )</a:t>
              </a:r>
              <a:endParaRPr lang="en-IN" sz="1100">
                <a:solidFill>
                  <a:srgbClr val="7030A0"/>
                </a:solidFill>
              </a:endParaRPr>
            </a:p>
          </xdr:txBody>
        </xdr:sp>
      </mc:Fallback>
    </mc:AlternateContent>
    <xdr:clientData/>
  </xdr:oneCellAnchor>
  <xdr:oneCellAnchor>
    <xdr:from>
      <xdr:col>20</xdr:col>
      <xdr:colOff>123825</xdr:colOff>
      <xdr:row>2</xdr:row>
      <xdr:rowOff>133350</xdr:rowOff>
    </xdr:from>
    <xdr:ext cx="1645387" cy="357021"/>
    <mc:AlternateContent xmlns:mc="http://schemas.openxmlformats.org/markup-compatibility/2006" xmlns:a14="http://schemas.microsoft.com/office/drawing/2010/main">
      <mc:Choice Requires="a14">
        <xdr:sp macro="" textlink="">
          <xdr:nvSpPr>
            <xdr:cNvPr id="5" name="TextBox 4">
              <a:extLst>
                <a:ext uri="{FF2B5EF4-FFF2-40B4-BE49-F238E27FC236}">
                  <a16:creationId xmlns="" xmlns:a16="http://schemas.microsoft.com/office/drawing/2014/main" id="{00000000-0008-0000-0F00-000005000000}"/>
                </a:ext>
              </a:extLst>
            </xdr:cNvPr>
            <xdr:cNvSpPr txBox="1"/>
          </xdr:nvSpPr>
          <xdr:spPr>
            <a:xfrm>
              <a:off x="10239375" y="514350"/>
              <a:ext cx="1645387" cy="357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b="0" i="1">
                        <a:solidFill>
                          <a:srgbClr val="7030A0"/>
                        </a:solidFill>
                        <a:latin typeface="Cambria Math" panose="02040503050406030204" pitchFamily="18" charset="0"/>
                      </a:rPr>
                      <m:t>𝑏</m:t>
                    </m:r>
                    <m:r>
                      <a:rPr lang="en-IN" sz="1100" b="0" i="1">
                        <a:solidFill>
                          <a:srgbClr val="7030A0"/>
                        </a:solidFill>
                        <a:latin typeface="Cambria Math" panose="02040503050406030204" pitchFamily="18" charset="0"/>
                      </a:rPr>
                      <m:t>=</m:t>
                    </m:r>
                    <m:f>
                      <m:fPr>
                        <m:ctrlPr>
                          <a:rPr lang="en-IN" sz="1100" b="0" i="1">
                            <a:solidFill>
                              <a:srgbClr val="7030A0"/>
                            </a:solidFill>
                            <a:latin typeface="Cambria Math" panose="02040503050406030204" pitchFamily="18" charset="0"/>
                          </a:rPr>
                        </m:ctrlPr>
                      </m:fPr>
                      <m:num>
                        <m:r>
                          <a:rPr lang="en-IN" sz="1100" b="0" i="1">
                            <a:solidFill>
                              <a:srgbClr val="7030A0"/>
                            </a:solidFill>
                            <a:latin typeface="Cambria Math" panose="02040503050406030204" pitchFamily="18" charset="0"/>
                          </a:rPr>
                          <m:t>𝑛</m:t>
                        </m:r>
                        <m:r>
                          <a:rPr lang="en-IN" sz="1100" b="0" i="1">
                            <a:solidFill>
                              <a:srgbClr val="7030A0"/>
                            </a:solidFill>
                            <a:latin typeface="Cambria Math" panose="02040503050406030204" pitchFamily="18" charset="0"/>
                          </a:rPr>
                          <m:t>∗</m:t>
                        </m:r>
                        <m:d>
                          <m:dPr>
                            <m:ctrlPr>
                              <a:rPr lang="en-IN" sz="1100" b="0" i="1">
                                <a:solidFill>
                                  <a:srgbClr val="7030A0"/>
                                </a:solidFill>
                                <a:latin typeface="Cambria Math" panose="02040503050406030204" pitchFamily="18" charset="0"/>
                              </a:rPr>
                            </m:ctrlPr>
                          </m:dPr>
                          <m:e>
                            <m:r>
                              <a:rPr lang="en-IN" sz="1100" b="0" i="1">
                                <a:solidFill>
                                  <a:srgbClr val="7030A0"/>
                                </a:solidFill>
                                <a:latin typeface="Cambria Math" panose="02040503050406030204" pitchFamily="18" charset="0"/>
                              </a:rPr>
                              <m:t>∑</m:t>
                            </m:r>
                            <m:r>
                              <a:rPr lang="en-IN" sz="1100" b="0" i="1">
                                <a:solidFill>
                                  <a:srgbClr val="7030A0"/>
                                </a:solidFill>
                                <a:latin typeface="Cambria Math" panose="02040503050406030204" pitchFamily="18" charset="0"/>
                              </a:rPr>
                              <m:t>𝑥𝑦</m:t>
                            </m:r>
                          </m:e>
                        </m:d>
                        <m:r>
                          <a:rPr lang="en-IN" sz="1100" b="0" i="1">
                            <a:solidFill>
                              <a:srgbClr val="7030A0"/>
                            </a:solidFill>
                            <a:latin typeface="Cambria Math" panose="02040503050406030204" pitchFamily="18" charset="0"/>
                          </a:rPr>
                          <m:t>−(∑</m:t>
                        </m:r>
                        <m:r>
                          <a:rPr lang="en-IN" sz="1100" b="0" i="1">
                            <a:solidFill>
                              <a:srgbClr val="7030A0"/>
                            </a:solidFill>
                            <a:latin typeface="Cambria Math" panose="02040503050406030204" pitchFamily="18" charset="0"/>
                          </a:rPr>
                          <m:t>𝑥</m:t>
                        </m:r>
                        <m:r>
                          <a:rPr lang="en-IN" sz="1100" b="0" i="1">
                            <a:solidFill>
                              <a:srgbClr val="7030A0"/>
                            </a:solidFill>
                            <a:latin typeface="Cambria Math" panose="02040503050406030204" pitchFamily="18" charset="0"/>
                          </a:rPr>
                          <m:t>)(∑</m:t>
                        </m:r>
                        <m:r>
                          <a:rPr lang="en-IN" sz="1100" b="0" i="1">
                            <a:solidFill>
                              <a:srgbClr val="7030A0"/>
                            </a:solidFill>
                            <a:latin typeface="Cambria Math" panose="02040503050406030204" pitchFamily="18" charset="0"/>
                          </a:rPr>
                          <m:t>𝑦</m:t>
                        </m:r>
                        <m:r>
                          <a:rPr lang="en-IN" sz="1100" b="0" i="1">
                            <a:solidFill>
                              <a:srgbClr val="7030A0"/>
                            </a:solidFill>
                            <a:latin typeface="Cambria Math" panose="02040503050406030204" pitchFamily="18" charset="0"/>
                          </a:rPr>
                          <m:t>)</m:t>
                        </m:r>
                      </m:num>
                      <m:den>
                        <m:r>
                          <a:rPr lang="en-IN" sz="1100" b="0" i="1">
                            <a:solidFill>
                              <a:srgbClr val="7030A0"/>
                            </a:solidFill>
                            <a:latin typeface="Cambria Math" panose="02040503050406030204" pitchFamily="18" charset="0"/>
                          </a:rPr>
                          <m:t>𝑛</m:t>
                        </m:r>
                        <m:r>
                          <a:rPr lang="en-IN" sz="1100" b="0" i="1">
                            <a:solidFill>
                              <a:srgbClr val="7030A0"/>
                            </a:solidFill>
                            <a:latin typeface="Cambria Math" panose="02040503050406030204" pitchFamily="18" charset="0"/>
                          </a:rPr>
                          <m:t>∗</m:t>
                        </m:r>
                        <m:d>
                          <m:dPr>
                            <m:ctrlPr>
                              <a:rPr lang="en-IN" sz="1100" b="0" i="1">
                                <a:solidFill>
                                  <a:srgbClr val="7030A0"/>
                                </a:solidFill>
                                <a:latin typeface="Cambria Math" panose="02040503050406030204" pitchFamily="18" charset="0"/>
                              </a:rPr>
                            </m:ctrlPr>
                          </m:dPr>
                          <m:e>
                            <m:r>
                              <a:rPr lang="en-IN" sz="1100" b="0" i="1">
                                <a:solidFill>
                                  <a:srgbClr val="7030A0"/>
                                </a:solidFill>
                                <a:latin typeface="Cambria Math" panose="02040503050406030204" pitchFamily="18" charset="0"/>
                              </a:rPr>
                              <m:t>∑</m:t>
                            </m:r>
                            <m:sSup>
                              <m:sSupPr>
                                <m:ctrlPr>
                                  <a:rPr lang="en-IN" sz="1100" b="0" i="1">
                                    <a:solidFill>
                                      <a:srgbClr val="7030A0"/>
                                    </a:solidFill>
                                    <a:latin typeface="Cambria Math" panose="02040503050406030204" pitchFamily="18" charset="0"/>
                                  </a:rPr>
                                </m:ctrlPr>
                              </m:sSupPr>
                              <m:e>
                                <m:r>
                                  <a:rPr lang="en-IN" sz="1100" b="0" i="1">
                                    <a:solidFill>
                                      <a:srgbClr val="7030A0"/>
                                    </a:solidFill>
                                    <a:latin typeface="Cambria Math" panose="02040503050406030204" pitchFamily="18" charset="0"/>
                                  </a:rPr>
                                  <m:t>𝑥</m:t>
                                </m:r>
                              </m:e>
                              <m:sup>
                                <m:r>
                                  <a:rPr lang="en-IN" sz="1100" b="0" i="1">
                                    <a:solidFill>
                                      <a:srgbClr val="7030A0"/>
                                    </a:solidFill>
                                    <a:latin typeface="Cambria Math" panose="02040503050406030204" pitchFamily="18" charset="0"/>
                                  </a:rPr>
                                  <m:t>2</m:t>
                                </m:r>
                              </m:sup>
                            </m:sSup>
                          </m:e>
                        </m:d>
                        <m:r>
                          <a:rPr lang="en-IN" sz="1100" b="0" i="1">
                            <a:solidFill>
                              <a:srgbClr val="7030A0"/>
                            </a:solidFill>
                            <a:latin typeface="Cambria Math" panose="02040503050406030204" pitchFamily="18" charset="0"/>
                          </a:rPr>
                          <m:t>−</m:t>
                        </m:r>
                        <m:sSup>
                          <m:sSupPr>
                            <m:ctrlPr>
                              <a:rPr lang="en-IN" sz="1100" b="0" i="1">
                                <a:solidFill>
                                  <a:srgbClr val="7030A0"/>
                                </a:solidFill>
                                <a:latin typeface="Cambria Math" panose="02040503050406030204" pitchFamily="18" charset="0"/>
                              </a:rPr>
                            </m:ctrlPr>
                          </m:sSupPr>
                          <m:e>
                            <m:d>
                              <m:dPr>
                                <m:ctrlPr>
                                  <a:rPr lang="en-IN" sz="1100" b="0" i="1">
                                    <a:solidFill>
                                      <a:srgbClr val="7030A0"/>
                                    </a:solidFill>
                                    <a:latin typeface="Cambria Math" panose="02040503050406030204" pitchFamily="18" charset="0"/>
                                  </a:rPr>
                                </m:ctrlPr>
                              </m:dPr>
                              <m:e>
                                <m:r>
                                  <a:rPr lang="en-IN" sz="1100" b="0" i="1">
                                    <a:solidFill>
                                      <a:srgbClr val="7030A0"/>
                                    </a:solidFill>
                                    <a:latin typeface="Cambria Math" panose="02040503050406030204" pitchFamily="18" charset="0"/>
                                  </a:rPr>
                                  <m:t>∑</m:t>
                                </m:r>
                                <m:r>
                                  <a:rPr lang="en-IN" sz="1100" b="0" i="1">
                                    <a:solidFill>
                                      <a:srgbClr val="7030A0"/>
                                    </a:solidFill>
                                    <a:latin typeface="Cambria Math" panose="02040503050406030204" pitchFamily="18" charset="0"/>
                                  </a:rPr>
                                  <m:t>𝑥</m:t>
                                </m:r>
                              </m:e>
                            </m:d>
                          </m:e>
                          <m:sup>
                            <m:r>
                              <a:rPr lang="en-IN" sz="1100" b="0" i="1">
                                <a:solidFill>
                                  <a:srgbClr val="7030A0"/>
                                </a:solidFill>
                                <a:latin typeface="Cambria Math" panose="02040503050406030204" pitchFamily="18" charset="0"/>
                              </a:rPr>
                              <m:t>2</m:t>
                            </m:r>
                          </m:sup>
                        </m:sSup>
                      </m:den>
                    </m:f>
                  </m:oMath>
                </m:oMathPara>
              </a14:m>
              <a:endParaRPr lang="en-IN" sz="1100">
                <a:solidFill>
                  <a:srgbClr val="7030A0"/>
                </a:solidFill>
              </a:endParaRPr>
            </a:p>
          </xdr:txBody>
        </xdr:sp>
      </mc:Choice>
      <mc:Fallback xmlns="">
        <xdr:sp macro="" textlink="">
          <xdr:nvSpPr>
            <xdr:cNvPr id="5" name="TextBox 4">
              <a:extLst>
                <a:ext uri="{FF2B5EF4-FFF2-40B4-BE49-F238E27FC236}">
                  <a16:creationId xmlns:a16="http://schemas.microsoft.com/office/drawing/2014/main" id="{F5251B3A-D7E5-4A0F-B595-E83493CB8F64}"/>
                </a:ext>
              </a:extLst>
            </xdr:cNvPr>
            <xdr:cNvSpPr txBox="1"/>
          </xdr:nvSpPr>
          <xdr:spPr>
            <a:xfrm>
              <a:off x="10239375" y="514350"/>
              <a:ext cx="1645387" cy="3570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IN" sz="1100" b="0" i="0">
                  <a:solidFill>
                    <a:srgbClr val="7030A0"/>
                  </a:solidFill>
                  <a:latin typeface="Cambria Math" panose="02040503050406030204" pitchFamily="18" charset="0"/>
                </a:rPr>
                <a:t>𝑏=(𝑛∗(∑𝑥𝑦)−(∑𝑥)(∑𝑦))/(𝑛∗(∑𝑥^2 )−(∑𝑥)^2 )</a:t>
              </a:r>
              <a:endParaRPr lang="en-IN" sz="1100">
                <a:solidFill>
                  <a:srgbClr val="7030A0"/>
                </a:solidFill>
              </a:endParaRPr>
            </a:p>
          </xdr:txBody>
        </xdr:sp>
      </mc:Fallback>
    </mc:AlternateContent>
    <xdr:clientData/>
  </xdr:oneCellAnchor>
  <xdr:twoCellAnchor editAs="oneCell">
    <xdr:from>
      <xdr:col>0</xdr:col>
      <xdr:colOff>0</xdr:colOff>
      <xdr:row>18</xdr:row>
      <xdr:rowOff>66675</xdr:rowOff>
    </xdr:from>
    <xdr:to>
      <xdr:col>16</xdr:col>
      <xdr:colOff>85725</xdr:colOff>
      <xdr:row>32</xdr:row>
      <xdr:rowOff>152056</xdr:rowOff>
    </xdr:to>
    <xdr:pic>
      <xdr:nvPicPr>
        <xdr:cNvPr id="6" name="Picture 5">
          <a:extLst>
            <a:ext uri="{FF2B5EF4-FFF2-40B4-BE49-F238E27FC236}">
              <a16:creationId xmlns="" xmlns:a16="http://schemas.microsoft.com/office/drawing/2014/main" id="{00000000-0008-0000-0F00-000006000000}"/>
            </a:ext>
          </a:extLst>
        </xdr:cNvPr>
        <xdr:cNvPicPr>
          <a:picLocks noChangeAspect="1"/>
        </xdr:cNvPicPr>
      </xdr:nvPicPr>
      <xdr:blipFill>
        <a:blip xmlns:r="http://schemas.openxmlformats.org/officeDocument/2006/relationships" r:embed="rId1"/>
        <a:stretch>
          <a:fillRect/>
        </a:stretch>
      </xdr:blipFill>
      <xdr:spPr>
        <a:xfrm>
          <a:off x="0" y="3495675"/>
          <a:ext cx="9839325" cy="2752381"/>
        </a:xfrm>
        <a:prstGeom prst="rect">
          <a:avLst/>
        </a:prstGeom>
      </xdr:spPr>
    </xdr:pic>
    <xdr:clientData/>
  </xdr:twoCellAnchor>
  <xdr:twoCellAnchor editAs="oneCell">
    <xdr:from>
      <xdr:col>29</xdr:col>
      <xdr:colOff>514350</xdr:colOff>
      <xdr:row>1</xdr:row>
      <xdr:rowOff>76200</xdr:rowOff>
    </xdr:from>
    <xdr:to>
      <xdr:col>30</xdr:col>
      <xdr:colOff>742949</xdr:colOff>
      <xdr:row>5</xdr:row>
      <xdr:rowOff>152399</xdr:rowOff>
    </xdr:to>
    <xdr:pic>
      <xdr:nvPicPr>
        <xdr:cNvPr id="7" name="Picture 6">
          <a:hlinkClick xmlns:r="http://schemas.openxmlformats.org/officeDocument/2006/relationships" r:id="rId2"/>
          <a:extLst>
            <a:ext uri="{FF2B5EF4-FFF2-40B4-BE49-F238E27FC236}">
              <a16:creationId xmlns="" xmlns:a16="http://schemas.microsoft.com/office/drawing/2014/main" id="{00000000-0008-0000-0F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449675" y="266700"/>
          <a:ext cx="838199" cy="83819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15</xdr:col>
      <xdr:colOff>104775</xdr:colOff>
      <xdr:row>0</xdr:row>
      <xdr:rowOff>152400</xdr:rowOff>
    </xdr:from>
    <xdr:to>
      <xdr:col>16</xdr:col>
      <xdr:colOff>333374</xdr:colOff>
      <xdr:row>5</xdr:row>
      <xdr:rowOff>38099</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1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944475" y="152400"/>
          <a:ext cx="838199" cy="83819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16</xdr:col>
      <xdr:colOff>61383</xdr:colOff>
      <xdr:row>12</xdr:row>
      <xdr:rowOff>124883</xdr:rowOff>
    </xdr:from>
    <xdr:ext cx="1818896" cy="63184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11650133" y="2410883"/>
              <a:ext cx="1818896" cy="631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100" b="1" i="1">
                        <a:solidFill>
                          <a:srgbClr val="7030A0"/>
                        </a:solidFill>
                        <a:effectLst/>
                        <a:latin typeface="Cambria Math" panose="02040503050406030204" pitchFamily="18" charset="0"/>
                        <a:ea typeface="+mn-ea"/>
                        <a:cs typeface="+mn-cs"/>
                      </a:rPr>
                      <m:t>𝐼𝑛𝑓𝑜</m:t>
                    </m:r>
                    <m:r>
                      <a:rPr lang="en-US" sz="1100" b="1" i="1">
                        <a:solidFill>
                          <a:srgbClr val="7030A0"/>
                        </a:solidFill>
                        <a:effectLst/>
                        <a:latin typeface="Cambria Math" panose="02040503050406030204" pitchFamily="18" charset="0"/>
                        <a:ea typeface="+mn-ea"/>
                        <a:cs typeface="+mn-cs"/>
                      </a:rPr>
                      <m:t>(</m:t>
                    </m:r>
                    <m:r>
                      <a:rPr lang="en-US" sz="1100" b="1" i="1">
                        <a:solidFill>
                          <a:srgbClr val="7030A0"/>
                        </a:solidFill>
                        <a:effectLst/>
                        <a:latin typeface="Cambria Math" panose="02040503050406030204" pitchFamily="18" charset="0"/>
                        <a:ea typeface="+mn-ea"/>
                        <a:cs typeface="+mn-cs"/>
                      </a:rPr>
                      <m:t>𝐷</m:t>
                    </m:r>
                    <m:r>
                      <a:rPr lang="en-US" sz="1100" b="1" i="1">
                        <a:solidFill>
                          <a:srgbClr val="7030A0"/>
                        </a:solidFill>
                        <a:effectLst/>
                        <a:latin typeface="Cambria Math" panose="02040503050406030204" pitchFamily="18" charset="0"/>
                        <a:ea typeface="+mn-ea"/>
                        <a:cs typeface="+mn-cs"/>
                      </a:rPr>
                      <m:t>)=−</m:t>
                    </m:r>
                    <m:nary>
                      <m:naryPr>
                        <m:chr m:val="∑"/>
                        <m:limLoc m:val="undOvr"/>
                        <m:grow m:val="on"/>
                        <m:ctrlPr>
                          <a:rPr lang="en-IN" sz="1100" b="1" i="1">
                            <a:solidFill>
                              <a:srgbClr val="7030A0"/>
                            </a:solidFill>
                            <a:effectLst/>
                            <a:latin typeface="Cambria Math" panose="02040503050406030204" pitchFamily="18" charset="0"/>
                            <a:ea typeface="+mn-ea"/>
                            <a:cs typeface="+mn-cs"/>
                          </a:rPr>
                        </m:ctrlPr>
                      </m:naryPr>
                      <m:sub>
                        <m:r>
                          <a:rPr lang="en-US" sz="1100" b="1" i="1">
                            <a:solidFill>
                              <a:srgbClr val="7030A0"/>
                            </a:solidFill>
                            <a:effectLst/>
                            <a:latin typeface="Cambria Math" panose="02040503050406030204" pitchFamily="18" charset="0"/>
                            <a:ea typeface="+mn-ea"/>
                            <a:cs typeface="+mn-cs"/>
                          </a:rPr>
                          <m:t>𝑖</m:t>
                        </m:r>
                        <m:r>
                          <a:rPr lang="en-US" sz="1100" b="1" i="1">
                            <a:solidFill>
                              <a:srgbClr val="7030A0"/>
                            </a:solidFill>
                            <a:effectLst/>
                            <a:latin typeface="Cambria Math" panose="02040503050406030204" pitchFamily="18" charset="0"/>
                            <a:ea typeface="+mn-ea"/>
                            <a:cs typeface="+mn-cs"/>
                          </a:rPr>
                          <m:t>=1</m:t>
                        </m:r>
                      </m:sub>
                      <m:sup>
                        <m:r>
                          <a:rPr lang="en-US" sz="1100" b="1" i="1">
                            <a:solidFill>
                              <a:srgbClr val="7030A0"/>
                            </a:solidFill>
                            <a:effectLst/>
                            <a:latin typeface="Cambria Math" panose="02040503050406030204" pitchFamily="18" charset="0"/>
                            <a:ea typeface="+mn-ea"/>
                            <a:cs typeface="+mn-cs"/>
                          </a:rPr>
                          <m:t>𝑚</m:t>
                        </m:r>
                      </m:sup>
                      <m:e>
                        <m:sSub>
                          <m:sSubPr>
                            <m:ctrlPr>
                              <a:rPr lang="en-IN" sz="1100" b="1" i="1">
                                <a:solidFill>
                                  <a:srgbClr val="7030A0"/>
                                </a:solidFill>
                                <a:effectLst/>
                                <a:latin typeface="Cambria Math" panose="02040503050406030204" pitchFamily="18" charset="0"/>
                                <a:ea typeface="+mn-ea"/>
                                <a:cs typeface="+mn-cs"/>
                              </a:rPr>
                            </m:ctrlPr>
                          </m:sSubPr>
                          <m:e>
                            <m:r>
                              <a:rPr lang="en-US" sz="1100" b="1" i="1">
                                <a:solidFill>
                                  <a:srgbClr val="7030A0"/>
                                </a:solidFill>
                                <a:effectLst/>
                                <a:latin typeface="Cambria Math" panose="02040503050406030204" pitchFamily="18" charset="0"/>
                                <a:ea typeface="+mn-ea"/>
                                <a:cs typeface="+mn-cs"/>
                              </a:rPr>
                              <m:t>𝑝</m:t>
                            </m:r>
                          </m:e>
                          <m:sub>
                            <m:r>
                              <a:rPr lang="en-US" sz="1100" b="1" i="1">
                                <a:solidFill>
                                  <a:srgbClr val="7030A0"/>
                                </a:solidFill>
                                <a:effectLst/>
                                <a:latin typeface="Cambria Math" panose="02040503050406030204" pitchFamily="18" charset="0"/>
                                <a:ea typeface="+mn-ea"/>
                                <a:cs typeface="+mn-cs"/>
                              </a:rPr>
                              <m:t>𝑖</m:t>
                            </m:r>
                          </m:sub>
                        </m:sSub>
                        <m:func>
                          <m:funcPr>
                            <m:ctrlPr>
                              <a:rPr lang="en-IN" sz="1100" b="1" i="1">
                                <a:solidFill>
                                  <a:srgbClr val="7030A0"/>
                                </a:solidFill>
                                <a:effectLst/>
                                <a:latin typeface="Cambria Math" panose="02040503050406030204" pitchFamily="18" charset="0"/>
                                <a:ea typeface="+mn-ea"/>
                                <a:cs typeface="+mn-cs"/>
                              </a:rPr>
                            </m:ctrlPr>
                          </m:funcPr>
                          <m:fName>
                            <m:sSub>
                              <m:sSubPr>
                                <m:ctrlPr>
                                  <a:rPr lang="en-IN" sz="1100" b="1" i="1">
                                    <a:solidFill>
                                      <a:srgbClr val="7030A0"/>
                                    </a:solidFill>
                                    <a:effectLst/>
                                    <a:latin typeface="Cambria Math" panose="02040503050406030204" pitchFamily="18" charset="0"/>
                                    <a:ea typeface="+mn-ea"/>
                                    <a:cs typeface="+mn-cs"/>
                                  </a:rPr>
                                </m:ctrlPr>
                              </m:sSubPr>
                              <m:e>
                                <m:r>
                                  <a:rPr lang="en-US" sz="1100" b="1" i="1">
                                    <a:solidFill>
                                      <a:srgbClr val="7030A0"/>
                                    </a:solidFill>
                                    <a:effectLst/>
                                    <a:latin typeface="Cambria Math" panose="02040503050406030204" pitchFamily="18" charset="0"/>
                                    <a:ea typeface="+mn-ea"/>
                                    <a:cs typeface="+mn-cs"/>
                                  </a:rPr>
                                  <m:t>𝑙𝑜𝑔</m:t>
                                </m:r>
                              </m:e>
                              <m:sub>
                                <m:r>
                                  <a:rPr lang="en-US" sz="1100" b="1" i="1">
                                    <a:solidFill>
                                      <a:srgbClr val="7030A0"/>
                                    </a:solidFill>
                                    <a:effectLst/>
                                    <a:latin typeface="Cambria Math" panose="02040503050406030204" pitchFamily="18" charset="0"/>
                                    <a:ea typeface="+mn-ea"/>
                                    <a:cs typeface="+mn-cs"/>
                                  </a:rPr>
                                  <m:t>2</m:t>
                                </m:r>
                              </m:sub>
                            </m:sSub>
                          </m:fName>
                          <m:e>
                            <m:d>
                              <m:dPr>
                                <m:endChr m:val=""/>
                                <m:ctrlPr>
                                  <a:rPr lang="en-IN" sz="1100" b="1" i="1">
                                    <a:solidFill>
                                      <a:srgbClr val="7030A0"/>
                                    </a:solidFill>
                                    <a:effectLst/>
                                    <a:latin typeface="Cambria Math" panose="02040503050406030204" pitchFamily="18" charset="0"/>
                                    <a:ea typeface="+mn-ea"/>
                                    <a:cs typeface="+mn-cs"/>
                                  </a:rPr>
                                </m:ctrlPr>
                              </m:dPr>
                              <m:e>
                                <m:sSub>
                                  <m:sSubPr>
                                    <m:ctrlPr>
                                      <a:rPr lang="en-IN" sz="1100" b="1" i="1">
                                        <a:solidFill>
                                          <a:srgbClr val="7030A0"/>
                                        </a:solidFill>
                                        <a:effectLst/>
                                        <a:latin typeface="Cambria Math" panose="02040503050406030204" pitchFamily="18" charset="0"/>
                                        <a:ea typeface="+mn-ea"/>
                                        <a:cs typeface="+mn-cs"/>
                                      </a:rPr>
                                    </m:ctrlPr>
                                  </m:sSubPr>
                                  <m:e>
                                    <m:r>
                                      <a:rPr lang="en-US" sz="1100" b="1" i="1">
                                        <a:solidFill>
                                          <a:srgbClr val="7030A0"/>
                                        </a:solidFill>
                                        <a:effectLst/>
                                        <a:latin typeface="Cambria Math" panose="02040503050406030204" pitchFamily="18" charset="0"/>
                                        <a:ea typeface="+mn-ea"/>
                                        <a:cs typeface="+mn-cs"/>
                                      </a:rPr>
                                      <m:t>𝑝</m:t>
                                    </m:r>
                                  </m:e>
                                  <m:sub>
                                    <m:r>
                                      <a:rPr lang="en-US" sz="1100" b="1" i="1">
                                        <a:solidFill>
                                          <a:srgbClr val="7030A0"/>
                                        </a:solidFill>
                                        <a:effectLst/>
                                        <a:latin typeface="Cambria Math" panose="02040503050406030204" pitchFamily="18" charset="0"/>
                                        <a:ea typeface="+mn-ea"/>
                                        <a:cs typeface="+mn-cs"/>
                                      </a:rPr>
                                      <m:t>𝑖</m:t>
                                    </m:r>
                                  </m:sub>
                                </m:sSub>
                                <m:r>
                                  <a:rPr lang="en-US" sz="1100" b="1" i="1">
                                    <a:solidFill>
                                      <a:srgbClr val="7030A0"/>
                                    </a:solidFill>
                                    <a:effectLst/>
                                    <a:latin typeface="Cambria Math" panose="02040503050406030204" pitchFamily="18" charset="0"/>
                                    <a:ea typeface="+mn-ea"/>
                                    <a:cs typeface="+mn-cs"/>
                                  </a:rPr>
                                  <m:t>)</m:t>
                                </m:r>
                              </m:e>
                            </m:d>
                          </m:e>
                        </m:func>
                      </m:e>
                    </m:nary>
                  </m:oMath>
                </m:oMathPara>
              </a14:m>
              <a:endParaRPr lang="en-IN" sz="1100" b="1">
                <a:solidFill>
                  <a:srgbClr val="7030A0"/>
                </a:solidFill>
                <a:effectLst/>
                <a:latin typeface="+mn-lt"/>
                <a:ea typeface="+mn-ea"/>
                <a:cs typeface="+mn-cs"/>
              </a:endParaRPr>
            </a:p>
            <a:p>
              <a:endParaRPr lang="en-IN" sz="1100">
                <a:solidFill>
                  <a:srgbClr val="7030A0"/>
                </a:solidFill>
              </a:endParaRPr>
            </a:p>
          </xdr:txBody>
        </xdr:sp>
      </mc:Choice>
      <mc:Fallback xmlns="">
        <xdr:sp macro="" textlink="">
          <xdr:nvSpPr>
            <xdr:cNvPr id="2" name="TextBox 1">
              <a:extLst>
                <a:ext uri="{FF2B5EF4-FFF2-40B4-BE49-F238E27FC236}">
                  <a16:creationId xmlns:a16="http://schemas.microsoft.com/office/drawing/2014/main" id="{BED02B93-D20B-43A0-81DC-77EFF6B9ED65}"/>
                </a:ext>
              </a:extLst>
            </xdr:cNvPr>
            <xdr:cNvSpPr txBox="1"/>
          </xdr:nvSpPr>
          <xdr:spPr>
            <a:xfrm>
              <a:off x="11650133" y="2410883"/>
              <a:ext cx="1818896" cy="631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rgbClr val="7030A0"/>
                  </a:solidFill>
                  <a:effectLst/>
                  <a:latin typeface="+mn-lt"/>
                  <a:ea typeface="+mn-ea"/>
                  <a:cs typeface="+mn-cs"/>
                </a:rPr>
                <a:t>𝐼𝑛𝑓𝑜(𝐷)=−</a:t>
              </a:r>
              <a:r>
                <a:rPr lang="en-IN" sz="1100" b="1" i="0">
                  <a:solidFill>
                    <a:srgbClr val="7030A0"/>
                  </a:solidFill>
                  <a:effectLst/>
                  <a:latin typeface="+mn-lt"/>
                  <a:ea typeface="+mn-ea"/>
                  <a:cs typeface="+mn-cs"/>
                </a:rPr>
                <a:t>∑129</a:t>
              </a:r>
              <a:r>
                <a:rPr lang="en-US" sz="1100" b="1" i="0">
                  <a:solidFill>
                    <a:srgbClr val="7030A0"/>
                  </a:solidFill>
                  <a:effectLst/>
                  <a:latin typeface="+mn-lt"/>
                  <a:ea typeface="+mn-ea"/>
                  <a:cs typeface="+mn-cs"/>
                </a:rPr>
                <a:t>_</a:t>
              </a:r>
              <a:r>
                <a:rPr lang="en-IN" sz="1100" b="1" i="0">
                  <a:solidFill>
                    <a:srgbClr val="7030A0"/>
                  </a:solidFill>
                  <a:effectLst/>
                  <a:latin typeface="+mn-lt"/>
                  <a:ea typeface="+mn-ea"/>
                  <a:cs typeface="+mn-cs"/>
                </a:rPr>
                <a:t>(</a:t>
              </a:r>
              <a:r>
                <a:rPr lang="en-US" sz="1100" b="1" i="0">
                  <a:solidFill>
                    <a:srgbClr val="7030A0"/>
                  </a:solidFill>
                  <a:effectLst/>
                  <a:latin typeface="+mn-lt"/>
                  <a:ea typeface="+mn-ea"/>
                  <a:cs typeface="+mn-cs"/>
                </a:rPr>
                <a:t>𝑖=1</a:t>
              </a:r>
              <a:r>
                <a:rPr lang="en-IN" sz="1100" b="1" i="0">
                  <a:solidFill>
                    <a:srgbClr val="7030A0"/>
                  </a:solidFill>
                  <a:effectLst/>
                  <a:latin typeface="+mn-lt"/>
                  <a:ea typeface="+mn-ea"/>
                  <a:cs typeface="+mn-cs"/>
                </a:rPr>
                <a:t>)</a:t>
              </a:r>
              <a:r>
                <a:rPr lang="en-US" sz="1100" b="1" i="0">
                  <a:solidFill>
                    <a:srgbClr val="7030A0"/>
                  </a:solidFill>
                  <a:effectLst/>
                  <a:latin typeface="+mn-lt"/>
                  <a:ea typeface="+mn-ea"/>
                  <a:cs typeface="+mn-cs"/>
                </a:rPr>
                <a:t>^𝑚▒〖𝑝</a:t>
              </a:r>
              <a:r>
                <a:rPr lang="en-IN" sz="1100" b="1" i="0">
                  <a:solidFill>
                    <a:srgbClr val="7030A0"/>
                  </a:solidFill>
                  <a:effectLst/>
                  <a:latin typeface="+mn-lt"/>
                  <a:ea typeface="+mn-ea"/>
                  <a:cs typeface="+mn-cs"/>
                </a:rPr>
                <a:t>_</a:t>
              </a:r>
              <a:r>
                <a:rPr lang="en-US" sz="1100" b="1" i="0">
                  <a:solidFill>
                    <a:srgbClr val="7030A0"/>
                  </a:solidFill>
                  <a:effectLst/>
                  <a:latin typeface="+mn-lt"/>
                  <a:ea typeface="+mn-ea"/>
                  <a:cs typeface="+mn-cs"/>
                </a:rPr>
                <a:t>𝑖</a:t>
              </a:r>
              <a:r>
                <a:rPr lang="en-IN" sz="1100" b="1" i="0">
                  <a:solidFill>
                    <a:srgbClr val="7030A0"/>
                  </a:solidFill>
                  <a:effectLst/>
                  <a:latin typeface="+mn-lt"/>
                  <a:ea typeface="+mn-ea"/>
                  <a:cs typeface="+mn-cs"/>
                </a:rPr>
                <a:t>  〖</a:t>
              </a:r>
              <a:r>
                <a:rPr lang="en-US" sz="1100" b="1" i="0">
                  <a:solidFill>
                    <a:srgbClr val="7030A0"/>
                  </a:solidFill>
                  <a:effectLst/>
                  <a:latin typeface="+mn-lt"/>
                  <a:ea typeface="+mn-ea"/>
                  <a:cs typeface="+mn-cs"/>
                </a:rPr>
                <a:t>𝑙𝑜𝑔</a:t>
              </a:r>
              <a:r>
                <a:rPr lang="en-IN" sz="1100" b="1" i="0">
                  <a:solidFill>
                    <a:srgbClr val="7030A0"/>
                  </a:solidFill>
                  <a:effectLst/>
                  <a:latin typeface="+mn-lt"/>
                  <a:ea typeface="+mn-ea"/>
                  <a:cs typeface="+mn-cs"/>
                </a:rPr>
                <a:t>〗_</a:t>
              </a:r>
              <a:r>
                <a:rPr lang="en-US" sz="1100" b="1" i="0">
                  <a:solidFill>
                    <a:srgbClr val="7030A0"/>
                  </a:solidFill>
                  <a:effectLst/>
                  <a:latin typeface="+mn-lt"/>
                  <a:ea typeface="+mn-ea"/>
                  <a:cs typeface="+mn-cs"/>
                </a:rPr>
                <a:t>2</a:t>
              </a:r>
              <a:r>
                <a:rPr lang="en-IN" sz="1100" b="1" i="0">
                  <a:solidFill>
                    <a:srgbClr val="7030A0"/>
                  </a:solidFill>
                  <a:effectLst/>
                  <a:latin typeface="+mn-lt"/>
                  <a:ea typeface="+mn-ea"/>
                  <a:cs typeface="+mn-cs"/>
                </a:rPr>
                <a:t>⁡(</a:t>
              </a:r>
              <a:r>
                <a:rPr lang="en-US" sz="1100" b="1" i="0">
                  <a:solidFill>
                    <a:srgbClr val="7030A0"/>
                  </a:solidFill>
                  <a:effectLst/>
                  <a:latin typeface="+mn-lt"/>
                  <a:ea typeface="+mn-ea"/>
                  <a:cs typeface="+mn-cs"/>
                </a:rPr>
                <a:t>𝑝</a:t>
              </a:r>
              <a:r>
                <a:rPr lang="en-IN" sz="1100" b="1" i="0">
                  <a:solidFill>
                    <a:srgbClr val="7030A0"/>
                  </a:solidFill>
                  <a:effectLst/>
                  <a:latin typeface="+mn-lt"/>
                  <a:ea typeface="+mn-ea"/>
                  <a:cs typeface="+mn-cs"/>
                </a:rPr>
                <a:t>_</a:t>
              </a:r>
              <a:r>
                <a:rPr lang="en-US" sz="1100" b="1" i="0">
                  <a:solidFill>
                    <a:srgbClr val="7030A0"/>
                  </a:solidFill>
                  <a:effectLst/>
                  <a:latin typeface="+mn-lt"/>
                  <a:ea typeface="+mn-ea"/>
                  <a:cs typeface="+mn-cs"/>
                </a:rPr>
                <a:t>𝑖)┤ 〗</a:t>
              </a:r>
              <a:endParaRPr lang="en-IN" sz="1100" b="1">
                <a:solidFill>
                  <a:srgbClr val="7030A0"/>
                </a:solidFill>
                <a:effectLst/>
                <a:latin typeface="+mn-lt"/>
                <a:ea typeface="+mn-ea"/>
                <a:cs typeface="+mn-cs"/>
              </a:endParaRPr>
            </a:p>
            <a:p>
              <a:endParaRPr lang="en-IN" sz="1100">
                <a:solidFill>
                  <a:srgbClr val="7030A0"/>
                </a:solidFill>
              </a:endParaRPr>
            </a:p>
          </xdr:txBody>
        </xdr:sp>
      </mc:Fallback>
    </mc:AlternateContent>
    <xdr:clientData/>
  </xdr:oneCellAnchor>
  <xdr:twoCellAnchor editAs="oneCell">
    <xdr:from>
      <xdr:col>12</xdr:col>
      <xdr:colOff>0</xdr:colOff>
      <xdr:row>7</xdr:row>
      <xdr:rowOff>0</xdr:rowOff>
    </xdr:from>
    <xdr:to>
      <xdr:col>13</xdr:col>
      <xdr:colOff>224365</xdr:colOff>
      <xdr:row>11</xdr:row>
      <xdr:rowOff>76199</xdr:rowOff>
    </xdr:to>
    <xdr:pic>
      <xdr:nvPicPr>
        <xdr:cNvPr id="3" name="Picture 2">
          <a:hlinkClick xmlns:r="http://schemas.openxmlformats.org/officeDocument/2006/relationships" r:id="rId1"/>
          <a:extLst>
            <a:ext uri="{FF2B5EF4-FFF2-40B4-BE49-F238E27FC236}">
              <a16:creationId xmlns="" xmlns:a16="http://schemas.microsoft.com/office/drawing/2014/main" id="{00000000-0008-0000-1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837333" y="1333500"/>
          <a:ext cx="838199" cy="8381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38100</xdr:colOff>
      <xdr:row>10</xdr:row>
      <xdr:rowOff>28574</xdr:rowOff>
    </xdr:from>
    <xdr:to>
      <xdr:col>6</xdr:col>
      <xdr:colOff>933450</xdr:colOff>
      <xdr:row>33</xdr:row>
      <xdr:rowOff>171449</xdr:rowOff>
    </xdr:to>
    <xdr:pic>
      <xdr:nvPicPr>
        <xdr:cNvPr id="2" name="Picture 1">
          <a:extLst>
            <a:ext uri="{FF2B5EF4-FFF2-40B4-BE49-F238E27FC236}">
              <a16:creationId xmlns="" xmlns:a16="http://schemas.microsoft.com/office/drawing/2014/main" id="{00000000-0008-0000-12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1933574"/>
          <a:ext cx="6457950" cy="4524375"/>
        </a:xfrm>
        <a:prstGeom prst="rect">
          <a:avLst/>
        </a:prstGeom>
        <a:noFill/>
        <a:ln>
          <a:noFill/>
        </a:ln>
      </xdr:spPr>
    </xdr:pic>
    <xdr:clientData/>
  </xdr:twoCellAnchor>
  <xdr:twoCellAnchor editAs="oneCell">
    <xdr:from>
      <xdr:col>7</xdr:col>
      <xdr:colOff>876300</xdr:colOff>
      <xdr:row>23</xdr:row>
      <xdr:rowOff>171450</xdr:rowOff>
    </xdr:from>
    <xdr:to>
      <xdr:col>9</xdr:col>
      <xdr:colOff>800100</xdr:colOff>
      <xdr:row>29</xdr:row>
      <xdr:rowOff>142875</xdr:rowOff>
    </xdr:to>
    <xdr:pic>
      <xdr:nvPicPr>
        <xdr:cNvPr id="3" name="Picture 2">
          <a:extLst>
            <a:ext uri="{FF2B5EF4-FFF2-40B4-BE49-F238E27FC236}">
              <a16:creationId xmlns="" xmlns:a16="http://schemas.microsoft.com/office/drawing/2014/main" id="{00000000-0008-0000-1200-000003000000}"/>
            </a:ext>
          </a:extLst>
        </xdr:cNvPr>
        <xdr:cNvPicPr/>
      </xdr:nvPicPr>
      <xdr:blipFill>
        <a:blip xmlns:r="http://schemas.openxmlformats.org/officeDocument/2006/relationships" r:embed="rId2"/>
        <a:stretch>
          <a:fillRect/>
        </a:stretch>
      </xdr:blipFill>
      <xdr:spPr>
        <a:xfrm>
          <a:off x="8753475" y="4552950"/>
          <a:ext cx="4286250" cy="1114425"/>
        </a:xfrm>
        <a:prstGeom prst="rect">
          <a:avLst/>
        </a:prstGeom>
      </xdr:spPr>
    </xdr:pic>
    <xdr:clientData/>
  </xdr:twoCellAnchor>
  <xdr:twoCellAnchor editAs="oneCell">
    <xdr:from>
      <xdr:col>6</xdr:col>
      <xdr:colOff>1247775</xdr:colOff>
      <xdr:row>12</xdr:row>
      <xdr:rowOff>38100</xdr:rowOff>
    </xdr:from>
    <xdr:to>
      <xdr:col>9</xdr:col>
      <xdr:colOff>1715770</xdr:colOff>
      <xdr:row>21</xdr:row>
      <xdr:rowOff>162560</xdr:rowOff>
    </xdr:to>
    <xdr:pic>
      <xdr:nvPicPr>
        <xdr:cNvPr id="4" name="Picture 3">
          <a:extLst>
            <a:ext uri="{FF2B5EF4-FFF2-40B4-BE49-F238E27FC236}">
              <a16:creationId xmlns="" xmlns:a16="http://schemas.microsoft.com/office/drawing/2014/main" id="{00000000-0008-0000-1200-000004000000}"/>
            </a:ext>
          </a:extLst>
        </xdr:cNvPr>
        <xdr:cNvPicPr/>
      </xdr:nvPicPr>
      <xdr:blipFill>
        <a:blip xmlns:r="http://schemas.openxmlformats.org/officeDocument/2006/relationships" r:embed="rId3"/>
        <a:stretch>
          <a:fillRect/>
        </a:stretch>
      </xdr:blipFill>
      <xdr:spPr>
        <a:xfrm>
          <a:off x="7572375" y="2895600"/>
          <a:ext cx="6383020" cy="1838960"/>
        </a:xfrm>
        <a:prstGeom prst="rect">
          <a:avLst/>
        </a:prstGeom>
      </xdr:spPr>
    </xdr:pic>
    <xdr:clientData/>
  </xdr:twoCellAnchor>
  <xdr:twoCellAnchor editAs="oneCell">
    <xdr:from>
      <xdr:col>5</xdr:col>
      <xdr:colOff>1228725</xdr:colOff>
      <xdr:row>0</xdr:row>
      <xdr:rowOff>180975</xdr:rowOff>
    </xdr:from>
    <xdr:to>
      <xdr:col>5</xdr:col>
      <xdr:colOff>2066924</xdr:colOff>
      <xdr:row>5</xdr:row>
      <xdr:rowOff>66674</xdr:rowOff>
    </xdr:to>
    <xdr:pic>
      <xdr:nvPicPr>
        <xdr:cNvPr id="5" name="Picture 4">
          <a:hlinkClick xmlns:r="http://schemas.openxmlformats.org/officeDocument/2006/relationships" r:id="rId4"/>
          <a:extLst>
            <a:ext uri="{FF2B5EF4-FFF2-40B4-BE49-F238E27FC236}">
              <a16:creationId xmlns="" xmlns:a16="http://schemas.microsoft.com/office/drawing/2014/main" id="{00000000-0008-0000-1200-00000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381625" y="180975"/>
          <a:ext cx="838199" cy="838199"/>
        </a:xfrm>
        <a:prstGeom prst="rect">
          <a:avLst/>
        </a:prstGeom>
      </xdr:spPr>
    </xdr:pic>
    <xdr:clientData/>
  </xdr:twoCellAnchor>
  <xdr:twoCellAnchor editAs="oneCell">
    <xdr:from>
      <xdr:col>10</xdr:col>
      <xdr:colOff>0</xdr:colOff>
      <xdr:row>13</xdr:row>
      <xdr:rowOff>66675</xdr:rowOff>
    </xdr:from>
    <xdr:to>
      <xdr:col>18</xdr:col>
      <xdr:colOff>199143</xdr:colOff>
      <xdr:row>32</xdr:row>
      <xdr:rowOff>123365</xdr:rowOff>
    </xdr:to>
    <xdr:pic>
      <xdr:nvPicPr>
        <xdr:cNvPr id="6" name="Picture 5">
          <a:extLst>
            <a:ext uri="{FF2B5EF4-FFF2-40B4-BE49-F238E27FC236}">
              <a16:creationId xmlns="" xmlns:a16="http://schemas.microsoft.com/office/drawing/2014/main" id="{963598FF-2F2E-4A32-BCC4-52969AE582C7}"/>
            </a:ext>
          </a:extLst>
        </xdr:cNvPr>
        <xdr:cNvPicPr>
          <a:picLocks noChangeAspect="1"/>
        </xdr:cNvPicPr>
      </xdr:nvPicPr>
      <xdr:blipFill>
        <a:blip xmlns:r="http://schemas.openxmlformats.org/officeDocument/2006/relationships" r:embed="rId6"/>
        <a:stretch>
          <a:fillRect/>
        </a:stretch>
      </xdr:blipFill>
      <xdr:spPr>
        <a:xfrm>
          <a:off x="14687550" y="2543175"/>
          <a:ext cx="7057143" cy="367619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495300</xdr:colOff>
      <xdr:row>14</xdr:row>
      <xdr:rowOff>133350</xdr:rowOff>
    </xdr:from>
    <xdr:to>
      <xdr:col>5</xdr:col>
      <xdr:colOff>723899</xdr:colOff>
      <xdr:row>19</xdr:row>
      <xdr:rowOff>19049</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1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33900" y="2800350"/>
          <a:ext cx="838199" cy="83819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6</xdr:col>
      <xdr:colOff>238125</xdr:colOff>
      <xdr:row>0</xdr:row>
      <xdr:rowOff>142875</xdr:rowOff>
    </xdr:from>
    <xdr:to>
      <xdr:col>20</xdr:col>
      <xdr:colOff>437058</xdr:colOff>
      <xdr:row>27</xdr:row>
      <xdr:rowOff>94470</xdr:rowOff>
    </xdr:to>
    <xdr:pic>
      <xdr:nvPicPr>
        <xdr:cNvPr id="2" name="Picture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10687050" y="142875"/>
          <a:ext cx="8733333" cy="6238095"/>
        </a:xfrm>
        <a:prstGeom prst="rect">
          <a:avLst/>
        </a:prstGeom>
      </xdr:spPr>
    </xdr:pic>
    <xdr:clientData/>
  </xdr:twoCellAnchor>
  <xdr:twoCellAnchor editAs="oneCell">
    <xdr:from>
      <xdr:col>4</xdr:col>
      <xdr:colOff>866775</xdr:colOff>
      <xdr:row>8</xdr:row>
      <xdr:rowOff>9525</xdr:rowOff>
    </xdr:from>
    <xdr:to>
      <xdr:col>4</xdr:col>
      <xdr:colOff>1704974</xdr:colOff>
      <xdr:row>12</xdr:row>
      <xdr:rowOff>85724</xdr:rowOff>
    </xdr:to>
    <xdr:pic>
      <xdr:nvPicPr>
        <xdr:cNvPr id="3" name="Picture 2">
          <a:hlinkClick xmlns:r="http://schemas.openxmlformats.org/officeDocument/2006/relationships" r:id="rId2"/>
          <a:extLst>
            <a:ext uri="{FF2B5EF4-FFF2-40B4-BE49-F238E27FC236}">
              <a16:creationId xmlns="" xmlns:a16="http://schemas.microsoft.com/office/drawing/2014/main" id="{00000000-0008-0000-14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62875" y="2676525"/>
          <a:ext cx="838199" cy="83819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18</xdr:col>
      <xdr:colOff>361950</xdr:colOff>
      <xdr:row>14</xdr:row>
      <xdr:rowOff>104775</xdr:rowOff>
    </xdr:from>
    <xdr:to>
      <xdr:col>19</xdr:col>
      <xdr:colOff>590549</xdr:colOff>
      <xdr:row>18</xdr:row>
      <xdr:rowOff>180974</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1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353925" y="2771775"/>
          <a:ext cx="838199" cy="838199"/>
        </a:xfrm>
        <a:prstGeom prst="rect">
          <a:avLst/>
        </a:prstGeom>
      </xdr:spPr>
    </xdr:pic>
    <xdr:clientData/>
  </xdr:twoCellAnchor>
  <xdr:twoCellAnchor editAs="oneCell">
    <xdr:from>
      <xdr:col>4</xdr:col>
      <xdr:colOff>161925</xdr:colOff>
      <xdr:row>0</xdr:row>
      <xdr:rowOff>47625</xdr:rowOff>
    </xdr:from>
    <xdr:to>
      <xdr:col>5</xdr:col>
      <xdr:colOff>390524</xdr:colOff>
      <xdr:row>4</xdr:row>
      <xdr:rowOff>123824</xdr:rowOff>
    </xdr:to>
    <xdr:pic>
      <xdr:nvPicPr>
        <xdr:cNvPr id="4" name="Picture 3">
          <a:hlinkClick xmlns:r="http://schemas.openxmlformats.org/officeDocument/2006/relationships" r:id="rId1"/>
          <a:extLst>
            <a:ext uri="{FF2B5EF4-FFF2-40B4-BE49-F238E27FC236}">
              <a16:creationId xmlns="" xmlns:a16="http://schemas.microsoft.com/office/drawing/2014/main" id="{00000000-0008-0000-16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48025" y="47625"/>
          <a:ext cx="838199" cy="838199"/>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18</xdr:col>
      <xdr:colOff>523875</xdr:colOff>
      <xdr:row>0</xdr:row>
      <xdr:rowOff>123825</xdr:rowOff>
    </xdr:from>
    <xdr:to>
      <xdr:col>20</xdr:col>
      <xdr:colOff>142874</xdr:colOff>
      <xdr:row>5</xdr:row>
      <xdr:rowOff>9524</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515850" y="123825"/>
          <a:ext cx="838199" cy="838199"/>
        </a:xfrm>
        <a:prstGeom prst="rect">
          <a:avLst/>
        </a:prstGeom>
      </xdr:spPr>
    </xdr:pic>
    <xdr:clientData/>
  </xdr:twoCellAnchor>
  <xdr:twoCellAnchor editAs="oneCell">
    <xdr:from>
      <xdr:col>4</xdr:col>
      <xdr:colOff>180975</xdr:colOff>
      <xdr:row>0</xdr:row>
      <xdr:rowOff>38100</xdr:rowOff>
    </xdr:from>
    <xdr:to>
      <xdr:col>5</xdr:col>
      <xdr:colOff>409574</xdr:colOff>
      <xdr:row>4</xdr:row>
      <xdr:rowOff>114299</xdr:rowOff>
    </xdr:to>
    <xdr:pic>
      <xdr:nvPicPr>
        <xdr:cNvPr id="4" name="Picture 3">
          <a:hlinkClick xmlns:r="http://schemas.openxmlformats.org/officeDocument/2006/relationships" r:id="rId1"/>
          <a:extLst>
            <a:ext uri="{FF2B5EF4-FFF2-40B4-BE49-F238E27FC236}">
              <a16:creationId xmlns="" xmlns:a16="http://schemas.microsoft.com/office/drawing/2014/main" id="{00000000-0008-0000-17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7075" y="38100"/>
          <a:ext cx="838199" cy="838199"/>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10</xdr:col>
      <xdr:colOff>179917</xdr:colOff>
      <xdr:row>1</xdr:row>
      <xdr:rowOff>52917</xdr:rowOff>
    </xdr:from>
    <xdr:to>
      <xdr:col>14</xdr:col>
      <xdr:colOff>1209386</xdr:colOff>
      <xdr:row>18</xdr:row>
      <xdr:rowOff>137583</xdr:rowOff>
    </xdr:to>
    <xdr:pic>
      <xdr:nvPicPr>
        <xdr:cNvPr id="2" name="Picture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12286192" y="243417"/>
          <a:ext cx="4620394" cy="3913716"/>
        </a:xfrm>
        <a:prstGeom prst="rect">
          <a:avLst/>
        </a:prstGeom>
      </xdr:spPr>
    </xdr:pic>
    <xdr:clientData/>
  </xdr:twoCellAnchor>
  <xdr:twoCellAnchor editAs="oneCell">
    <xdr:from>
      <xdr:col>2</xdr:col>
      <xdr:colOff>201083</xdr:colOff>
      <xdr:row>0</xdr:row>
      <xdr:rowOff>74083</xdr:rowOff>
    </xdr:from>
    <xdr:to>
      <xdr:col>2</xdr:col>
      <xdr:colOff>1039282</xdr:colOff>
      <xdr:row>2</xdr:row>
      <xdr:rowOff>531282</xdr:rowOff>
    </xdr:to>
    <xdr:pic>
      <xdr:nvPicPr>
        <xdr:cNvPr id="3" name="Picture 2">
          <a:hlinkClick xmlns:r="http://schemas.openxmlformats.org/officeDocument/2006/relationships" r:id="rId2"/>
          <a:extLst>
            <a:ext uri="{FF2B5EF4-FFF2-40B4-BE49-F238E27FC236}">
              <a16:creationId xmlns="" xmlns:a16="http://schemas.microsoft.com/office/drawing/2014/main" id="{00000000-0008-0000-18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6250" y="74083"/>
          <a:ext cx="838199" cy="83819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10</xdr:col>
      <xdr:colOff>228600</xdr:colOff>
      <xdr:row>0</xdr:row>
      <xdr:rowOff>57150</xdr:rowOff>
    </xdr:from>
    <xdr:to>
      <xdr:col>10</xdr:col>
      <xdr:colOff>1066799</xdr:colOff>
      <xdr:row>4</xdr:row>
      <xdr:rowOff>133349</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57625" y="57150"/>
          <a:ext cx="838199" cy="8381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13</xdr:col>
      <xdr:colOff>238124</xdr:colOff>
      <xdr:row>10</xdr:row>
      <xdr:rowOff>66675</xdr:rowOff>
    </xdr:from>
    <xdr:to>
      <xdr:col>24</xdr:col>
      <xdr:colOff>235693</xdr:colOff>
      <xdr:row>18</xdr:row>
      <xdr:rowOff>114300</xdr:rowOff>
    </xdr:to>
    <xdr:pic>
      <xdr:nvPicPr>
        <xdr:cNvPr id="2" name="Picture 1">
          <a:extLst>
            <a:ext uri="{FF2B5EF4-FFF2-40B4-BE49-F238E27FC236}">
              <a16:creationId xmlns="" xmlns:a16="http://schemas.microsoft.com/office/drawing/2014/main" id="{7915DEEB-5631-4A33-962E-14FD97C0B44E}"/>
            </a:ext>
          </a:extLst>
        </xdr:cNvPr>
        <xdr:cNvPicPr>
          <a:picLocks noChangeAspect="1"/>
        </xdr:cNvPicPr>
      </xdr:nvPicPr>
      <xdr:blipFill>
        <a:blip xmlns:r="http://schemas.openxmlformats.org/officeDocument/2006/relationships" r:embed="rId1"/>
        <a:stretch>
          <a:fillRect/>
        </a:stretch>
      </xdr:blipFill>
      <xdr:spPr>
        <a:xfrm>
          <a:off x="13277849" y="1971675"/>
          <a:ext cx="7217519" cy="1571625"/>
        </a:xfrm>
        <a:prstGeom prst="rect">
          <a:avLst/>
        </a:prstGeom>
      </xdr:spPr>
    </xdr:pic>
    <xdr:clientData/>
  </xdr:twoCellAnchor>
  <xdr:twoCellAnchor editAs="oneCell">
    <xdr:from>
      <xdr:col>8</xdr:col>
      <xdr:colOff>400050</xdr:colOff>
      <xdr:row>0</xdr:row>
      <xdr:rowOff>76200</xdr:rowOff>
    </xdr:from>
    <xdr:to>
      <xdr:col>8</xdr:col>
      <xdr:colOff>1238249</xdr:colOff>
      <xdr:row>4</xdr:row>
      <xdr:rowOff>152399</xdr:rowOff>
    </xdr:to>
    <xdr:pic>
      <xdr:nvPicPr>
        <xdr:cNvPr id="3" name="Picture 2">
          <a:hlinkClick xmlns:r="http://schemas.openxmlformats.org/officeDocument/2006/relationships" r:id="rId2"/>
          <a:extLst>
            <a:ext uri="{FF2B5EF4-FFF2-40B4-BE49-F238E27FC236}">
              <a16:creationId xmlns="" xmlns:a16="http://schemas.microsoft.com/office/drawing/2014/main" id="{2D1C6EB1-4F03-4ECE-B3F9-754740A988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91350" y="76200"/>
          <a:ext cx="838199" cy="83819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14</xdr:col>
      <xdr:colOff>285750</xdr:colOff>
      <xdr:row>8</xdr:row>
      <xdr:rowOff>142875</xdr:rowOff>
    </xdr:from>
    <xdr:to>
      <xdr:col>15</xdr:col>
      <xdr:colOff>514349</xdr:colOff>
      <xdr:row>13</xdr:row>
      <xdr:rowOff>28574</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63100" y="1685925"/>
          <a:ext cx="838199" cy="8381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170249</xdr:colOff>
      <xdr:row>18</xdr:row>
      <xdr:rowOff>175260</xdr:rowOff>
    </xdr:from>
    <xdr:to>
      <xdr:col>6</xdr:col>
      <xdr:colOff>598170</xdr:colOff>
      <xdr:row>32</xdr:row>
      <xdr:rowOff>15240</xdr:rowOff>
    </xdr:to>
    <xdr:graphicFrame macro="">
      <xdr:nvGraphicFramePr>
        <xdr:cNvPr id="2" name="Chart 1">
          <a:extLst>
            <a:ext uri="{FF2B5EF4-FFF2-40B4-BE49-F238E27FC236}">
              <a16:creationId xmlns="" xmlns:a16="http://schemas.microsoft.com/office/drawing/2014/main" id="{00000000-0008-0000-1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47625</xdr:colOff>
      <xdr:row>1</xdr:row>
      <xdr:rowOff>0</xdr:rowOff>
    </xdr:from>
    <xdr:to>
      <xdr:col>15</xdr:col>
      <xdr:colOff>276224</xdr:colOff>
      <xdr:row>5</xdr:row>
      <xdr:rowOff>76199</xdr:rowOff>
    </xdr:to>
    <xdr:pic>
      <xdr:nvPicPr>
        <xdr:cNvPr id="3" name="Picture 2">
          <a:hlinkClick xmlns:r="http://schemas.openxmlformats.org/officeDocument/2006/relationships" r:id="rId2"/>
          <a:extLst>
            <a:ext uri="{FF2B5EF4-FFF2-40B4-BE49-F238E27FC236}">
              <a16:creationId xmlns="" xmlns:a16="http://schemas.microsoft.com/office/drawing/2014/main" id="{00000000-0008-0000-1B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10625" y="190500"/>
          <a:ext cx="838199" cy="838199"/>
        </a:xfrm>
        <a:prstGeom prst="rect">
          <a:avLst/>
        </a:prstGeom>
      </xdr:spPr>
    </xdr:pic>
    <xdr:clientData/>
  </xdr:twoCellAnchor>
  <xdr:twoCellAnchor editAs="oneCell">
    <xdr:from>
      <xdr:col>8</xdr:col>
      <xdr:colOff>279710</xdr:colOff>
      <xdr:row>0</xdr:row>
      <xdr:rowOff>0</xdr:rowOff>
    </xdr:from>
    <xdr:to>
      <xdr:col>19</xdr:col>
      <xdr:colOff>54260</xdr:colOff>
      <xdr:row>18</xdr:row>
      <xdr:rowOff>47101</xdr:rowOff>
    </xdr:to>
    <xdr:pic>
      <xdr:nvPicPr>
        <xdr:cNvPr id="4" name="Picture 3">
          <a:extLst>
            <a:ext uri="{FF2B5EF4-FFF2-40B4-BE49-F238E27FC236}">
              <a16:creationId xmlns="" xmlns:a16="http://schemas.microsoft.com/office/drawing/2014/main" id="{00000000-0008-0000-1B00-000004000000}"/>
            </a:ext>
          </a:extLst>
        </xdr:cNvPr>
        <xdr:cNvPicPr>
          <a:picLocks noChangeAspect="1"/>
        </xdr:cNvPicPr>
      </xdr:nvPicPr>
      <xdr:blipFill>
        <a:blip xmlns:r="http://schemas.openxmlformats.org/officeDocument/2006/relationships" r:embed="rId4"/>
        <a:stretch>
          <a:fillRect/>
        </a:stretch>
      </xdr:blipFill>
      <xdr:spPr>
        <a:xfrm>
          <a:off x="5385110" y="0"/>
          <a:ext cx="6480150" cy="3476101"/>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oneCellAnchor>
    <xdr:from>
      <xdr:col>14</xdr:col>
      <xdr:colOff>61383</xdr:colOff>
      <xdr:row>12</xdr:row>
      <xdr:rowOff>124883</xdr:rowOff>
    </xdr:from>
    <xdr:ext cx="1818896" cy="63184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 xmlns:a16="http://schemas.microsoft.com/office/drawing/2014/main" id="{00000000-0008-0000-1C00-000002000000}"/>
                </a:ext>
              </a:extLst>
            </xdr:cNvPr>
            <xdr:cNvSpPr txBox="1"/>
          </xdr:nvSpPr>
          <xdr:spPr>
            <a:xfrm>
              <a:off x="11643783" y="2410883"/>
              <a:ext cx="1818896" cy="631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100" b="1" i="1">
                        <a:solidFill>
                          <a:srgbClr val="7030A0"/>
                        </a:solidFill>
                        <a:effectLst/>
                        <a:latin typeface="Cambria Math" panose="02040503050406030204" pitchFamily="18" charset="0"/>
                        <a:ea typeface="+mn-ea"/>
                        <a:cs typeface="+mn-cs"/>
                      </a:rPr>
                      <m:t>𝐼𝑛𝑓𝑜</m:t>
                    </m:r>
                    <m:r>
                      <a:rPr lang="en-US" sz="1100" b="1" i="1">
                        <a:solidFill>
                          <a:srgbClr val="7030A0"/>
                        </a:solidFill>
                        <a:effectLst/>
                        <a:latin typeface="Cambria Math" panose="02040503050406030204" pitchFamily="18" charset="0"/>
                        <a:ea typeface="+mn-ea"/>
                        <a:cs typeface="+mn-cs"/>
                      </a:rPr>
                      <m:t>(</m:t>
                    </m:r>
                    <m:r>
                      <a:rPr lang="en-US" sz="1100" b="1" i="1">
                        <a:solidFill>
                          <a:srgbClr val="7030A0"/>
                        </a:solidFill>
                        <a:effectLst/>
                        <a:latin typeface="Cambria Math" panose="02040503050406030204" pitchFamily="18" charset="0"/>
                        <a:ea typeface="+mn-ea"/>
                        <a:cs typeface="+mn-cs"/>
                      </a:rPr>
                      <m:t>𝐷</m:t>
                    </m:r>
                    <m:r>
                      <a:rPr lang="en-US" sz="1100" b="1" i="1">
                        <a:solidFill>
                          <a:srgbClr val="7030A0"/>
                        </a:solidFill>
                        <a:effectLst/>
                        <a:latin typeface="Cambria Math" panose="02040503050406030204" pitchFamily="18" charset="0"/>
                        <a:ea typeface="+mn-ea"/>
                        <a:cs typeface="+mn-cs"/>
                      </a:rPr>
                      <m:t>)=−</m:t>
                    </m:r>
                    <m:nary>
                      <m:naryPr>
                        <m:chr m:val="∑"/>
                        <m:limLoc m:val="undOvr"/>
                        <m:grow m:val="on"/>
                        <m:ctrlPr>
                          <a:rPr lang="en-IN" sz="1100" b="1" i="1">
                            <a:solidFill>
                              <a:srgbClr val="7030A0"/>
                            </a:solidFill>
                            <a:effectLst/>
                            <a:latin typeface="Cambria Math" panose="02040503050406030204" pitchFamily="18" charset="0"/>
                            <a:ea typeface="+mn-ea"/>
                            <a:cs typeface="+mn-cs"/>
                          </a:rPr>
                        </m:ctrlPr>
                      </m:naryPr>
                      <m:sub>
                        <m:r>
                          <a:rPr lang="en-US" sz="1100" b="1" i="1">
                            <a:solidFill>
                              <a:srgbClr val="7030A0"/>
                            </a:solidFill>
                            <a:effectLst/>
                            <a:latin typeface="Cambria Math" panose="02040503050406030204" pitchFamily="18" charset="0"/>
                            <a:ea typeface="+mn-ea"/>
                            <a:cs typeface="+mn-cs"/>
                          </a:rPr>
                          <m:t>𝑖</m:t>
                        </m:r>
                        <m:r>
                          <a:rPr lang="en-US" sz="1100" b="1" i="1">
                            <a:solidFill>
                              <a:srgbClr val="7030A0"/>
                            </a:solidFill>
                            <a:effectLst/>
                            <a:latin typeface="Cambria Math" panose="02040503050406030204" pitchFamily="18" charset="0"/>
                            <a:ea typeface="+mn-ea"/>
                            <a:cs typeface="+mn-cs"/>
                          </a:rPr>
                          <m:t>=1</m:t>
                        </m:r>
                      </m:sub>
                      <m:sup>
                        <m:r>
                          <a:rPr lang="en-US" sz="1100" b="1" i="1">
                            <a:solidFill>
                              <a:srgbClr val="7030A0"/>
                            </a:solidFill>
                            <a:effectLst/>
                            <a:latin typeface="Cambria Math" panose="02040503050406030204" pitchFamily="18" charset="0"/>
                            <a:ea typeface="+mn-ea"/>
                            <a:cs typeface="+mn-cs"/>
                          </a:rPr>
                          <m:t>𝑚</m:t>
                        </m:r>
                      </m:sup>
                      <m:e>
                        <m:sSub>
                          <m:sSubPr>
                            <m:ctrlPr>
                              <a:rPr lang="en-IN" sz="1100" b="1" i="1">
                                <a:solidFill>
                                  <a:srgbClr val="7030A0"/>
                                </a:solidFill>
                                <a:effectLst/>
                                <a:latin typeface="Cambria Math" panose="02040503050406030204" pitchFamily="18" charset="0"/>
                                <a:ea typeface="+mn-ea"/>
                                <a:cs typeface="+mn-cs"/>
                              </a:rPr>
                            </m:ctrlPr>
                          </m:sSubPr>
                          <m:e>
                            <m:r>
                              <a:rPr lang="en-US" sz="1100" b="1" i="1">
                                <a:solidFill>
                                  <a:srgbClr val="7030A0"/>
                                </a:solidFill>
                                <a:effectLst/>
                                <a:latin typeface="Cambria Math" panose="02040503050406030204" pitchFamily="18" charset="0"/>
                                <a:ea typeface="+mn-ea"/>
                                <a:cs typeface="+mn-cs"/>
                              </a:rPr>
                              <m:t>𝑝</m:t>
                            </m:r>
                          </m:e>
                          <m:sub>
                            <m:r>
                              <a:rPr lang="en-US" sz="1100" b="1" i="1">
                                <a:solidFill>
                                  <a:srgbClr val="7030A0"/>
                                </a:solidFill>
                                <a:effectLst/>
                                <a:latin typeface="Cambria Math" panose="02040503050406030204" pitchFamily="18" charset="0"/>
                                <a:ea typeface="+mn-ea"/>
                                <a:cs typeface="+mn-cs"/>
                              </a:rPr>
                              <m:t>𝑖</m:t>
                            </m:r>
                          </m:sub>
                        </m:sSub>
                        <m:func>
                          <m:funcPr>
                            <m:ctrlPr>
                              <a:rPr lang="en-IN" sz="1100" b="1" i="1">
                                <a:solidFill>
                                  <a:srgbClr val="7030A0"/>
                                </a:solidFill>
                                <a:effectLst/>
                                <a:latin typeface="Cambria Math" panose="02040503050406030204" pitchFamily="18" charset="0"/>
                                <a:ea typeface="+mn-ea"/>
                                <a:cs typeface="+mn-cs"/>
                              </a:rPr>
                            </m:ctrlPr>
                          </m:funcPr>
                          <m:fName>
                            <m:sSub>
                              <m:sSubPr>
                                <m:ctrlPr>
                                  <a:rPr lang="en-IN" sz="1100" b="1" i="1">
                                    <a:solidFill>
                                      <a:srgbClr val="7030A0"/>
                                    </a:solidFill>
                                    <a:effectLst/>
                                    <a:latin typeface="Cambria Math" panose="02040503050406030204" pitchFamily="18" charset="0"/>
                                    <a:ea typeface="+mn-ea"/>
                                    <a:cs typeface="+mn-cs"/>
                                  </a:rPr>
                                </m:ctrlPr>
                              </m:sSubPr>
                              <m:e>
                                <m:r>
                                  <a:rPr lang="en-US" sz="1100" b="1" i="1">
                                    <a:solidFill>
                                      <a:srgbClr val="7030A0"/>
                                    </a:solidFill>
                                    <a:effectLst/>
                                    <a:latin typeface="Cambria Math" panose="02040503050406030204" pitchFamily="18" charset="0"/>
                                    <a:ea typeface="+mn-ea"/>
                                    <a:cs typeface="+mn-cs"/>
                                  </a:rPr>
                                  <m:t>𝑙𝑜𝑔</m:t>
                                </m:r>
                              </m:e>
                              <m:sub>
                                <m:r>
                                  <a:rPr lang="en-US" sz="1100" b="1" i="1">
                                    <a:solidFill>
                                      <a:srgbClr val="7030A0"/>
                                    </a:solidFill>
                                    <a:effectLst/>
                                    <a:latin typeface="Cambria Math" panose="02040503050406030204" pitchFamily="18" charset="0"/>
                                    <a:ea typeface="+mn-ea"/>
                                    <a:cs typeface="+mn-cs"/>
                                  </a:rPr>
                                  <m:t>2</m:t>
                                </m:r>
                              </m:sub>
                            </m:sSub>
                          </m:fName>
                          <m:e>
                            <m:d>
                              <m:dPr>
                                <m:endChr m:val=""/>
                                <m:ctrlPr>
                                  <a:rPr lang="en-IN" sz="1100" b="1" i="1">
                                    <a:solidFill>
                                      <a:srgbClr val="7030A0"/>
                                    </a:solidFill>
                                    <a:effectLst/>
                                    <a:latin typeface="Cambria Math" panose="02040503050406030204" pitchFamily="18" charset="0"/>
                                    <a:ea typeface="+mn-ea"/>
                                    <a:cs typeface="+mn-cs"/>
                                  </a:rPr>
                                </m:ctrlPr>
                              </m:dPr>
                              <m:e>
                                <m:sSub>
                                  <m:sSubPr>
                                    <m:ctrlPr>
                                      <a:rPr lang="en-IN" sz="1100" b="1" i="1">
                                        <a:solidFill>
                                          <a:srgbClr val="7030A0"/>
                                        </a:solidFill>
                                        <a:effectLst/>
                                        <a:latin typeface="Cambria Math" panose="02040503050406030204" pitchFamily="18" charset="0"/>
                                        <a:ea typeface="+mn-ea"/>
                                        <a:cs typeface="+mn-cs"/>
                                      </a:rPr>
                                    </m:ctrlPr>
                                  </m:sSubPr>
                                  <m:e>
                                    <m:r>
                                      <a:rPr lang="en-US" sz="1100" b="1" i="1">
                                        <a:solidFill>
                                          <a:srgbClr val="7030A0"/>
                                        </a:solidFill>
                                        <a:effectLst/>
                                        <a:latin typeface="Cambria Math" panose="02040503050406030204" pitchFamily="18" charset="0"/>
                                        <a:ea typeface="+mn-ea"/>
                                        <a:cs typeface="+mn-cs"/>
                                      </a:rPr>
                                      <m:t>𝑝</m:t>
                                    </m:r>
                                  </m:e>
                                  <m:sub>
                                    <m:r>
                                      <a:rPr lang="en-US" sz="1100" b="1" i="1">
                                        <a:solidFill>
                                          <a:srgbClr val="7030A0"/>
                                        </a:solidFill>
                                        <a:effectLst/>
                                        <a:latin typeface="Cambria Math" panose="02040503050406030204" pitchFamily="18" charset="0"/>
                                        <a:ea typeface="+mn-ea"/>
                                        <a:cs typeface="+mn-cs"/>
                                      </a:rPr>
                                      <m:t>𝑖</m:t>
                                    </m:r>
                                  </m:sub>
                                </m:sSub>
                                <m:r>
                                  <a:rPr lang="en-US" sz="1100" b="1" i="1">
                                    <a:solidFill>
                                      <a:srgbClr val="7030A0"/>
                                    </a:solidFill>
                                    <a:effectLst/>
                                    <a:latin typeface="Cambria Math" panose="02040503050406030204" pitchFamily="18" charset="0"/>
                                    <a:ea typeface="+mn-ea"/>
                                    <a:cs typeface="+mn-cs"/>
                                  </a:rPr>
                                  <m:t>)</m:t>
                                </m:r>
                              </m:e>
                            </m:d>
                          </m:e>
                        </m:func>
                      </m:e>
                    </m:nary>
                  </m:oMath>
                </m:oMathPara>
              </a14:m>
              <a:endParaRPr lang="en-IN" sz="1100" b="1">
                <a:solidFill>
                  <a:srgbClr val="7030A0"/>
                </a:solidFill>
                <a:effectLst/>
                <a:latin typeface="+mn-lt"/>
                <a:ea typeface="+mn-ea"/>
                <a:cs typeface="+mn-cs"/>
              </a:endParaRPr>
            </a:p>
            <a:p>
              <a:endParaRPr lang="en-IN" sz="1100">
                <a:solidFill>
                  <a:srgbClr val="7030A0"/>
                </a:solidFill>
              </a:endParaRPr>
            </a:p>
          </xdr:txBody>
        </xdr:sp>
      </mc:Choice>
      <mc:Fallback xmlns="">
        <xdr:sp macro="" textlink="">
          <xdr:nvSpPr>
            <xdr:cNvPr id="2" name="TextBox 1">
              <a:extLst>
                <a:ext uri="{FF2B5EF4-FFF2-40B4-BE49-F238E27FC236}">
                  <a16:creationId xmlns:a16="http://schemas.microsoft.com/office/drawing/2014/main" id="{EA5B78DE-A592-46AB-83ED-66F8BADAA5FF}"/>
                </a:ext>
              </a:extLst>
            </xdr:cNvPr>
            <xdr:cNvSpPr txBox="1"/>
          </xdr:nvSpPr>
          <xdr:spPr>
            <a:xfrm>
              <a:off x="11643783" y="2410883"/>
              <a:ext cx="1818896" cy="631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rgbClr val="7030A0"/>
                  </a:solidFill>
                  <a:effectLst/>
                  <a:latin typeface="+mn-lt"/>
                  <a:ea typeface="+mn-ea"/>
                  <a:cs typeface="+mn-cs"/>
                </a:rPr>
                <a:t>𝐼𝑛𝑓𝑜(𝐷)=−</a:t>
              </a:r>
              <a:r>
                <a:rPr lang="en-IN" sz="1100" b="1" i="0">
                  <a:solidFill>
                    <a:srgbClr val="7030A0"/>
                  </a:solidFill>
                  <a:effectLst/>
                  <a:latin typeface="+mn-lt"/>
                  <a:ea typeface="+mn-ea"/>
                  <a:cs typeface="+mn-cs"/>
                </a:rPr>
                <a:t>∑129</a:t>
              </a:r>
              <a:r>
                <a:rPr lang="en-US" sz="1100" b="1" i="0">
                  <a:solidFill>
                    <a:srgbClr val="7030A0"/>
                  </a:solidFill>
                  <a:effectLst/>
                  <a:latin typeface="+mn-lt"/>
                  <a:ea typeface="+mn-ea"/>
                  <a:cs typeface="+mn-cs"/>
                </a:rPr>
                <a:t>_</a:t>
              </a:r>
              <a:r>
                <a:rPr lang="en-IN" sz="1100" b="1" i="0">
                  <a:solidFill>
                    <a:srgbClr val="7030A0"/>
                  </a:solidFill>
                  <a:effectLst/>
                  <a:latin typeface="+mn-lt"/>
                  <a:ea typeface="+mn-ea"/>
                  <a:cs typeface="+mn-cs"/>
                </a:rPr>
                <a:t>(</a:t>
              </a:r>
              <a:r>
                <a:rPr lang="en-US" sz="1100" b="1" i="0">
                  <a:solidFill>
                    <a:srgbClr val="7030A0"/>
                  </a:solidFill>
                  <a:effectLst/>
                  <a:latin typeface="+mn-lt"/>
                  <a:ea typeface="+mn-ea"/>
                  <a:cs typeface="+mn-cs"/>
                </a:rPr>
                <a:t>𝑖=1</a:t>
              </a:r>
              <a:r>
                <a:rPr lang="en-IN" sz="1100" b="1" i="0">
                  <a:solidFill>
                    <a:srgbClr val="7030A0"/>
                  </a:solidFill>
                  <a:effectLst/>
                  <a:latin typeface="+mn-lt"/>
                  <a:ea typeface="+mn-ea"/>
                  <a:cs typeface="+mn-cs"/>
                </a:rPr>
                <a:t>)</a:t>
              </a:r>
              <a:r>
                <a:rPr lang="en-US" sz="1100" b="1" i="0">
                  <a:solidFill>
                    <a:srgbClr val="7030A0"/>
                  </a:solidFill>
                  <a:effectLst/>
                  <a:latin typeface="+mn-lt"/>
                  <a:ea typeface="+mn-ea"/>
                  <a:cs typeface="+mn-cs"/>
                </a:rPr>
                <a:t>^𝑚▒〖𝑝</a:t>
              </a:r>
              <a:r>
                <a:rPr lang="en-IN" sz="1100" b="1" i="0">
                  <a:solidFill>
                    <a:srgbClr val="7030A0"/>
                  </a:solidFill>
                  <a:effectLst/>
                  <a:latin typeface="+mn-lt"/>
                  <a:ea typeface="+mn-ea"/>
                  <a:cs typeface="+mn-cs"/>
                </a:rPr>
                <a:t>_</a:t>
              </a:r>
              <a:r>
                <a:rPr lang="en-US" sz="1100" b="1" i="0">
                  <a:solidFill>
                    <a:srgbClr val="7030A0"/>
                  </a:solidFill>
                  <a:effectLst/>
                  <a:latin typeface="+mn-lt"/>
                  <a:ea typeface="+mn-ea"/>
                  <a:cs typeface="+mn-cs"/>
                </a:rPr>
                <a:t>𝑖</a:t>
              </a:r>
              <a:r>
                <a:rPr lang="en-IN" sz="1100" b="1" i="0">
                  <a:solidFill>
                    <a:srgbClr val="7030A0"/>
                  </a:solidFill>
                  <a:effectLst/>
                  <a:latin typeface="+mn-lt"/>
                  <a:ea typeface="+mn-ea"/>
                  <a:cs typeface="+mn-cs"/>
                </a:rPr>
                <a:t>  〖</a:t>
              </a:r>
              <a:r>
                <a:rPr lang="en-US" sz="1100" b="1" i="0">
                  <a:solidFill>
                    <a:srgbClr val="7030A0"/>
                  </a:solidFill>
                  <a:effectLst/>
                  <a:latin typeface="+mn-lt"/>
                  <a:ea typeface="+mn-ea"/>
                  <a:cs typeface="+mn-cs"/>
                </a:rPr>
                <a:t>𝑙𝑜𝑔</a:t>
              </a:r>
              <a:r>
                <a:rPr lang="en-IN" sz="1100" b="1" i="0">
                  <a:solidFill>
                    <a:srgbClr val="7030A0"/>
                  </a:solidFill>
                  <a:effectLst/>
                  <a:latin typeface="+mn-lt"/>
                  <a:ea typeface="+mn-ea"/>
                  <a:cs typeface="+mn-cs"/>
                </a:rPr>
                <a:t>〗_</a:t>
              </a:r>
              <a:r>
                <a:rPr lang="en-US" sz="1100" b="1" i="0">
                  <a:solidFill>
                    <a:srgbClr val="7030A0"/>
                  </a:solidFill>
                  <a:effectLst/>
                  <a:latin typeface="+mn-lt"/>
                  <a:ea typeface="+mn-ea"/>
                  <a:cs typeface="+mn-cs"/>
                </a:rPr>
                <a:t>2</a:t>
              </a:r>
              <a:r>
                <a:rPr lang="en-IN" sz="1100" b="1" i="0">
                  <a:solidFill>
                    <a:srgbClr val="7030A0"/>
                  </a:solidFill>
                  <a:effectLst/>
                  <a:latin typeface="+mn-lt"/>
                  <a:ea typeface="+mn-ea"/>
                  <a:cs typeface="+mn-cs"/>
                </a:rPr>
                <a:t>⁡(</a:t>
              </a:r>
              <a:r>
                <a:rPr lang="en-US" sz="1100" b="1" i="0">
                  <a:solidFill>
                    <a:srgbClr val="7030A0"/>
                  </a:solidFill>
                  <a:effectLst/>
                  <a:latin typeface="+mn-lt"/>
                  <a:ea typeface="+mn-ea"/>
                  <a:cs typeface="+mn-cs"/>
                </a:rPr>
                <a:t>𝑝</a:t>
              </a:r>
              <a:r>
                <a:rPr lang="en-IN" sz="1100" b="1" i="0">
                  <a:solidFill>
                    <a:srgbClr val="7030A0"/>
                  </a:solidFill>
                  <a:effectLst/>
                  <a:latin typeface="+mn-lt"/>
                  <a:ea typeface="+mn-ea"/>
                  <a:cs typeface="+mn-cs"/>
                </a:rPr>
                <a:t>_</a:t>
              </a:r>
              <a:r>
                <a:rPr lang="en-US" sz="1100" b="1" i="0">
                  <a:solidFill>
                    <a:srgbClr val="7030A0"/>
                  </a:solidFill>
                  <a:effectLst/>
                  <a:latin typeface="+mn-lt"/>
                  <a:ea typeface="+mn-ea"/>
                  <a:cs typeface="+mn-cs"/>
                </a:rPr>
                <a:t>𝑖)┤ 〗</a:t>
              </a:r>
              <a:endParaRPr lang="en-IN" sz="1100" b="1">
                <a:solidFill>
                  <a:srgbClr val="7030A0"/>
                </a:solidFill>
                <a:effectLst/>
                <a:latin typeface="+mn-lt"/>
                <a:ea typeface="+mn-ea"/>
                <a:cs typeface="+mn-cs"/>
              </a:endParaRPr>
            </a:p>
            <a:p>
              <a:endParaRPr lang="en-IN" sz="1100">
                <a:solidFill>
                  <a:srgbClr val="7030A0"/>
                </a:solidFill>
              </a:endParaRP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r:id="rId1" refreshedBy="Harsh Khanna" refreshedDate="44001.155984259261" createdVersion="6" refreshedVersion="6" minRefreshableVersion="3" recordCount="14">
  <cacheSource type="worksheet">
    <worksheetSource name="Table23"/>
  </cacheSource>
  <cacheFields count="7">
    <cacheField name="Day No." numFmtId="0">
      <sharedItems containsSemiMixedTypes="0" containsString="0" containsNumber="1" containsInteger="1" minValue="1" maxValue="14"/>
    </cacheField>
    <cacheField name="Outlook" numFmtId="0">
      <sharedItems count="3">
        <s v="sunny"/>
        <s v="overcast"/>
        <s v="rain"/>
      </sharedItems>
    </cacheField>
    <cacheField name="Humidity" numFmtId="0">
      <sharedItems count="2">
        <s v="High"/>
        <s v="Normal"/>
      </sharedItems>
    </cacheField>
    <cacheField name="Wind" numFmtId="0">
      <sharedItems count="2">
        <s v="Weak"/>
        <s v="Strong"/>
      </sharedItems>
    </cacheField>
    <cacheField name="Play" numFmtId="0">
      <sharedItems count="2">
        <s v="No"/>
        <s v="Yes"/>
      </sharedItems>
    </cacheField>
    <cacheField name="Play Yes" numFmtId="0">
      <sharedItems containsSemiMixedTypes="0" containsString="0" containsNumber="1" containsInteger="1" minValue="0" maxValue="1" count="2">
        <n v="1"/>
        <n v="0"/>
      </sharedItems>
    </cacheField>
    <cacheField name="Play No"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270711758"/>
    </ext>
  </extLst>
</pivotCacheDefinition>
</file>

<file path=xl/pivotCache/pivotCacheDefinition2.xml><?xml version="1.0" encoding="utf-8"?>
<pivotCacheDefinition xmlns="http://schemas.openxmlformats.org/spreadsheetml/2006/main" xmlns:r="http://schemas.openxmlformats.org/officeDocument/2006/relationships" r:id="rId1" refreshedBy="Harsh Khanna" refreshedDate="44001.727923611114" createdVersion="6" refreshedVersion="6" minRefreshableVersion="3" recordCount="10">
  <cacheSource type="worksheet">
    <worksheetSource name="Table24"/>
  </cacheSource>
  <cacheFields count="5">
    <cacheField name="TID" numFmtId="0">
      <sharedItems containsSemiMixedTypes="0" containsString="0" containsNumber="1" containsInteger="1" minValue="1" maxValue="10"/>
    </cacheField>
    <cacheField name="Home Owner" numFmtId="0">
      <sharedItems count="2">
        <s v="Yes"/>
        <s v="No"/>
      </sharedItems>
    </cacheField>
    <cacheField name="Marital Status" numFmtId="0">
      <sharedItems count="3">
        <s v="Single"/>
        <s v="Married"/>
        <s v="Divorced"/>
      </sharedItems>
    </cacheField>
    <cacheField name="Annual Income" numFmtId="0">
      <sharedItems count="10">
        <s v="125K"/>
        <s v="100K"/>
        <s v="70K"/>
        <s v="120K"/>
        <s v="95K"/>
        <s v="60K"/>
        <s v="220K"/>
        <s v="85K"/>
        <s v="75K"/>
        <s v="90K"/>
      </sharedItems>
    </cacheField>
    <cacheField name="Defaulted Borrower" numFmtId="0">
      <sharedItems count="2">
        <s v="No"/>
        <s v="Yes"/>
      </sharedItems>
    </cacheField>
  </cacheFields>
  <extLst>
    <ext xmlns:x14="http://schemas.microsoft.com/office/spreadsheetml/2009/9/main" uri="{725AE2AE-9491-48be-B2B4-4EB974FC3084}">
      <x14:pivotCacheDefinition pivotCacheId="1172817514"/>
    </ext>
  </extLst>
</pivotCacheDefinition>
</file>

<file path=xl/pivotCache/pivotCacheDefinition3.xml><?xml version="1.0" encoding="utf-8"?>
<pivotCacheDefinition xmlns="http://schemas.openxmlformats.org/spreadsheetml/2006/main" xmlns:r="http://schemas.openxmlformats.org/officeDocument/2006/relationships" r:id="rId1" refreshedBy="Harsh Khanna" refreshedDate="44002.699085532404" createdVersion="6" refreshedVersion="6" minRefreshableVersion="3" recordCount="14">
  <cacheSource type="worksheet">
    <worksheetSource name="Table32"/>
  </cacheSource>
  <cacheFields count="9">
    <cacheField name="RIDa" numFmtId="0">
      <sharedItems containsSemiMixedTypes="0" containsString="0" containsNumber="1" containsInteger="1" minValue="1" maxValue="14"/>
    </cacheField>
    <cacheField name="age" numFmtId="0">
      <sharedItems count="3">
        <s v="youth"/>
        <s v="middle_aged"/>
        <s v="senior"/>
      </sharedItems>
    </cacheField>
    <cacheField name="income" numFmtId="0">
      <sharedItems count="3">
        <s v="high"/>
        <s v="medium"/>
        <s v="low"/>
      </sharedItems>
    </cacheField>
    <cacheField name="student" numFmtId="0">
      <sharedItems count="2">
        <s v="no"/>
        <s v="yes"/>
      </sharedItems>
    </cacheField>
    <cacheField name="credit" numFmtId="0">
      <sharedItems count="2">
        <s v="fair"/>
        <s v="excellent"/>
      </sharedItems>
    </cacheField>
    <cacheField name="buys computer" numFmtId="0">
      <sharedItems count="2">
        <s v="no"/>
        <s v="yes"/>
      </sharedItems>
    </cacheField>
    <cacheField name="Positive" numFmtId="0">
      <sharedItems containsSemiMixedTypes="0" containsString="0" containsNumber="1" containsInteger="1" minValue="0" maxValue="1"/>
    </cacheField>
    <cacheField name="Negative" numFmtId="0">
      <sharedItems containsSemiMixedTypes="0" containsString="0" containsNumber="1" containsInteger="1" minValue="0" maxValue="1"/>
    </cacheField>
    <cacheField name="Total" numFmtId="0" formula="Positive+Negative" databaseField="0"/>
  </cacheFields>
  <extLst>
    <ext xmlns:x14="http://schemas.microsoft.com/office/spreadsheetml/2009/9/main" uri="{725AE2AE-9491-48be-B2B4-4EB974FC3084}">
      <x14:pivotCacheDefinition pivotCacheId="655242012"/>
    </ext>
  </extLst>
</pivotCacheDefinition>
</file>

<file path=xl/pivotCache/pivotCacheDefinition4.xml><?xml version="1.0" encoding="utf-8"?>
<pivotCacheDefinition xmlns="http://schemas.openxmlformats.org/spreadsheetml/2006/main" xmlns:r="http://schemas.openxmlformats.org/officeDocument/2006/relationships" r:id="rId1" refreshedBy="Harsh Khanna" refreshedDate="44013.939965740741" createdVersion="6" refreshedVersion="6" minRefreshableVersion="3" recordCount="10">
  <cacheSource type="worksheet">
    <worksheetSource name="Table323645"/>
  </cacheSource>
  <cacheFields count="9">
    <cacheField name="RIDa" numFmtId="0">
      <sharedItems containsSemiMixedTypes="0" containsString="0" containsNumber="1" containsInteger="1" minValue="1" maxValue="10"/>
    </cacheField>
    <cacheField name="Gender" numFmtId="0">
      <sharedItems count="2">
        <s v="Positive"/>
        <s v="Negative"/>
      </sharedItems>
    </cacheField>
    <cacheField name="Cough" numFmtId="0">
      <sharedItems count="2">
        <s v="Low"/>
        <s v="High"/>
      </sharedItems>
    </cacheField>
    <cacheField name="Fever" numFmtId="0">
      <sharedItems count="2">
        <s v="High"/>
        <s v="low"/>
      </sharedItems>
    </cacheField>
    <cacheField name="Unused" numFmtId="0">
      <sharedItems containsNonDate="0" containsString="0" containsBlank="1"/>
    </cacheField>
    <cacheField name="Return" numFmtId="0">
      <sharedItems/>
    </cacheField>
    <cacheField name="Positive" numFmtId="0">
      <sharedItems containsSemiMixedTypes="0" containsString="0" containsNumber="1" containsInteger="1" minValue="0" maxValue="1"/>
    </cacheField>
    <cacheField name="Negative" numFmtId="0">
      <sharedItems containsSemiMixedTypes="0" containsString="0" containsNumber="1" containsInteger="1" minValue="0" maxValue="1"/>
    </cacheField>
    <cacheField name="Total" numFmtId="0" formula="Positive+Negative"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Harsh Khanna" refreshedDate="44014.715086458331" createdVersion="6" refreshedVersion="6" minRefreshableVersion="3" recordCount="10">
  <cacheSource type="worksheet">
    <worksheetSource name="Table3236"/>
  </cacheSource>
  <cacheFields count="9">
    <cacheField name="RIDa" numFmtId="0">
      <sharedItems containsSemiMixedTypes="0" containsString="0" containsNumber="1" containsInteger="1" minValue="1" maxValue="10"/>
    </cacheField>
    <cacheField name="Past Trend" numFmtId="0">
      <sharedItems/>
    </cacheField>
    <cacheField name="Open Interest" numFmtId="0">
      <sharedItems/>
    </cacheField>
    <cacheField name="Trading Volume" numFmtId="0">
      <sharedItems count="2">
        <s v="High"/>
        <s v="low"/>
      </sharedItems>
    </cacheField>
    <cacheField name="Unused" numFmtId="0">
      <sharedItems containsNonDate="0" containsBlank="1" count="3">
        <m/>
        <s v="High" u="1"/>
        <s v="low" u="1"/>
      </sharedItems>
    </cacheField>
    <cacheField name="Return" numFmtId="0">
      <sharedItems/>
    </cacheField>
    <cacheField name="Positive" numFmtId="0">
      <sharedItems containsSemiMixedTypes="0" containsString="0" containsNumber="1" containsInteger="1" minValue="0" maxValue="1"/>
    </cacheField>
    <cacheField name="Negative" numFmtId="0">
      <sharedItems containsSemiMixedTypes="0" containsString="0" containsNumber="1" containsInteger="1" minValue="0" maxValue="1"/>
    </cacheField>
    <cacheField name="Total" numFmtId="0" formula="Positive+Negative" databaseField="0"/>
  </cacheFields>
  <extLst>
    <ext xmlns:x14="http://schemas.microsoft.com/office/spreadsheetml/2009/9/main" uri="{725AE2AE-9491-48be-B2B4-4EB974FC3084}">
      <x14:pivotCacheDefinition pivotCacheId="1207029402"/>
    </ext>
  </extLst>
</pivotCacheDefinition>
</file>

<file path=xl/pivotCache/pivotCacheDefinition6.xml><?xml version="1.0" encoding="utf-8"?>
<pivotCacheDefinition xmlns="http://schemas.openxmlformats.org/spreadsheetml/2006/main" xmlns:r="http://schemas.openxmlformats.org/officeDocument/2006/relationships" r:id="rId1" refreshedBy="Harsh Khanna" refreshedDate="44016.59214108796" createdVersion="6" refreshedVersion="6" minRefreshableVersion="3" recordCount="5">
  <cacheSource type="worksheet">
    <worksheetSource name="tbdData"/>
  </cacheSource>
  <cacheFields count="6">
    <cacheField name="Dimension" numFmtId="0">
      <sharedItems containsSemiMixedTypes="0" containsString="0" containsNumber="1" containsInteger="1" minValue="1" maxValue="10" count="10">
        <n v="1"/>
        <n v="2"/>
        <n v="3"/>
        <n v="4"/>
        <n v="5"/>
        <n v="6" u="1"/>
        <n v="7" u="1"/>
        <n v="8" u="1"/>
        <n v="9" u="1"/>
        <n v="10" u="1"/>
      </sharedItems>
    </cacheField>
    <cacheField name="Area" numFmtId="0">
      <sharedItems containsSemiMixedTypes="0" containsString="0" containsNumber="1" containsInteger="1" minValue="150" maxValue="194"/>
    </cacheField>
    <cacheField name="Rent" numFmtId="0">
      <sharedItems containsSemiMixedTypes="0" containsString="0" containsNumber="1" containsInteger="1" minValue="35" maxValue="50"/>
    </cacheField>
    <cacheField name="x.y" numFmtId="0">
      <sharedItems containsSemiMixedTypes="0" containsString="0" containsNumber="1" containsInteger="1" minValue="5250" maxValue="9700"/>
    </cacheField>
    <cacheField name="x^2" numFmtId="0">
      <sharedItems containsSemiMixedTypes="0" containsString="0" containsNumber="1" containsInteger="1" minValue="22500" maxValue="37636"/>
    </cacheField>
    <cacheField name="y^2" numFmtId="0">
      <sharedItems containsSemiMixedTypes="0" containsString="0" containsNumber="1" containsInteger="1" minValue="1225" maxValue="250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Harsh Khanna" refreshedDate="44085.826014930557" createdVersion="6" refreshedVersion="6" minRefreshableVersion="3" recordCount="4">
  <cacheSource type="worksheet">
    <worksheetSource name="Table19"/>
  </cacheSource>
  <cacheFields count="8">
    <cacheField name="Dimension" numFmtId="0">
      <sharedItems containsSemiMixedTypes="0" containsString="0" containsNumber="1" containsInteger="1" minValue="1" maxValue="10" count="10">
        <n v="1"/>
        <n v="2"/>
        <n v="3"/>
        <n v="4"/>
        <n v="6" u="1"/>
        <n v="7" u="1"/>
        <n v="8" u="1"/>
        <n v="9" u="1"/>
        <n v="10" u="1"/>
        <n v="5" u="1"/>
      </sharedItems>
    </cacheField>
    <cacheField name="x" numFmtId="0">
      <sharedItems containsSemiMixedTypes="0" containsString="0" containsNumber="1" containsInteger="1" minValue="12" maxValue="42"/>
    </cacheField>
    <cacheField name="y" numFmtId="0">
      <sharedItems containsSemiMixedTypes="0" containsString="0" containsNumber="1" containsInteger="1" minValue="17" maxValue="43"/>
    </cacheField>
    <cacheField name="(x-y)" numFmtId="0">
      <sharedItems containsSemiMixedTypes="0" containsString="0" containsNumber="1" containsInteger="1" minValue="1" maxValue="6"/>
    </cacheField>
    <cacheField name="(x-y)^r" numFmtId="0">
      <sharedItems containsSemiMixedTypes="0" containsString="0" containsNumber="1" containsInteger="1" minValue="1" maxValue="36"/>
    </cacheField>
    <cacheField name="x.y" numFmtId="0">
      <sharedItems containsSemiMixedTypes="0" containsString="0" containsNumber="1" containsInteger="1" minValue="204" maxValue="1806"/>
    </cacheField>
    <cacheField name="x^2" numFmtId="0">
      <sharedItems containsSemiMixedTypes="0" containsString="0" containsNumber="1" containsInteger="1" minValue="144" maxValue="1764"/>
    </cacheField>
    <cacheField name="y^2" numFmtId="0">
      <sharedItems containsSemiMixedTypes="0" containsString="0" containsNumber="1" containsInteger="1" minValue="289" maxValue="1849"/>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Sachin Gupta" refreshedDate="44086.542507523147" createdVersion="6" refreshedVersion="5" minRefreshableVersion="3" recordCount="5">
  <cacheSource type="worksheet">
    <worksheetSource name="Table3"/>
  </cacheSource>
  <cacheFields count="6">
    <cacheField name="i" numFmtId="0">
      <sharedItems containsSemiMixedTypes="0" containsString="0" containsNumber="1" containsInteger="1" minValue="1" maxValue="6" count="6">
        <n v="1"/>
        <n v="2"/>
        <n v="3"/>
        <n v="4"/>
        <n v="5"/>
        <n v="6" u="1"/>
      </sharedItems>
    </cacheField>
    <cacheField name="vi" numFmtId="166">
      <sharedItems containsSemiMixedTypes="0" containsString="0" containsNumber="1" containsInteger="1" minValue="100" maxValue="1000"/>
    </cacheField>
    <cacheField name="Mean A" numFmtId="166">
      <sharedItems containsSemiMixedTypes="0" containsString="0" containsNumber="1" containsInteger="1" minValue="560" maxValue="560"/>
    </cacheField>
    <cacheField name="vi-A" numFmtId="166">
      <sharedItems containsSemiMixedTypes="0" containsString="0" containsNumber="1" containsInteger="1" minValue="-460" maxValue="440"/>
    </cacheField>
    <cacheField name="(vi-A)^2" numFmtId="166">
      <sharedItems containsSemiMixedTypes="0" containsString="0" containsNumber="1" containsInteger="1" minValue="1600" maxValue="211600"/>
    </cacheField>
    <cacheField name="Normalized Value" numFmtId="2">
      <sharedItems containsSemiMixedTypes="0" containsString="0" containsNumber="1" minValue="-1.4634182315230266" maxValue="1.5299372420468005"/>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Harsh Khanna" refreshedDate="44086.804455671299" createdVersion="6" refreshedVersion="6" minRefreshableVersion="3" recordCount="5">
  <cacheSource type="worksheet">
    <worksheetSource name="Input13"/>
  </cacheSource>
  <cacheFields count="10">
    <cacheField name="X" numFmtId="0">
      <sharedItems containsSemiMixedTypes="0" containsString="0" containsNumber="1" containsInteger="1" minValue="3" maxValue="14"/>
    </cacheField>
    <cacheField name="Y" numFmtId="0">
      <sharedItems containsSemiMixedTypes="0" containsString="0" containsNumber="1" containsInteger="1" minValue="6" maxValue="18"/>
    </cacheField>
    <cacheField name="Xi - Xmean" numFmtId="0">
      <sharedItems containsSemiMixedTypes="0" containsString="0" containsNumber="1" minValue="-3.8000000000000007" maxValue="7.1999999999999993"/>
    </cacheField>
    <cacheField name="Yi - Ymean" numFmtId="0">
      <sharedItems containsSemiMixedTypes="0" containsString="0" containsNumber="1" minValue="-6.8000000000000007" maxValue="5.1999999999999993"/>
    </cacheField>
    <cacheField name="(Xi - Xmean)(Yi - Ymean)" numFmtId="0">
      <sharedItems containsSemiMixedTypes="0" containsString="0" containsNumber="1" minValue="-1.7600000000000009" maxValue="37.439999999999991"/>
    </cacheField>
    <cacheField name="(Xi - Xmean)^2" numFmtId="0">
      <sharedItems containsSemiMixedTypes="0" containsString="0" containsNumber="1" minValue="3.9999999999999716E-2" maxValue="51.839999999999989"/>
    </cacheField>
    <cacheField name="(Yi - Ymean)^2" numFmtId="0">
      <sharedItems containsSemiMixedTypes="0" containsString="0" containsNumber="1" minValue="4.8399999999999972" maxValue="46.240000000000009"/>
    </cacheField>
    <cacheField name="i" numFmtId="0">
      <sharedItems containsSemiMixedTypes="0" containsString="0" containsNumber="1" containsInteger="1" minValue="1" maxValue="5" count="5">
        <n v="1"/>
        <n v="2"/>
        <n v="3"/>
        <n v="4"/>
        <n v="5"/>
      </sharedItems>
    </cacheField>
    <cacheField name="Xmean" numFmtId="0">
      <sharedItems containsSemiMixedTypes="0" containsString="0" containsNumber="1" minValue="10.199999999999999" maxValue="10.199999999999999"/>
    </cacheField>
    <cacheField name="Ymean" numFmtId="0">
      <sharedItems containsSemiMixedTypes="0" containsString="0" containsNumber="1" minValue="11.2" maxValue="1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n v="1"/>
    <x v="0"/>
    <x v="0"/>
    <x v="0"/>
    <x v="0"/>
    <x v="0"/>
    <x v="0"/>
  </r>
  <r>
    <n v="2"/>
    <x v="0"/>
    <x v="0"/>
    <x v="1"/>
    <x v="0"/>
    <x v="0"/>
    <x v="0"/>
  </r>
  <r>
    <n v="3"/>
    <x v="1"/>
    <x v="0"/>
    <x v="0"/>
    <x v="1"/>
    <x v="1"/>
    <x v="1"/>
  </r>
  <r>
    <n v="4"/>
    <x v="2"/>
    <x v="0"/>
    <x v="0"/>
    <x v="1"/>
    <x v="1"/>
    <x v="1"/>
  </r>
  <r>
    <n v="5"/>
    <x v="2"/>
    <x v="1"/>
    <x v="0"/>
    <x v="1"/>
    <x v="1"/>
    <x v="1"/>
  </r>
  <r>
    <n v="6"/>
    <x v="2"/>
    <x v="1"/>
    <x v="1"/>
    <x v="0"/>
    <x v="0"/>
    <x v="0"/>
  </r>
  <r>
    <n v="7"/>
    <x v="1"/>
    <x v="1"/>
    <x v="1"/>
    <x v="1"/>
    <x v="1"/>
    <x v="1"/>
  </r>
  <r>
    <n v="8"/>
    <x v="0"/>
    <x v="0"/>
    <x v="0"/>
    <x v="0"/>
    <x v="0"/>
    <x v="0"/>
  </r>
  <r>
    <n v="9"/>
    <x v="0"/>
    <x v="1"/>
    <x v="0"/>
    <x v="1"/>
    <x v="1"/>
    <x v="1"/>
  </r>
  <r>
    <n v="10"/>
    <x v="2"/>
    <x v="1"/>
    <x v="0"/>
    <x v="1"/>
    <x v="1"/>
    <x v="1"/>
  </r>
  <r>
    <n v="11"/>
    <x v="0"/>
    <x v="1"/>
    <x v="1"/>
    <x v="1"/>
    <x v="1"/>
    <x v="1"/>
  </r>
  <r>
    <n v="12"/>
    <x v="1"/>
    <x v="0"/>
    <x v="1"/>
    <x v="1"/>
    <x v="1"/>
    <x v="1"/>
  </r>
  <r>
    <n v="13"/>
    <x v="1"/>
    <x v="1"/>
    <x v="0"/>
    <x v="1"/>
    <x v="1"/>
    <x v="1"/>
  </r>
  <r>
    <n v="14"/>
    <x v="2"/>
    <x v="0"/>
    <x v="1"/>
    <x v="0"/>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
    <x v="0"/>
    <x v="0"/>
    <x v="0"/>
    <x v="0"/>
  </r>
  <r>
    <n v="2"/>
    <x v="1"/>
    <x v="1"/>
    <x v="1"/>
    <x v="0"/>
  </r>
  <r>
    <n v="3"/>
    <x v="1"/>
    <x v="0"/>
    <x v="2"/>
    <x v="0"/>
  </r>
  <r>
    <n v="4"/>
    <x v="0"/>
    <x v="1"/>
    <x v="3"/>
    <x v="0"/>
  </r>
  <r>
    <n v="5"/>
    <x v="1"/>
    <x v="2"/>
    <x v="4"/>
    <x v="1"/>
  </r>
  <r>
    <n v="6"/>
    <x v="1"/>
    <x v="1"/>
    <x v="5"/>
    <x v="0"/>
  </r>
  <r>
    <n v="7"/>
    <x v="0"/>
    <x v="2"/>
    <x v="6"/>
    <x v="0"/>
  </r>
  <r>
    <n v="8"/>
    <x v="1"/>
    <x v="0"/>
    <x v="7"/>
    <x v="1"/>
  </r>
  <r>
    <n v="9"/>
    <x v="1"/>
    <x v="1"/>
    <x v="8"/>
    <x v="0"/>
  </r>
  <r>
    <n v="10"/>
    <x v="1"/>
    <x v="0"/>
    <x v="9"/>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n v="1"/>
    <x v="0"/>
    <x v="0"/>
    <x v="0"/>
    <x v="0"/>
    <x v="0"/>
    <n v="0"/>
    <n v="1"/>
  </r>
  <r>
    <n v="2"/>
    <x v="0"/>
    <x v="0"/>
    <x v="0"/>
    <x v="1"/>
    <x v="0"/>
    <n v="0"/>
    <n v="1"/>
  </r>
  <r>
    <n v="3"/>
    <x v="1"/>
    <x v="0"/>
    <x v="0"/>
    <x v="0"/>
    <x v="1"/>
    <n v="1"/>
    <n v="0"/>
  </r>
  <r>
    <n v="4"/>
    <x v="2"/>
    <x v="1"/>
    <x v="0"/>
    <x v="0"/>
    <x v="1"/>
    <n v="1"/>
    <n v="0"/>
  </r>
  <r>
    <n v="5"/>
    <x v="2"/>
    <x v="2"/>
    <x v="1"/>
    <x v="0"/>
    <x v="1"/>
    <n v="1"/>
    <n v="0"/>
  </r>
  <r>
    <n v="6"/>
    <x v="2"/>
    <x v="2"/>
    <x v="1"/>
    <x v="1"/>
    <x v="0"/>
    <n v="0"/>
    <n v="1"/>
  </r>
  <r>
    <n v="7"/>
    <x v="1"/>
    <x v="2"/>
    <x v="1"/>
    <x v="1"/>
    <x v="1"/>
    <n v="1"/>
    <n v="0"/>
  </r>
  <r>
    <n v="8"/>
    <x v="0"/>
    <x v="1"/>
    <x v="0"/>
    <x v="0"/>
    <x v="0"/>
    <n v="0"/>
    <n v="1"/>
  </r>
  <r>
    <n v="9"/>
    <x v="0"/>
    <x v="2"/>
    <x v="1"/>
    <x v="0"/>
    <x v="1"/>
    <n v="1"/>
    <n v="0"/>
  </r>
  <r>
    <n v="10"/>
    <x v="2"/>
    <x v="1"/>
    <x v="1"/>
    <x v="0"/>
    <x v="1"/>
    <n v="1"/>
    <n v="0"/>
  </r>
  <r>
    <n v="11"/>
    <x v="0"/>
    <x v="1"/>
    <x v="1"/>
    <x v="1"/>
    <x v="1"/>
    <n v="1"/>
    <n v="0"/>
  </r>
  <r>
    <n v="12"/>
    <x v="1"/>
    <x v="1"/>
    <x v="0"/>
    <x v="1"/>
    <x v="1"/>
    <n v="1"/>
    <n v="0"/>
  </r>
  <r>
    <n v="13"/>
    <x v="1"/>
    <x v="0"/>
    <x v="1"/>
    <x v="0"/>
    <x v="1"/>
    <n v="1"/>
    <n v="0"/>
  </r>
  <r>
    <n v="14"/>
    <x v="2"/>
    <x v="1"/>
    <x v="0"/>
    <x v="1"/>
    <x v="0"/>
    <n v="0"/>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
    <x v="0"/>
    <x v="0"/>
    <x v="0"/>
    <m/>
    <s v="Positive"/>
    <n v="1"/>
    <n v="0"/>
  </r>
  <r>
    <n v="2"/>
    <x v="1"/>
    <x v="1"/>
    <x v="1"/>
    <m/>
    <s v="Negative"/>
    <n v="0"/>
    <n v="1"/>
  </r>
  <r>
    <n v="3"/>
    <x v="0"/>
    <x v="0"/>
    <x v="0"/>
    <m/>
    <s v="Positive"/>
    <n v="1"/>
    <n v="0"/>
  </r>
  <r>
    <n v="4"/>
    <x v="0"/>
    <x v="1"/>
    <x v="0"/>
    <m/>
    <s v="Positive"/>
    <n v="1"/>
    <n v="0"/>
  </r>
  <r>
    <n v="5"/>
    <x v="1"/>
    <x v="0"/>
    <x v="0"/>
    <m/>
    <s v="Negative"/>
    <n v="0"/>
    <n v="1"/>
  </r>
  <r>
    <n v="6"/>
    <x v="0"/>
    <x v="0"/>
    <x v="1"/>
    <m/>
    <s v="Positive"/>
    <n v="1"/>
    <n v="0"/>
  </r>
  <r>
    <n v="7"/>
    <x v="1"/>
    <x v="1"/>
    <x v="1"/>
    <m/>
    <s v="Positive"/>
    <n v="1"/>
    <n v="0"/>
  </r>
  <r>
    <n v="8"/>
    <x v="1"/>
    <x v="0"/>
    <x v="0"/>
    <m/>
    <s v="Positive"/>
    <n v="1"/>
    <n v="0"/>
  </r>
  <r>
    <n v="9"/>
    <x v="0"/>
    <x v="0"/>
    <x v="1"/>
    <m/>
    <s v="Positive"/>
    <n v="1"/>
    <n v="0"/>
  </r>
  <r>
    <n v="10"/>
    <x v="0"/>
    <x v="1"/>
    <x v="0"/>
    <m/>
    <s v="Positive"/>
    <n v="1"/>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
    <s v="Positive"/>
    <s v="Low"/>
    <x v="0"/>
    <x v="0"/>
    <s v="Up"/>
    <n v="1"/>
    <n v="0"/>
  </r>
  <r>
    <n v="2"/>
    <s v="Negative"/>
    <s v="High"/>
    <x v="1"/>
    <x v="0"/>
    <s v="Down"/>
    <n v="0"/>
    <n v="1"/>
  </r>
  <r>
    <n v="3"/>
    <s v="Positive"/>
    <s v="Low"/>
    <x v="0"/>
    <x v="0"/>
    <s v="Up"/>
    <n v="1"/>
    <n v="0"/>
  </r>
  <r>
    <n v="4"/>
    <s v="Positive"/>
    <s v="Medium"/>
    <x v="0"/>
    <x v="0"/>
    <s v="Up"/>
    <n v="1"/>
    <n v="0"/>
  </r>
  <r>
    <n v="5"/>
    <s v="Negative"/>
    <s v="Low"/>
    <x v="0"/>
    <x v="0"/>
    <s v="Down"/>
    <n v="0"/>
    <n v="1"/>
  </r>
  <r>
    <n v="6"/>
    <s v="Positive"/>
    <s v="Low"/>
    <x v="1"/>
    <x v="0"/>
    <s v="Down"/>
    <n v="0"/>
    <n v="1"/>
  </r>
  <r>
    <n v="7"/>
    <s v="Negative"/>
    <s v="High"/>
    <x v="1"/>
    <x v="0"/>
    <s v="Down"/>
    <n v="0"/>
    <n v="1"/>
  </r>
  <r>
    <n v="8"/>
    <s v="Negative"/>
    <s v="Low"/>
    <x v="0"/>
    <x v="0"/>
    <s v="Down"/>
    <n v="0"/>
    <n v="1"/>
  </r>
  <r>
    <n v="9"/>
    <s v="Positive"/>
    <s v="Low"/>
    <x v="1"/>
    <x v="0"/>
    <s v="Down"/>
    <n v="0"/>
    <n v="1"/>
  </r>
  <r>
    <n v="10"/>
    <s v="Positive"/>
    <s v="High"/>
    <x v="0"/>
    <x v="0"/>
    <s v="Up"/>
    <n v="1"/>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72"/>
    <n v="42"/>
    <n v="7224"/>
    <n v="29584"/>
    <n v="1764"/>
  </r>
  <r>
    <x v="1"/>
    <n v="150"/>
    <n v="35"/>
    <n v="5250"/>
    <n v="22500"/>
    <n v="1225"/>
  </r>
  <r>
    <x v="2"/>
    <n v="181"/>
    <n v="46"/>
    <n v="8326"/>
    <n v="32761"/>
    <n v="2116"/>
  </r>
  <r>
    <x v="3"/>
    <n v="174"/>
    <n v="40"/>
    <n v="6960"/>
    <n v="30276"/>
    <n v="1600"/>
  </r>
  <r>
    <x v="4"/>
    <n v="194"/>
    <n v="50"/>
    <n v="9700"/>
    <n v="37636"/>
    <n v="25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n v="12"/>
    <n v="17"/>
    <n v="5"/>
    <n v="25"/>
    <n v="204"/>
    <n v="144"/>
    <n v="289"/>
  </r>
  <r>
    <x v="1"/>
    <n v="36"/>
    <n v="35"/>
    <n v="1"/>
    <n v="1"/>
    <n v="1260"/>
    <n v="1296"/>
    <n v="1225"/>
  </r>
  <r>
    <x v="2"/>
    <n v="42"/>
    <n v="43"/>
    <n v="1"/>
    <n v="1"/>
    <n v="1806"/>
    <n v="1764"/>
    <n v="1849"/>
  </r>
  <r>
    <x v="3"/>
    <n v="20"/>
    <n v="26"/>
    <n v="6"/>
    <n v="36"/>
    <n v="520"/>
    <n v="400"/>
    <n v="676"/>
  </r>
</pivotCacheRecords>
</file>

<file path=xl/pivotCache/pivotCacheRecords8.xml><?xml version="1.0" encoding="utf-8"?>
<pivotCacheRecords xmlns="http://schemas.openxmlformats.org/spreadsheetml/2006/main" xmlns:r="http://schemas.openxmlformats.org/officeDocument/2006/relationships" count="5">
  <r>
    <x v="0"/>
    <n v="100"/>
    <n v="560"/>
    <n v="-460"/>
    <n v="211600"/>
    <n v="1.5299372420468005"/>
  </r>
  <r>
    <x v="1"/>
    <n v="400"/>
    <n v="560"/>
    <n v="-160"/>
    <n v="25600"/>
    <n v="0.53215208419019144"/>
  </r>
  <r>
    <x v="2"/>
    <n v="600"/>
    <n v="560"/>
    <n v="40"/>
    <n v="1600"/>
    <n v="-0.13303802104754786"/>
  </r>
  <r>
    <x v="3"/>
    <n v="700"/>
    <n v="560"/>
    <n v="140"/>
    <n v="19600"/>
    <n v="-0.46563307366641754"/>
  </r>
  <r>
    <x v="4"/>
    <n v="1000"/>
    <n v="560"/>
    <n v="440"/>
    <n v="193600"/>
    <n v="-1.4634182315230266"/>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n v="10"/>
    <n v="8"/>
    <n v="0.19999999999999929"/>
    <n v="3.1999999999999993"/>
    <n v="0.63999999999999757"/>
    <n v="3.9999999999999716E-2"/>
    <n v="10.239999999999995"/>
    <x v="0"/>
    <n v="10.199999999999999"/>
    <n v="11.2"/>
  </r>
  <r>
    <n v="11"/>
    <n v="9"/>
    <n v="-0.80000000000000071"/>
    <n v="2.1999999999999993"/>
    <n v="-1.7600000000000009"/>
    <n v="0.64000000000000112"/>
    <n v="4.8399999999999972"/>
    <x v="1"/>
    <n v="10.199999999999999"/>
    <n v="11.2"/>
  </r>
  <r>
    <n v="3"/>
    <n v="6"/>
    <n v="7.1999999999999993"/>
    <n v="5.1999999999999993"/>
    <n v="37.439999999999991"/>
    <n v="51.839999999999989"/>
    <n v="27.039999999999992"/>
    <x v="2"/>
    <n v="10.199999999999999"/>
    <n v="11.2"/>
  </r>
  <r>
    <n v="13"/>
    <n v="15"/>
    <n v="-2.8000000000000007"/>
    <n v="-3.8000000000000007"/>
    <n v="10.640000000000004"/>
    <n v="7.8400000000000043"/>
    <n v="14.440000000000005"/>
    <x v="3"/>
    <n v="10.199999999999999"/>
    <n v="11.2"/>
  </r>
  <r>
    <n v="14"/>
    <n v="18"/>
    <n v="-3.8000000000000007"/>
    <n v="-6.8000000000000007"/>
    <n v="25.840000000000007"/>
    <n v="14.440000000000005"/>
    <n v="46.240000000000009"/>
    <x v="4"/>
    <n v="10.199999999999999"/>
    <n v="1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8" dataOnRows="1" applyNumberFormats="0" applyBorderFormats="0" applyFontFormats="0" applyPatternFormats="0" applyAlignmentFormats="0" applyWidthHeightFormats="1" dataCaption="Values" updatedVersion="6" minRefreshableVersion="3" itemPrintTitles="1" createdVersion="6" indent="0" compact="0" compactData="0" gridDropZones="1" multipleFieldFilters="0">
  <location ref="N3:T13" firstHeaderRow="1" firstDataRow="2" firstDataCol="1"/>
  <pivotFields count="1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axis="axisCol" compact="0" outline="0" showAll="0">
      <items count="6">
        <item x="0"/>
        <item x="1"/>
        <item x="2"/>
        <item x="3"/>
        <item x="4"/>
        <item t="default"/>
      </items>
    </pivotField>
    <pivotField dataField="1" compact="0" outline="0" showAll="0"/>
    <pivotField dataField="1" compact="0" outline="0" showAll="0"/>
  </pivotFields>
  <rowFields count="1">
    <field x="-2"/>
  </rowFields>
  <rowItems count="9">
    <i>
      <x/>
    </i>
    <i i="1">
      <x v="1"/>
    </i>
    <i i="2">
      <x v="2"/>
    </i>
    <i i="3">
      <x v="3"/>
    </i>
    <i i="4">
      <x v="4"/>
    </i>
    <i i="5">
      <x v="5"/>
    </i>
    <i i="6">
      <x v="6"/>
    </i>
    <i i="7">
      <x v="7"/>
    </i>
    <i i="8">
      <x v="8"/>
    </i>
  </rowItems>
  <colFields count="1">
    <field x="7"/>
  </colFields>
  <colItems count="6">
    <i>
      <x/>
    </i>
    <i>
      <x v="1"/>
    </i>
    <i>
      <x v="2"/>
    </i>
    <i>
      <x v="3"/>
    </i>
    <i>
      <x v="4"/>
    </i>
    <i t="grand">
      <x/>
    </i>
  </colItems>
  <dataFields count="9">
    <dataField name="X " fld="0" baseField="0" baseItem="0"/>
    <dataField name="Y " fld="1" baseField="0" baseItem="0"/>
    <dataField name="Xmean " fld="8" baseField="0" baseItem="0"/>
    <dataField name="Ymean " fld="9" baseField="0" baseItem="0"/>
    <dataField name="Xi - Xmean " fld="2" baseField="0" baseItem="0"/>
    <dataField name="Yi - Ymean " fld="3" baseField="0" baseItem="0"/>
    <dataField name="(Xi - Xmean)^2 " fld="5" baseField="0" baseItem="0"/>
    <dataField name="(Yi - Ymean)^2 " fld="6" baseField="0" baseItem="0"/>
    <dataField name="(Xi - Xmean)(Yi - Ymean) " fld="4" baseField="0" baseItem="0"/>
  </dataFields>
  <formats count="4">
    <format dxfId="479">
      <pivotArea field="7" grandCol="1" outline="0" axis="axisCol" fieldPosition="0">
        <references count="1">
          <reference field="4294967294" count="1" selected="0">
            <x v="8"/>
          </reference>
        </references>
      </pivotArea>
    </format>
    <format dxfId="478">
      <pivotArea field="7" grandCol="1" outline="0" axis="axisCol" fieldPosition="0">
        <references count="1">
          <reference field="4294967294" count="1" selected="0">
            <x v="6"/>
          </reference>
        </references>
      </pivotArea>
    </format>
    <format dxfId="477">
      <pivotArea field="7" grandCol="1" outline="0" axis="axisCol" fieldPosition="0">
        <references count="1">
          <reference field="4294967294" count="1" selected="0">
            <x v="7"/>
          </reference>
        </references>
      </pivotArea>
    </format>
    <format dxfId="476">
      <pivotArea field="7" grandCol="1" outline="0" axis="axisCol" fieldPosition="0">
        <references count="1">
          <reference field="4294967294" count="2" selected="0">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6" dataOnRows="1" applyNumberFormats="0" applyBorderFormats="0" applyFontFormats="0" applyPatternFormats="0" applyAlignmentFormats="0" applyWidthHeightFormats="1" dataCaption="Minkowski " updatedVersion="6" minRefreshableVersion="3" useAutoFormatting="1" itemPrintTitles="1" createdVersion="6" indent="0" outline="1" outlineData="1" multipleFieldFilters="0">
  <location ref="AF7:AK12" firstHeaderRow="1" firstDataRow="2" firstDataCol="1"/>
  <pivotFields count="8">
    <pivotField axis="axisCol" showAll="0">
      <items count="11">
        <item x="0"/>
        <item x="1"/>
        <item x="2"/>
        <item x="3"/>
        <item m="1" x="9"/>
        <item m="1" x="4"/>
        <item m="1" x="5"/>
        <item m="1" x="6"/>
        <item m="1" x="7"/>
        <item m="1" x="8"/>
        <item t="default"/>
      </items>
    </pivotField>
    <pivotField dataField="1" showAll="0"/>
    <pivotField dataField="1" showAll="0"/>
    <pivotField dataField="1" showAll="0"/>
    <pivotField dataField="1" showAll="0"/>
    <pivotField showAll="0"/>
    <pivotField showAll="0"/>
    <pivotField showAll="0"/>
  </pivotFields>
  <rowFields count="1">
    <field x="-2"/>
  </rowFields>
  <rowItems count="4">
    <i>
      <x/>
    </i>
    <i i="1">
      <x v="1"/>
    </i>
    <i i="2">
      <x v="2"/>
    </i>
    <i i="3">
      <x v="3"/>
    </i>
  </rowItems>
  <colFields count="1">
    <field x="0"/>
  </colFields>
  <colItems count="5">
    <i>
      <x/>
    </i>
    <i>
      <x v="1"/>
    </i>
    <i>
      <x v="2"/>
    </i>
    <i>
      <x v="3"/>
    </i>
    <i t="grand">
      <x/>
    </i>
  </colItems>
  <dataFields count="4">
    <dataField name="x " fld="1" baseField="0" baseItem="0"/>
    <dataField name="y " fld="2" baseField="0" baseItem="0"/>
    <dataField name="(x-y) " fld="3" baseField="0" baseItem="0"/>
    <dataField name="(x-y)^r " fld="4" baseField="0" baseItem="0"/>
  </dataFields>
  <formats count="5">
    <format dxfId="327">
      <pivotArea outline="0" collapsedLevelsAreSubtotals="1" fieldPosition="0"/>
    </format>
    <format dxfId="326">
      <pivotArea field="-2" type="button" dataOnly="0" labelOnly="1" outline="0" axis="axisRow" fieldPosition="0"/>
    </format>
    <format dxfId="325">
      <pivotArea dataOnly="0" labelOnly="1" outline="0" fieldPosition="0">
        <references count="1">
          <reference field="4294967294" count="2">
            <x v="0"/>
            <x v="1"/>
          </reference>
        </references>
      </pivotArea>
    </format>
    <format dxfId="324">
      <pivotArea dataOnly="0" labelOnly="1" fieldPosition="0">
        <references count="1">
          <reference field="0" count="0"/>
        </references>
      </pivotArea>
    </format>
    <format dxfId="32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6" dataOnRows="1" applyNumberFormats="0" applyBorderFormats="0" applyFontFormats="0" applyPatternFormats="0" applyAlignmentFormats="0" applyWidthHeightFormats="1" dataCaption="Cosine" updatedVersion="6" minRefreshableVersion="3" useAutoFormatting="1" itemPrintTitles="1" createdVersion="6" indent="0" outline="1" outlineData="1" multipleFieldFilters="0">
  <location ref="S7:X13" firstHeaderRow="1" firstDataRow="2" firstDataCol="1"/>
  <pivotFields count="8">
    <pivotField axis="axisCol" showAll="0">
      <items count="11">
        <item x="0"/>
        <item x="1"/>
        <item x="2"/>
        <item x="3"/>
        <item m="1" x="9"/>
        <item m="1" x="4"/>
        <item m="1" x="5"/>
        <item m="1" x="6"/>
        <item m="1" x="7"/>
        <item m="1" x="8"/>
        <item t="default"/>
      </items>
    </pivotField>
    <pivotField dataField="1" showAll="0"/>
    <pivotField dataField="1" showAll="0"/>
    <pivotField showAll="0"/>
    <pivotField showAll="0"/>
    <pivotField dataField="1" showAll="0"/>
    <pivotField dataField="1" showAll="0"/>
    <pivotField dataField="1" showAll="0"/>
  </pivotFields>
  <rowFields count="1">
    <field x="-2"/>
  </rowFields>
  <rowItems count="5">
    <i>
      <x/>
    </i>
    <i i="1">
      <x v="1"/>
    </i>
    <i i="2">
      <x v="2"/>
    </i>
    <i i="3">
      <x v="3"/>
    </i>
    <i i="4">
      <x v="4"/>
    </i>
  </rowItems>
  <colFields count="1">
    <field x="0"/>
  </colFields>
  <colItems count="5">
    <i>
      <x/>
    </i>
    <i>
      <x v="1"/>
    </i>
    <i>
      <x v="2"/>
    </i>
    <i>
      <x v="3"/>
    </i>
    <i t="grand">
      <x/>
    </i>
  </colItems>
  <dataFields count="5">
    <dataField name="x " fld="1" baseField="0" baseItem="0"/>
    <dataField name="y " fld="2" baseField="0" baseItem="0"/>
    <dataField name="x.y " fld="5" baseField="0" baseItem="0"/>
    <dataField name="x^2 " fld="6" baseField="0" baseItem="0"/>
    <dataField name="y^2 " fld="7" baseField="0" baseItem="0"/>
  </dataFields>
  <formats count="9">
    <format dxfId="336">
      <pivotArea outline="0" collapsedLevelsAreSubtotals="1" fieldPosition="0"/>
    </format>
    <format dxfId="335">
      <pivotArea field="-2" type="button" dataOnly="0" labelOnly="1" outline="0" axis="axisRow" fieldPosition="0"/>
    </format>
    <format dxfId="334">
      <pivotArea dataOnly="0" labelOnly="1" outline="0" fieldPosition="0">
        <references count="1">
          <reference field="4294967294" count="5">
            <x v="0"/>
            <x v="1"/>
            <x v="2"/>
            <x v="3"/>
            <x v="4"/>
          </reference>
        </references>
      </pivotArea>
    </format>
    <format dxfId="333">
      <pivotArea dataOnly="0" labelOnly="1" fieldPosition="0">
        <references count="1">
          <reference field="0" count="0"/>
        </references>
      </pivotArea>
    </format>
    <format dxfId="332">
      <pivotArea dataOnly="0" labelOnly="1" grandCol="1" outline="0" fieldPosition="0"/>
    </format>
    <format dxfId="331">
      <pivotArea field="0" grandCol="1" collapsedLevelsAreSubtotals="1" axis="axisCol" fieldPosition="0">
        <references count="1">
          <reference field="4294967294" count="1">
            <x v="2"/>
          </reference>
        </references>
      </pivotArea>
    </format>
    <format dxfId="330">
      <pivotArea field="0" grandCol="1" collapsedLevelsAreSubtotals="1" axis="axisCol" fieldPosition="0">
        <references count="1">
          <reference field="4294967294" count="1">
            <x v="2"/>
          </reference>
        </references>
      </pivotArea>
    </format>
    <format dxfId="329">
      <pivotArea field="0" grandCol="1" collapsedLevelsAreSubtotals="1" axis="axisCol" fieldPosition="0">
        <references count="1">
          <reference field="4294967294" count="1">
            <x v="3"/>
          </reference>
        </references>
      </pivotArea>
    </format>
    <format dxfId="328">
      <pivotArea field="0" grandCol="1" collapsedLevelsAreSubtotals="1" axis="axisCol"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6" dataOnRows="1" applyNumberFormats="0" applyBorderFormats="0" applyFontFormats="0" applyPatternFormats="0" applyAlignmentFormats="0" applyWidthHeightFormats="1" dataCaption="Cosine" updatedVersion="6" minRefreshableVersion="3" useAutoFormatting="1" itemPrintTitles="1" createdVersion="6" indent="0" outline="1" outlineData="1" multipleFieldFilters="0">
  <location ref="S7:X13" firstHeaderRow="1" firstDataRow="2" firstDataCol="1"/>
  <pivotFields count="8">
    <pivotField axis="axisCol" showAll="0">
      <items count="11">
        <item x="0"/>
        <item x="1"/>
        <item x="2"/>
        <item x="3"/>
        <item m="1" x="9"/>
        <item m="1" x="4"/>
        <item m="1" x="5"/>
        <item m="1" x="6"/>
        <item m="1" x="7"/>
        <item m="1" x="8"/>
        <item t="default"/>
      </items>
    </pivotField>
    <pivotField dataField="1" showAll="0"/>
    <pivotField dataField="1" showAll="0"/>
    <pivotField showAll="0"/>
    <pivotField showAll="0"/>
    <pivotField dataField="1" showAll="0"/>
    <pivotField dataField="1" showAll="0"/>
    <pivotField dataField="1" showAll="0"/>
  </pivotFields>
  <rowFields count="1">
    <field x="-2"/>
  </rowFields>
  <rowItems count="5">
    <i>
      <x/>
    </i>
    <i i="1">
      <x v="1"/>
    </i>
    <i i="2">
      <x v="2"/>
    </i>
    <i i="3">
      <x v="3"/>
    </i>
    <i i="4">
      <x v="4"/>
    </i>
  </rowItems>
  <colFields count="1">
    <field x="0"/>
  </colFields>
  <colItems count="5">
    <i>
      <x/>
    </i>
    <i>
      <x v="1"/>
    </i>
    <i>
      <x v="2"/>
    </i>
    <i>
      <x v="3"/>
    </i>
    <i t="grand">
      <x/>
    </i>
  </colItems>
  <dataFields count="5">
    <dataField name="x " fld="1" baseField="0" baseItem="0"/>
    <dataField name="y " fld="2" baseField="0" baseItem="0"/>
    <dataField name="x.y " fld="5" baseField="0" baseItem="0"/>
    <dataField name="x^2 " fld="6" baseField="0" baseItem="0"/>
    <dataField name="y^2 " fld="7" baseField="0" baseItem="0"/>
  </dataFields>
  <formats count="9">
    <format dxfId="310">
      <pivotArea outline="0" collapsedLevelsAreSubtotals="1" fieldPosition="0"/>
    </format>
    <format dxfId="309">
      <pivotArea field="-2" type="button" dataOnly="0" labelOnly="1" outline="0" axis="axisRow" fieldPosition="0"/>
    </format>
    <format dxfId="308">
      <pivotArea dataOnly="0" labelOnly="1" outline="0" fieldPosition="0">
        <references count="1">
          <reference field="4294967294" count="5">
            <x v="0"/>
            <x v="1"/>
            <x v="2"/>
            <x v="3"/>
            <x v="4"/>
          </reference>
        </references>
      </pivotArea>
    </format>
    <format dxfId="307">
      <pivotArea dataOnly="0" labelOnly="1" fieldPosition="0">
        <references count="1">
          <reference field="0" count="0"/>
        </references>
      </pivotArea>
    </format>
    <format dxfId="306">
      <pivotArea dataOnly="0" labelOnly="1" grandCol="1" outline="0" fieldPosition="0"/>
    </format>
    <format dxfId="305">
      <pivotArea field="0" grandCol="1" collapsedLevelsAreSubtotals="1" axis="axisCol" fieldPosition="0">
        <references count="1">
          <reference field="4294967294" count="1">
            <x v="2"/>
          </reference>
        </references>
      </pivotArea>
    </format>
    <format dxfId="304">
      <pivotArea field="0" grandCol="1" collapsedLevelsAreSubtotals="1" axis="axisCol" fieldPosition="0">
        <references count="1">
          <reference field="4294967294" count="1">
            <x v="2"/>
          </reference>
        </references>
      </pivotArea>
    </format>
    <format dxfId="303">
      <pivotArea field="0" grandCol="1" collapsedLevelsAreSubtotals="1" axis="axisCol" fieldPosition="0">
        <references count="1">
          <reference field="4294967294" count="1">
            <x v="3"/>
          </reference>
        </references>
      </pivotArea>
    </format>
    <format dxfId="302">
      <pivotArea field="0" grandCol="1" collapsedLevelsAreSubtotals="1" axis="axisCol"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6" dataOnRows="1" applyNumberFormats="0" applyBorderFormats="0" applyFontFormats="0" applyPatternFormats="0" applyAlignmentFormats="0" applyWidthHeightFormats="1" dataCaption="Minkowski " updatedVersion="6" minRefreshableVersion="3" useAutoFormatting="1" itemPrintTitles="1" createdVersion="6" indent="0" outline="1" outlineData="1" multipleFieldFilters="0">
  <location ref="AF7:AK12" firstHeaderRow="1" firstDataRow="2" firstDataCol="1"/>
  <pivotFields count="8">
    <pivotField axis="axisCol" showAll="0">
      <items count="11">
        <item x="0"/>
        <item x="1"/>
        <item x="2"/>
        <item x="3"/>
        <item m="1" x="9"/>
        <item m="1" x="4"/>
        <item m="1" x="5"/>
        <item m="1" x="6"/>
        <item m="1" x="7"/>
        <item m="1" x="8"/>
        <item t="default"/>
      </items>
    </pivotField>
    <pivotField dataField="1" showAll="0"/>
    <pivotField dataField="1" showAll="0"/>
    <pivotField dataField="1" showAll="0"/>
    <pivotField dataField="1" showAll="0"/>
    <pivotField showAll="0"/>
    <pivotField showAll="0"/>
    <pivotField showAll="0"/>
  </pivotFields>
  <rowFields count="1">
    <field x="-2"/>
  </rowFields>
  <rowItems count="4">
    <i>
      <x/>
    </i>
    <i i="1">
      <x v="1"/>
    </i>
    <i i="2">
      <x v="2"/>
    </i>
    <i i="3">
      <x v="3"/>
    </i>
  </rowItems>
  <colFields count="1">
    <field x="0"/>
  </colFields>
  <colItems count="5">
    <i>
      <x/>
    </i>
    <i>
      <x v="1"/>
    </i>
    <i>
      <x v="2"/>
    </i>
    <i>
      <x v="3"/>
    </i>
    <i t="grand">
      <x/>
    </i>
  </colItems>
  <dataFields count="4">
    <dataField name="x " fld="1" baseField="0" baseItem="0"/>
    <dataField name="y " fld="2" baseField="0" baseItem="0"/>
    <dataField name="(x-y) " fld="3" baseField="0" baseItem="0"/>
    <dataField name="(x-y)^r " fld="4" baseField="0" baseItem="0"/>
  </dataFields>
  <formats count="5">
    <format dxfId="315">
      <pivotArea outline="0" collapsedLevelsAreSubtotals="1" fieldPosition="0"/>
    </format>
    <format dxfId="314">
      <pivotArea field="-2" type="button" dataOnly="0" labelOnly="1" outline="0" axis="axisRow" fieldPosition="0"/>
    </format>
    <format dxfId="313">
      <pivotArea dataOnly="0" labelOnly="1" outline="0" fieldPosition="0">
        <references count="1">
          <reference field="4294967294" count="2">
            <x v="0"/>
            <x v="1"/>
          </reference>
        </references>
      </pivotArea>
    </format>
    <format dxfId="312">
      <pivotArea dataOnly="0" labelOnly="1" fieldPosition="0">
        <references count="1">
          <reference field="0" count="0"/>
        </references>
      </pivotArea>
    </format>
    <format dxfId="31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7" dataOnRows="1"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R2:X7" firstHeaderRow="1" firstDataRow="2" firstDataCol="1"/>
  <pivotFields count="6">
    <pivotField axis="axisCol" showAll="0">
      <items count="7">
        <item x="0"/>
        <item x="1"/>
        <item x="2"/>
        <item x="3"/>
        <item x="4"/>
        <item m="1" x="5"/>
        <item t="default"/>
      </items>
    </pivotField>
    <pivotField dataField="1" numFmtId="166" showAll="0"/>
    <pivotField dataField="1" numFmtId="166" showAll="0"/>
    <pivotField dataField="1" numFmtId="166" showAll="0"/>
    <pivotField dataField="1" numFmtId="166" showAll="0"/>
    <pivotField numFmtId="2" showAll="0" defaultSubtotal="0"/>
  </pivotFields>
  <rowFields count="1">
    <field x="-2"/>
  </rowFields>
  <rowItems count="4">
    <i>
      <x/>
    </i>
    <i i="1">
      <x v="1"/>
    </i>
    <i i="2">
      <x v="2"/>
    </i>
    <i i="3">
      <x v="3"/>
    </i>
  </rowItems>
  <colFields count="1">
    <field x="0"/>
  </colFields>
  <colItems count="6">
    <i>
      <x/>
    </i>
    <i>
      <x v="1"/>
    </i>
    <i>
      <x v="2"/>
    </i>
    <i>
      <x v="3"/>
    </i>
    <i>
      <x v="4"/>
    </i>
    <i t="grand">
      <x/>
    </i>
  </colItems>
  <dataFields count="4">
    <dataField name="vi " fld="1" baseField="0" baseItem="0"/>
    <dataField name="Mean A " fld="2" baseField="0" baseItem="0"/>
    <dataField name="vi-A " fld="3" baseField="0" baseItem="0"/>
    <dataField name="Sum of (vi-A)^2" fld="4" baseField="0" baseItem="0"/>
  </dataFields>
  <formats count="1">
    <format dxfId="2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3:E25" firstHeaderRow="1" firstDataRow="2" firstDataCol="1"/>
  <pivotFields count="7">
    <pivotField dataField="1" showAll="0"/>
    <pivotField showAll="0">
      <items count="4">
        <item h="1" x="1"/>
        <item h="1" x="2"/>
        <item x="0"/>
        <item t="default"/>
      </items>
    </pivotField>
    <pivotField showAll="0">
      <items count="3">
        <item x="0"/>
        <item x="1"/>
        <item t="default"/>
      </items>
    </pivotField>
    <pivotField showAll="0">
      <items count="3">
        <item x="1"/>
        <item x="0"/>
        <item t="default"/>
      </items>
    </pivotField>
    <pivotField axis="axisCol" showAll="0">
      <items count="3">
        <item x="1"/>
        <item x="0"/>
        <item t="default"/>
      </items>
    </pivotField>
    <pivotField showAll="0">
      <items count="3">
        <item x="1"/>
        <item x="0"/>
        <item t="default"/>
      </items>
    </pivotField>
    <pivotField showAll="0">
      <items count="3">
        <item x="0"/>
        <item x="1"/>
        <item t="default"/>
      </items>
    </pivotField>
  </pivotFields>
  <rowItems count="1">
    <i/>
  </rowItems>
  <colFields count="1">
    <field x="4"/>
  </colFields>
  <colItems count="3">
    <i>
      <x/>
    </i>
    <i>
      <x v="1"/>
    </i>
    <i t="grand">
      <x/>
    </i>
  </colItems>
  <dataFields count="1">
    <dataField name="Count of Day No."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8:N20" firstHeaderRow="1" firstDataRow="2" firstDataCol="1"/>
  <pivotFields count="5">
    <pivotField dataField="1" showAll="0"/>
    <pivotField showAll="0">
      <items count="3">
        <item x="1"/>
        <item h="1" x="0"/>
        <item t="default"/>
      </items>
    </pivotField>
    <pivotField showAll="0">
      <items count="4">
        <item h="1" x="2"/>
        <item h="1" x="1"/>
        <item x="0"/>
        <item t="default"/>
      </items>
    </pivotField>
    <pivotField showAll="0">
      <items count="11">
        <item h="1" x="1"/>
        <item h="1" x="3"/>
        <item h="1" x="0"/>
        <item h="1" x="6"/>
        <item h="1" x="5"/>
        <item x="2"/>
        <item h="1" x="8"/>
        <item h="1" x="7"/>
        <item h="1" x="9"/>
        <item h="1" x="4"/>
        <item t="default"/>
      </items>
    </pivotField>
    <pivotField axis="axisCol" showAll="0">
      <items count="3">
        <item x="0"/>
        <item x="1"/>
        <item t="default"/>
      </items>
    </pivotField>
  </pivotFields>
  <rowItems count="1">
    <i/>
  </rowItems>
  <colFields count="1">
    <field x="4"/>
  </colFields>
  <colItems count="2">
    <i>
      <x/>
    </i>
    <i t="grand">
      <x/>
    </i>
  </colItems>
  <dataFields count="1">
    <dataField name="Count of 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 cacheId="2"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2:B24" firstHeaderRow="1" firstDataRow="1" firstDataCol="1"/>
  <pivotFields count="9">
    <pivotField showAll="0"/>
    <pivotField showAll="0">
      <items count="4">
        <item x="1"/>
        <item x="2"/>
        <item x="0"/>
        <item t="default"/>
      </items>
    </pivotField>
    <pivotField showAll="0">
      <items count="4">
        <item x="0"/>
        <item x="2"/>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dataField="1" showAll="0" defaultSubtotal="0"/>
    <pivotField dataField="1" showAll="0"/>
    <pivotField dragToRow="0" dragToCol="0" dragToPage="0" showAll="0" defaultSubtotal="0"/>
  </pivotFields>
  <rowFields count="1">
    <field x="-2"/>
  </rowFields>
  <rowItems count="2">
    <i>
      <x/>
    </i>
    <i i="1">
      <x v="1"/>
    </i>
  </rowItems>
  <colItems count="1">
    <i/>
  </colItems>
  <dataFields count="2">
    <dataField name="Positive " fld="6" baseField="0" baseItem="0"/>
    <dataField name="Negative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 cacheId="5" dataOnRows="1" applyNumberFormats="0" applyBorderFormats="0" applyFontFormats="0" applyPatternFormats="0" applyAlignmentFormats="0" applyWidthHeightFormats="1" dataCaption="RegressionLine" updatedVersion="6" minRefreshableVersion="3" useAutoFormatting="1" itemPrintTitles="1" createdVersion="6" indent="0" outline="1" outlineData="1" multipleFieldFilters="0">
  <location ref="R7:X11" firstHeaderRow="1" firstDataRow="2" firstDataCol="1"/>
  <pivotFields count="6">
    <pivotField axis="axisCol" showAll="0">
      <items count="11">
        <item x="0"/>
        <item x="1"/>
        <item x="2"/>
        <item x="3"/>
        <item x="4"/>
        <item m="1" x="5"/>
        <item m="1" x="6"/>
        <item m="1" x="7"/>
        <item m="1" x="8"/>
        <item m="1" x="9"/>
        <item t="default"/>
      </items>
    </pivotField>
    <pivotField showAll="0"/>
    <pivotField showAll="0"/>
    <pivotField dataField="1" showAll="0"/>
    <pivotField dataField="1" showAll="0"/>
    <pivotField dataField="1" showAll="0"/>
  </pivotFields>
  <rowFields count="1">
    <field x="-2"/>
  </rowFields>
  <rowItems count="3">
    <i>
      <x/>
    </i>
    <i i="1">
      <x v="1"/>
    </i>
    <i i="2">
      <x v="2"/>
    </i>
  </rowItems>
  <colFields count="1">
    <field x="0"/>
  </colFields>
  <colItems count="6">
    <i>
      <x/>
    </i>
    <i>
      <x v="1"/>
    </i>
    <i>
      <x v="2"/>
    </i>
    <i>
      <x v="3"/>
    </i>
    <i>
      <x v="4"/>
    </i>
    <i t="grand">
      <x/>
    </i>
  </colItems>
  <dataFields count="3">
    <dataField name="x.y " fld="3" baseField="0" baseItem="0"/>
    <dataField name="x^2 " fld="4" baseField="0" baseItem="0"/>
    <dataField name="y^2 " fld="5" baseField="0" baseItem="0"/>
  </dataFields>
  <formats count="7">
    <format dxfId="221">
      <pivotArea outline="0" collapsedLevelsAreSubtotals="1" fieldPosition="0"/>
    </format>
    <format dxfId="220">
      <pivotArea field="-2" type="button" dataOnly="0" labelOnly="1" outline="0" axis="axisRow" fieldPosition="0"/>
    </format>
    <format dxfId="219">
      <pivotArea dataOnly="0" labelOnly="1" outline="0" fieldPosition="0">
        <references count="1">
          <reference field="4294967294" count="3">
            <x v="0"/>
            <x v="1"/>
            <x v="2"/>
          </reference>
        </references>
      </pivotArea>
    </format>
    <format dxfId="218">
      <pivotArea dataOnly="0" labelOnly="1" fieldPosition="0">
        <references count="1">
          <reference field="0" count="0"/>
        </references>
      </pivotArea>
    </format>
    <format dxfId="217">
      <pivotArea dataOnly="0" labelOnly="1" grandCol="1" outline="0" fieldPosition="0"/>
    </format>
    <format dxfId="216">
      <pivotArea dataOnly="0" labelOnly="1" outline="0" fieldPosition="0">
        <references count="1">
          <reference field="4294967294" count="3">
            <x v="0"/>
            <x v="1"/>
            <x v="2"/>
          </reference>
        </references>
      </pivotArea>
    </format>
    <format dxfId="215">
      <pivotArea collapsedLevelsAreSubtotals="1"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 cacheId="4" dataOnRows="1"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gridDropZones="1" multipleFieldFilters="0">
  <location ref="R1:T5" firstHeaderRow="1" firstDataRow="1" firstDataCol="2"/>
  <pivotFields count="9">
    <pivotField compact="0" outline="0" showAll="0"/>
    <pivotField compact="0" outline="0" showAll="0"/>
    <pivotField compact="0" outline="0" showAll="0"/>
    <pivotField axis="axisRow" compact="0" outline="0" showAll="0">
      <items count="3">
        <item x="0"/>
        <item x="1"/>
        <item t="default"/>
      </items>
    </pivotField>
    <pivotField compact="0" outline="0" showAll="0">
      <items count="4">
        <item m="1" x="1"/>
        <item m="1" x="2"/>
        <item x="0"/>
        <item t="default"/>
      </items>
    </pivotField>
    <pivotField compact="0" outline="0" showAll="0"/>
    <pivotField dataField="1" compact="0" outline="0" showAll="0" defaultSubtotal="0"/>
    <pivotField dataField="1" compact="0" outline="0" showAll="0"/>
    <pivotField compact="0" outline="0" dragToRow="0" dragToCol="0" dragToPage="0" showAll="0" defaultSubtotal="0"/>
  </pivotFields>
  <rowFields count="2">
    <field x="3"/>
    <field x="-2"/>
  </rowFields>
  <rowItems count="4">
    <i>
      <x/>
      <x/>
    </i>
    <i r="1" i="1">
      <x v="1"/>
    </i>
    <i>
      <x v="1"/>
      <x/>
    </i>
    <i r="1" i="1">
      <x v="1"/>
    </i>
  </rowItems>
  <colItems count="1">
    <i/>
  </colItems>
  <dataFields count="2">
    <dataField name="Positive " fld="6" baseField="0" baseItem="0"/>
    <dataField name="Negative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4" dataOnRows="1"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gridDropZones="1" multipleFieldFilters="0">
  <location ref="O1:P3" firstHeaderRow="1" firstDataRow="1" firstDataCol="1"/>
  <pivotFields count="9">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dataField="1" compact="0" outline="0" showAll="0"/>
    <pivotField compact="0" outline="0" dragToRow="0" dragToCol="0" dragToPage="0" showAll="0" defaultSubtotal="0"/>
  </pivotFields>
  <rowFields count="1">
    <field x="-2"/>
  </rowFields>
  <rowItems count="2">
    <i>
      <x/>
    </i>
    <i i="1">
      <x v="1"/>
    </i>
  </rowItems>
  <colItems count="1">
    <i/>
  </colItems>
  <dataFields count="2">
    <dataField name="Positive " fld="6" baseField="0" baseItem="0"/>
    <dataField name="Negative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2" cacheId="3" dataOnRows="1"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gridDropZones="1" multipleFieldFilters="0">
  <location ref="P1:R5" firstHeaderRow="1" firstDataRow="1" firstDataCol="2"/>
  <pivotFields count="9">
    <pivotField compact="0" outline="0" showAll="0"/>
    <pivotField compact="0" outline="0" showAll="0">
      <items count="3">
        <item x="1"/>
        <item x="0"/>
        <item t="default"/>
      </items>
    </pivotField>
    <pivotField compact="0" outline="0" showAll="0">
      <items count="3">
        <item x="1"/>
        <item x="0"/>
        <item t="default"/>
      </items>
    </pivotField>
    <pivotField axis="axisRow" compact="0" outline="0" showAll="0">
      <items count="3">
        <item x="0"/>
        <item x="1"/>
        <item t="default"/>
      </items>
    </pivotField>
    <pivotField compact="0" outline="0" showAll="0"/>
    <pivotField compact="0" outline="0" showAll="0"/>
    <pivotField dataField="1" compact="0" outline="0" showAll="0" defaultSubtotal="0"/>
    <pivotField dataField="1" compact="0" outline="0" showAll="0"/>
    <pivotField compact="0" outline="0" dragToRow="0" dragToCol="0" dragToPage="0" showAll="0" defaultSubtotal="0"/>
  </pivotFields>
  <rowFields count="2">
    <field x="3"/>
    <field x="-2"/>
  </rowFields>
  <rowItems count="4">
    <i>
      <x/>
      <x/>
    </i>
    <i r="1" i="1">
      <x v="1"/>
    </i>
    <i>
      <x v="1"/>
      <x/>
    </i>
    <i r="1" i="1">
      <x v="1"/>
    </i>
  </rowItems>
  <colItems count="1">
    <i/>
  </colItems>
  <dataFields count="2">
    <dataField name="Positive " fld="6" baseField="0" baseItem="0"/>
    <dataField name="Negative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3" cacheId="3" dataOnRows="1"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gridDropZones="1" multipleFieldFilters="0">
  <location ref="M1:N3" firstHeaderRow="1" firstDataRow="1" firstDataCol="1"/>
  <pivotFields count="9">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dataField="1" compact="0" outline="0" showAll="0"/>
    <pivotField compact="0" outline="0" dragToRow="0" dragToCol="0" dragToPage="0" showAll="0" defaultSubtotal="0"/>
  </pivotFields>
  <rowFields count="1">
    <field x="-2"/>
  </rowFields>
  <rowItems count="2">
    <i>
      <x/>
    </i>
    <i i="1">
      <x v="1"/>
    </i>
  </rowItems>
  <colItems count="1">
    <i/>
  </colItems>
  <dataFields count="2">
    <dataField name="Positive " fld="6" baseField="0" baseItem="0"/>
    <dataField name="Negative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ook" sourceName="Outlook">
  <pivotTables>
    <pivotTable tabId="12" name="PivotTable3"/>
  </pivotTables>
  <data>
    <tabular pivotCacheId="270711758">
      <items count="3">
        <i x="1"/>
        <i x="2"/>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Humidity" sourceName="Humidity">
  <pivotTables>
    <pivotTable tabId="12" name="PivotTable3"/>
  </pivotTables>
  <data>
    <tabular pivotCacheId="27071175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Wind" sourceName="Wind">
  <pivotTables>
    <pivotTable tabId="12" name="PivotTable3"/>
  </pivotTables>
  <data>
    <tabular pivotCacheId="270711758">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Home_Owner" sourceName="Home Owner">
  <pivotTables>
    <pivotTable tabId="12" name="PivotTable1"/>
  </pivotTables>
  <data>
    <tabular pivotCacheId="1172817514">
      <items count="2">
        <i x="1" s="1"/>
        <i x="0"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 Status">
  <pivotTables>
    <pivotTable tabId="12" name="PivotTable1"/>
  </pivotTables>
  <data>
    <tabular pivotCacheId="1172817514">
      <items count="3">
        <i x="0" s="1"/>
        <i x="2" nd="1"/>
        <i x="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Annual_Income" sourceName="Annual Income">
  <pivotTables>
    <pivotTable tabId="12" name="PivotTable1"/>
  </pivotTables>
  <data>
    <tabular pivotCacheId="1172817514">
      <items count="10">
        <i x="2" s="1"/>
        <i x="7"/>
        <i x="9"/>
        <i x="1" nd="1"/>
        <i x="3" nd="1"/>
        <i x="0" nd="1"/>
        <i x="6" nd="1"/>
        <i x="5" nd="1"/>
        <i x="8" nd="1"/>
        <i x="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17" name="PivotTable2"/>
  </pivotTables>
  <data>
    <tabular pivotCacheId="655242012">
      <items count="3">
        <i x="1" s="1"/>
        <i x="2"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income" sourceName="income">
  <pivotTables>
    <pivotTable tabId="17" name="PivotTable2"/>
  </pivotTables>
  <data>
    <tabular pivotCacheId="655242012">
      <items count="3">
        <i x="0" s="1"/>
        <i x="2"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student" sourceName="student">
  <pivotTables>
    <pivotTable tabId="17" name="PivotTable2"/>
  </pivotTables>
  <data>
    <tabular pivotCacheId="655242012">
      <items count="2">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redit" sourceName="credit">
  <pivotTables>
    <pivotTable tabId="17" name="PivotTable2"/>
  </pivotTables>
  <data>
    <tabular pivotCacheId="655242012">
      <items count="2">
        <i x="1"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buys_computer" sourceName="buys computer">
  <pivotTables>
    <pivotTable tabId="17" name="PivotTable2"/>
  </pivotTables>
  <data>
    <tabular pivotCacheId="65524201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ook" cache="Slicer_Outlook" caption="Outlook" rowHeight="241300"/>
  <slicer name="Humidity" cache="Slicer_Humidity" caption="Humidity" rowHeight="241300"/>
  <slicer name="Wind" cache="Slicer_Wind" caption="Wind" rowHeight="241300"/>
  <slicer name="Home Owner" cache="Slicer_Home_Owner" caption="Home Owner" rowHeight="241300"/>
  <slicer name="Marital Status" cache="Slicer_Marital_Status" caption="Marital Status" rowHeight="241300"/>
  <slicer name="Annual Income" cache="Slicer_Annual_Income" caption="Annual Incom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age" cache="Slicer_age" caption="age" rowHeight="241300"/>
  <slicer name="income" cache="Slicer_income" caption="income" rowHeight="241300"/>
  <slicer name="student" cache="Slicer_student" caption="student" rowHeight="241300"/>
  <slicer name="credit" cache="Slicer_credit" caption="credit" rowHeight="241300"/>
  <slicer name="buys computer" cache="Slicer_buys_computer" caption="buys computer" rowHeight="241300"/>
</slicers>
</file>

<file path=xl/tables/table1.xml><?xml version="1.0" encoding="utf-8"?>
<table xmlns="http://schemas.openxmlformats.org/spreadsheetml/2006/main" id="16" name="Table16" displayName="Table16" ref="B1:F19" totalsRowShown="0" headerRowDxfId="486" dataDxfId="485">
  <autoFilter ref="B1:F19"/>
  <sortState ref="B2:F19">
    <sortCondition ref="B2:B19"/>
    <sortCondition ref="C2:C19"/>
  </sortState>
  <tableColumns count="5">
    <tableColumn id="5" name="Topic" dataDxfId="484"/>
    <tableColumn id="6" name="Sub-Topic" dataDxfId="483"/>
    <tableColumn id="1" name="Worksheet Link" dataDxfId="482" dataCellStyle="Hyperlink"/>
    <tableColumn id="2" name="Description" dataDxfId="481"/>
    <tableColumn id="3" name="Keywords" dataDxfId="480"/>
  </tableColumns>
  <tableStyleInfo showFirstColumn="0" showLastColumn="0" showRowStripes="1" showColumnStripes="0"/>
</table>
</file>

<file path=xl/tables/table2.xml><?xml version="1.0" encoding="utf-8"?>
<table xmlns="http://schemas.openxmlformats.org/spreadsheetml/2006/main" id="17" name="Table718" displayName="Table718" ref="B1:E4" totalsRowShown="0">
  <autoFilter ref="B1:E4"/>
  <tableColumns count="4">
    <tableColumn id="1" name="Column1"/>
    <tableColumn id="2" name="Maths"/>
    <tableColumn id="3" name="Science"/>
    <tableColumn id="4" name="Total" dataCellStyle="Calculation"/>
  </tableColumns>
  <tableStyleInfo name="TableStyleMedium2" showFirstColumn="0" showLastColumn="0" showRowStripes="1" showColumnStripes="0"/>
</table>
</file>

<file path=xl/tables/table3.xml><?xml version="1.0" encoding="utf-8"?>
<table xmlns="http://schemas.openxmlformats.org/spreadsheetml/2006/main" id="21" name="Table822" displayName="Table822" ref="B7:D9" totalsRowShown="0">
  <autoFilter ref="B7:D9"/>
  <tableColumns count="3">
    <tableColumn id="1" name="Column1"/>
    <tableColumn id="2" name="Maths" dataCellStyle="Calculation">
      <calculatedColumnFormula>C$4*$E2/$E$4</calculatedColumnFormula>
    </tableColumn>
    <tableColumn id="3" name="Science" dataCellStyle="Calculation">
      <calculatedColumnFormula>D$4*$E2/$E$4</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22" name="Table923" displayName="Table923" ref="B11:D13" totalsRowShown="0">
  <autoFilter ref="B11:D13"/>
  <tableColumns count="3">
    <tableColumn id="1" name="Column1"/>
    <tableColumn id="2" name="Maths" dataCellStyle="Calculation">
      <calculatedColumnFormula>(C2-C8)*(C2-C8)/C8</calculatedColumnFormula>
    </tableColumn>
    <tableColumn id="3" name="Science" dataCellStyle="Calculation">
      <calculatedColumnFormula>(D2-D8)*(D2-D8)/D8</calculatedColumnFormula>
    </tableColumn>
  </tableColumns>
  <tableStyleInfo name="TableStyleMedium2" showFirstColumn="0" showLastColumn="0" showRowStripes="1" showColumnStripes="0"/>
</table>
</file>

<file path=xl/tables/table5.xml><?xml version="1.0" encoding="utf-8"?>
<table xmlns="http://schemas.openxmlformats.org/spreadsheetml/2006/main" id="12" name="Input13" displayName="Input13" ref="A5:J10" totalsRowShown="0" headerRowDxfId="475">
  <autoFilter ref="A5:J10"/>
  <tableColumns count="10">
    <tableColumn id="1" name="X" dataCellStyle="Good"/>
    <tableColumn id="2" name="Y" dataCellStyle="Good"/>
    <tableColumn id="3" name="Xi - Xmean" dataDxfId="474" dataCellStyle="Calculation"/>
    <tableColumn id="4" name="Yi - Ymean" dataDxfId="473" dataCellStyle="Calculation"/>
    <tableColumn id="5" name="(Xi - Xmean)(Yi - Ymean)" dataDxfId="472" dataCellStyle="Calculation"/>
    <tableColumn id="6" name="(Xi - Xmean)^2" dataDxfId="471" dataCellStyle="Calculation"/>
    <tableColumn id="7" name="(Yi - Ymean)^2" dataDxfId="470" dataCellStyle="Calculation"/>
    <tableColumn id="8" name="i" dataDxfId="469" dataCellStyle="Calculation"/>
    <tableColumn id="9" name="Xmean" dataDxfId="468" dataCellStyle="Calculation">
      <calculatedColumnFormula>AVERAGE(Input13[X])</calculatedColumnFormula>
    </tableColumn>
    <tableColumn id="10" name="Ymean" dataDxfId="467" dataCellStyle="Calculation">
      <calculatedColumnFormula>AVERAGE(Input13[Y])</calculatedColumnFormula>
    </tableColumn>
  </tableColumns>
  <tableStyleInfo name="TableStyleLight9" showFirstColumn="0" showLastColumn="0" showRowStripes="1" showColumnStripes="0"/>
</table>
</file>

<file path=xl/tables/table6.xml><?xml version="1.0" encoding="utf-8"?>
<table xmlns="http://schemas.openxmlformats.org/spreadsheetml/2006/main" id="13" name="Results14" displayName="Results14" ref="A1:H2" totalsRowShown="0" dataCellStyle="Calculation">
  <autoFilter ref="A1:H2"/>
  <tableColumns count="8">
    <tableColumn id="1" name="Xmean" dataCellStyle="Calculation"/>
    <tableColumn id="2" name="Ymean" dataCellStyle="Calculation"/>
    <tableColumn id="3" name="Numerator" dataCellStyle="Calculation"/>
    <tableColumn id="4" name="Denominator" dataCellStyle="Calculation"/>
    <tableColumn id="7" name="Standard_Deviation(x)(Sample)" dataCellStyle="Calculation">
      <calculatedColumnFormula>_xlfn.STDEV.S(Input13[X])</calculatedColumnFormula>
    </tableColumn>
    <tableColumn id="8" name="Standard_Deviation(y)(Sample)" dataCellStyle="Calculation">
      <calculatedColumnFormula>_xlfn.STDEV.S(Input13[Y])</calculatedColumnFormula>
    </tableColumn>
    <tableColumn id="6" name="Covariance (x,y) (Sample)" dataCellStyle="Calculation">
      <calculatedColumnFormula>_xlfn.COVARIANCE.S(Input13[X],Input13[Y])</calculatedColumnFormula>
    </tableColumn>
    <tableColumn id="9" name="corr(x,y)" dataCellStyle="Calculation">
      <calculatedColumnFormula>Results14[[#This Row],[Covariance (x,y) (Sample)]]/(Results14[[#This Row],[Standard_Deviation(x)(Sample)]]*Results14[[#This Row],[Standard_Deviation(y)(Sample)]])</calculatedColumnFormula>
    </tableColumn>
  </tableColumns>
  <tableStyleInfo name="TableStyleMedium2" showFirstColumn="0" showLastColumn="0" showRowStripes="1" showColumnStripes="0"/>
</table>
</file>

<file path=xl/tables/table7.xml><?xml version="1.0" encoding="utf-8"?>
<table xmlns="http://schemas.openxmlformats.org/spreadsheetml/2006/main" id="14" name="InputTableDistances15" displayName="InputTableDistances15" ref="A11:E21" totalsRowShown="0">
  <autoFilter ref="A11:E21"/>
  <tableColumns count="5">
    <tableColumn id="1" name="Point" dataCellStyle="Calculation">
      <calculatedColumnFormula>A11+1</calculatedColumnFormula>
    </tableColumn>
    <tableColumn id="2" name="Variable1" dataCellStyle="Good"/>
    <tableColumn id="3" name="Variable2" dataCellStyle="Good"/>
    <tableColumn id="4" name="Variable3" dataDxfId="466" dataCellStyle="Good"/>
    <tableColumn id="5" name="Variable4" dataDxfId="465" dataCellStyle="Good"/>
  </tableColumns>
  <tableStyleInfo name="TableStyleMedium2" showFirstColumn="0" showLastColumn="0" showRowStripes="1" showColumnStripes="0"/>
</table>
</file>

<file path=xl/tables/table8.xml><?xml version="1.0" encoding="utf-8"?>
<table xmlns="http://schemas.openxmlformats.org/spreadsheetml/2006/main" id="15" name="DistanceTable" displayName="DistanceTable" ref="G11:Q21" totalsRowShown="0" dataCellStyle="Calculation">
  <autoFilter ref="G11:Q21"/>
  <tableColumns count="11">
    <tableColumn id="1" name="Point" dataDxfId="464" dataCellStyle="Calculation">
      <calculatedColumnFormula>IFERROR(InputTableDistances15[[#This Row],[Point]],"")</calculatedColumnFormula>
    </tableColumn>
    <tableColumn id="2" name="1" dataDxfId="463" dataCellStyle="Calculation">
      <calculatedColumnFormula>IF(AND(DistanceTable[[#This Row],[Point]]&lt;=Cal_89[Applicable Points],VALUE(DistanceTable[[#Headers],[1]])&lt;=Cal_89[Applicable Points]),(ABS($B12-$B$12)^$C$5+ABS($C12-$C$12)^$C$5+ABS($D12-$D$12)^$C$5+ABS($E12-$E$12)^$C$5)^(1/$C$5),"NA")</calculatedColumnFormula>
    </tableColumn>
    <tableColumn id="3" name="2" dataDxfId="462" dataCellStyle="Calculation">
      <calculatedColumnFormula>IF(AND(DistanceTable[[#This Row],[Point]]&lt;=Cal_89[Applicable Points],VALUE(DistanceTable[[#Headers],[2]])&lt;=Cal_89[Applicable Points]),(ABS($B12-$B$13)^$C$5+ABS($C12-$C$13)^$C$5+ABS($D12-$D$13)^$C$5+ABS($E12-$E$13)^$C$5)^(1/$C$5),"NA")</calculatedColumnFormula>
    </tableColumn>
    <tableColumn id="4" name="3" dataDxfId="461" dataCellStyle="Calculation">
      <calculatedColumnFormula>IF(AND(DistanceTable[[#This Row],[Point]]&lt;=Cal_89[Applicable Points],VALUE(DistanceTable[[#Headers],[3]])&lt;=Cal_89[Applicable Points]),(ABS($B12-$B$14)^$C$5+ABS($C12-$C$14)^$C$5+ABS($D12-$D$14)^$C$5+ABS($E12-$E$14)^$C$5)^(1/$C$5),"NA")</calculatedColumnFormula>
    </tableColumn>
    <tableColumn id="5" name="4" dataDxfId="460" dataCellStyle="Calculation">
      <calculatedColumnFormula>IF(AND(DistanceTable[[#This Row],[Point]]&lt;=Cal_89[Applicable Points],VALUE(DistanceTable[[#Headers],[4]])&lt;=Cal_89[Applicable Points]),ABS($B12-$B$15)^$C$5+ABS($C12-$C$15)^$C$5+ABS($D12-$D$15)^$C$5+ABS($E12-$E$15)^$C$5,"NA")</calculatedColumnFormula>
    </tableColumn>
    <tableColumn id="6" name="5" dataDxfId="459" dataCellStyle="Calculation">
      <calculatedColumnFormula>IF(AND(DistanceTable[[#This Row],[Point]]&lt;=Cal_89[Applicable Points],VALUE(DistanceTable[[#Headers],[5]])&lt;=Cal_89[Applicable Points]),(ABS($B12-$B$16)^$C$5+ABS($C12-$C$16)^$C$5+ABS($D12-$D$16)^$C$5+ABS($E12-$E$16)^$C$5)^(1/$C$5),"NA")</calculatedColumnFormula>
    </tableColumn>
    <tableColumn id="7" name="6" dataDxfId="458" dataCellStyle="Calculation">
      <calculatedColumnFormula>IF(AND(DistanceTable[[#This Row],[Point]]&lt;=Cal_89[Applicable Points],VALUE(DistanceTable[[#Headers],[6]])&lt;=Cal_89[Applicable Points]),(ABS($B12-$B$17)^$C$5+ABS($C12-$C$17)^$C$5+ABS($D12-$D$17)^$C$5+ABS($E12-$E$17)^$C$5)^(1/$C$5),"NA")</calculatedColumnFormula>
    </tableColumn>
    <tableColumn id="8" name="7" dataDxfId="457" dataCellStyle="Calculation">
      <calculatedColumnFormula>IF(AND(DistanceTable[[#This Row],[Point]]&lt;=Cal_89[Applicable Points],VALUE(DistanceTable[[#Headers],[7]])&lt;=Cal_89[Applicable Points]),(ABS($B12-$B$18)^$C$5+ABS($C12-$C$18)^$C$5+ABS($D12-$D$18)^$C$5+ABS($E12-$E$18)^$C$5)^(1/$C$5),"NA")</calculatedColumnFormula>
    </tableColumn>
    <tableColumn id="9" name="8" dataDxfId="456" dataCellStyle="Calculation">
      <calculatedColumnFormula>IF(AND(DistanceTable[[#This Row],[Point]]&lt;=Cal_89[Applicable Points],VALUE(DistanceTable[[#Headers],[8]])&lt;=Cal_89[Applicable Points]),(ABS($B12-$B$19)^$C$5+ABS($C12-$C$19)^$C$5+ABS($D12-$D$19)^$C$5+ABS($E12-$E$19)^$C$5)^(1/$C$5),"NA")</calculatedColumnFormula>
    </tableColumn>
    <tableColumn id="10" name="9" dataDxfId="455" dataCellStyle="Calculation">
      <calculatedColumnFormula>IF(AND(DistanceTable[[#This Row],[Point]]&lt;=Cal_89[Applicable Points],VALUE(DistanceTable[[#Headers],[9]])&lt;=Cal_89[Applicable Points]),(ABS($B12-$B$20)^$C$5+ABS($C12-$C$20)^$C$5+ABS($D12-$D$20)^$C$5+ABS($E12-$E$20)^$C$5)^(1/$C$5),"NA")</calculatedColumnFormula>
    </tableColumn>
    <tableColumn id="11" name="10" dataDxfId="454" dataCellStyle="Calculation">
      <calculatedColumnFormula>IF(AND(DistanceTable[[#This Row],[Point]]&lt;=Cal_89[Applicable Points],VALUE(DistanceTable[[#Headers],[10]])&lt;=Cal_89[Applicable Points]),(ABS($B12-$B$21)^$C$5+ABS($C12-$C$21)^$C$5+ABS($D12-$D$21)^$C$5+ABS($E12-$E$21)^$C$5)^(1/$C$5),"NA")</calculatedColumnFormula>
    </tableColumn>
  </tableColumns>
  <tableStyleInfo name="TableStyleMedium2" showFirstColumn="0" showLastColumn="0" showRowStripes="1" showColumnStripes="0"/>
</table>
</file>

<file path=xl/tables/table9.xml><?xml version="1.0" encoding="utf-8"?>
<table xmlns="http://schemas.openxmlformats.org/spreadsheetml/2006/main" id="77" name="Table1723558378" displayName="Table1723558378" ref="U11:AE21" totalsRowShown="0" dataCellStyle="Calculation">
  <autoFilter ref="U11:AE21"/>
  <tableColumns count="11">
    <tableColumn id="1" name="Point" dataDxfId="453" dataCellStyle="Calculation">
      <calculatedColumnFormula>InputTableDistances15[[#This Row],[Point]]</calculatedColumnFormula>
    </tableColumn>
    <tableColumn id="2" name="1" dataDxfId="452" dataCellStyle="Calculation">
      <calculatedColumnFormula>IF(AND(Table1723558378[[#This Row],[Point]]&lt;=Cal_89[Applicable Points],VALUE(DistanceTable[[#Headers],[1]])&lt;=Cal_89[Applicable Points]),MAX(ABS($B12-$B$12),ABS($C12-$C$12),ABS($D12-$D$12),ABS($E12-$E$12)),"")</calculatedColumnFormula>
    </tableColumn>
    <tableColumn id="3" name="2" dataDxfId="451" dataCellStyle="Calculation">
      <calculatedColumnFormula>IF(AND(Table1723558378[[#This Row],[Point]]&lt;=Cal_89[Applicable Points],VALUE(DistanceTable[[#Headers],[2]])&lt;=Cal_89[Applicable Points]),MAX(ABS($B12-$B$13),ABS($C12-$C$13),ABS($D12-$D$13),ABS($E12-$E$13)),"")</calculatedColumnFormula>
    </tableColumn>
    <tableColumn id="4" name="3" dataDxfId="450" dataCellStyle="Calculation">
      <calculatedColumnFormula>IF(AND(Table1723558378[[#This Row],[Point]]&lt;=Cal_89[Applicable Points],VALUE(DistanceTable[[#Headers],[3]])&lt;=Cal_89[Applicable Points]),MAX(ABS($B12-$B$14),ABS($C12-$C$14),ABS($D12-$D$14),ABS($E12-$E$14)),"")</calculatedColumnFormula>
    </tableColumn>
    <tableColumn id="5" name="4" dataDxfId="449" dataCellStyle="Calculation">
      <calculatedColumnFormula>IF(AND(Table1723558378[[#This Row],[Point]]&lt;=Cal_89[Applicable Points],VALUE(DistanceTable[[#Headers],[4]])&lt;=Cal_89[Applicable Points]),MAX(ABS($B12-$B$15),ABS($C12-$C$15),ABS($D12-$D$15),ABS($E12-$E$15)),"")</calculatedColumnFormula>
    </tableColumn>
    <tableColumn id="6" name="5" dataDxfId="448" dataCellStyle="Calculation">
      <calculatedColumnFormula>IF(AND(Table1723558378[[#This Row],[Point]]&lt;=Cal_89[Applicable Points],VALUE(DistanceTable[[#Headers],[5]])&lt;=Cal_89[Applicable Points]),MAX(ABS($B12-$B$16),ABS($C12-$C$16),ABS($D12-$D$16),ABS($E12-$E$16)),"")</calculatedColumnFormula>
    </tableColumn>
    <tableColumn id="7" name="6" dataDxfId="447" dataCellStyle="Calculation">
      <calculatedColumnFormula>IF(AND(Table1723558378[[#This Row],[Point]]&lt;=Cal_89[Applicable Points],VALUE(DistanceTable[[#Headers],[6]])&lt;=Cal_89[Applicable Points]),MAX(ABS($B12-$B$17),ABS($C12-$C$17),ABS($D12-$D$17),ABS($E12-$E$17)),"")</calculatedColumnFormula>
    </tableColumn>
    <tableColumn id="8" name="7" dataDxfId="446" dataCellStyle="Calculation">
      <calculatedColumnFormula>IF(AND(Table1723558378[[#This Row],[Point]]&lt;=Cal_89[Applicable Points],VALUE(DistanceTable[[#Headers],[7]])&lt;=Cal_89[Applicable Points]),MAX(ABS($B12-$B$18),ABS($C12-$C$18),ABS($D12-$D$18),ABS($E12-$E$18)),"")</calculatedColumnFormula>
    </tableColumn>
    <tableColumn id="9" name="8" dataDxfId="445" dataCellStyle="Calculation">
      <calculatedColumnFormula>IF(AND(Table1723558378[[#This Row],[Point]]&lt;=Cal_89[Applicable Points],VALUE(DistanceTable[[#Headers],[8]])&lt;=Cal_89[Applicable Points]),MAX(ABS($B12-$B$19),ABS($C12-$C$19),ABS($D12-$D$19),ABS($E12-$E$19)),"")</calculatedColumnFormula>
    </tableColumn>
    <tableColumn id="10" name="9" dataDxfId="444" dataCellStyle="Calculation">
      <calculatedColumnFormula>IF(AND(Table1723558378[[#This Row],[Point]]&lt;=Cal_89[Applicable Points],VALUE(DistanceTable[[#Headers],[9]])&lt;=Cal_89[Applicable Points]),MAX(ABS($B12-$B$20),ABS($C12-$C$20),ABS($D12-$D$20),ABS($E12-$E$20)),"")</calculatedColumnFormula>
    </tableColumn>
    <tableColumn id="11" name="10" dataDxfId="443" dataCellStyle="Calculation">
      <calculatedColumnFormula>IF(AND(Table1723558378[[#This Row],[Point]]&lt;=Cal_89[Applicable Points],VALUE(DistanceTable[[#Headers],[10]])&lt;=Cal_89[Applicable Points]),MAX(ABS($B12-$B$21),ABS($C12-$C$21),ABS($D12-$D$21),ABS($E12-$E$21)),"")</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id="88" name="Cal_89" displayName="Cal_89" ref="G1:H2" totalsRowShown="0" dataCellStyle="Calculation">
  <autoFilter ref="G1:H2"/>
  <tableColumns count="2">
    <tableColumn id="1" name="Applicable Points" dataCellStyle="Calculation">
      <calculatedColumnFormula>COUNTA(InputTableDistances15[Variable1])</calculatedColumnFormula>
    </tableColumn>
    <tableColumn id="2" name="pi*r" dataCellStyle="Calculation">
      <calculatedColumnFormula>C2*C3</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id="89" name="Norms90" displayName="Norms90" ref="G4:H8" totalsRowShown="0" dataCellStyle="Calculation">
  <autoFilter ref="G4:H8"/>
  <tableColumns count="2">
    <tableColumn id="1" name="Parameter (r)" dataCellStyle="Calculation"/>
    <tableColumn id="2" name="Name" dataCellStyle="Calculation"/>
  </tableColumns>
  <tableStyleInfo name="TableStyleMedium2" showFirstColumn="0" showLastColumn="0" showRowStripes="1" showColumnStripes="0"/>
</table>
</file>

<file path=xl/tables/table12.xml><?xml version="1.0" encoding="utf-8"?>
<table xmlns="http://schemas.openxmlformats.org/spreadsheetml/2006/main" id="90" name="DistanceTable2" displayName="DistanceTable2" ref="G27:Q37" totalsRowShown="0" headerRowDxfId="442" headerRowBorderDxfId="441" tableBorderDxfId="440" totalsRowBorderDxfId="439" dataCellStyle="Calculation">
  <autoFilter ref="G27:Q37"/>
  <tableColumns count="11">
    <tableColumn id="1" name="Replacing Diagonal with NA" dataDxfId="438" dataCellStyle="Calculation"/>
    <tableColumn id="2" name="1" dataDxfId="437" dataCellStyle="Calculation">
      <calculatedColumnFormula>IF($G28=VALUE(H$27),"NA",H12)</calculatedColumnFormula>
    </tableColumn>
    <tableColumn id="3" name="2" dataDxfId="436" dataCellStyle="Calculation">
      <calculatedColumnFormula>IF($G28=VALUE(I$27),"NA",I12)</calculatedColumnFormula>
    </tableColumn>
    <tableColumn id="4" name="3" dataDxfId="435" dataCellStyle="Calculation">
      <calculatedColumnFormula>IF($G28=VALUE(J$27),"NA",J12)</calculatedColumnFormula>
    </tableColumn>
    <tableColumn id="5" name="4" dataDxfId="434" dataCellStyle="Calculation">
      <calculatedColumnFormula>IF($G28=VALUE(K$27),"NA",K12)</calculatedColumnFormula>
    </tableColumn>
    <tableColumn id="6" name="5" dataDxfId="433" dataCellStyle="Calculation">
      <calculatedColumnFormula>IF($G28=VALUE(L$27),"NA",L12)</calculatedColumnFormula>
    </tableColumn>
    <tableColumn id="7" name="6" dataDxfId="432" dataCellStyle="Calculation">
      <calculatedColumnFormula>IF($G28=VALUE(M$27),"NA",M12)</calculatedColumnFormula>
    </tableColumn>
    <tableColumn id="8" name="7" dataDxfId="431" dataCellStyle="Calculation">
      <calculatedColumnFormula>IF($G28=VALUE(N$27),"NA",N12)</calculatedColumnFormula>
    </tableColumn>
    <tableColumn id="9" name="8" dataDxfId="430" dataCellStyle="Calculation">
      <calculatedColumnFormula>IF($G28=VALUE(O$27),"NA",O12)</calculatedColumnFormula>
    </tableColumn>
    <tableColumn id="10" name="9" dataDxfId="429" dataCellStyle="Calculation">
      <calculatedColumnFormula>IF($G28=VALUE(P$27),"NA",P12)</calculatedColumnFormula>
    </tableColumn>
    <tableColumn id="11" name="10" dataDxfId="428" dataCellStyle="Calculation">
      <calculatedColumnFormula>IF($G28=VALUE(Q$27),"NA",Q12)</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id="101" name="RankTable" displayName="RankTable" ref="G39:R49" totalsRowShown="0" headerRowDxfId="427" headerRowBorderDxfId="426" tableBorderDxfId="425" totalsRowBorderDxfId="424" dataCellStyle="Calculation">
  <autoFilter ref="G39:R49"/>
  <tableColumns count="12">
    <tableColumn id="1" name="Ranking Each Distance" dataDxfId="423" dataCellStyle="Calculation"/>
    <tableColumn id="2" name="1" dataDxfId="422" dataCellStyle="Calculation">
      <calculatedColumnFormula>IFERROR(RANK(H28,DistanceTable2[1],1)+COUNTIF(H$28:$H28,H28)-1,"NA")</calculatedColumnFormula>
    </tableColumn>
    <tableColumn id="3" name="2" dataDxfId="421" dataCellStyle="Calculation">
      <calculatedColumnFormula>IFERROR(RANK(I28,DistanceTable2[2],1)+COUNTIF($I$28:I28,I28)-1,"NA")</calculatedColumnFormula>
    </tableColumn>
    <tableColumn id="4" name="3" dataDxfId="420" dataCellStyle="Calculation">
      <calculatedColumnFormula>IFERROR(RANK(J28,DistanceTable2[3],1)+COUNTIF($J$28:J28,J28)-1,"NA")</calculatedColumnFormula>
    </tableColumn>
    <tableColumn id="5" name="4" dataDxfId="419" dataCellStyle="Calculation">
      <calculatedColumnFormula>IFERROR(RANK(K28,DistanceTable2[4],1)+COUNTIF($K$28:K28,K28)-1,"NA")</calculatedColumnFormula>
    </tableColumn>
    <tableColumn id="6" name="5" dataDxfId="418" dataCellStyle="Calculation">
      <calculatedColumnFormula>IFERROR(RANK(L28,DistanceTable2[5],1)+COUNTIF($L$28:L28,L28)-1,"NA")</calculatedColumnFormula>
    </tableColumn>
    <tableColumn id="7" name="6" dataDxfId="417" dataCellStyle="Calculation">
      <calculatedColumnFormula>IFERROR(RANK(M28,DistanceTable2[6],1)+COUNTIF($M$28:M28,M28)-1,"NA")</calculatedColumnFormula>
    </tableColumn>
    <tableColumn id="8" name="7" dataDxfId="416" dataCellStyle="Calculation">
      <calculatedColumnFormula>IFERROR(RANK(N28,DistanceTable2[7],1)+COUNTIF($N$28:N28,N28)-1,"NA")</calculatedColumnFormula>
    </tableColumn>
    <tableColumn id="9" name="8" dataDxfId="415" dataCellStyle="Calculation">
      <calculatedColumnFormula>IFERROR(RANK(O28,DistanceTable2[8],1)+COUNTIF($O$28:O28,O28)-1,"NA")</calculatedColumnFormula>
    </tableColumn>
    <tableColumn id="10" name="9" dataDxfId="414" dataCellStyle="Calculation">
      <calculatedColumnFormula>IFERROR(RANK(P28,DistanceTable2[9],1)+COUNTIF($P$28:P28,P28)-1,"NA")</calculatedColumnFormula>
    </tableColumn>
    <tableColumn id="11" name="10" dataDxfId="413" dataCellStyle="Calculation">
      <calculatedColumnFormula>IFERROR(RANK(Q28,DistanceTable2[10],1)+COUNTIF($Q$28:Q28,Q28)-1,"NA")</calculatedColumnFormula>
    </tableColumn>
    <tableColumn id="12" name="Dummy S No." dataDxfId="412" dataCellStyle="Calculation"/>
  </tableColumns>
  <tableStyleInfo name="TableStyleMedium2" showFirstColumn="0" showLastColumn="0" showRowStripes="1" showColumnStripes="0"/>
</table>
</file>

<file path=xl/tables/table14.xml><?xml version="1.0" encoding="utf-8"?>
<table xmlns="http://schemas.openxmlformats.org/spreadsheetml/2006/main" id="102" name="NeighDistTable" displayName="NeighDistTable" ref="G51:Q61" totalsRowShown="0" headerRowDxfId="411" headerRowBorderDxfId="410" tableBorderDxfId="409" totalsRowBorderDxfId="408" dataCellStyle="Calculation">
  <autoFilter ref="G51:Q61"/>
  <tableColumns count="11">
    <tableColumn id="1" name="Kth-Neighbour's Distance" dataDxfId="407" dataCellStyle="Calculation"/>
    <tableColumn id="2" name="1" dataDxfId="406" dataCellStyle="Calculation">
      <calculatedColumnFormula>IFERROR(INDEX(DistanceTable2[],VLOOKUP(NeighDistTable[[#This Row],[Kth-Neighbour''s Distance]],RankTable[[1]:[Dummy S No.]],11,FALSE),NeighDistTable[[#Headers],[1]]+1),"")</calculatedColumnFormula>
    </tableColumn>
    <tableColumn id="3" name="2" dataDxfId="405" dataCellStyle="Calculation">
      <calculatedColumnFormula>IFERROR(INDEX(DistanceTable2[],VLOOKUP(NeighDistTable[[#This Row],[Kth-Neighbour''s Distance]],RankTable[[2]:[Dummy S No.]],10,FALSE),NeighDistTable[[#Headers],[2]]+1),"")</calculatedColumnFormula>
    </tableColumn>
    <tableColumn id="4" name="3" dataDxfId="404" dataCellStyle="Calculation">
      <calculatedColumnFormula>IFERROR(INDEX(DistanceTable2[],VLOOKUP(NeighDistTable[[#This Row],[Kth-Neighbour''s Distance]],RankTable[[3]:[Dummy S No.]],9,FALSE),NeighDistTable[[#Headers],[3]]+1),"")</calculatedColumnFormula>
    </tableColumn>
    <tableColumn id="5" name="4" dataDxfId="403" dataCellStyle="Calculation">
      <calculatedColumnFormula>IFERROR(INDEX(DistanceTable2[],VLOOKUP(NeighDistTable[[#This Row],[Kth-Neighbour''s Distance]],RankTable[[4]:[Dummy S No.]],8,FALSE),NeighDistTable[[#Headers],[4]]+1),"")</calculatedColumnFormula>
    </tableColumn>
    <tableColumn id="6" name="5" dataDxfId="402" dataCellStyle="Calculation">
      <calculatedColumnFormula>IFERROR(INDEX(DistanceTable2[],VLOOKUP(NeighDistTable[[#This Row],[Kth-Neighbour''s Distance]],RankTable[[5]:[Dummy S No.]],7,FALSE),NeighDistTable[[#Headers],[5]]+1),"")</calculatedColumnFormula>
    </tableColumn>
    <tableColumn id="7" name="6" dataDxfId="401" dataCellStyle="Calculation">
      <calculatedColumnFormula>IFERROR(INDEX(DistanceTable2[],VLOOKUP(NeighDistTable[[#This Row],[Kth-Neighbour''s Distance]],RankTable[[6]:[Dummy S No.]],6,FALSE),NeighDistTable[[#Headers],[6]]+1),"")</calculatedColumnFormula>
    </tableColumn>
    <tableColumn id="8" name="7" dataDxfId="400" dataCellStyle="Calculation">
      <calculatedColumnFormula>IFERROR(INDEX(DistanceTable2[],VLOOKUP(NeighDistTable[[#This Row],[Kth-Neighbour''s Distance]],RankTable[[7]:[Dummy S No.]],5,FALSE),NeighDistTable[[#Headers],[7]]+1),"")</calculatedColumnFormula>
    </tableColumn>
    <tableColumn id="9" name="8" dataDxfId="399" dataCellStyle="Calculation">
      <calculatedColumnFormula>IFERROR(INDEX(DistanceTable2[],VLOOKUP(NeighDistTable[[#This Row],[Kth-Neighbour''s Distance]],RankTable[[8]:[Dummy S No.]],4,FALSE),NeighDistTable[[#Headers],[8]]+1),"")</calculatedColumnFormula>
    </tableColumn>
    <tableColumn id="10" name="9" dataDxfId="398" dataCellStyle="Calculation">
      <calculatedColumnFormula>IFERROR(INDEX(DistanceTable2[],VLOOKUP(NeighDistTable[[#This Row],[Kth-Neighbour''s Distance]],RankTable[[9]:[Dummy S No.]],3,FALSE),NeighDistTable[[#Headers],[9]]+1),"")</calculatedColumnFormula>
    </tableColumn>
    <tableColumn id="11" name="10" dataDxfId="397" dataCellStyle="Calculation">
      <calculatedColumnFormula>IFERROR(INDEX(DistanceTable2[],VLOOKUP(NeighDistTable[[#This Row],[Kth-Neighbour''s Distance]],RankTable[[10]:[Dummy S No.]],2,FALSE),NeighDistTable[[#Headers],[10]]+1),"")</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id="103" name="NeighDistTable104" displayName="NeighDistTable104" ref="G63:Q73" totalsRowShown="0" headerRowDxfId="396" headerRowBorderDxfId="395" tableBorderDxfId="394" totalsRowBorderDxfId="393" dataCellStyle="Calculation">
  <autoFilter ref="G63:Q73"/>
  <tableColumns count="11">
    <tableColumn id="1" name="Neighbours Within Radius" dataDxfId="392" dataCellStyle="Calculation"/>
    <tableColumn id="2" name="1" dataDxfId="391" dataCellStyle="Calculation">
      <calculatedColumnFormula>COUNTIF(H$28:H$37,"&lt;="&amp;H52)</calculatedColumnFormula>
    </tableColumn>
    <tableColumn id="3" name="2" dataDxfId="390" dataCellStyle="Calculation">
      <calculatedColumnFormula>COUNTIF(I$28:I$37,"&lt;="&amp;I52)</calculatedColumnFormula>
    </tableColumn>
    <tableColumn id="4" name="3" dataDxfId="389" dataCellStyle="Calculation">
      <calculatedColumnFormula>COUNTIF(J$28:J$37,"&lt;="&amp;J52)</calculatedColumnFormula>
    </tableColumn>
    <tableColumn id="5" name="4" dataDxfId="388" dataCellStyle="Calculation">
      <calculatedColumnFormula>COUNTIF(K$28:K$37,"&lt;="&amp;K52)</calculatedColumnFormula>
    </tableColumn>
    <tableColumn id="6" name="5" dataDxfId="387" dataCellStyle="Calculation">
      <calculatedColumnFormula>COUNTIF(L$28:L$37,"&lt;="&amp;L52)</calculatedColumnFormula>
    </tableColumn>
    <tableColumn id="7" name="6" dataDxfId="386" dataCellStyle="Calculation">
      <calculatedColumnFormula>COUNTIF(M$28:M$37,"&lt;="&amp;M52)</calculatedColumnFormula>
    </tableColumn>
    <tableColumn id="8" name="7" dataDxfId="385" dataCellStyle="Calculation">
      <calculatedColumnFormula>COUNTIF(N$28:N$37,"&lt;="&amp;N52)</calculatedColumnFormula>
    </tableColumn>
    <tableColumn id="9" name="8" dataDxfId="384" dataCellStyle="Calculation">
      <calculatedColumnFormula>COUNTIF(O$28:O$37,"&lt;="&amp;O52)</calculatedColumnFormula>
    </tableColumn>
    <tableColumn id="10" name="9" dataDxfId="383" dataCellStyle="Calculation">
      <calculatedColumnFormula>COUNTIF(P$28:P$37,"&lt;="&amp;P52)</calculatedColumnFormula>
    </tableColumn>
    <tableColumn id="11" name="10" dataDxfId="382" dataCellStyle="Calculation">
      <calculatedColumnFormula>COUNTIF(Q$28:Q$37,"&lt;="&amp;Q52)</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id="79" name="InputTable" displayName="InputTable" ref="A8:E15" totalsRowShown="0">
  <autoFilter ref="A8:E15"/>
  <tableColumns count="5">
    <tableColumn id="1" name="Tuple" dataCellStyle="Calculation"/>
    <tableColumn id="2" name="n1" dataCellStyle="Good"/>
    <tableColumn id="3" name="n2" dataCellStyle="Good"/>
    <tableColumn id="4" name="n3" dataCellStyle="Good"/>
    <tableColumn id="5" name="n4" dataCellStyle="Good"/>
  </tableColumns>
  <tableStyleInfo name="TableStyleMedium2" showFirstColumn="0" showLastColumn="0" showRowStripes="1" showColumnStripes="0"/>
</table>
</file>

<file path=xl/tables/table17.xml><?xml version="1.0" encoding="utf-8"?>
<table xmlns="http://schemas.openxmlformats.org/spreadsheetml/2006/main" id="80" name="MeanValues" displayName="MeanValues" ref="A1:E2" totalsRowShown="0" headerRowDxfId="381">
  <autoFilter ref="A1:E2"/>
  <tableColumns count="5">
    <tableColumn id="1" name="Mean Table"/>
    <tableColumn id="2" name="n1" dataCellStyle="Calculation">
      <calculatedColumnFormula>IFERROR(AVERAGE(InputTable[n1]),"")</calculatedColumnFormula>
    </tableColumn>
    <tableColumn id="3" name="n2" dataCellStyle="Calculation">
      <calculatedColumnFormula>IFERROR(AVERAGE(InputTable[n2]),"")</calculatedColumnFormula>
    </tableColumn>
    <tableColumn id="4" name="n3" dataCellStyle="Calculation">
      <calculatedColumnFormula>IFERROR(AVERAGE(InputTable[n3]),"")</calculatedColumnFormula>
    </tableColumn>
    <tableColumn id="5" name="n4" dataCellStyle="Calculation">
      <calculatedColumnFormula>IFERROR(AVERAGE(InputTable[n4]),"")</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id="81" name="Table81" displayName="Table81" ref="G8:L15" totalsRowShown="0" headerRowDxfId="380" dataCellStyle="Calculation">
  <autoFilter ref="G8:L15"/>
  <tableColumns count="6">
    <tableColumn id="1" name="Chi-Square for Each Tuple" dataDxfId="379" dataCellStyle="Calculation">
      <calculatedColumnFormula>InputTable[[#This Row],[Tuple]]</calculatedColumnFormula>
    </tableColumn>
    <tableColumn id="2" name="n1" dataDxfId="378" dataCellStyle="Calculation">
      <calculatedColumnFormula>IFERROR(POWER((InputTable[[#This Row],[n1]]-MeanValues[n1]),2)/MeanValues[n1],"")</calculatedColumnFormula>
    </tableColumn>
    <tableColumn id="3" name="n2" dataDxfId="377" dataCellStyle="Calculation">
      <calculatedColumnFormula>IFERROR(POWER((InputTable[[#This Row],[n2]]-MeanValues[n2]),2)/MeanValues[n2],"")</calculatedColumnFormula>
    </tableColumn>
    <tableColumn id="4" name="n3" dataDxfId="376" dataCellStyle="Calculation">
      <calculatedColumnFormula>IFERROR(POWER((InputTable[[#This Row],[n3]]-MeanValues[n3]),2)/MeanValues[n3],"")</calculatedColumnFormula>
    </tableColumn>
    <tableColumn id="5" name="n4" dataDxfId="375" dataCellStyle="Calculation">
      <calculatedColumnFormula>IFERROR(POWER((InputTable[[#This Row],[n4]]-MeanValues[n4]),2)/MeanValues[n4],"")</calculatedColumnFormula>
    </tableColumn>
    <tableColumn id="6" name="Total Chi-Square" dataCellStyle="Normal">
      <calculatedColumnFormula>SUM(Table81[[#This Row],[n1]:[n4]])</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id="76" name="InputTableDistances" displayName="InputTableDistances" ref="A8:E18" totalsRowShown="0">
  <autoFilter ref="A8:E18"/>
  <tableColumns count="5">
    <tableColumn id="1" name="Point" dataCellStyle="Calculation">
      <calculatedColumnFormula>A8+1</calculatedColumnFormula>
    </tableColumn>
    <tableColumn id="2" name="Variable1" dataCellStyle="Good"/>
    <tableColumn id="3" name="Variable2" dataCellStyle="Good"/>
    <tableColumn id="4" name="Variable3" dataDxfId="374" dataCellStyle="Good"/>
    <tableColumn id="5" name="Variable4" dataDxfId="373" dataCellStyle="Good"/>
  </tableColumns>
  <tableStyleInfo name="TableStyleMedium2" showFirstColumn="0" showLastColumn="0" showRowStripes="1" showColumnStripes="0"/>
</table>
</file>

<file path=xl/tables/table20.xml><?xml version="1.0" encoding="utf-8"?>
<table xmlns="http://schemas.openxmlformats.org/spreadsheetml/2006/main" id="78" name="L1Distance" displayName="L1Distance" ref="G8:Q18" totalsRowShown="0" dataCellStyle="Calculation">
  <autoFilter ref="G8:Q18"/>
  <tableColumns count="11">
    <tableColumn id="1" name="Point" dataDxfId="372" dataCellStyle="Calculation">
      <calculatedColumnFormula>IFERROR(InputTableDistances[[#This Row],[Point]],"")</calculatedColumnFormula>
    </tableColumn>
    <tableColumn id="2" name="1" dataDxfId="371" dataCellStyle="Calculation">
      <calculatedColumnFormula>IF(AND(L1Distance[[#This Row],[Point]]&lt;=Cal[Applicable Points],VALUE(L1Distance[[#Headers],[1]])&lt;=Cal[Applicable Points]),(ABS($B9-$B$9)^$C$5+ABS($C9-$C$9)^$C$5+ABS($D9-$D$9)^$C$5+ABS($E9-$E$9)^$C$5)^(1/$C$5),"")</calculatedColumnFormula>
    </tableColumn>
    <tableColumn id="3" name="2" dataDxfId="370" dataCellStyle="Calculation">
      <calculatedColumnFormula>IF(AND(L1Distance[[#This Row],[Point]]&lt;=Cal[Applicable Points],VALUE(L1Distance[[#Headers],[2]])&lt;=Cal[Applicable Points]),(ABS($B9-$B$10)^$C$5+ABS($C9-$C$10)^$C$5+ABS($D9-$D$10)^$C$5+ABS($E9-$E$10)^$C$5)^(1/$C$5),"")</calculatedColumnFormula>
    </tableColumn>
    <tableColumn id="4" name="3" dataDxfId="369" dataCellStyle="Calculation">
      <calculatedColumnFormula>IF(AND(L1Distance[[#This Row],[Point]]&lt;=Cal[Applicable Points],VALUE(L1Distance[[#Headers],[3]])&lt;=Cal[Applicable Points]),(ABS($B9-$B$11)^$C$5+ABS($C9-$C$11)^$C$5+ABS($D9-$D$11)^$C$5+ABS($E9-$E$11)^$C$5)^(1/$C$5),"")</calculatedColumnFormula>
    </tableColumn>
    <tableColumn id="5" name="4" dataDxfId="368" dataCellStyle="Calculation">
      <calculatedColumnFormula>IF(AND(L1Distance[[#This Row],[Point]]&lt;=Cal[Applicable Points],VALUE(L1Distance[[#Headers],[4]])&lt;=Cal[Applicable Points]),ABS($B9-$B$12)^$C$5+ABS($C9-$C$12)^$C$5+ABS($D9-$D$12)^$C$5+ABS($E9-$E$12)^$C$5,"")</calculatedColumnFormula>
    </tableColumn>
    <tableColumn id="6" name="5" dataDxfId="367" dataCellStyle="Calculation">
      <calculatedColumnFormula>IF(AND(L1Distance[[#This Row],[Point]]&lt;=Cal[Applicable Points],VALUE(L1Distance[[#Headers],[5]])&lt;=Cal[Applicable Points]),(ABS($B9-$B$13)^$C$5+ABS($C9-$C$13)^$C$5+ABS($D9-$D$13)^$C$5+ABS($E9-$E$13)^$C$5)^(1/$C$5),"")</calculatedColumnFormula>
    </tableColumn>
    <tableColumn id="7" name="6" dataDxfId="366" dataCellStyle="Calculation">
      <calculatedColumnFormula>IF(AND(L1Distance[[#This Row],[Point]]&lt;=Cal[Applicable Points],VALUE(L1Distance[[#Headers],[6]])&lt;=Cal[Applicable Points]),(ABS($B9-$B$14)^$C$5+ABS($C9-$C$14)^$C$5+ABS($D9-$D$14)^$C$5+ABS($E9-$E$14)^$C$5)^(1/$C$5),"")</calculatedColumnFormula>
    </tableColumn>
    <tableColumn id="8" name="7" dataDxfId="365" dataCellStyle="Calculation">
      <calculatedColumnFormula>IF(AND(L1Distance[[#This Row],[Point]]&lt;=Cal[Applicable Points],VALUE(L1Distance[[#Headers],[7]])&lt;=Cal[Applicable Points]),(ABS($B9-$B$15)^$C$5+ABS($C9-$C$15)^$C$5+ABS($D9-$D$15)^$C$5+ABS($E9-$E$15)^$C$5)^(1/$C$5),"")</calculatedColumnFormula>
    </tableColumn>
    <tableColumn id="9" name="8" dataDxfId="364" dataCellStyle="Calculation">
      <calculatedColumnFormula>IF(AND(L1Distance[[#This Row],[Point]]&lt;=Cal[Applicable Points],VALUE(L1Distance[[#Headers],[8]])&lt;=Cal[Applicable Points]),(ABS($B9-$B$16)^$C$5+ABS($C9-$C$16)^$C$5+ABS($D9-$D$16)^$C$5+ABS($E9-$E$16)^$C$5)^(1/$C$5),"")</calculatedColumnFormula>
    </tableColumn>
    <tableColumn id="10" name="9" dataDxfId="363" dataCellStyle="Calculation">
      <calculatedColumnFormula>IF(AND(L1Distance[[#This Row],[Point]]&lt;=Cal[Applicable Points],VALUE(L1Distance[[#Headers],[9]])&lt;=Cal[Applicable Points]),(ABS($B9-$B$17)^$C$5+ABS($C9-$C$17)^$C$5+ABS($D9-$D$17)^$C$5+ABS($E9-$E$17)^$C$5)^(1/$C$5),"")</calculatedColumnFormula>
    </tableColumn>
    <tableColumn id="11" name="10" dataDxfId="362" dataCellStyle="Calculation">
      <calculatedColumnFormula>IF(AND(L1Distance[[#This Row],[Point]]&lt;=Cal[Applicable Points],VALUE(L1Distance[[#Headers],[10]])&lt;=Cal[Applicable Points]),(ABS($B9-$B$18)^$C$5+ABS($C9-$C$18)^$C$5+ABS($D9-$D$18)^$C$5+ABS($E9-$E$18)^$C$5)^(1/$C$5),"")</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id="82" name="Table17235583" displayName="Table17235583" ref="U8:AE18" totalsRowShown="0" dataCellStyle="Calculation">
  <autoFilter ref="U8:AE18"/>
  <tableColumns count="11">
    <tableColumn id="1" name="Point" dataDxfId="361" dataCellStyle="Calculation">
      <calculatedColumnFormula>InputTableDistances[[#This Row],[Point]]</calculatedColumnFormula>
    </tableColumn>
    <tableColumn id="2" name="1" dataDxfId="360" dataCellStyle="Calculation">
      <calculatedColumnFormula>IF(AND(Table17235583[[#This Row],[Point]]&lt;=Cal[Applicable Points],VALUE(L1Distance[[#Headers],[1]])&lt;=Cal[Applicable Points]),MAX(ABS($B9-$B$9),ABS($C9-$C$9),ABS($D9-$D$9),ABS($E9-$E$9)),"")</calculatedColumnFormula>
    </tableColumn>
    <tableColumn id="3" name="2" dataDxfId="359" dataCellStyle="Calculation">
      <calculatedColumnFormula>IF(AND(Table17235583[[#This Row],[Point]]&lt;=Cal[Applicable Points],VALUE(L1Distance[[#Headers],[2]])&lt;=Cal[Applicable Points]),MAX(ABS($B9-$B$10),ABS($C9-$C$10),ABS($D9-$D$10),ABS($E9-$E$10)),"")</calculatedColumnFormula>
    </tableColumn>
    <tableColumn id="4" name="3" dataDxfId="358" dataCellStyle="Calculation">
      <calculatedColumnFormula>IF(AND(Table17235583[[#This Row],[Point]]&lt;=Cal[Applicable Points],VALUE(L1Distance[[#Headers],[3]])&lt;=Cal[Applicable Points]),MAX(ABS($B9-$B$11),ABS($C9-$C$11),ABS($D9-$D$11),ABS($E9-$E$11)),"")</calculatedColumnFormula>
    </tableColumn>
    <tableColumn id="5" name="4" dataDxfId="357" dataCellStyle="Calculation">
      <calculatedColumnFormula>IF(AND(Table17235583[[#This Row],[Point]]&lt;=Cal[Applicable Points],VALUE(L1Distance[[#Headers],[4]])&lt;=Cal[Applicable Points]),MAX(ABS($B9-$B$12),ABS($C9-$C$12),ABS($D9-$D$12),ABS($E9-$E$12)),"")</calculatedColumnFormula>
    </tableColumn>
    <tableColumn id="6" name="5" dataDxfId="356" dataCellStyle="Calculation">
      <calculatedColumnFormula>IF(AND(Table17235583[[#This Row],[Point]]&lt;=Cal[Applicable Points],VALUE(L1Distance[[#Headers],[5]])&lt;=Cal[Applicable Points]),MAX(ABS($B9-$B$13),ABS($C9-$C$13),ABS($D9-$D$13),ABS($E9-$E$13)),"")</calculatedColumnFormula>
    </tableColumn>
    <tableColumn id="7" name="6" dataDxfId="355" dataCellStyle="Calculation">
      <calculatedColumnFormula>IF(AND(Table17235583[[#This Row],[Point]]&lt;=Cal[Applicable Points],VALUE(L1Distance[[#Headers],[6]])&lt;=Cal[Applicable Points]),MAX(ABS($B9-$B$14),ABS($C9-$C$14),ABS($D9-$D$14),ABS($E9-$E$14)),"")</calculatedColumnFormula>
    </tableColumn>
    <tableColumn id="8" name="7" dataDxfId="354" dataCellStyle="Calculation">
      <calculatedColumnFormula>IF(AND(Table17235583[[#This Row],[Point]]&lt;=Cal[Applicable Points],VALUE(L1Distance[[#Headers],[7]])&lt;=Cal[Applicable Points]),MAX(ABS($B9-$B$15),ABS($C9-$C$15),ABS($D9-$D$15),ABS($E9-$E$15)),"")</calculatedColumnFormula>
    </tableColumn>
    <tableColumn id="9" name="8" dataDxfId="353" dataCellStyle="Calculation">
      <calculatedColumnFormula>IF(AND(Table17235583[[#This Row],[Point]]&lt;=Cal[Applicable Points],VALUE(L1Distance[[#Headers],[8]])&lt;=Cal[Applicable Points]),MAX(ABS($B9-$B$16),ABS($C9-$C$16),ABS($D9-$D$16),ABS($E9-$E$16)),"")</calculatedColumnFormula>
    </tableColumn>
    <tableColumn id="10" name="9" dataDxfId="352" dataCellStyle="Calculation">
      <calculatedColumnFormula>IF(AND(Table17235583[[#This Row],[Point]]&lt;=Cal[Applicable Points],VALUE(L1Distance[[#Headers],[9]])&lt;=Cal[Applicable Points]),MAX(ABS($B9-$B$17),ABS($C9-$C$17),ABS($D9-$D$17),ABS($E9-$E$17)),"")</calculatedColumnFormula>
    </tableColumn>
    <tableColumn id="11" name="10" dataDxfId="351" dataCellStyle="Calculation">
      <calculatedColumnFormula>IF(AND(Table17235583[[#This Row],[Point]]&lt;=Cal[Applicable Points],VALUE(L1Distance[[#Headers],[10]])&lt;=Cal[Applicable Points]),MAX(ABS($B9-$B$18),ABS($C9-$C$18),ABS($D9-$D$18),ABS($E9-$E$18)),"")</calculatedColumnFormula>
    </tableColumn>
  </tableColumns>
  <tableStyleInfo name="TableStyleMedium2" showFirstColumn="0" showLastColumn="0" showRowStripes="1" showColumnStripes="0"/>
</table>
</file>

<file path=xl/tables/table22.xml><?xml version="1.0" encoding="utf-8"?>
<table xmlns="http://schemas.openxmlformats.org/spreadsheetml/2006/main" id="83" name="L1PointCount" displayName="L1PointCount" ref="G21:Q22" totalsRowShown="0" headerRowDxfId="350">
  <autoFilter ref="G21:Q22"/>
  <tableColumns count="11">
    <tableColumn id="1" name="Point"/>
    <tableColumn id="2" name="1" dataDxfId="349" dataCellStyle="Calculation">
      <calculatedColumnFormula>COUNTIF(L1Distance[1],"&gt;="&amp;$C$2)</calculatedColumnFormula>
    </tableColumn>
    <tableColumn id="3" name="2" dataCellStyle="Calculation">
      <calculatedColumnFormula>COUNTIF(L1Distance[2],"&gt;="&amp;$C$2)</calculatedColumnFormula>
    </tableColumn>
    <tableColumn id="4" name="3" dataCellStyle="Calculation">
      <calculatedColumnFormula>COUNTIF(L1Distance[3],"&gt;="&amp;$C$2)</calculatedColumnFormula>
    </tableColumn>
    <tableColumn id="5" name="4" dataCellStyle="Calculation">
      <calculatedColumnFormula>COUNTIF(L1Distance[4],"&gt;="&amp;$C$2)</calculatedColumnFormula>
    </tableColumn>
    <tableColumn id="6" name="5" dataCellStyle="Calculation">
      <calculatedColumnFormula>COUNTIF(L1Distance[5],"&gt;="&amp;$C$2)</calculatedColumnFormula>
    </tableColumn>
    <tableColumn id="7" name="6" dataCellStyle="Calculation">
      <calculatedColumnFormula>COUNTIF(L1Distance[6],"&gt;="&amp;$C$2)</calculatedColumnFormula>
    </tableColumn>
    <tableColumn id="8" name="7" dataCellStyle="Calculation">
      <calculatedColumnFormula>COUNTIF(L1Distance[7],"&gt;="&amp;$C$2)</calculatedColumnFormula>
    </tableColumn>
    <tableColumn id="9" name="8" dataCellStyle="Calculation">
      <calculatedColumnFormula>COUNTIF(L1Distance[8],"&gt;="&amp;$C$2)</calculatedColumnFormula>
    </tableColumn>
    <tableColumn id="10" name="9" dataCellStyle="Calculation">
      <calculatedColumnFormula>COUNTIF(L1Distance[9],"&gt;="&amp;$C$2)</calculatedColumnFormula>
    </tableColumn>
    <tableColumn id="11" name="10" dataCellStyle="Calculation">
      <calculatedColumnFormula>COUNTIF(L1Distance[10],"&gt;="&amp;$C$2)</calculatedColumnFormula>
    </tableColumn>
  </tableColumns>
  <tableStyleInfo name="TableStyleMedium2" showFirstColumn="0" showLastColumn="0" showRowStripes="1" showColumnStripes="0"/>
</table>
</file>

<file path=xl/tables/table23.xml><?xml version="1.0" encoding="utf-8"?>
<table xmlns="http://schemas.openxmlformats.org/spreadsheetml/2006/main" id="84" name="L1Outliers" displayName="L1Outliers" ref="G24:Q25" totalsRowShown="0" headerRowDxfId="348" headerRowBorderDxfId="347" tableBorderDxfId="346">
  <autoFilter ref="G24:Q25"/>
  <tableColumns count="11">
    <tableColumn id="1" name="Point"/>
    <tableColumn id="2" name="1" dataCellStyle="Calculation">
      <calculatedColumnFormula>IF(L1PointCount[1]&gt;$H$2,"Outlier","")</calculatedColumnFormula>
    </tableColumn>
    <tableColumn id="3" name="2" dataCellStyle="Calculation">
      <calculatedColumnFormula>IF(L1PointCount[2]&gt;$H$2,"Outlier","")</calculatedColumnFormula>
    </tableColumn>
    <tableColumn id="4" name="3" dataCellStyle="Calculation">
      <calculatedColumnFormula>IF(L1PointCount[3]&gt;$H$2,"Outlier","")</calculatedColumnFormula>
    </tableColumn>
    <tableColumn id="5" name="4" dataCellStyle="Calculation">
      <calculatedColumnFormula>IF(L1PointCount[4]&gt;$H$2,"Outlier","")</calculatedColumnFormula>
    </tableColumn>
    <tableColumn id="6" name="5" dataCellStyle="Calculation">
      <calculatedColumnFormula>IF(L1PointCount[5]&gt;$H$2,"Outlier","")</calculatedColumnFormula>
    </tableColumn>
    <tableColumn id="7" name="6" dataCellStyle="Calculation">
      <calculatedColumnFormula>IF(L1PointCount[6]&gt;$H$2,"Outlier","")</calculatedColumnFormula>
    </tableColumn>
    <tableColumn id="8" name="7" dataCellStyle="Calculation">
      <calculatedColumnFormula>IF(L1PointCount[7]&gt;$H$2,"Outlier","")</calculatedColumnFormula>
    </tableColumn>
    <tableColumn id="9" name="8" dataCellStyle="Calculation">
      <calculatedColumnFormula>IF(L1PointCount[8]&gt;$H$2,"Outlier","")</calculatedColumnFormula>
    </tableColumn>
    <tableColumn id="10" name="9" dataCellStyle="Calculation">
      <calculatedColumnFormula>IF(L1PointCount[9]&gt;$H$2,"Outlier","")</calculatedColumnFormula>
    </tableColumn>
    <tableColumn id="11" name="10" dataCellStyle="Calculation">
      <calculatedColumnFormula>IF(L1PointCount[10]&gt;$H$2,"Outlier","")</calculatedColumnFormula>
    </tableColumn>
  </tableColumns>
  <tableStyleInfo name="TableStyleMedium2" showFirstColumn="0" showLastColumn="0" showRowStripes="1" showColumnStripes="0"/>
</table>
</file>

<file path=xl/tables/table24.xml><?xml version="1.0" encoding="utf-8"?>
<table xmlns="http://schemas.openxmlformats.org/spreadsheetml/2006/main" id="85" name="Cal" displayName="Cal" ref="G1:H2" totalsRowShown="0" dataCellStyle="Calculation">
  <autoFilter ref="G1:H2"/>
  <tableColumns count="2">
    <tableColumn id="1" name="Applicable Points" dataCellStyle="Calculation">
      <calculatedColumnFormula>COUNTA(InputTableDistances[Variable1])</calculatedColumnFormula>
    </tableColumn>
    <tableColumn id="2" name="pi*r" dataCellStyle="Calculation">
      <calculatedColumnFormula>C2*C3</calculatedColumnFormula>
    </tableColumn>
  </tableColumns>
  <tableStyleInfo name="TableStyleMedium2" showFirstColumn="0" showLastColumn="0" showRowStripes="1" showColumnStripes="0"/>
</table>
</file>

<file path=xl/tables/table25.xml><?xml version="1.0" encoding="utf-8"?>
<table xmlns="http://schemas.openxmlformats.org/spreadsheetml/2006/main" id="98" name="Norms" displayName="Norms" ref="A24:B28" totalsRowShown="0" dataCellStyle="Calculation">
  <autoFilter ref="A24:B28"/>
  <tableColumns count="2">
    <tableColumn id="1" name="Parameter (r)" dataCellStyle="Calculation"/>
    <tableColumn id="2" name="Name" dataCellStyle="Calculation"/>
  </tableColumns>
  <tableStyleInfo name="TableStyleMedium2" showFirstColumn="0" showLastColumn="0" showRowStripes="1" showColumnStripes="0"/>
</table>
</file>

<file path=xl/tables/table26.xml><?xml version="1.0" encoding="utf-8"?>
<table xmlns="http://schemas.openxmlformats.org/spreadsheetml/2006/main" id="74" name="Table74" displayName="Table74" ref="A7:J17" totalsRowShown="0" headerRowCellStyle="Good" dataCellStyle="Good">
  <autoFilter ref="A7:J17"/>
  <tableColumns count="10">
    <tableColumn id="1" name="Parameter Values (x)" dataCellStyle="Good"/>
    <tableColumn id="2" name="(x-Mean)" dataDxfId="345" dataCellStyle="Calculation">
      <calculatedColumnFormula>Table74[[#This Row],[Parameter Values (x)]]-StdDev[Mean (u)]</calculatedColumnFormula>
    </tableColumn>
    <tableColumn id="3" name="(x-Mean)^2" dataDxfId="344" dataCellStyle="Calculation">
      <calculatedColumnFormula>POWER(Table74[[#This Row],[(x-Mean)]],2)</calculatedColumnFormula>
    </tableColumn>
    <tableColumn id="4" name="(x-mean)/Std Dev" dataDxfId="343" dataCellStyle="Calculation">
      <calculatedColumnFormula>Table74[[#This Row],[(x-Mean)]]/StdDev[Standard Deviation (sigma) P]</calculatedColumnFormula>
    </tableColumn>
    <tableColumn id="10" name="Outlier SD 1" dataDxfId="342" dataCellStyle="Calculation">
      <calculatedColumnFormula>IF(OR(Table74[[#This Row],[Parameter Values (x)]]&gt;StdDev[SD1+],Table74[[#This Row],[Parameter Values (x)]]&lt;StdDev[SD1-]),"Outlier","")</calculatedColumnFormula>
    </tableColumn>
    <tableColumn id="9" name="Outlier SD 2" dataDxfId="341" dataCellStyle="Calculation">
      <calculatedColumnFormula>IF(OR(Table74[[#This Row],[Parameter Values (x)]]&gt;StdDev[SD2+],Table74[[#This Row],[Parameter Values (x)]]&lt;StdDev[SD2-]),"Outlier","")</calculatedColumnFormula>
    </tableColumn>
    <tableColumn id="8" name="Outlier SD 3" dataDxfId="340" dataCellStyle="Calculation">
      <calculatedColumnFormula>IF(OR(Table74[[#This Row],[Parameter Values (x)]]&gt;StdDev[SD3+],Table74[[#This Row],[Parameter Values (x)]]&lt;StdDev[SD3-]),"Outlier","")</calculatedColumnFormula>
    </tableColumn>
    <tableColumn id="7" name="Outlier 1 Sigma v2" dataDxfId="339" dataCellStyle="Calculation">
      <calculatedColumnFormula>IF(ABS(Table74[[#This Row],[(x-mean)/Std Dev]])&gt;1,"Outlier","")</calculatedColumnFormula>
    </tableColumn>
    <tableColumn id="6" name="Outlier 2 Sigma v2" dataDxfId="338" dataCellStyle="Calculation">
      <calculatedColumnFormula>IF(ABS(Table74[[#This Row],[(x-mean)/Std Dev]])&gt;2,"Outlier","")</calculatedColumnFormula>
    </tableColumn>
    <tableColumn id="5" name="Outlier 3 Sigma v2" dataDxfId="337" dataCellStyle="Calculation">
      <calculatedColumnFormula>IF(ABS(Table74[[#This Row],[(x-mean)/Std Dev]])&gt;3,"Outlier","")</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id="75" name="StdDev" displayName="StdDev" ref="A1:H2" totalsRowShown="0">
  <autoFilter ref="A1:H2"/>
  <tableColumns count="8">
    <tableColumn id="1" name="Mean (u)">
      <calculatedColumnFormula>AVERAGE(Table74[Parameter Values (x)])</calculatedColumnFormula>
    </tableColumn>
    <tableColumn id="2" name="Standard Deviation (sigma) P">
      <calculatedColumnFormula>_xlfn.STDEV.P(Table74[Parameter Values (x)])</calculatedColumnFormula>
    </tableColumn>
    <tableColumn id="5" name="SD1+">
      <calculatedColumnFormula>StdDev[[#This Row],[Mean (u)]]+StdDev[[#This Row],[Standard Deviation (sigma) P]]</calculatedColumnFormula>
    </tableColumn>
    <tableColumn id="6" name="SD1-">
      <calculatedColumnFormula>StdDev[[#This Row],[Mean (u)]]-StdDev[[#This Row],[Standard Deviation (sigma) P]]</calculatedColumnFormula>
    </tableColumn>
    <tableColumn id="7" name="SD2+">
      <calculatedColumnFormula>StdDev[[#This Row],[Mean (u)]]+2*StdDev[[#This Row],[Standard Deviation (sigma) P]]</calculatedColumnFormula>
    </tableColumn>
    <tableColumn id="8" name="SD2-">
      <calculatedColumnFormula>StdDev[[#This Row],[Mean (u)]]-2* StdDev[[#This Row],[Standard Deviation (sigma) P]]</calculatedColumnFormula>
    </tableColumn>
    <tableColumn id="9" name="SD3+">
      <calculatedColumnFormula>StdDev[[#This Row],[Mean (u)]]+3*StdDev[[#This Row],[Standard Deviation (sigma) P]]</calculatedColumnFormula>
    </tableColumn>
    <tableColumn id="10" name="SD3-">
      <calculatedColumnFormula>StdDev[[#This Row],[Mean (u)]]-3* StdDev[[#This Row],[Standard Deviation (sigma) P]]</calculatedColumnFormula>
    </tableColumn>
  </tableColumns>
  <tableStyleInfo name="TableStyleMedium2" showFirstColumn="0" showLastColumn="0" showRowStripes="1" showColumnStripes="0"/>
</table>
</file>

<file path=xl/tables/table28.xml><?xml version="1.0" encoding="utf-8"?>
<table xmlns="http://schemas.openxmlformats.org/spreadsheetml/2006/main" id="95" name="Table1896" displayName="Table1896" ref="J1:J2" totalsRowShown="0" headerRowDxfId="322" dataCellStyle="40% - Accent6">
  <autoFilter ref="J1:J2"/>
  <tableColumns count="1">
    <tableColumn id="1" name="r" dataCellStyle="40% - Accent6"/>
  </tableColumns>
  <tableStyleInfo name="TableStyleMedium2" showFirstColumn="0" showLastColumn="0" showRowStripes="1" showColumnStripes="0"/>
</table>
</file>

<file path=xl/tables/table29.xml><?xml version="1.0" encoding="utf-8"?>
<table xmlns="http://schemas.openxmlformats.org/spreadsheetml/2006/main" id="96" name="Table1997" displayName="Table1997" ref="A1:H5" totalsRowShown="0">
  <autoFilter ref="A1:H5"/>
  <tableColumns count="8">
    <tableColumn id="1" name="Dimension" dataCellStyle="Calculation">
      <calculatedColumnFormula>A1+1</calculatedColumnFormula>
    </tableColumn>
    <tableColumn id="2" name="x" dataCellStyle="40% - Accent6"/>
    <tableColumn id="3" name="y" dataCellStyle="40% - Accent6"/>
    <tableColumn id="4" name="(x-y)" dataDxfId="321" dataCellStyle="Calculation">
      <calculatedColumnFormula>ABS(Table1997[[#This Row],[x]]-Table1997[[#This Row],[y]])</calculatedColumnFormula>
    </tableColumn>
    <tableColumn id="5" name="(x-y)^r" dataDxfId="320" dataCellStyle="Calculation">
      <calculatedColumnFormula>POWER(Table1997[[#This Row],[(x-y)]],$J$2)</calculatedColumnFormula>
    </tableColumn>
    <tableColumn id="6" name="x.y" dataDxfId="319" dataCellStyle="Calculation">
      <calculatedColumnFormula>Table1997[[#This Row],[x]]*Table1997[[#This Row],[y]]</calculatedColumnFormula>
    </tableColumn>
    <tableColumn id="7" name="x^2" dataDxfId="318" dataCellStyle="Calculation">
      <calculatedColumnFormula>Table1997[[#This Row],[x]]*Table1997[[#This Row],[x]]</calculatedColumnFormula>
    </tableColumn>
    <tableColumn id="8" name="y^2" dataDxfId="317" dataCellStyle="Calculation">
      <calculatedColumnFormula>Table1997[[#This Row],[y]]*Table1997[[#This Row],[y]]</calculatedColumnFormula>
    </tableColumn>
  </tableColumns>
  <tableStyleInfo name="TableStyleMedium2" showFirstColumn="0" showLastColumn="0" showRowStripes="1" showColumnStripes="0"/>
</table>
</file>

<file path=xl/tables/table30.xml><?xml version="1.0" encoding="utf-8"?>
<table xmlns="http://schemas.openxmlformats.org/spreadsheetml/2006/main" id="97" name="Table2098" displayName="Table2098" ref="L1:Q2" totalsRowShown="0" headerRowDxfId="316" dataCellStyle="Calculation">
  <autoFilter ref="L1:Q2"/>
  <tableColumns count="6">
    <tableColumn id="1" name="∑(x-y)^r" dataCellStyle="Calculation">
      <calculatedColumnFormula>SUM(Table1997[(x-y)^r])</calculatedColumnFormula>
    </tableColumn>
    <tableColumn id="2" name="Minkowski Distance" dataCellStyle="Calculation">
      <calculatedColumnFormula>Table2098[[#This Row],[∑(x-y)^r]]^(1/$J$2)</calculatedColumnFormula>
    </tableColumn>
    <tableColumn id="4" name="∑(x.y)" dataCellStyle="Calculation">
      <calculatedColumnFormula>SUM(Table1997[x.y])</calculatedColumnFormula>
    </tableColumn>
    <tableColumn id="5" name="||x||" dataCellStyle="Calculation">
      <calculatedColumnFormula>SQRT(SUM(Table1997[x^2]))</calculatedColumnFormula>
    </tableColumn>
    <tableColumn id="6" name="||y||" dataCellStyle="Calculation">
      <calculatedColumnFormula>SQRT(SUM(Table1997[y^2]))</calculatedColumnFormula>
    </tableColumn>
    <tableColumn id="3" name="Cosine Similarity" dataCellStyle="Calculation">
      <calculatedColumnFormula>Table2098[[#This Row],[∑(x.y)]]/(Table2098[[#This Row],[||x||]]*Table2098[[#This Row],[||y||]])</calculatedColumnFormula>
    </tableColumn>
  </tableColumns>
  <tableStyleInfo name="TableStyleMedium2" showFirstColumn="0" showLastColumn="0" showRowStripes="1" showColumnStripes="0"/>
</table>
</file>

<file path=xl/tables/table31.xml><?xml version="1.0" encoding="utf-8"?>
<table xmlns="http://schemas.openxmlformats.org/spreadsheetml/2006/main" id="18" name="Table18" displayName="Table18" ref="J1:J2" totalsRowShown="0" headerRowDxfId="301" dataCellStyle="40% - Accent6">
  <autoFilter ref="J1:J2"/>
  <tableColumns count="1">
    <tableColumn id="1" name="r" dataCellStyle="40% - Accent6"/>
  </tableColumns>
  <tableStyleInfo name="TableStyleMedium2" showFirstColumn="0" showLastColumn="0" showRowStripes="1" showColumnStripes="0"/>
</table>
</file>

<file path=xl/tables/table32.xml><?xml version="1.0" encoding="utf-8"?>
<table xmlns="http://schemas.openxmlformats.org/spreadsheetml/2006/main" id="19" name="Table19" displayName="Table19" ref="A1:H5" totalsRowShown="0">
  <autoFilter ref="A1:H5"/>
  <tableColumns count="8">
    <tableColumn id="1" name="Dimension" dataCellStyle="Calculation">
      <calculatedColumnFormula>A1+1</calculatedColumnFormula>
    </tableColumn>
    <tableColumn id="2" name="x" dataCellStyle="40% - Accent6"/>
    <tableColumn id="3" name="y" dataCellStyle="40% - Accent6"/>
    <tableColumn id="4" name="(x-y)" dataDxfId="300" dataCellStyle="Calculation">
      <calculatedColumnFormula>ABS(Table19[[#This Row],[x]]-Table19[[#This Row],[y]])</calculatedColumnFormula>
    </tableColumn>
    <tableColumn id="5" name="(x-y)^r" dataDxfId="299" dataCellStyle="Calculation">
      <calculatedColumnFormula>POWER(Table19[[#This Row],[(x-y)]],$J$2)</calculatedColumnFormula>
    </tableColumn>
    <tableColumn id="6" name="x.y" dataDxfId="298" dataCellStyle="Calculation">
      <calculatedColumnFormula>Table19[[#This Row],[x]]*Table19[[#This Row],[y]]</calculatedColumnFormula>
    </tableColumn>
    <tableColumn id="7" name="x^2" dataDxfId="297" dataCellStyle="Calculation">
      <calculatedColumnFormula>Table19[[#This Row],[x]]*Table19[[#This Row],[x]]</calculatedColumnFormula>
    </tableColumn>
    <tableColumn id="8" name="y^2" dataDxfId="296" dataCellStyle="Calculation">
      <calculatedColumnFormula>Table19[[#This Row],[y]]*Table19[[#This Row],[y]]</calculatedColumnFormula>
    </tableColumn>
  </tableColumns>
  <tableStyleInfo name="TableStyleMedium2" showFirstColumn="0" showLastColumn="0" showRowStripes="1" showColumnStripes="0"/>
</table>
</file>

<file path=xl/tables/table33.xml><?xml version="1.0" encoding="utf-8"?>
<table xmlns="http://schemas.openxmlformats.org/spreadsheetml/2006/main" id="20" name="Table20" displayName="Table20" ref="L1:Q2" totalsRowShown="0" headerRowDxfId="295" dataCellStyle="Calculation">
  <autoFilter ref="L1:Q2"/>
  <tableColumns count="6">
    <tableColumn id="1" name="∑(x-y)^r" dataCellStyle="Calculation">
      <calculatedColumnFormula>SUM(Table19[(x-y)^r])</calculatedColumnFormula>
    </tableColumn>
    <tableColumn id="2" name="Minkowski Distance" dataCellStyle="Calculation">
      <calculatedColumnFormula>Table20[[#This Row],[∑(x-y)^r]]^(1/$J$2)</calculatedColumnFormula>
    </tableColumn>
    <tableColumn id="4" name="∑(x.y)" dataCellStyle="Calculation">
      <calculatedColumnFormula>SUM(Table19[x.y])</calculatedColumnFormula>
    </tableColumn>
    <tableColumn id="5" name="||x||" dataCellStyle="Calculation">
      <calculatedColumnFormula>SQRT(SUM(Table19[x^2]))</calculatedColumnFormula>
    </tableColumn>
    <tableColumn id="6" name="||y||" dataCellStyle="Calculation">
      <calculatedColumnFormula>SQRT(SUM(Table19[y^2]))</calculatedColumnFormula>
    </tableColumn>
    <tableColumn id="3" name="Cosine Similarity" dataCellStyle="Calculation">
      <calculatedColumnFormula>Table20[[#This Row],[∑(x.y)]]/(Table20[[#This Row],[||x||]]*Table20[[#This Row],[||y||]])</calculatedColumnFormula>
    </tableColumn>
  </tableColumns>
  <tableStyleInfo name="TableStyleMedium2" showFirstColumn="0" showLastColumn="0" showRowStripes="1" showColumnStripes="0"/>
</table>
</file>

<file path=xl/tables/table34.xml><?xml version="1.0" encoding="utf-8"?>
<table xmlns="http://schemas.openxmlformats.org/spreadsheetml/2006/main" id="1" name="Input_Table" displayName="Input_Table" ref="A9:F13" totalsRowShown="0" headerRowDxfId="294" dataDxfId="292" headerRowBorderDxfId="293" tableBorderDxfId="291" totalsRowBorderDxfId="290">
  <autoFilter ref="A9:F13"/>
  <tableColumns count="6">
    <tableColumn id="1" name="Person" dataDxfId="289" dataCellStyle="40% - Accent6"/>
    <tableColumn id="2" name="x" dataDxfId="288" dataCellStyle="40% - Accent6"/>
    <tableColumn id="3" name="y" dataDxfId="287" dataCellStyle="40% - Accent6"/>
    <tableColumn id="4" name="(xy)" dataDxfId="286" dataCellStyle="Calculation">
      <calculatedColumnFormula>Input_Table[[#This Row],[x]]*Input_Table[[#This Row],[y]]</calculatedColumnFormula>
    </tableColumn>
    <tableColumn id="5" name="(x2)" dataDxfId="285" dataCellStyle="Calculation">
      <calculatedColumnFormula>Input_Table[[#This Row],[x]]*Input_Table[[#This Row],[x]]</calculatedColumnFormula>
    </tableColumn>
    <tableColumn id="6" name="(y2)" dataDxfId="284" dataCellStyle="Calculation">
      <calculatedColumnFormula>Input_Table[[#This Row],[y]]*Input_Table[[#This Row],[y]]</calculatedColumnFormula>
    </tableColumn>
  </tableColumns>
  <tableStyleInfo showFirstColumn="0" showLastColumn="0" showRowStripes="1" showColumnStripes="0"/>
</table>
</file>

<file path=xl/tables/table35.xml><?xml version="1.0" encoding="utf-8"?>
<table xmlns="http://schemas.openxmlformats.org/spreadsheetml/2006/main" id="2" name="tblResult" displayName="tblResult" ref="A1:F2" totalsRowShown="0" headerRowDxfId="283" dataCellStyle="Calculation">
  <autoFilter ref="A1:F2"/>
  <tableColumns count="6">
    <tableColumn id="1" name="N" dataCellStyle="Calculation">
      <calculatedColumnFormula>COUNT(Input_Table[(xy)])</calculatedColumnFormula>
    </tableColumn>
    <tableColumn id="3" name="∑x" dataCellStyle="Calculation">
      <calculatedColumnFormula>SUM(Input_Table[x])</calculatedColumnFormula>
    </tableColumn>
    <tableColumn id="4" name="∑y" dataCellStyle="Calculation">
      <calculatedColumnFormula>SUM(Input_Table[y])</calculatedColumnFormula>
    </tableColumn>
    <tableColumn id="7" name="∑xy" dataCellStyle="Calculation">
      <calculatedColumnFormula>SUM(Input_Table[(xy)])</calculatedColumnFormula>
    </tableColumn>
    <tableColumn id="5" name="∑x2" dataCellStyle="Calculation">
      <calculatedColumnFormula>SUM(Input_Table[(x2)])</calculatedColumnFormula>
    </tableColumn>
    <tableColumn id="6" name="∑y2" dataCellStyle="Calculation">
      <calculatedColumnFormula>SUM(Input_Table[(y2)])</calculatedColumnFormula>
    </tableColumn>
  </tableColumns>
  <tableStyleInfo name="TableStyleMedium2" showFirstColumn="0" showLastColumn="0" showRowStripes="1" showColumnStripes="0"/>
</table>
</file>

<file path=xl/tables/table36.xml><?xml version="1.0" encoding="utf-8"?>
<table xmlns="http://schemas.openxmlformats.org/spreadsheetml/2006/main" id="10" name="Input_Table11" displayName="Input_Table11" ref="A9:G12" totalsRowShown="0" headerRowDxfId="282" dataDxfId="280" headerRowBorderDxfId="281" tableBorderDxfId="279" totalsRowBorderDxfId="278">
  <autoFilter ref="A9:G12"/>
  <tableColumns count="7">
    <tableColumn id="1" name="Person" dataDxfId="277" dataCellStyle="40% - Accent6"/>
    <tableColumn id="2" name="x" dataDxfId="276" dataCellStyle="40% - Accent6"/>
    <tableColumn id="3" name="y" dataDxfId="275" dataCellStyle="40% - Accent6"/>
    <tableColumn id="4" name="x-xmean" dataDxfId="274" dataCellStyle="Calculation">
      <calculatedColumnFormula>Input_Table11[[#This Row],[x]]-__12[X mean]</calculatedColumnFormula>
    </tableColumn>
    <tableColumn id="5" name="y-ymean" dataDxfId="273" dataCellStyle="Calculation">
      <calculatedColumnFormula>Input_Table11[[#This Row],[y]]-__12[Y mean]</calculatedColumnFormula>
    </tableColumn>
    <tableColumn id="6" name="(x-xmean)sq" dataDxfId="272" dataCellStyle="Calculation">
      <calculatedColumnFormula>Input_Table11[[#This Row],[x-xmean]]*Input_Table11[[#This Row],[x-xmean]]</calculatedColumnFormula>
    </tableColumn>
    <tableColumn id="7" name="(y-mean)sq" dataDxfId="271" dataCellStyle="Calculation">
      <calculatedColumnFormula>Input_Table11[[#This Row],[y-ymean]]*Input_Table11[[#This Row],[y-ymean]]</calculatedColumnFormula>
    </tableColumn>
  </tableColumns>
  <tableStyleInfo showFirstColumn="0" showLastColumn="0" showRowStripes="1" showColumnStripes="0"/>
</table>
</file>

<file path=xl/tables/table37.xml><?xml version="1.0" encoding="utf-8"?>
<table xmlns="http://schemas.openxmlformats.org/spreadsheetml/2006/main" id="11" name="__12" displayName="__12" ref="A1:F2" totalsRowShown="0" headerRowDxfId="270" dataCellStyle="Calculation">
  <autoFilter ref="A1:F2"/>
  <tableColumns count="6">
    <tableColumn id="1" name="N" dataCellStyle="Calculation">
      <calculatedColumnFormula>COUNT(Input_Table11[x-xmean])</calculatedColumnFormula>
    </tableColumn>
    <tableColumn id="3" name="X mean" dataCellStyle="Calculation">
      <calculatedColumnFormula>AVERAGE(Input_Table11[x])</calculatedColumnFormula>
    </tableColumn>
    <tableColumn id="4" name="Y mean" dataCellStyle="Calculation">
      <calculatedColumnFormula>AVERAGE(Input_Table11[y])</calculatedColumnFormula>
    </tableColumn>
    <tableColumn id="7" name="Numerator" dataCellStyle="Calculation">
      <calculatedColumnFormula>SUMPRODUCT(Input_Table11[x-xmean],Input_Table11[y-ymean])</calculatedColumnFormula>
    </tableColumn>
    <tableColumn id="5" name="Denomenator" dataDxfId="269" dataCellStyle="Calculation">
      <calculatedColumnFormula>SQRT((SUM(Input_Table11[(x-xmean)sq])*SUM(Input_Table11[(y-mean)sq])))</calculatedColumnFormula>
    </tableColumn>
    <tableColumn id="6" name="Corr (x,y)" dataDxfId="268" dataCellStyle="Calculation">
      <calculatedColumnFormula>__12[[#This Row],[Numerator]]/__12[[#This Row],[Denomenator]]</calculatedColumnFormula>
    </tableColumn>
  </tableColumns>
  <tableStyleInfo name="TableStyleMedium2" showFirstColumn="0" showLastColumn="0" showRowStripes="1" showColumnStripes="0"/>
</table>
</file>

<file path=xl/tables/table38.xml><?xml version="1.0" encoding="utf-8"?>
<table xmlns="http://schemas.openxmlformats.org/spreadsheetml/2006/main" id="69" name="Table4570" displayName="Table4570" ref="A1:G6" totalsRowShown="0">
  <autoFilter ref="A1:G6"/>
  <tableColumns count="7">
    <tableColumn id="1" name="Name"/>
    <tableColumn id="2" name="Income"/>
    <tableColumn id="3" name="Profession"/>
    <tableColumn id="4" name="Age"/>
    <tableColumn id="5" name="City"/>
    <tableColumn id="6" name="Normalized Income" dataDxfId="267" dataCellStyle="Calculation"/>
    <tableColumn id="7" name="Age Rank"/>
  </tableColumns>
  <tableStyleInfo name="TableStyleMedium2" showFirstColumn="0" showLastColumn="0" showRowStripes="1" showColumnStripes="0"/>
</table>
</file>

<file path=xl/tables/table39.xml><?xml version="1.0" encoding="utf-8"?>
<table xmlns="http://schemas.openxmlformats.org/spreadsheetml/2006/main" id="70" name="Table54971" displayName="Table54971" ref="K2:P7" totalsRowShown="0">
  <autoFilter ref="K2:P7"/>
  <tableColumns count="6">
    <tableColumn id="1" name="minA" dataDxfId="266" dataCellStyle="Calculation">
      <calculatedColumnFormula>MIN(Table54971[vi])</calculatedColumnFormula>
    </tableColumn>
    <tableColumn id="2" name="maxA" dataDxfId="265" dataCellStyle="Calculation">
      <calculatedColumnFormula>MAX(Table54971[vi])</calculatedColumnFormula>
    </tableColumn>
    <tableColumn id="3" name="new_minA" dataDxfId="264" dataCellStyle="40% - Accent6"/>
    <tableColumn id="4" name="new_maxA" dataDxfId="263" dataCellStyle="40% - Accent6"/>
    <tableColumn id="5" name="vi" dataDxfId="262"/>
    <tableColumn id="6" name="Normalized vi" dataDxfId="261" dataCellStyle="Calculation">
      <calculatedColumnFormula>(Table54971[[#This Row],[vi]]-Table54971[[#This Row],[minA]])/(Table54971[[#This Row],[maxA]]-Table54971[[#This Row],[minA]])*(Table54971[[#This Row],[new_maxA]]-Table54971[[#This Row],[new_minA]])+Table54971[[#This Row],[new_minA]]</calculatedColumnFormula>
    </tableColumn>
  </tableColumns>
  <tableStyleInfo name="TableStyleMedium2" showFirstColumn="0" showLastColumn="0" showRowStripes="1" showColumnStripes="0"/>
</table>
</file>

<file path=xl/tables/table40.xml><?xml version="1.0" encoding="utf-8"?>
<table xmlns="http://schemas.openxmlformats.org/spreadsheetml/2006/main" id="3" name="Table3" displayName="Table3" ref="A4:F9" totalsRowShown="0" headerRowDxfId="259">
  <autoFilter ref="A4:F9"/>
  <tableColumns count="6">
    <tableColumn id="1" name="i" dataCellStyle="40% - Accent6"/>
    <tableColumn id="2" name="vi" dataDxfId="258" dataCellStyle="40% - Accent6"/>
    <tableColumn id="3" name="Mean A" dataDxfId="257" dataCellStyle="Calculation">
      <calculatedColumnFormula>AVERAGE(Table3[vi])</calculatedColumnFormula>
    </tableColumn>
    <tableColumn id="4" name="vi-A" dataDxfId="256" dataCellStyle="Calculation">
      <calculatedColumnFormula>Table3[[#This Row],[vi]]-Table3[[#This Row],[Mean A]]</calculatedColumnFormula>
    </tableColumn>
    <tableColumn id="5" name="(vi-A)^2" dataDxfId="255" dataCellStyle="Calculation">
      <calculatedColumnFormula>Table3[[#This Row],[vi-A]]*Table3[[#This Row],[vi-A]]</calculatedColumnFormula>
    </tableColumn>
    <tableColumn id="6" name="Normalized Value" dataDxfId="254" dataCellStyle="Calculation">
      <calculatedColumnFormula>(Table3[[#This Row],[vi]]-$T$18)/$T$17</calculatedColumnFormula>
    </tableColumn>
  </tableColumns>
  <tableStyleInfo name="TableStyleMedium2" showFirstColumn="0" showLastColumn="0" showRowStripes="1" showColumnStripes="0"/>
</table>
</file>

<file path=xl/tables/table41.xml><?xml version="1.0" encoding="utf-8"?>
<table xmlns="http://schemas.openxmlformats.org/spreadsheetml/2006/main" id="4" name="Table4" displayName="Table4" ref="A1:D2" totalsRowShown="0" headerRowDxfId="253" dataCellStyle="Calculation">
  <autoFilter ref="A1:D2"/>
  <tableColumns count="4">
    <tableColumn id="1" name="Mean" dataCellStyle="Calculation">
      <calculatedColumnFormula>AVERAGE(Table3[vi])</calculatedColumnFormula>
    </tableColumn>
    <tableColumn id="2" name="∑(𝑣_𝑖−𝐴)^2" dataCellStyle="Calculation">
      <calculatedColumnFormula>SUM(Table3[(vi-A)^2])</calculatedColumnFormula>
    </tableColumn>
    <tableColumn id="3" name="𝜎_𝐴^2" dataCellStyle="Calculation">
      <calculatedColumnFormula>Table4[[#This Row],[∑(𝑣_𝑖−𝐴)^2]]/COUNT(Table3[vi])</calculatedColumnFormula>
    </tableColumn>
    <tableColumn id="4" name="𝜎 (standard deviation" dataDxfId="252" dataCellStyle="Calculation">
      <calculatedColumnFormula>SQRT(Table4[[#This Row],[𝜎_𝐴^2]])</calculatedColumnFormula>
    </tableColumn>
  </tableColumns>
  <tableStyleInfo name="TableStyleMedium2" showFirstColumn="0" showLastColumn="0" showRowStripes="1" showColumnStripes="0"/>
</table>
</file>

<file path=xl/tables/table42.xml><?xml version="1.0" encoding="utf-8"?>
<table xmlns="http://schemas.openxmlformats.org/spreadsheetml/2006/main" id="5" name="Table5" displayName="Table5" ref="A2:J15" totalsRowShown="0">
  <autoFilter ref="A2:J15"/>
  <tableColumns count="10">
    <tableColumn id="8" name="Name" dataDxfId="251" dataCellStyle="40% - Accent6"/>
    <tableColumn id="9" name="Marks" dataDxfId="250" dataCellStyle="40% - Accent6"/>
    <tableColumn id="1" name="minA" dataDxfId="249" dataCellStyle="40% - Accent6">
      <calculatedColumnFormula>MIN(Table5[Marks])</calculatedColumnFormula>
    </tableColumn>
    <tableColumn id="2" name="maxA" dataDxfId="248" dataCellStyle="40% - Accent6">
      <calculatedColumnFormula>MAX(Table5[Marks])</calculatedColumnFormula>
    </tableColumn>
    <tableColumn id="3" name="new_minA" dataDxfId="247" dataCellStyle="40% - Accent6"/>
    <tableColumn id="4" name="new_maxA" dataDxfId="246" dataCellStyle="40% - Accent6"/>
    <tableColumn id="11" name="vi - min A" dataDxfId="245" dataCellStyle="40% - Accent6">
      <calculatedColumnFormula>Table5[[#This Row],[Marks]]-Table5[[#This Row],[minA]]</calculatedColumnFormula>
    </tableColumn>
    <tableColumn id="10" name="max A-min A" dataDxfId="244" dataCellStyle="40% - Accent6">
      <calculatedColumnFormula>Table5[[#This Row],[maxA]]-Table5[[#This Row],[minA]]</calculatedColumnFormula>
    </tableColumn>
    <tableColumn id="12" name="New Max A - New Min A" dataDxfId="243" dataCellStyle="40% - Accent6">
      <calculatedColumnFormula>Table5[[#This Row],[new_maxA]]-Table5[[#This Row],[new_minA]]</calculatedColumnFormula>
    </tableColumn>
    <tableColumn id="6" name="Normalized vi" dataDxfId="242" dataCellStyle="Calculation">
      <calculatedColumnFormula>(Table5[[#This Row],[Marks]]-Table5[[#This Row],[minA]])/(Table5[[#This Row],[maxA]]-Table5[[#This Row],[minA]])*(Table5[[#This Row],[new_maxA]]-Table5[[#This Row],[new_minA]])+Table5[[#This Row],[new_minA]]</calculatedColumnFormula>
    </tableColumn>
  </tableColumns>
  <tableStyleInfo name="TableStyleMedium2" showFirstColumn="0" showLastColumn="0" showRowStripes="1" showColumnStripes="0"/>
</table>
</file>

<file path=xl/tables/table43.xml><?xml version="1.0" encoding="utf-8"?>
<table xmlns="http://schemas.openxmlformats.org/spreadsheetml/2006/main" id="6" name="Table6" displayName="Table6" ref="L2:O3" totalsRowShown="0">
  <autoFilter ref="L2:O3"/>
  <tableColumns count="4">
    <tableColumn id="1" name="Mean" dataDxfId="241" dataCellStyle="40% - Accent6"/>
    <tableColumn id="2" name="Standard Deviation" dataDxfId="240" dataCellStyle="40% - Accent6"/>
    <tableColumn id="3" name="vi" dataDxfId="239" dataCellStyle="40% - Accent6"/>
    <tableColumn id="4" name="Normalized vi" dataCellStyle="Calculation">
      <calculatedColumnFormula>(Table6[[#This Row],[vi]]-Table6[[#This Row],[Mean]])/Table6[[#This Row],[Standard Deviation]]</calculatedColumnFormula>
    </tableColumn>
  </tableColumns>
  <tableStyleInfo name="TableStyleMedium2" showFirstColumn="0" showLastColumn="0" showRowStripes="1" showColumnStripes="0"/>
</table>
</file>

<file path=xl/tables/table44.xml><?xml version="1.0" encoding="utf-8"?>
<table xmlns="http://schemas.openxmlformats.org/spreadsheetml/2006/main" id="49" name="tblData" displayName="tblData" ref="A6:F21" totalsRowShown="0" dataCellStyle="40% - Accent6">
  <autoFilter ref="A6:F21"/>
  <tableColumns count="6">
    <tableColumn id="4" name="Player" dataCellStyle="40% - Accent6"/>
    <tableColumn id="1" name="Batting" dataCellStyle="40% - Accent6"/>
    <tableColumn id="6" name="Q1-1.5IQR)" dataDxfId="236" dataCellStyle="Calculation">
      <calculatedColumnFormula>Table1551[Q1]-1.5*Table1551[IQR (Interquartile Range)]</calculatedColumnFormula>
    </tableColumn>
    <tableColumn id="5" name="Q3+1.5IQR" dataDxfId="235" dataCellStyle="Calculation">
      <calculatedColumnFormula>Table1551[Q3]+1.5*Table1551[IQR (Interquartile Range)]</calculatedColumnFormula>
    </tableColumn>
    <tableColumn id="2" name="Low Outlier" dataDxfId="234" dataCellStyle="Calculation">
      <calculatedColumnFormula>tblData[[#This Row],[Batting]]&lt;tblData[[#This Row],[Q1-1.5IQR)]]</calculatedColumnFormula>
    </tableColumn>
    <tableColumn id="3" name="High Outlier" dataDxfId="233" dataCellStyle="Calculation">
      <calculatedColumnFormula>tblData[[#This Row],[Batting]]&gt;tblData[[#This Row],[Q3+1.5IQR]]</calculatedColumnFormula>
    </tableColumn>
  </tableColumns>
  <tableStyleInfo name="TableStyleMedium2" showFirstColumn="0" showLastColumn="0" showRowStripes="1" showColumnStripes="0"/>
</table>
</file>

<file path=xl/tables/table45.xml><?xml version="1.0" encoding="utf-8"?>
<table xmlns="http://schemas.openxmlformats.org/spreadsheetml/2006/main" id="50" name="Table1551" displayName="Table1551" ref="A1:G2" totalsRowShown="0" dataCellStyle="Calculation">
  <autoFilter ref="A1:G2"/>
  <tableColumns count="7">
    <tableColumn id="1" name="Min" dataCellStyle="Calculation">
      <calculatedColumnFormula>MIN(tblData[Batting])</calculatedColumnFormula>
    </tableColumn>
    <tableColumn id="2" name="Q1" dataCellStyle="Calculation">
      <calculatedColumnFormula>QUARTILE(tblData[Batting],1)</calculatedColumnFormula>
    </tableColumn>
    <tableColumn id="3" name="Median" dataCellStyle="Calculation">
      <calculatedColumnFormula>MEDIAN(tblData[Batting])</calculatedColumnFormula>
    </tableColumn>
    <tableColumn id="4" name="Q3" dataCellStyle="Calculation">
      <calculatedColumnFormula>QUARTILE(tblData[Batting],3)</calculatedColumnFormula>
    </tableColumn>
    <tableColumn id="5" name="Max" dataCellStyle="Calculation">
      <calculatedColumnFormula>MAX(tblData[Batting])</calculatedColumnFormula>
    </tableColumn>
    <tableColumn id="6" name="IQR (Interquartile Range)" dataCellStyle="Calculation">
      <calculatedColumnFormula>D2-B2</calculatedColumnFormula>
    </tableColumn>
    <tableColumn id="7" name="Range" dataCellStyle="Calculation">
      <calculatedColumnFormula>E2-A2</calculatedColumnFormula>
    </tableColumn>
  </tableColumns>
  <tableStyleInfo name="TableStyleMedium2" showFirstColumn="0" showLastColumn="0" showRowStripes="1" showColumnStripes="0"/>
</table>
</file>

<file path=xl/tables/table46.xml><?xml version="1.0" encoding="utf-8"?>
<table xmlns="http://schemas.openxmlformats.org/spreadsheetml/2006/main" id="23" name="Table23" displayName="Table23" ref="A1:G15" totalsRowShown="0">
  <autoFilter ref="A1:G15"/>
  <tableColumns count="7">
    <tableColumn id="1" name="Day No."/>
    <tableColumn id="2" name="Outlook"/>
    <tableColumn id="3" name="Humidity"/>
    <tableColumn id="4" name="Wind"/>
    <tableColumn id="5" name="Play" dataDxfId="232"/>
    <tableColumn id="6" name="Play Yes" dataDxfId="231">
      <calculatedColumnFormula>IF(Table23[[#This Row],[Play]]="No",1,0)</calculatedColumnFormula>
    </tableColumn>
    <tableColumn id="7" name="Play No" dataDxfId="230">
      <calculatedColumnFormula>ABS(Table23[[#This Row],[Play Yes]]-1)</calculatedColumnFormula>
    </tableColumn>
  </tableColumns>
  <tableStyleInfo name="TableStyleMedium2" showFirstColumn="0" showLastColumn="0" showRowStripes="1" showColumnStripes="0"/>
</table>
</file>

<file path=xl/tables/table47.xml><?xml version="1.0" encoding="utf-8"?>
<table xmlns="http://schemas.openxmlformats.org/spreadsheetml/2006/main" id="24" name="Table24" displayName="Table24" ref="L1:P11" totalsRowShown="0">
  <autoFilter ref="L1:P11"/>
  <tableColumns count="5">
    <tableColumn id="1" name="TID">
      <calculatedColumnFormula>L1+1</calculatedColumnFormula>
    </tableColumn>
    <tableColumn id="2" name="Home Owner"/>
    <tableColumn id="3" name="Marital Status"/>
    <tableColumn id="4" name="Annual Income"/>
    <tableColumn id="5" name="Defaulted Borrower"/>
  </tableColumns>
  <tableStyleInfo name="TableStyleMedium2" showFirstColumn="0" showLastColumn="0" showRowStripes="1" showColumnStripes="0"/>
</table>
</file>

<file path=xl/tables/table48.xml><?xml version="1.0" encoding="utf-8"?>
<table xmlns="http://schemas.openxmlformats.org/spreadsheetml/2006/main" id="32" name="Table32" displayName="Table32" ref="A1:H15" totalsRowShown="0">
  <autoFilter ref="A1:H15"/>
  <tableColumns count="8">
    <tableColumn id="1" name="RIDa">
      <calculatedColumnFormula>A1+1</calculatedColumnFormula>
    </tableColumn>
    <tableColumn id="2" name="age"/>
    <tableColumn id="3" name="income"/>
    <tableColumn id="4" name="student"/>
    <tableColumn id="5" name="credit"/>
    <tableColumn id="6" name="buys computer"/>
    <tableColumn id="7" name="Positive" dataDxfId="229">
      <calculatedColumnFormula>IF(Table32[[#This Row],[buys computer]]="yes",1,0)</calculatedColumnFormula>
    </tableColumn>
    <tableColumn id="8" name="Negative" dataDxfId="228">
      <calculatedColumnFormula>ABS(1-Table32[[#This Row],[Positive]])</calculatedColumnFormula>
    </tableColumn>
  </tableColumns>
  <tableStyleInfo name="TableStyleMedium2" showFirstColumn="0" showLastColumn="0" showRowStripes="1" showColumnStripes="0"/>
</table>
</file>

<file path=xl/tables/table49.xml><?xml version="1.0" encoding="utf-8"?>
<table xmlns="http://schemas.openxmlformats.org/spreadsheetml/2006/main" id="33" name="Table2534" displayName="Table2534" ref="J14:Q16" totalsRowShown="0">
  <autoFilter ref="J14:Q16"/>
  <tableColumns count="8">
    <tableColumn id="10" name="Label" dataDxfId="227" dataCellStyle="Calculation">
      <calculatedColumnFormula>A23</calculatedColumnFormula>
    </tableColumn>
    <tableColumn id="7" name="Ci" dataCellStyle="Accent6"/>
    <tableColumn id="1" name="ID" dataCellStyle="Calculation"/>
    <tableColumn id="6" name="p" dataDxfId="226" dataCellStyle="Calculation">
      <calculatedColumnFormula>"p"&amp;Table2534[[#This Row],[ID]]</calculatedColumnFormula>
    </tableColumn>
    <tableColumn id="4" name="p(i|t)" dataDxfId="225" dataCellStyle="Calculation">
      <calculatedColumnFormula>IFERROR(Table2534[[#This Row],[Ci]]/SUM(Table2534[Ci]),0)</calculatedColumnFormula>
    </tableColumn>
    <tableColumn id="5" name="log2 p(i|t)" dataDxfId="224" dataCellStyle="Calculation">
      <calculatedColumnFormula>IFERROR(LOG(Table2534[[#This Row],[Ci]]/SUM(Table2534[Ci]),2),0)</calculatedColumnFormula>
    </tableColumn>
    <tableColumn id="8" name="p(i|t)*log2(i|t)" dataDxfId="223" dataCellStyle="Calculation">
      <calculatedColumnFormula>Table2534[[#This Row],[p(i|t)]]*Table2534[[#This Row],[log2 p(i|t)]]</calculatedColumnFormula>
    </tableColumn>
    <tableColumn id="9" name="p(i|t)^2" dataDxfId="222" dataCellStyle="Calculation">
      <calculatedColumnFormula>Table2534[[#This Row],[p(i|t)]]^2</calculatedColumnFormula>
    </tableColumn>
  </tableColumns>
  <tableStyleInfo name="TableStyleMedium2" showFirstColumn="0" showLastColumn="0" showRowStripes="1" showColumnStripes="0"/>
</table>
</file>

<file path=xl/tables/table50.xml><?xml version="1.0" encoding="utf-8"?>
<table xmlns="http://schemas.openxmlformats.org/spreadsheetml/2006/main" id="34" name="Table2635" displayName="Table2635" ref="J19:L20" totalsRowShown="0" dataCellStyle="Calculation">
  <autoFilter ref="J19:L20"/>
  <tableColumns count="3">
    <tableColumn id="1" name="Entropy" dataCellStyle="Calculation">
      <calculatedColumnFormula>-1*(SUM(Table2534[p(i|t)*log2(i|t)]))</calculatedColumnFormula>
    </tableColumn>
    <tableColumn id="2" name="Gini" dataCellStyle="Calculation">
      <calculatedColumnFormula>1-SUM(Table2534[p(i|t)^2])</calculatedColumnFormula>
    </tableColumn>
    <tableColumn id="3" name="Classification Error" dataCellStyle="Calculation">
      <calculatedColumnFormula>1-MAX(Table2534[p(i|t)])</calculatedColumnFormula>
    </tableColumn>
  </tableColumns>
  <tableStyleInfo name="TableStyleMedium2" showFirstColumn="0" showLastColumn="0" showRowStripes="1" showColumnStripes="0"/>
</table>
</file>

<file path=xl/tables/table51.xml><?xml version="1.0" encoding="utf-8"?>
<table xmlns="http://schemas.openxmlformats.org/spreadsheetml/2006/main" id="56" name="tbdData" displayName="tbdData" ref="A1:F6" totalsRowShown="0">
  <autoFilter ref="A1:F6"/>
  <tableColumns count="6">
    <tableColumn id="1" name="Dimension" dataCellStyle="Calculation">
      <calculatedColumnFormula>A1+1</calculatedColumnFormula>
    </tableColumn>
    <tableColumn id="2" name="Area" dataCellStyle="40% - Accent6"/>
    <tableColumn id="3" name="Rent" dataCellStyle="40% - Accent6"/>
    <tableColumn id="6" name="x.y" dataDxfId="214" dataCellStyle="Calculation">
      <calculatedColumnFormula>tbdData[[#This Row],[Area]]*tbdData[[#This Row],[Rent]]</calculatedColumnFormula>
    </tableColumn>
    <tableColumn id="7" name="x^2" dataDxfId="213" dataCellStyle="Calculation">
      <calculatedColumnFormula>tbdData[[#This Row],[Area]]*tbdData[[#This Row],[Area]]</calculatedColumnFormula>
    </tableColumn>
    <tableColumn id="8" name="y^2" dataDxfId="212" dataCellStyle="Calculation">
      <calculatedColumnFormula>tbdData[[#This Row],[Rent]]*tbdData[[#This Row],[Rent]]</calculatedColumnFormula>
    </tableColumn>
  </tableColumns>
  <tableStyleInfo name="TableStyleMedium2" showFirstColumn="0" showLastColumn="0" showRowStripes="1" showColumnStripes="0"/>
</table>
</file>

<file path=xl/tables/table52.xml><?xml version="1.0" encoding="utf-8"?>
<table xmlns="http://schemas.openxmlformats.org/spreadsheetml/2006/main" id="58" name="tblCalc" displayName="tblCalc" ref="H1:O2" totalsRowShown="0" dataDxfId="211" dataCellStyle="Calculation">
  <autoFilter ref="H1:O2"/>
  <tableColumns count="8">
    <tableColumn id="1" name="∑𝑥" dataDxfId="210" dataCellStyle="Calculation">
      <calculatedColumnFormula>SUM(tbdData[Area])</calculatedColumnFormula>
    </tableColumn>
    <tableColumn id="2" name="∑y" dataDxfId="209" dataCellStyle="Calculation">
      <calculatedColumnFormula>SUM(tbdData[Rent])</calculatedColumnFormula>
    </tableColumn>
    <tableColumn id="3" name="∑𝑥y" dataDxfId="208" dataCellStyle="Calculation">
      <calculatedColumnFormula>SUM(tbdData[x.y])</calculatedColumnFormula>
    </tableColumn>
    <tableColumn id="4" name="∑𝑥^2" dataDxfId="207" dataCellStyle="Calculation">
      <calculatedColumnFormula>SUM(tbdData[x^2])</calculatedColumnFormula>
    </tableColumn>
    <tableColumn id="5" name="∑y^2" dataDxfId="206" dataCellStyle="Calculation">
      <calculatedColumnFormula>SUM(tbdData[y^2])</calculatedColumnFormula>
    </tableColumn>
    <tableColumn id="6" name="n" dataDxfId="205" dataCellStyle="Calculation">
      <calculatedColumnFormula>COUNTA(tbdData[Area])</calculatedColumnFormula>
    </tableColumn>
    <tableColumn id="7" name="a" dataDxfId="204" dataCellStyle="Calculation">
      <calculatedColumnFormula>(tblCalc[[#This Row],[∑y]]*tblCalc[[#This Row],[∑𝑥^2]]-tblCalc[[#This Row],[∑𝑥]]*tblCalc[[#This Row],[∑𝑥y]])/(tblCalc[[#This Row],[n]]*tblCalc[[#This Row],[∑𝑥^2]]-tblCalc[[#This Row],[∑𝑥]]*tblCalc[[#This Row],[∑𝑥]])</calculatedColumnFormula>
    </tableColumn>
    <tableColumn id="8" name="b" dataDxfId="203" dataCellStyle="Calculation">
      <calculatedColumnFormula>(tblCalc[[#This Row],[n]]*tblCalc[[#This Row],[∑𝑥y]]-tblCalc[[#This Row],[∑𝑥]]*tblCalc[[#This Row],[∑y]])/(tblCalc[[#This Row],[n]]*tblCalc[[#This Row],[∑𝑥^2]]-tblCalc[[#This Row],[∑𝑥]]*tblCalc[[#This Row],[∑𝑥]])</calculatedColumnFormula>
    </tableColumn>
  </tableColumns>
  <tableStyleInfo name="TableStyleMedium2" showFirstColumn="0" showLastColumn="0" showRowStripes="1" showColumnStripes="0"/>
</table>
</file>

<file path=xl/tables/table53.xml><?xml version="1.0" encoding="utf-8"?>
<table xmlns="http://schemas.openxmlformats.org/spreadsheetml/2006/main" id="67" name="Table67" displayName="Table67" ref="H5:I7" totalsRowShown="0">
  <autoFilter ref="H5:I7"/>
  <tableColumns count="2">
    <tableColumn id="1" name="x" dataDxfId="202" dataCellStyle="40% - Accent6"/>
    <tableColumn id="2" name="y" dataDxfId="201" dataCellStyle="Calculation">
      <calculatedColumnFormula>tblCalc[a]+tblCalc[b]*H6</calculatedColumnFormula>
    </tableColumn>
  </tableColumns>
  <tableStyleInfo name="TableStyleMedium2" showFirstColumn="0" showLastColumn="0" showRowStripes="1" showColumnStripes="0"/>
</table>
</file>

<file path=xl/tables/table54.xml><?xml version="1.0" encoding="utf-8"?>
<table xmlns="http://schemas.openxmlformats.org/spreadsheetml/2006/main" id="68" name="Table6769" displayName="Table6769" ref="K5:L9" totalsRowShown="0">
  <autoFilter ref="K5:L9"/>
  <tableColumns count="2">
    <tableColumn id="1" name="x" dataCellStyle="Calculation">
      <calculatedColumnFormula>(Table6769[[#This Row],[y]]-tblCalc[a])/tblCalc[b]</calculatedColumnFormula>
    </tableColumn>
    <tableColumn id="2" name="y" dataDxfId="200" dataCellStyle="40% - Accent6">
      <calculatedColumnFormula>tblCalc[a]+tblCalc[b]*K6</calculatedColumnFormula>
    </tableColumn>
  </tableColumns>
  <tableStyleInfo name="TableStyleMedium2" showFirstColumn="0" showLastColumn="0" showRowStripes="1" showColumnStripes="0"/>
</table>
</file>

<file path=xl/tables/table55.xml><?xml version="1.0" encoding="utf-8"?>
<table xmlns="http://schemas.openxmlformats.org/spreadsheetml/2006/main" id="25" name="Table25" displayName="Table25" ref="B1:H3" totalsRowShown="0">
  <autoFilter ref="B1:H3"/>
  <tableColumns count="7">
    <tableColumn id="7" name="Ci" dataCellStyle="40% - Accent6"/>
    <tableColumn id="1" name="ID" dataCellStyle="Calculation"/>
    <tableColumn id="6" name="p" dataDxfId="199" dataCellStyle="Calculation">
      <calculatedColumnFormula>"p"&amp;Table25[[#This Row],[ID]]</calculatedColumnFormula>
    </tableColumn>
    <tableColumn id="4" name="p(i|t)" dataDxfId="198" dataCellStyle="Calculation">
      <calculatedColumnFormula>IFERROR(Table25[[#This Row],[Ci]]/SUM(Table25[Ci]),0)</calculatedColumnFormula>
    </tableColumn>
    <tableColumn id="5" name="log2 p(i|t)" dataDxfId="197" dataCellStyle="Calculation">
      <calculatedColumnFormula>IFERROR(LOG(Table25[[#This Row],[Ci]]/SUM(Table25[Ci]),2),0)</calculatedColumnFormula>
    </tableColumn>
    <tableColumn id="8" name="p(i|t)*log2(i|t)" dataDxfId="196" dataCellStyle="Calculation">
      <calculatedColumnFormula>Table25[[#This Row],[p(i|t)]]*Table25[[#This Row],[log2 p(i|t)]]</calculatedColumnFormula>
    </tableColumn>
    <tableColumn id="9" name="p(i|t)^2" dataDxfId="195" dataCellStyle="Calculation">
      <calculatedColumnFormula>Table25[[#This Row],[p(i|t)]]^2</calculatedColumnFormula>
    </tableColumn>
  </tableColumns>
  <tableStyleInfo name="TableStyleMedium2" showFirstColumn="0" showLastColumn="0" showRowStripes="1" showColumnStripes="0"/>
</table>
</file>

<file path=xl/tables/table56.xml><?xml version="1.0" encoding="utf-8"?>
<table xmlns="http://schemas.openxmlformats.org/spreadsheetml/2006/main" id="26" name="Table26" displayName="Table26" ref="J1:L2" totalsRowShown="0" dataCellStyle="Calculation">
  <autoFilter ref="J1:L2"/>
  <tableColumns count="3">
    <tableColumn id="1" name="Entropy" dataCellStyle="Calculation">
      <calculatedColumnFormula>-1*(SUM(Table25[p(i|t)*log2(i|t)]))</calculatedColumnFormula>
    </tableColumn>
    <tableColumn id="2" name="Gini" dataCellStyle="Calculation">
      <calculatedColumnFormula>1-SUM(Table25[p(i|t)^2])</calculatedColumnFormula>
    </tableColumn>
    <tableColumn id="3" name="Classification Error" dataCellStyle="Calculation">
      <calculatedColumnFormula>1-MAX(Table25[p(i|t)])</calculatedColumnFormula>
    </tableColumn>
  </tableColumns>
  <tableStyleInfo name="TableStyleMedium2" showFirstColumn="0" showLastColumn="0" showRowStripes="1" showColumnStripes="0"/>
</table>
</file>

<file path=xl/tables/table57.xml><?xml version="1.0" encoding="utf-8"?>
<table xmlns="http://schemas.openxmlformats.org/spreadsheetml/2006/main" id="27" name="Table2528" displayName="Table2528" ref="B7:H9" totalsRowShown="0">
  <autoFilter ref="B7:H9"/>
  <tableColumns count="7">
    <tableColumn id="7" name="Ci" dataCellStyle="40% - Accent6"/>
    <tableColumn id="1" name="ID" dataCellStyle="Calculation"/>
    <tableColumn id="6" name="p" dataDxfId="194" dataCellStyle="Calculation">
      <calculatedColumnFormula>"p"&amp;Table2528[[#This Row],[ID]]</calculatedColumnFormula>
    </tableColumn>
    <tableColumn id="4" name="p(i|t)" dataDxfId="193" dataCellStyle="Calculation">
      <calculatedColumnFormula>IFERROR(Table2528[[#This Row],[Ci]]/SUM(Table2528[Ci]),0)</calculatedColumnFormula>
    </tableColumn>
    <tableColumn id="5" name="log2 p(i|t)" dataDxfId="192" dataCellStyle="Calculation">
      <calculatedColumnFormula>IFERROR(LOG(Table2528[[#This Row],[Ci]]/SUM(Table2528[Ci]),2),0)</calculatedColumnFormula>
    </tableColumn>
    <tableColumn id="8" name="p(i|t)*log2(i|t)" dataDxfId="191" dataCellStyle="Calculation">
      <calculatedColumnFormula>Table2528[[#This Row],[p(i|t)]]*Table2528[[#This Row],[log2 p(i|t)]]</calculatedColumnFormula>
    </tableColumn>
    <tableColumn id="9" name="p(i|t)^2" dataDxfId="190" dataCellStyle="Calculation">
      <calculatedColumnFormula>Table2528[[#This Row],[p(i|t)]]^2</calculatedColumnFormula>
    </tableColumn>
  </tableColumns>
  <tableStyleInfo name="TableStyleMedium2" showFirstColumn="0" showLastColumn="0" showRowStripes="1" showColumnStripes="0"/>
</table>
</file>

<file path=xl/tables/table58.xml><?xml version="1.0" encoding="utf-8"?>
<table xmlns="http://schemas.openxmlformats.org/spreadsheetml/2006/main" id="28" name="Table2629" displayName="Table2629" ref="J7:L8" totalsRowShown="0" dataCellStyle="Calculation">
  <autoFilter ref="J7:L8"/>
  <tableColumns count="3">
    <tableColumn id="1" name="Entropy" dataCellStyle="Calculation">
      <calculatedColumnFormula>-1*(SUM(Table2528[p(i|t)*log2(i|t)]))</calculatedColumnFormula>
    </tableColumn>
    <tableColumn id="2" name="Gini" dataCellStyle="Calculation">
      <calculatedColumnFormula>1-SUM(Table2528[p(i|t)^2])</calculatedColumnFormula>
    </tableColumn>
    <tableColumn id="3" name="Classification Error" dataCellStyle="Calculation">
      <calculatedColumnFormula>1-MAX(Table2528[p(i|t)])</calculatedColumnFormula>
    </tableColumn>
  </tableColumns>
  <tableStyleInfo name="TableStyleMedium2" showFirstColumn="0" showLastColumn="0" showRowStripes="1" showColumnStripes="0"/>
</table>
</file>

<file path=xl/tables/table59.xml><?xml version="1.0" encoding="utf-8"?>
<table xmlns="http://schemas.openxmlformats.org/spreadsheetml/2006/main" id="29" name="Table252830" displayName="Table252830" ref="B14:H16" totalsRowShown="0">
  <autoFilter ref="B14:H16"/>
  <tableColumns count="7">
    <tableColumn id="7" name="Ci" dataCellStyle="40% - Accent6"/>
    <tableColumn id="1" name="ID" dataCellStyle="Calculation"/>
    <tableColumn id="6" name="p" dataDxfId="189" dataCellStyle="Calculation">
      <calculatedColumnFormula>"p"&amp;Table252830[[#This Row],[ID]]</calculatedColumnFormula>
    </tableColumn>
    <tableColumn id="4" name="p(i|t)" dataDxfId="188" dataCellStyle="Calculation">
      <calculatedColumnFormula>IFERROR(Table252830[[#This Row],[Ci]]/SUM(Table252830[Ci]),0)</calculatedColumnFormula>
    </tableColumn>
    <tableColumn id="5" name="log2 p(i|t)" dataDxfId="187" dataCellStyle="Calculation">
      <calculatedColumnFormula>IFERROR(LOG(Table252830[[#This Row],[Ci]]/SUM(Table252830[Ci]),2),0)</calculatedColumnFormula>
    </tableColumn>
    <tableColumn id="8" name="p(i|t)*log2(i|t)" dataDxfId="186" dataCellStyle="Calculation">
      <calculatedColumnFormula>Table252830[[#This Row],[p(i|t)]]*Table252830[[#This Row],[log2 p(i|t)]]</calculatedColumnFormula>
    </tableColumn>
    <tableColumn id="9" name="p(i|t)^2" dataDxfId="185" dataCellStyle="Calculation">
      <calculatedColumnFormula>Table252830[[#This Row],[p(i|t)]]^2</calculatedColumnFormula>
    </tableColumn>
  </tableColumns>
  <tableStyleInfo name="TableStyleMedium2" showFirstColumn="0" showLastColumn="0" showRowStripes="1" showColumnStripes="0"/>
</table>
</file>

<file path=xl/tables/table60.xml><?xml version="1.0" encoding="utf-8"?>
<table xmlns="http://schemas.openxmlformats.org/spreadsheetml/2006/main" id="30" name="Table262931" displayName="Table262931" ref="J14:L15" totalsRowShown="0" dataCellStyle="Calculation">
  <autoFilter ref="J14:L15"/>
  <tableColumns count="3">
    <tableColumn id="1" name="Entropy" dataCellStyle="Calculation">
      <calculatedColumnFormula>-1*(SUM(Table252830[p(i|t)*log2(i|t)]))</calculatedColumnFormula>
    </tableColumn>
    <tableColumn id="2" name="Gini" dataCellStyle="Calculation">
      <calculatedColumnFormula>1-SUM(Table252830[p(i|t)^2])</calculatedColumnFormula>
    </tableColumn>
    <tableColumn id="3" name="Classification Error" dataCellStyle="Calculation">
      <calculatedColumnFormula>1-MAX(Table252830[p(i|t)])</calculatedColumnFormula>
    </tableColumn>
  </tableColumns>
  <tableStyleInfo name="TableStyleMedium2" showFirstColumn="0" showLastColumn="0" showRowStripes="1" showColumnStripes="0"/>
</table>
</file>

<file path=xl/tables/table61.xml><?xml version="1.0" encoding="utf-8"?>
<table xmlns="http://schemas.openxmlformats.org/spreadsheetml/2006/main" id="31" name="Table31" displayName="Table31" ref="K19:K20" totalsRowShown="0" dataCellStyle="Calculation">
  <autoFilter ref="K19:K20"/>
  <tableColumns count="1">
    <tableColumn id="1" name="Wt. Gini" dataCellStyle="Calculation">
      <calculatedColumnFormula>(SUM(Table25[Ci])*Table26[Gini]+SUM(Table2528[Ci])*Table2629[Gini]+SUM(Table252830[Ci])*Table262931[Gini])/(SUM(Table25[Ci])+SUM(Table2528[Ci])+SUM(Table252830[Ci]))</calculatedColumnFormula>
    </tableColumn>
  </tableColumns>
  <tableStyleInfo name="TableStyleMedium2" showFirstColumn="0" showLastColumn="0" showRowStripes="1" showColumnStripes="0"/>
</table>
</file>

<file path=xl/tables/table62.xml><?xml version="1.0" encoding="utf-8"?>
<table xmlns="http://schemas.openxmlformats.org/spreadsheetml/2006/main" id="35" name="Table3236" displayName="Table3236" ref="A1:H11" totalsRowShown="0">
  <autoFilter ref="A1:H11"/>
  <tableColumns count="8">
    <tableColumn id="1" name="RIDa" dataCellStyle="Calculation">
      <calculatedColumnFormula>A1+1</calculatedColumnFormula>
    </tableColumn>
    <tableColumn id="2" name="Past Trend" dataCellStyle="40% - Accent6"/>
    <tableColumn id="3" name="Open Interest" dataCellStyle="40% - Accent6"/>
    <tableColumn id="4" name="Trading Volume" dataCellStyle="40% - Accent6"/>
    <tableColumn id="5" name="Unused" dataCellStyle="40% - Accent6"/>
    <tableColumn id="6" name="Return" dataCellStyle="40% - Accent6"/>
    <tableColumn id="7" name="Positive" dataDxfId="184" dataCellStyle="40% - Accent5">
      <calculatedColumnFormula>IF(Table3236[[#This Row],[Return]]="Up",1,0)</calculatedColumnFormula>
    </tableColumn>
    <tableColumn id="8" name="Negative" dataDxfId="183" dataCellStyle="Calculation">
      <calculatedColumnFormula>ABS(1-Table3236[[#This Row],[Positive]])</calculatedColumnFormula>
    </tableColumn>
  </tableColumns>
  <tableStyleInfo name="TableStyleMedium2" showFirstColumn="0" showLastColumn="0" showRowStripes="1" showColumnStripes="0"/>
</table>
</file>

<file path=xl/tables/table63.xml><?xml version="1.0" encoding="utf-8"?>
<table xmlns="http://schemas.openxmlformats.org/spreadsheetml/2006/main" id="36" name="tblD1" displayName="tblD1" ref="B25:H27" totalsRowShown="0">
  <autoFilter ref="B25:H27"/>
  <tableColumns count="7">
    <tableColumn id="7" name="Ci" dataDxfId="182" dataCellStyle="Calculation">
      <calculatedColumnFormula>T2</calculatedColumnFormula>
    </tableColumn>
    <tableColumn id="1" name="ID" dataCellStyle="Calculation"/>
    <tableColumn id="6" name="p" dataDxfId="181" dataCellStyle="Calculation">
      <calculatedColumnFormula>"p"&amp;tblD1[[#This Row],[ID]]</calculatedColumnFormula>
    </tableColumn>
    <tableColumn id="4" name="p(i|t)" dataDxfId="180" dataCellStyle="Calculation">
      <calculatedColumnFormula>IFERROR(tblD1[[#This Row],[Ci]]/SUM(tblD1[Ci]),0)</calculatedColumnFormula>
    </tableColumn>
    <tableColumn id="5" name="log2 p(i|t)" dataDxfId="179" dataCellStyle="Calculation">
      <calculatedColumnFormula>IFERROR(LOG(tblD1[[#This Row],[Ci]]/SUM(tblD1[Ci]),2),0)</calculatedColumnFormula>
    </tableColumn>
    <tableColumn id="8" name="p(i|t)*log2(i|t)" dataDxfId="178" dataCellStyle="Calculation">
      <calculatedColumnFormula>tblD1[[#This Row],[p(i|t)]]*tblD1[[#This Row],[log2 p(i|t)]]</calculatedColumnFormula>
    </tableColumn>
    <tableColumn id="9" name="p(i|t)^2" dataDxfId="177" dataCellStyle="Calculation">
      <calculatedColumnFormula>tblD1[[#This Row],[p(i|t)]]^2</calculatedColumnFormula>
    </tableColumn>
  </tableColumns>
  <tableStyleInfo name="TableStyleMedium2" showFirstColumn="0" showLastColumn="0" showRowStripes="1" showColumnStripes="0"/>
</table>
</file>

<file path=xl/tables/table64.xml><?xml version="1.0" encoding="utf-8"?>
<table xmlns="http://schemas.openxmlformats.org/spreadsheetml/2006/main" id="37" name="tblD1Calc" displayName="tblD1Calc" ref="K25:O26" totalsRowShown="0" dataCellStyle="Calculation">
  <autoFilter ref="K25:O26"/>
  <tableColumns count="5">
    <tableColumn id="5" name="Applicable" dataCellStyle="Calculation">
      <calculatedColumnFormula>IF(SUM(tblD1[Ci])&gt;0,1,0)</calculatedColumnFormula>
    </tableColumn>
    <tableColumn id="1" name="Entropy" dataCellStyle="Calculation">
      <calculatedColumnFormula>-1*(SUM(tblD1[p(i|t)*log2(i|t)]))</calculatedColumnFormula>
    </tableColumn>
    <tableColumn id="2" name="Gini" dataCellStyle="Calculation">
      <calculatedColumnFormula>1-SUM(tblD1[p(i|t)^2])</calculatedColumnFormula>
    </tableColumn>
    <tableColumn id="3" name="Classification Error" dataCellStyle="Calculation">
      <calculatedColumnFormula>1-MAX(tblD1[p(i|t)])</calculatedColumnFormula>
    </tableColumn>
    <tableColumn id="4" name="Sum" dataCellStyle="Calculation">
      <calculatedColumnFormula>SUM(tblD1[Ci])</calculatedColumnFormula>
    </tableColumn>
  </tableColumns>
  <tableStyleInfo name="TableStyleMedium2" showFirstColumn="0" showLastColumn="0" showRowStripes="1" showColumnStripes="0"/>
</table>
</file>

<file path=xl/tables/table65.xml><?xml version="1.0" encoding="utf-8"?>
<table xmlns="http://schemas.openxmlformats.org/spreadsheetml/2006/main" id="38" name="tblD2" displayName="tblD2" ref="B38:H40" totalsRowShown="0">
  <autoFilter ref="B38:H40"/>
  <tableColumns count="7">
    <tableColumn id="7" name="Ci" dataDxfId="176" dataCellStyle="Calculation">
      <calculatedColumnFormula>T4</calculatedColumnFormula>
    </tableColumn>
    <tableColumn id="1" name="ID" dataCellStyle="Calculation"/>
    <tableColumn id="6" name="p" dataDxfId="175" dataCellStyle="Calculation">
      <calculatedColumnFormula>"p"&amp;tblD2[[#This Row],[ID]]</calculatedColumnFormula>
    </tableColumn>
    <tableColumn id="4" name="p(i|t)" dataDxfId="174" dataCellStyle="Calculation">
      <calculatedColumnFormula>IFERROR(tblD2[[#This Row],[Ci]]/SUM(tblD2[Ci]),0)</calculatedColumnFormula>
    </tableColumn>
    <tableColumn id="5" name="log2 p(i|t)" dataDxfId="173" dataCellStyle="Calculation">
      <calculatedColumnFormula>IFERROR(LOG(tblD2[[#This Row],[Ci]]/SUM(tblD2[Ci]),2),0)</calculatedColumnFormula>
    </tableColumn>
    <tableColumn id="8" name="p(i|t)*log2(i|t)" dataDxfId="172" dataCellStyle="Calculation">
      <calculatedColumnFormula>tblD2[[#This Row],[p(i|t)]]*tblD2[[#This Row],[log2 p(i|t)]]</calculatedColumnFormula>
    </tableColumn>
    <tableColumn id="9" name="p(i|t)^2" dataDxfId="171" dataCellStyle="Calculation">
      <calculatedColumnFormula>tblD2[[#This Row],[p(i|t)]]^2</calculatedColumnFormula>
    </tableColumn>
  </tableColumns>
  <tableStyleInfo name="TableStyleMedium2" showFirstColumn="0" showLastColumn="0" showRowStripes="1" showColumnStripes="0"/>
</table>
</file>

<file path=xl/tables/table66.xml><?xml version="1.0" encoding="utf-8"?>
<table xmlns="http://schemas.openxmlformats.org/spreadsheetml/2006/main" id="39" name="tblD2Calc" displayName="tblD2Calc" ref="K38:O39" totalsRowShown="0" dataCellStyle="Calculation">
  <autoFilter ref="K38:O39"/>
  <tableColumns count="5">
    <tableColumn id="5" name="Applicable" dataCellStyle="Calculation">
      <calculatedColumnFormula>IF(SUM(tblD2[Ci])&gt;0,1,0)</calculatedColumnFormula>
    </tableColumn>
    <tableColumn id="1" name="Entropy" dataCellStyle="Calculation">
      <calculatedColumnFormula>-1*(SUM(tblD2[p(i|t)*log2(i|t)]))</calculatedColumnFormula>
    </tableColumn>
    <tableColumn id="2" name="Gini" dataCellStyle="Calculation">
      <calculatedColumnFormula>1-SUM(tblD2[p(i|t)^2])</calculatedColumnFormula>
    </tableColumn>
    <tableColumn id="3" name="Classification Error" dataCellStyle="Calculation">
      <calculatedColumnFormula>1-MAX(tblD2[p(i|t)])</calculatedColumnFormula>
    </tableColumn>
    <tableColumn id="4" name="Sum" dataCellStyle="Calculation">
      <calculatedColumnFormula>SUM(tblD2[Ci])</calculatedColumnFormula>
    </tableColumn>
  </tableColumns>
  <tableStyleInfo name="TableStyleMedium2" showFirstColumn="0" showLastColumn="0" showRowStripes="1" showColumnStripes="0"/>
</table>
</file>

<file path=xl/tables/table67.xml><?xml version="1.0" encoding="utf-8"?>
<table xmlns="http://schemas.openxmlformats.org/spreadsheetml/2006/main" id="40" name="tblD3" displayName="tblD3" ref="B44:H46" totalsRowShown="0">
  <autoFilter ref="B44:H46"/>
  <tableColumns count="7">
    <tableColumn id="7" name="Ci" dataDxfId="170" dataCellStyle="Calculation">
      <calculatedColumnFormula>T6</calculatedColumnFormula>
    </tableColumn>
    <tableColumn id="1" name="ID" dataCellStyle="Calculation"/>
    <tableColumn id="6" name="p" dataDxfId="169" dataCellStyle="Calculation">
      <calculatedColumnFormula>"p"&amp;tblD3[[#This Row],[ID]]</calculatedColumnFormula>
    </tableColumn>
    <tableColumn id="4" name="p(i|t)" dataDxfId="168" dataCellStyle="Calculation">
      <calculatedColumnFormula>IFERROR(tblD3[[#This Row],[Ci]]/SUM(tblD3[Ci]),0)</calculatedColumnFormula>
    </tableColumn>
    <tableColumn id="5" name="log2 p(i|t)" dataDxfId="167" dataCellStyle="Calculation">
      <calculatedColumnFormula>IFERROR(LOG(tblD3[[#This Row],[Ci]]/SUM(tblD3[Ci]),2),0)</calculatedColumnFormula>
    </tableColumn>
    <tableColumn id="8" name="p(i|t)*log2(i|t)" dataDxfId="166" dataCellStyle="Calculation">
      <calculatedColumnFormula>tblD3[[#This Row],[p(i|t)]]*tblD3[[#This Row],[log2 p(i|t)]]</calculatedColumnFormula>
    </tableColumn>
    <tableColumn id="9" name="p(i|t)^2" dataDxfId="165" dataCellStyle="Calculation">
      <calculatedColumnFormula>tblD3[[#This Row],[p(i|t)]]^2</calculatedColumnFormula>
    </tableColumn>
  </tableColumns>
  <tableStyleInfo name="TableStyleMedium2" showFirstColumn="0" showLastColumn="0" showRowStripes="1" showColumnStripes="0"/>
</table>
</file>

<file path=xl/tables/table68.xml><?xml version="1.0" encoding="utf-8"?>
<table xmlns="http://schemas.openxmlformats.org/spreadsheetml/2006/main" id="41" name="tblD3Calc" displayName="tblD3Calc" ref="K44:O45" totalsRowShown="0" dataCellStyle="Calculation">
  <autoFilter ref="K44:O45"/>
  <tableColumns count="5">
    <tableColumn id="5" name="Applicable" dataCellStyle="Calculation">
      <calculatedColumnFormula>IF(SUM(tblD3[Ci])&gt;0,1,0)</calculatedColumnFormula>
    </tableColumn>
    <tableColumn id="1" name="Entropy" dataCellStyle="Calculation">
      <calculatedColumnFormula>-1*(SUM(tblD3[p(i|t)*log2(i|t)]))</calculatedColumnFormula>
    </tableColumn>
    <tableColumn id="2" name="Gini" dataCellStyle="Calculation">
      <calculatedColumnFormula>1-SUM(tblD3[p(i|t)^2])</calculatedColumnFormula>
    </tableColumn>
    <tableColumn id="3" name="Classification Error" dataCellStyle="Calculation">
      <calculatedColumnFormula>1-MAX(tblD3[p(i|t)])</calculatedColumnFormula>
    </tableColumn>
    <tableColumn id="4" name="Sum" dataCellStyle="Calculation">
      <calculatedColumnFormula>SUM(tblD3[Ci])</calculatedColumnFormula>
    </tableColumn>
  </tableColumns>
  <tableStyleInfo name="TableStyleMedium2" showFirstColumn="0" showLastColumn="0" showRowStripes="1" showColumnStripes="0"/>
</table>
</file>

<file path=xl/tables/table69.xml><?xml version="1.0" encoding="utf-8"?>
<table xmlns="http://schemas.openxmlformats.org/spreadsheetml/2006/main" id="42" name="tblD4" displayName="tblD4" ref="B50:H52" totalsRowShown="0">
  <autoFilter ref="B50:H52"/>
  <tableColumns count="7">
    <tableColumn id="7" name="Ci" dataDxfId="164" dataCellStyle="Calculation">
      <calculatedColumnFormula>T8</calculatedColumnFormula>
    </tableColumn>
    <tableColumn id="1" name="ID" dataCellStyle="Calculation"/>
    <tableColumn id="6" name="p" dataDxfId="163" dataCellStyle="Calculation">
      <calculatedColumnFormula>"p"&amp;tblD4[[#This Row],[ID]]</calculatedColumnFormula>
    </tableColumn>
    <tableColumn id="4" name="p(i|t)" dataDxfId="162" dataCellStyle="Calculation">
      <calculatedColumnFormula>IFERROR(tblD4[[#This Row],[Ci]]/SUM(tblD4[Ci]),0)</calculatedColumnFormula>
    </tableColumn>
    <tableColumn id="5" name="log2 p(i|t)" dataDxfId="161" dataCellStyle="Calculation">
      <calculatedColumnFormula>IFERROR(LOG(tblD4[[#This Row],[Ci]]/SUM(tblD4[Ci]),2),0)</calculatedColumnFormula>
    </tableColumn>
    <tableColumn id="8" name="p(i|t)*log2(i|t)" dataDxfId="160" dataCellStyle="Calculation">
      <calculatedColumnFormula>tblD4[[#This Row],[p(i|t)]]*tblD4[[#This Row],[log2 p(i|t)]]</calculatedColumnFormula>
    </tableColumn>
    <tableColumn id="9" name="p(i|t)^2" dataDxfId="159" dataCellStyle="Calculation">
      <calculatedColumnFormula>tblD4[[#This Row],[p(i|t)]]^2</calculatedColumnFormula>
    </tableColumn>
  </tableColumns>
  <tableStyleInfo name="TableStyleMedium2" showFirstColumn="0" showLastColumn="0" showRowStripes="1" showColumnStripes="0"/>
</table>
</file>

<file path=xl/tables/table70.xml><?xml version="1.0" encoding="utf-8"?>
<table xmlns="http://schemas.openxmlformats.org/spreadsheetml/2006/main" id="43" name="tblD4Calc" displayName="tblD4Calc" ref="K50:O51" totalsRowShown="0" dataCellStyle="Calculation">
  <autoFilter ref="K50:O51"/>
  <tableColumns count="5">
    <tableColumn id="5" name="Applicable" dataCellStyle="Calculation">
      <calculatedColumnFormula>IF(SUM(tblD4[Ci])&gt;0,1,0)</calculatedColumnFormula>
    </tableColumn>
    <tableColumn id="1" name="Entropy" dataCellStyle="Calculation">
      <calculatedColumnFormula>-1*(SUM(tblD4[p(i|t)*log2(i|t)]))</calculatedColumnFormula>
    </tableColumn>
    <tableColumn id="2" name="Gini" dataCellStyle="Calculation">
      <calculatedColumnFormula>1-SUM(tblD4[p(i|t)^2])</calculatedColumnFormula>
    </tableColumn>
    <tableColumn id="3" name="Classification Error" dataCellStyle="Calculation">
      <calculatedColumnFormula>1-MAX(tblD4[p(i|t)])</calculatedColumnFormula>
    </tableColumn>
    <tableColumn id="4" name="Sum" dataCellStyle="Calculation">
      <calculatedColumnFormula>SUM(tblD4[Ci])</calculatedColumnFormula>
    </tableColumn>
  </tableColumns>
  <tableStyleInfo name="TableStyleMedium2" showFirstColumn="0" showLastColumn="0" showRowStripes="1" showColumnStripes="0"/>
</table>
</file>

<file path=xl/tables/table71.xml><?xml version="1.0" encoding="utf-8"?>
<table xmlns="http://schemas.openxmlformats.org/spreadsheetml/2006/main" id="46" name="Overall" displayName="Overall" ref="B18:I20" totalsRowShown="0">
  <autoFilter ref="B18:I20"/>
  <tableColumns count="8">
    <tableColumn id="7" name="Ci" dataDxfId="158" dataCellStyle="Calculation">
      <calculatedColumnFormula>P2</calculatedColumnFormula>
    </tableColumn>
    <tableColumn id="1" name="ID" dataCellStyle="Calculation"/>
    <tableColumn id="6" name="p" dataDxfId="157" dataCellStyle="Calculation">
      <calculatedColumnFormula>"p"&amp;Overall[[#This Row],[ID]]</calculatedColumnFormula>
    </tableColumn>
    <tableColumn id="4" name="p(i|t)" dataDxfId="156" dataCellStyle="Calculation">
      <calculatedColumnFormula>IFERROR(Overall[[#This Row],[Ci]]/SUM(Overall[Ci]),0)</calculatedColumnFormula>
    </tableColumn>
    <tableColumn id="5" name="log2 p(i|t)" dataDxfId="155" dataCellStyle="Calculation">
      <calculatedColumnFormula>IFERROR(LOG(Overall[[#This Row],[Ci]]/SUM(Overall[Ci]),2),0)</calculatedColumnFormula>
    </tableColumn>
    <tableColumn id="8" name="p(i|t)*log2(i|t)" dataDxfId="154" dataCellStyle="Calculation">
      <calculatedColumnFormula>Overall[[#This Row],[p(i|t)]]*Overall[[#This Row],[log2 p(i|t)]]</calculatedColumnFormula>
    </tableColumn>
    <tableColumn id="9" name="p(i|t)^2" dataDxfId="153" dataCellStyle="Calculation">
      <calculatedColumnFormula>Overall[[#This Row],[p(i|t)]]^2</calculatedColumnFormula>
    </tableColumn>
    <tableColumn id="2" name="Applicable" dataDxfId="152" dataCellStyle="Calculation"/>
  </tableColumns>
  <tableStyleInfo name="TableStyleMedium2" showFirstColumn="0" showLastColumn="0" showRowStripes="1" showColumnStripes="0"/>
</table>
</file>

<file path=xl/tables/table72.xml><?xml version="1.0" encoding="utf-8"?>
<table xmlns="http://schemas.openxmlformats.org/spreadsheetml/2006/main" id="47" name="OverallCalc" displayName="OverallCalc" ref="K18:O19" totalsRowShown="0" dataCellStyle="Calculation">
  <autoFilter ref="K18:O19"/>
  <tableColumns count="5">
    <tableColumn id="5" name="Applicable" dataCellStyle="Calculation">
      <calculatedColumnFormula>IF(SUM(Overall[Ci])&gt;0,1,0)</calculatedColumnFormula>
    </tableColumn>
    <tableColumn id="1" name="Entropy" dataCellStyle="Calculation">
      <calculatedColumnFormula>-1*(SUM(Overall[p(i|t)*log2(i|t)]))</calculatedColumnFormula>
    </tableColumn>
    <tableColumn id="2" name="Gini" dataCellStyle="Calculation">
      <calculatedColumnFormula>1-SUM(Overall[p(i|t)^2])</calculatedColumnFormula>
    </tableColumn>
    <tableColumn id="3" name="Classification Error" dataCellStyle="Calculation">
      <calculatedColumnFormula>1-MAX(Overall[p(i|t)])</calculatedColumnFormula>
    </tableColumn>
    <tableColumn id="4" name="Sum" dataCellStyle="Calculation">
      <calculatedColumnFormula>SUM(Overall[Ci])</calculatedColumnFormula>
    </tableColumn>
  </tableColumns>
  <tableStyleInfo name="TableStyleMedium2" showFirstColumn="0" showLastColumn="0" showRowStripes="1" showColumnStripes="0"/>
</table>
</file>

<file path=xl/tables/table73.xml><?xml version="1.0" encoding="utf-8"?>
<table xmlns="http://schemas.openxmlformats.org/spreadsheetml/2006/main" id="71" name="Table71" displayName="Table71" ref="A8:M9" totalsRowShown="0">
  <autoFilter ref="A8:M9"/>
  <tableColumns count="13">
    <tableColumn id="1" name="TP" dataDxfId="151">
      <calculatedColumnFormula>C3</calculatedColumnFormula>
    </tableColumn>
    <tableColumn id="2" name="FP" dataDxfId="150">
      <calculatedColumnFormula>C4</calculatedColumnFormula>
    </tableColumn>
    <tableColumn id="3" name="TN" dataDxfId="149">
      <calculatedColumnFormula>D4</calculatedColumnFormula>
    </tableColumn>
    <tableColumn id="4" name="FN" dataDxfId="148">
      <calculatedColumnFormula>D3</calculatedColumnFormula>
    </tableColumn>
    <tableColumn id="5" name="P+N" dataDxfId="147">
      <calculatedColumnFormula>SUM(Table71[[#This Row],[TP]:[FN]])</calculatedColumnFormula>
    </tableColumn>
    <tableColumn id="9" name="P" dataDxfId="146">
      <calculatedColumnFormula>C3+D3</calculatedColumnFormula>
    </tableColumn>
    <tableColumn id="8" name="N" dataDxfId="145">
      <calculatedColumnFormula>C4+D4</calculatedColumnFormula>
    </tableColumn>
    <tableColumn id="6" name="Total Accuracy, Recognition Rate" dataDxfId="144" dataCellStyle="Percent">
      <calculatedColumnFormula>(Table71[[#This Row],[TP]]+Table71[[#This Row],[TN]])/Table71[[#This Row],[P+N]]</calculatedColumnFormula>
    </tableColumn>
    <tableColumn id="10" name="Error Rate, Misclassification Rate" dataDxfId="143" dataCellStyle="Percent">
      <calculatedColumnFormula>(Table71[[#This Row],[FP]]+Table71[[#This Row],[FN]])/(Table71[[#This Row],[P]]+Table71[[#This Row],[N]])</calculatedColumnFormula>
    </tableColumn>
    <tableColumn id="12" name="Sensitivity, True Positive Rate, Recall" dataDxfId="142" dataCellStyle="Percent">
      <calculatedColumnFormula>Table71[[#This Row],[TP]]/Table71[[#This Row],[P]]</calculatedColumnFormula>
    </tableColumn>
    <tableColumn id="11" name="Specificity, True Negative Rate" dataDxfId="141" dataCellStyle="Percent">
      <calculatedColumnFormula>Table71[[#This Row],[TN]]/Table71[[#This Row],[N]]</calculatedColumnFormula>
    </tableColumn>
    <tableColumn id="7" name="Precision" dataDxfId="140" dataCellStyle="Percent">
      <calculatedColumnFormula>Table71[[#This Row],[TP]]/(Table71[[#This Row],[TP]]+Table71[[#This Row],[FP]])</calculatedColumnFormula>
    </tableColumn>
    <tableColumn id="13" name="F, F1, F-Score" dataDxfId="139" dataCellStyle="Percent">
      <calculatedColumnFormula>(2*Table71[[#This Row],[Precision]]*Table71[[#This Row],[Sensitivity, True Positive Rate, Recall]])/(Table71[[#This Row],[Precision]]+Table71[[#This Row],[Sensitivity, True Positive Rate, Recall]])</calculatedColumnFormula>
    </tableColumn>
  </tableColumns>
  <tableStyleInfo name="TableStyleMedium2" showFirstColumn="0" showLastColumn="0" showRowStripes="1" showColumnStripes="0"/>
</table>
</file>

<file path=xl/tables/table74.xml><?xml version="1.0" encoding="utf-8"?>
<table xmlns="http://schemas.openxmlformats.org/spreadsheetml/2006/main" id="72" name="Table72" displayName="Table72" ref="C7:F12" totalsRowShown="0">
  <autoFilter ref="C7:F12"/>
  <tableColumns count="4">
    <tableColumn id="1" name="Attribute 1"/>
    <tableColumn id="2" name="Attribute 2"/>
    <tableColumn id="3" name="Attribute1 SQ" dataDxfId="138">
      <calculatedColumnFormula>POWER(Table72[[#This Row],[Attribute 1]],2)</calculatedColumnFormula>
    </tableColumn>
    <tableColumn id="4" name="Attribute 2 Square" dataDxfId="137">
      <calculatedColumnFormula>POWER(Table72[[#This Row],[Attribute 2]],2)</calculatedColumnFormula>
    </tableColumn>
  </tableColumns>
  <tableStyleInfo name="TableStyleMedium2" showFirstColumn="0" showLastColumn="0" showRowStripes="1" showColumnStripes="0"/>
</table>
</file>

<file path=xl/tables/table75.xml><?xml version="1.0" encoding="utf-8"?>
<table xmlns="http://schemas.openxmlformats.org/spreadsheetml/2006/main" id="73" name="Table73" displayName="Table73" ref="A1:J2" totalsRowShown="0">
  <autoFilter ref="A1:J2"/>
  <tableColumns count="10">
    <tableColumn id="1" name="Column1"/>
    <tableColumn id="2" name="N">
      <calculatedColumnFormula>COUNT(Table72[Attribute 1])</calculatedColumnFormula>
    </tableColumn>
    <tableColumn id="3" name="LS 1">
      <calculatedColumnFormula>SUM(Table72[Attribute 1])</calculatedColumnFormula>
    </tableColumn>
    <tableColumn id="5" name="LS 2">
      <calculatedColumnFormula>SUM(Table72[Attribute 2])</calculatedColumnFormula>
    </tableColumn>
    <tableColumn id="4" name="SS 1">
      <calculatedColumnFormula>SUM(Table72[Attribute1 SQ])</calculatedColumnFormula>
    </tableColumn>
    <tableColumn id="6" name="SS 2">
      <calculatedColumnFormula>SUM(Table72[Attribute 2 Square])</calculatedColumnFormula>
    </tableColumn>
    <tableColumn id="7" name="Centroid 1">
      <calculatedColumnFormula>Table73[[#This Row],[LS 1]]*Table73[[#This Row],[SS 1]]/Table73[[#This Row],[N]]</calculatedColumnFormula>
    </tableColumn>
    <tableColumn id="8" name="Centroid 2">
      <calculatedColumnFormula>Table73[[#This Row],[LS 2]]*Table73[[#This Row],[SS 2]]/Table73[[#This Row],[N]]</calculatedColumnFormula>
    </tableColumn>
    <tableColumn id="9" name="Radius 1">
      <calculatedColumnFormula>SQRT((Table73[[#This Row],[N]]*Table73[[#This Row],[SS 1]]*Table73[[#This Row],[SS 1]])-2*Table73[[#This Row],[LS 1]]*Table73[[#This Row],[LS 1]]+Table73[[#This Row],[N]]*Table73[[#This Row],[LS 1]]*Table73[[#This Row],[SS 1]])</calculatedColumnFormula>
    </tableColumn>
    <tableColumn id="10" name="Radius 2">
      <calculatedColumnFormula>SQRT((Table73[[#This Row],[N]]*Table73[[#This Row],[SS 2]]*Table73[[#This Row],[SS 2]])-2*Table73[[#This Row],[LS 2]]*Table73[[#This Row],[LS 2]]+Table73[[#This Row],[N]]*Table73[[#This Row],[LS 2]]*Table73[[#This Row],[SS 2]])</calculatedColumnFormula>
    </tableColumn>
  </tableColumns>
  <tableStyleInfo name="TableStyleMedium2" showFirstColumn="0" showLastColumn="0" showRowStripes="1" showColumnStripes="0"/>
</table>
</file>

<file path=xl/tables/table76.xml><?xml version="1.0" encoding="utf-8"?>
<table xmlns="http://schemas.openxmlformats.org/spreadsheetml/2006/main" id="45" name="Table1668" displayName="Table1668" ref="A3:E13" totalsRowShown="0">
  <autoFilter ref="A3:E13"/>
  <tableColumns count="5">
    <tableColumn id="1" name="Point" dataCellStyle="Calculation">
      <calculatedColumnFormula>A3+1</calculatedColumnFormula>
    </tableColumn>
    <tableColumn id="2" name="X-Coordinate" dataCellStyle="40% - Accent6"/>
    <tableColumn id="3" name="y-coordinate" dataCellStyle="40% - Accent6"/>
    <tableColumn id="4" name="cluster" dataDxfId="136">
      <calculatedColumnFormula>IF(Table1769[[#This Row],[1]]&lt;Table1769[[#This Row],[2]],"cluster1","cluster2")</calculatedColumnFormula>
    </tableColumn>
    <tableColumn id="5" name="Z"/>
  </tableColumns>
  <tableStyleInfo name="TableStyleMedium2" showFirstColumn="0" showLastColumn="0" showRowStripes="1" showColumnStripes="0"/>
</table>
</file>

<file path=xl/tables/table77.xml><?xml version="1.0" encoding="utf-8"?>
<table xmlns="http://schemas.openxmlformats.org/spreadsheetml/2006/main" id="48" name="Table1769" displayName="Table1769" ref="G3:Q13" totalsRowShown="0" dataCellStyle="Calculation">
  <autoFilter ref="G3:Q13"/>
  <tableColumns count="11">
    <tableColumn id="1" name="Point" dataDxfId="135" dataCellStyle="Calculation">
      <calculatedColumnFormula>A4</calculatedColumnFormula>
    </tableColumn>
    <tableColumn id="2" name="1" dataDxfId="134" dataCellStyle="Calculation">
      <calculatedColumnFormula>SQRT((($B$4-B4)*($B$4-B4))+(($C$4-C4)*($C$4-C4)))</calculatedColumnFormula>
    </tableColumn>
    <tableColumn id="3" name="2" dataDxfId="133" dataCellStyle="Calculation">
      <calculatedColumnFormula>SQRT((($B$5-B4)*($B$5-B4))+(($C$5-C4)*($C$5-C4))+(($D$5-D4)*($D$5-D4)))</calculatedColumnFormula>
    </tableColumn>
    <tableColumn id="4" name="3" dataDxfId="132" dataCellStyle="Calculation">
      <calculatedColumnFormula>SQRT(POWER($B$6-B4,2)+POWER($C$6-C4,2)+POWER($D$6-D4,2))</calculatedColumnFormula>
    </tableColumn>
    <tableColumn id="5" name="4" dataDxfId="131" dataCellStyle="Calculation">
      <calculatedColumnFormula>H7</calculatedColumnFormula>
    </tableColumn>
    <tableColumn id="6" name="5" dataDxfId="130" dataCellStyle="Calculation">
      <calculatedColumnFormula>SQRT(POWER($B$8-B4,2)+POWER($C$8-C4,2)+POWER($D$8-D4,2))</calculatedColumnFormula>
    </tableColumn>
    <tableColumn id="7" name="6" dataDxfId="129" dataCellStyle="Calculation">
      <calculatedColumnFormula>SQRT(POWER($B$9-B4,2)+POWER($C$9-C4,2)+POWER($D$9-D4,2))</calculatedColumnFormula>
    </tableColumn>
    <tableColumn id="8" name="7" dataDxfId="128" dataCellStyle="Calculation">
      <calculatedColumnFormula>SQRT(POWER($B$10-B4,2)+POWER($C$10-C4,2))</calculatedColumnFormula>
    </tableColumn>
    <tableColumn id="9" name="8" dataDxfId="127" dataCellStyle="Calculation">
      <calculatedColumnFormula>SQRT(POWER($B$11-B4,2)+POWER($C$11-C4,2))</calculatedColumnFormula>
    </tableColumn>
    <tableColumn id="10" name="9" dataDxfId="126" dataCellStyle="Calculation">
      <calculatedColumnFormula>SQRT(POWER($B$12-B4,2)+POWER($C$12-C4,2)+POWER($D$12-D4,2))</calculatedColumnFormula>
    </tableColumn>
    <tableColumn id="11" name="10" dataDxfId="125" dataCellStyle="Calculation">
      <calculatedColumnFormula>SQRT(POWER($B$13-B4,2)+POWER($C$13-C4,2)+POWER($D$13-D4,2))</calculatedColumnFormula>
    </tableColumn>
  </tableColumns>
  <tableStyleInfo name="TableStyleMedium2" showFirstColumn="0" showLastColumn="0" showRowStripes="1" showColumnStripes="0"/>
</table>
</file>

<file path=xl/tables/table78.xml><?xml version="1.0" encoding="utf-8"?>
<table xmlns="http://schemas.openxmlformats.org/spreadsheetml/2006/main" id="51" name="Table166871" displayName="Table166871" ref="A21:E29" totalsRowShown="0">
  <autoFilter ref="A21:E29"/>
  <tableColumns count="5">
    <tableColumn id="1" name="Point" dataCellStyle="Calculation">
      <calculatedColumnFormula>A21+1</calculatedColumnFormula>
    </tableColumn>
    <tableColumn id="2" name="X-Coordinate" dataCellStyle="40% - Accent6"/>
    <tableColumn id="3" name="y-coordinate" dataCellStyle="40% - Accent6"/>
    <tableColumn id="4" name="Cluster" dataDxfId="124">
      <calculatedColumnFormula>IF(Table176972[[#This Row],[1]]&lt;Table176972[[#This Row],[2]],"cluster1","cluster2")</calculatedColumnFormula>
    </tableColumn>
    <tableColumn id="5" name="Orginal order"/>
  </tableColumns>
  <tableStyleInfo name="TableStyleMedium2" showFirstColumn="0" showLastColumn="0" showRowStripes="1" showColumnStripes="0"/>
</table>
</file>

<file path=xl/tables/table79.xml><?xml version="1.0" encoding="utf-8"?>
<table xmlns="http://schemas.openxmlformats.org/spreadsheetml/2006/main" id="52" name="Table176972" displayName="Table176972" ref="G21:Q31" totalsRowShown="0" dataCellStyle="Calculation">
  <autoFilter ref="G21:Q31"/>
  <tableColumns count="11">
    <tableColumn id="1" name="Point" dataDxfId="123" dataCellStyle="Calculation">
      <calculatedColumnFormula>A22</calculatedColumnFormula>
    </tableColumn>
    <tableColumn id="2" name="1" dataDxfId="122" dataCellStyle="Calculation">
      <calculatedColumnFormula>SQRT((($B$22-B22)*($B$22-B22))+(($C$22-C22)*($C$22-C22)))</calculatedColumnFormula>
    </tableColumn>
    <tableColumn id="3" name="2" dataCellStyle="Calculation">
      <calculatedColumnFormula>SQRT((($B$23-B22)*($B$23-B22))+(($C$23-C22)*($C$23-C22)))</calculatedColumnFormula>
    </tableColumn>
    <tableColumn id="4" name="3" dataDxfId="121" dataCellStyle="Calculation">
      <calculatedColumnFormula>SQRT(POWER($B$24-B22,2)+POWER($C$24-C22,2))</calculatedColumnFormula>
    </tableColumn>
    <tableColumn id="5" name="4" dataDxfId="120" dataCellStyle="Calculation">
      <calculatedColumnFormula>SQRT(POWER($B$25-B22,2)+POWER($C$25-C22,2))</calculatedColumnFormula>
    </tableColumn>
    <tableColumn id="6" name="5" dataDxfId="119" dataCellStyle="Calculation">
      <calculatedColumnFormula>SQRT(POWER($B$26-B22,2)+POWER($C$26-C22,2))</calculatedColumnFormula>
    </tableColumn>
    <tableColumn id="7" name="6" dataDxfId="118" dataCellStyle="Calculation">
      <calculatedColumnFormula>SQRT(POWER($B$27-B22,2)+POWER($C$27-C22,2))</calculatedColumnFormula>
    </tableColumn>
    <tableColumn id="8" name="7" dataDxfId="117" dataCellStyle="Calculation">
      <calculatedColumnFormula>SQRT(POWER($B$28-B22,2)+POWER($C$28-C22,2))</calculatedColumnFormula>
    </tableColumn>
    <tableColumn id="9" name="8" dataDxfId="116" dataCellStyle="Calculation">
      <calculatedColumnFormula>SQRT(POWER($B$29-B22,2)+POWER($C$29-C22,2))</calculatedColumnFormula>
    </tableColumn>
    <tableColumn id="10" name="9" dataDxfId="115" dataCellStyle="Calculation">
      <calculatedColumnFormula>SQRT(POWER($B$30-B22,2)+POWER($C$30-C22,2))</calculatedColumnFormula>
    </tableColumn>
    <tableColumn id="11" name="10" dataDxfId="114" dataCellStyle="Calculation"/>
  </tableColumns>
  <tableStyleInfo name="TableStyleMedium2" showFirstColumn="0" showLastColumn="0" showRowStripes="1" showColumnStripes="0"/>
</table>
</file>

<file path=xl/tables/table80.xml><?xml version="1.0" encoding="utf-8"?>
<table xmlns="http://schemas.openxmlformats.org/spreadsheetml/2006/main" id="53" name="Table166873" displayName="Table166873" ref="A3:D13" totalsRowShown="0">
  <autoFilter ref="A3:D13"/>
  <tableColumns count="4">
    <tableColumn id="1" name="Point" dataCellStyle="Calculation">
      <calculatedColumnFormula>A3+1</calculatedColumnFormula>
    </tableColumn>
    <tableColumn id="2" name="X-Coordinate" dataCellStyle="40% - Accent6"/>
    <tableColumn id="3" name="y-coordinate" dataCellStyle="40% - Accent6"/>
    <tableColumn id="4" name="cluster" dataDxfId="113">
      <calculatedColumnFormula>IF(Table176974[[#This Row],[2]]&lt;Table176974[[#This Row],[8]],"cluster1","cluster2")</calculatedColumnFormula>
    </tableColumn>
  </tableColumns>
  <tableStyleInfo name="TableStyleMedium2" showFirstColumn="0" showLastColumn="0" showRowStripes="1" showColumnStripes="0"/>
</table>
</file>

<file path=xl/tables/table81.xml><?xml version="1.0" encoding="utf-8"?>
<table xmlns="http://schemas.openxmlformats.org/spreadsheetml/2006/main" id="54" name="Table176974" displayName="Table176974" ref="G3:Q13" totalsRowShown="0" dataCellStyle="Calculation">
  <autoFilter ref="G3:Q13"/>
  <tableColumns count="11">
    <tableColumn id="1" name="Point" dataDxfId="112" dataCellStyle="Calculation">
      <calculatedColumnFormula>A4</calculatedColumnFormula>
    </tableColumn>
    <tableColumn id="2" name="1" dataDxfId="111" dataCellStyle="Calculation">
      <calculatedColumnFormula>(ABS($B$4-B4))+(ABS($C$4-C4))</calculatedColumnFormula>
    </tableColumn>
    <tableColumn id="3" name="2" dataCellStyle="Calculation">
      <calculatedColumnFormula>(ABS($B$5-B4))+((ABS($C$5-C4)))</calculatedColumnFormula>
    </tableColumn>
    <tableColumn id="4" name="3" dataDxfId="110" dataCellStyle="Calculation">
      <calculatedColumnFormula>ABS($B$6-B4)+ABS($C$6-C4)</calculatedColumnFormula>
    </tableColumn>
    <tableColumn id="5" name="4" dataDxfId="109" dataCellStyle="Calculation">
      <calculatedColumnFormula>ABS($B$7-B4)+ABS($C$7-C4)</calculatedColumnFormula>
    </tableColumn>
    <tableColumn id="6" name="5" dataDxfId="108" dataCellStyle="Calculation">
      <calculatedColumnFormula>ABS($B$8-B4)+ABS($C$8-C4)</calculatedColumnFormula>
    </tableColumn>
    <tableColumn id="7" name="6" dataDxfId="107" dataCellStyle="Calculation">
      <calculatedColumnFormula>ABS($B$9-B4)+ABS($C$9-C4)</calculatedColumnFormula>
    </tableColumn>
    <tableColumn id="8" name="7" dataDxfId="106" dataCellStyle="Calculation">
      <calculatedColumnFormula>ABS($B$10-B4)+ABS($C$10-C4)</calculatedColumnFormula>
    </tableColumn>
    <tableColumn id="9" name="8" dataDxfId="105" dataCellStyle="Calculation">
      <calculatedColumnFormula>ABS($B$11-B4)+ABS($C$11-C4)</calculatedColumnFormula>
    </tableColumn>
    <tableColumn id="10" name="9" dataDxfId="104" dataCellStyle="Calculation">
      <calculatedColumnFormula>ABS($B$12-B4)+ABS($C$12-C4)</calculatedColumnFormula>
    </tableColumn>
    <tableColumn id="11" name="10" dataDxfId="103" dataCellStyle="Calculation">
      <calculatedColumnFormula>ABS($B$13-B4)+ABS($C$13-C4)</calculatedColumnFormula>
    </tableColumn>
  </tableColumns>
  <tableStyleInfo name="TableStyleMedium2" showFirstColumn="0" showLastColumn="0" showRowStripes="1" showColumnStripes="0"/>
</table>
</file>

<file path=xl/tables/table82.xml><?xml version="1.0" encoding="utf-8"?>
<table xmlns="http://schemas.openxmlformats.org/spreadsheetml/2006/main" id="7" name="Table1" displayName="Table1" ref="L2:N20" totalsRowShown="0" headerRowDxfId="102">
  <autoFilter ref="L2:N20"/>
  <tableColumns count="3">
    <tableColumn id="1" name="Item" dataDxfId="101"/>
    <tableColumn id="2" name="Support">
      <calculatedColumnFormula>COUNTIFS($C$3:$J$7,$L3)</calculatedColumnFormula>
    </tableColumn>
    <tableColumn id="3" name="Result" dataDxfId="100">
      <calculatedColumnFormula>IF(Table1[[#This Row],[Support]]&gt;=$B$9,"selected","Rejected")</calculatedColumnFormula>
    </tableColumn>
  </tableColumns>
  <tableStyleInfo name="TableStyleMedium2" showFirstColumn="0" showLastColumn="0" showRowStripes="1" showColumnStripes="0"/>
</table>
</file>

<file path=xl/tables/table83.xml><?xml version="1.0" encoding="utf-8"?>
<table xmlns="http://schemas.openxmlformats.org/spreadsheetml/2006/main" id="86" name="DocumentTable" displayName="DocumentTable" ref="A1:E5" totalsRowShown="0">
  <autoFilter ref="A1:E5"/>
  <tableColumns count="5">
    <tableColumn id="1" name="Document"/>
    <tableColumn id="2" name="Mining " dataCellStyle="Good"/>
    <tableColumn id="3" name="Discovery" dataCellStyle="Good"/>
    <tableColumn id="4" name="Ciper" dataCellStyle="Good"/>
    <tableColumn id="5" name="Encryption" dataCellStyle="Good"/>
  </tableColumns>
  <tableStyleInfo name="TableStyleMedium2" showFirstColumn="0" showLastColumn="0" showRowStripes="1" showColumnStripes="0"/>
</table>
</file>

<file path=xl/tables/table84.xml><?xml version="1.0" encoding="utf-8"?>
<table xmlns="http://schemas.openxmlformats.org/spreadsheetml/2006/main" id="87" name="Table15" displayName="Table15" ref="A9:E13" totalsRowShown="0">
  <autoFilter ref="A9:E13"/>
  <tableColumns count="5">
    <tableColumn id="1" name="Document">
      <calculatedColumnFormula>A2</calculatedColumnFormula>
    </tableColumn>
    <tableColumn id="2" name="Cryptography" dataDxfId="99" dataCellStyle="Calculation">
      <calculatedColumnFormula>IF(ISBLANK(B2),"",0.5+(0.5*B2)/MAX($B2:$E2))</calculatedColumnFormula>
    </tableColumn>
    <tableColumn id="3" name="Attack" dataDxfId="98" dataCellStyle="Calculation">
      <calculatedColumnFormula>IF(ISBLANK(C2),"",0.5+(0.5*C2)/MAX($B2:$E2))</calculatedColumnFormula>
    </tableColumn>
    <tableColumn id="4" name="Ciper" dataDxfId="97" dataCellStyle="Calculation">
      <calculatedColumnFormula>IF(ISBLANK(D2),"",0.5+(0.5*D2)/MAX($B2:$E2))</calculatedColumnFormula>
    </tableColumn>
    <tableColumn id="5" name="Encryption" dataDxfId="96" dataCellStyle="Calculation">
      <calculatedColumnFormula>IF(ISBLANK(E2),"",0.5+(0.5*E2)/MAX($B2:$E2))</calculatedColumnFormula>
    </tableColumn>
  </tableColumns>
  <tableStyleInfo name="TableStyleMedium2" showFirstColumn="0" showLastColumn="0" showRowStripes="1" showColumnStripes="0"/>
</table>
</file>

<file path=xl/tables/table85.xml><?xml version="1.0" encoding="utf-8"?>
<table xmlns="http://schemas.openxmlformats.org/spreadsheetml/2006/main" id="91" name="Table87" displayName="Table87" ref="H9:L13" totalsRowShown="0">
  <autoFilter ref="H9:L13"/>
  <tableColumns count="5">
    <tableColumn id="1" name="Document">
      <calculatedColumnFormula>A2</calculatedColumnFormula>
    </tableColumn>
    <tableColumn id="2" name="Cryptography" dataCellStyle="Calculation">
      <calculatedColumnFormula>$I$7&amp;"+"&amp;$I$7&amp;"*"&amp;B2&amp;"/"&amp;MAX(B2:E2)</calculatedColumnFormula>
    </tableColumn>
    <tableColumn id="3" name="Attack" dataDxfId="95" dataCellStyle="Calculation">
      <calculatedColumnFormula>$I$7&amp;"+"&amp;$I$7&amp;"*"&amp;C2&amp;"/"&amp;MAX(B2:E2)</calculatedColumnFormula>
    </tableColumn>
    <tableColumn id="4" name="Ciper" dataDxfId="94" dataCellStyle="Calculation">
      <calculatedColumnFormula>$I$7&amp;"+"&amp;$I$7&amp;"*"&amp;D2&amp;"/"&amp;MAX(B2:E2)</calculatedColumnFormula>
    </tableColumn>
    <tableColumn id="5" name="Encryption" dataDxfId="93" dataCellStyle="Calculation">
      <calculatedColumnFormula>$I$7&amp;"+"&amp;$I$7&amp;"*"&amp;E2&amp;"/"&amp;MAX(B2:E2)</calculatedColumnFormula>
    </tableColumn>
  </tableColumns>
  <tableStyleInfo name="TableStyleMedium2" showFirstColumn="0" showLastColumn="0" showRowStripes="1" showColumnStripes="0"/>
</table>
</file>

<file path=xl/tables/table86.xml><?xml version="1.0" encoding="utf-8"?>
<table xmlns="http://schemas.openxmlformats.org/spreadsheetml/2006/main" id="92" name="Table1589" displayName="Table1589" ref="A16:E17" totalsRowShown="0">
  <autoFilter ref="A16:E17"/>
  <tableColumns count="5">
    <tableColumn id="1" name="Document"/>
    <tableColumn id="2" name="Cryptography" dataDxfId="92" dataCellStyle="Calculation">
      <calculatedColumnFormula>IFERROR(1+LOG($H$1/COUNTIF(DocumentTable[[Mining ]],"&gt;=1"),10),"")</calculatedColumnFormula>
    </tableColumn>
    <tableColumn id="3" name="Attack" dataDxfId="91" dataCellStyle="Calculation">
      <calculatedColumnFormula>IFERROR(1+LOG($H$1/COUNTIF(DocumentTable[Discovery],"&gt;=1"),10),"")</calculatedColumnFormula>
    </tableColumn>
    <tableColumn id="4" name="Ciper" dataDxfId="90" dataCellStyle="Calculation">
      <calculatedColumnFormula>IFERROR(1+LOG($H$1/COUNTIF(DocumentTable[Ciper],"&gt;=1"),2),"")</calculatedColumnFormula>
    </tableColumn>
    <tableColumn id="5" name="Encryption" dataDxfId="89" dataCellStyle="Calculation">
      <calculatedColumnFormula>IFERROR(1+LOG($H$1/COUNTIF(DocumentTable[Encryption],"&gt;=1"),2),"")</calculatedColumnFormula>
    </tableColumn>
  </tableColumns>
  <tableStyleInfo name="TableStyleMedium2" showFirstColumn="0" showLastColumn="0" showRowStripes="1" showColumnStripes="0"/>
</table>
</file>

<file path=xl/tables/table87.xml><?xml version="1.0" encoding="utf-8"?>
<table xmlns="http://schemas.openxmlformats.org/spreadsheetml/2006/main" id="93" name="Table89" displayName="Table89" ref="H16:L17" totalsRowShown="0">
  <autoFilter ref="H16:L17"/>
  <tableColumns count="5">
    <tableColumn id="1" name="Document"/>
    <tableColumn id="2" name="Cryptography" dataCellStyle="Calculation">
      <calculatedColumnFormula>1&amp;"+"&amp;"log("&amp;$H$1&amp;"\"&amp;COUNTIF(DocumentTable[[Mining ]],"&gt;=1")&amp;")"</calculatedColumnFormula>
    </tableColumn>
    <tableColumn id="3" name="Attack" dataCellStyle="Calculation">
      <calculatedColumnFormula>1&amp;"+"&amp;"log("&amp;$H$1&amp;"\"&amp;COUNTIF(DocumentTable[Discovery],"&gt;=1")&amp;")"</calculatedColumnFormula>
    </tableColumn>
    <tableColumn id="4" name="Ciper" dataCellStyle="Calculation">
      <calculatedColumnFormula>1&amp;"+"&amp;"log("&amp;$H$1&amp;"\"&amp;COUNTIF(DocumentTable[Ciper],"&gt;=1")&amp;")"</calculatedColumnFormula>
    </tableColumn>
    <tableColumn id="5" name="Encryption" dataCellStyle="Calculation">
      <calculatedColumnFormula>1&amp;"+"&amp;"log("&amp;$H$1&amp;"\"&amp;COUNTIF(DocumentTable[Encryption],"&gt;=1")&amp;")"</calculatedColumnFormula>
    </tableColumn>
  </tableColumns>
  <tableStyleInfo name="TableStyleMedium2" showFirstColumn="0" showLastColumn="0" showRowStripes="1" showColumnStripes="0"/>
</table>
</file>

<file path=xl/tables/table88.xml><?xml version="1.0" encoding="utf-8"?>
<table xmlns="http://schemas.openxmlformats.org/spreadsheetml/2006/main" id="94" name="Table90" displayName="Table90" ref="H21:L25" totalsRowShown="0">
  <autoFilter ref="H21:L25"/>
  <tableColumns count="5">
    <tableColumn id="1" name="Document" dataDxfId="88">
      <calculatedColumnFormula>A2</calculatedColumnFormula>
    </tableColumn>
    <tableColumn id="2" name="Cryptography" dataDxfId="87" dataCellStyle="Calculation">
      <calculatedColumnFormula>IFERROR(B10*Table1589[Cryptography],"")</calculatedColumnFormula>
    </tableColumn>
    <tableColumn id="3" name="Attack" dataDxfId="86" dataCellStyle="Calculation">
      <calculatedColumnFormula>IFERROR(C10*Table1589[Attack],"")</calculatedColumnFormula>
    </tableColumn>
    <tableColumn id="4" name="Ciper" dataDxfId="85" dataCellStyle="Calculation">
      <calculatedColumnFormula>IFERROR(D10*Table1589[Ciper],"")</calculatedColumnFormula>
    </tableColumn>
    <tableColumn id="5" name="Encryption" dataDxfId="84" dataCellStyle="Calculation">
      <calculatedColumnFormula>IFERROR(E10*Table1589[Encryption],"")</calculatedColumnFormula>
    </tableColumn>
  </tableColumns>
  <tableStyleInfo name="TableStyleMedium2" showFirstColumn="0" showLastColumn="0" showRowStripes="1" showColumnStripes="0"/>
</table>
</file>

<file path=xl/tables/table89.xml><?xml version="1.0" encoding="utf-8"?>
<table xmlns="http://schemas.openxmlformats.org/spreadsheetml/2006/main" id="99" name="TDIDFTable" displayName="TDIDFTable" ref="A37:O42" totalsRowCount="1" headerRowDxfId="83" headerRowBorderDxfId="82" tableBorderDxfId="81">
  <autoFilter ref="A37:O41"/>
  <tableColumns count="15">
    <tableColumn id="1" name="Term"/>
    <tableColumn id="2" name="D1" dataDxfId="80" totalsRowDxfId="79">
      <calculatedColumnFormula>I30</calculatedColumnFormula>
    </tableColumn>
    <tableColumn id="3" name="D2" dataDxfId="78" totalsRowDxfId="77">
      <calculatedColumnFormula>J30</calculatedColumnFormula>
    </tableColumn>
    <tableColumn id="4" name="D3" dataDxfId="76" totalsRowDxfId="75">
      <calculatedColumnFormula>K30</calculatedColumnFormula>
    </tableColumn>
    <tableColumn id="5" name="D4" dataDxfId="74" totalsRowDxfId="73">
      <calculatedColumnFormula>L30</calculatedColumnFormula>
    </tableColumn>
    <tableColumn id="6" name="D1^2" totalsRowFunction="sum" dataDxfId="72" totalsRowDxfId="71">
      <calculatedColumnFormula>IFERROR(TDIDFTable[[#This Row],[D1]]^2,"")</calculatedColumnFormula>
    </tableColumn>
    <tableColumn id="7" name="D2^2" totalsRowFunction="sum" dataDxfId="70" totalsRowDxfId="69">
      <calculatedColumnFormula>IFERROR(TDIDFTable[[#This Row],[D2]]^2,"")</calculatedColumnFormula>
    </tableColumn>
    <tableColumn id="8" name="D3^2" totalsRowFunction="sum" dataDxfId="68" totalsRowDxfId="67">
      <calculatedColumnFormula>IFERROR(TDIDFTable[[#This Row],[D3]]^2,"")</calculatedColumnFormula>
    </tableColumn>
    <tableColumn id="9" name="D4^2" totalsRowFunction="sum" dataDxfId="66" totalsRowDxfId="65">
      <calculatedColumnFormula>IFERROR(TDIDFTable[[#This Row],[D4]]^2,"")</calculatedColumnFormula>
    </tableColumn>
    <tableColumn id="10" name="D1.D2" totalsRowFunction="custom" dataDxfId="64" totalsRowDxfId="63">
      <calculatedColumnFormula>IFERROR(TDIDFTable[[#This Row],[D1]]*TDIDFTable[[#This Row],[D2]],"")</calculatedColumnFormula>
      <totalsRowFormula>SUM(TDIDFTable[D1.D2])</totalsRowFormula>
    </tableColumn>
    <tableColumn id="11" name="D1.D3" totalsRowFunction="sum" dataDxfId="62" totalsRowDxfId="61">
      <calculatedColumnFormula>IFERROR(TDIDFTable[[#This Row],[D1]]*TDIDFTable[[#This Row],[D3]],"")</calculatedColumnFormula>
    </tableColumn>
    <tableColumn id="12" name="D1.D4" totalsRowFunction="sum" dataDxfId="60" totalsRowDxfId="59">
      <calculatedColumnFormula>IFERROR(TDIDFTable[[#This Row],[D1]]*TDIDFTable[[#This Row],[D4]],"")</calculatedColumnFormula>
    </tableColumn>
    <tableColumn id="13" name="D2.D3" totalsRowFunction="sum" dataDxfId="58" totalsRowDxfId="57">
      <calculatedColumnFormula>IFERROR(TDIDFTable[[#This Row],[D2]]*TDIDFTable[[#This Row],[D3]],"")</calculatedColumnFormula>
    </tableColumn>
    <tableColumn id="14" name="D2.D4" totalsRowFunction="sum" dataDxfId="56" totalsRowDxfId="55">
      <calculatedColumnFormula>IFERROR(TDIDFTable[[#This Row],[D2]]*TDIDFTable[[#This Row],[D4]],"")</calculatedColumnFormula>
    </tableColumn>
    <tableColumn id="15" name="D3.D4" totalsRowFunction="sum" dataDxfId="54" totalsRowDxfId="53">
      <calculatedColumnFormula>IFERROR(TDIDFTable[[#This Row],[D3]]*TDIDFTable[[#This Row],[D4]],"")</calculatedColumnFormula>
    </tableColumn>
  </tableColumns>
  <tableStyleInfo name="TableStyleMedium2" showFirstColumn="0" showLastColumn="0" showRowStripes="1" showColumnStripes="0"/>
</table>
</file>

<file path=xl/tables/table90.xml><?xml version="1.0" encoding="utf-8"?>
<table xmlns="http://schemas.openxmlformats.org/spreadsheetml/2006/main" id="100" name="CosineTable" displayName="CosineTable" ref="J47:O48" totalsRowShown="0">
  <autoFilter ref="J47:O48"/>
  <tableColumns count="6">
    <tableColumn id="1" name="Cos(D1.D2)">
      <calculatedColumnFormula>TDIDFTable[[#Totals],[D1.D2]]/SQRT(TDIDFTable[[#Totals],[D1^2]]*TDIDFTable[[#Totals],[D2^2]])</calculatedColumnFormula>
    </tableColumn>
    <tableColumn id="2" name="Cos(D1.D3)" dataDxfId="52">
      <calculatedColumnFormula>TDIDFTable[[#Totals],[D1.D3]]/SQRT(TDIDFTable[[#Totals],[D1^2]]*TDIDFTable[[#Totals],[D3^2]])</calculatedColumnFormula>
    </tableColumn>
    <tableColumn id="3" name="Cos(D1.D4)" dataDxfId="51">
      <calculatedColumnFormula>TDIDFTable[[#Totals],[D1.D4]]/SQRT(TDIDFTable[[#Totals],[D1^2]]*TDIDFTable[[#Totals],[D4^2]])</calculatedColumnFormula>
    </tableColumn>
    <tableColumn id="4" name="Cos(D2.D3)" dataDxfId="50">
      <calculatedColumnFormula>TDIDFTable[[#Totals],[D2.D3]]/SQRT(TDIDFTable[[#Totals],[D2^2]]*TDIDFTable[[#Totals],[D3^2]])</calculatedColumnFormula>
    </tableColumn>
    <tableColumn id="5" name="Cos(D2.D4)" dataDxfId="49">
      <calculatedColumnFormula>TDIDFTable[[#Totals],[D2.D4]]/SQRT(TDIDFTable[[#Totals],[D2^2]]*TDIDFTable[[#Totals],[D4^2]])</calculatedColumnFormula>
    </tableColumn>
    <tableColumn id="6" name="Cos(D3.D4)" dataDxfId="48">
      <calculatedColumnFormula>TDIDFTable[[#Totals],[D3.D4]]/SQRT(TDIDFTable[[#Totals],[D3^2]]*TDIDFTable[[#Totals],[D4^2]])</calculatedColumnFormula>
    </tableColumn>
  </tableColumns>
  <tableStyleInfo name="TableStyleMedium2" showFirstColumn="0" showLastColumn="0" showRowStripes="1" showColumnStripes="0"/>
</table>
</file>

<file path=xl/tables/table91.xml><?xml version="1.0" encoding="utf-8"?>
<table xmlns="http://schemas.openxmlformats.org/spreadsheetml/2006/main" id="8" name="Table165245" displayName="Table165245" ref="A1:C9" totalsRowShown="0" dataDxfId="45">
  <autoFilter ref="A1:C9"/>
  <tableColumns count="3">
    <tableColumn id="1" name="Val" dataDxfId="44" dataCellStyle="Calculation">
      <calculatedColumnFormula>A1+1</calculatedColumnFormula>
    </tableColumn>
    <tableColumn id="2" name="X" dataDxfId="43" dataCellStyle="40% - Accent6"/>
    <tableColumn id="3" name="Y" dataDxfId="42" dataCellStyle="40% - Accent6"/>
  </tableColumns>
  <tableStyleInfo name="TableStyleMedium2" showFirstColumn="0" showLastColumn="0" showRowStripes="1" showColumnStripes="0"/>
</table>
</file>

<file path=xl/tables/table92.xml><?xml version="1.0" encoding="utf-8"?>
<table xmlns="http://schemas.openxmlformats.org/spreadsheetml/2006/main" id="9" name="Table175356" displayName="Table175356" ref="E1:M9" totalsRowShown="0" dataDxfId="41" dataCellStyle="Calculation">
  <autoFilter ref="E1:M9"/>
  <tableColumns count="9">
    <tableColumn id="1" name="Val" dataDxfId="40" dataCellStyle="Calculation">
      <calculatedColumnFormula>Table165245[[#This Row],[Val]]</calculatedColumnFormula>
    </tableColumn>
    <tableColumn id="2" name="1" dataDxfId="39" dataCellStyle="Calculation">
      <calculatedColumnFormula>SQRT((($B$2-B2)*($B$2-B2))+(($C$2-C2)*($C$2-C2)))</calculatedColumnFormula>
    </tableColumn>
    <tableColumn id="3" name="2" dataDxfId="38" dataCellStyle="Calculation">
      <calculatedColumnFormula>SQRT((($B$3-B2)*($B$3-B2))+(($C$3-C2)*($C$3-C2)))</calculatedColumnFormula>
    </tableColumn>
    <tableColumn id="4" name="3" dataDxfId="37" dataCellStyle="Calculation">
      <calculatedColumnFormula>SQRT((($B$4-B2)*($B$4-B2))+(($C$4-C2)*($C$4-C2)))</calculatedColumnFormula>
    </tableColumn>
    <tableColumn id="5" name="4" dataDxfId="36" dataCellStyle="Calculation">
      <calculatedColumnFormula>SQRT((($B$5-B2)*($B$5-B2))+(($C$5-C2)*($C$5-C2)))</calculatedColumnFormula>
    </tableColumn>
    <tableColumn id="6" name="5" dataDxfId="35" dataCellStyle="Calculation">
      <calculatedColumnFormula>SQRT((($B$6-B2)*($B$6-B2))+(($C$6-C2)*($C$6-C2)))</calculatedColumnFormula>
    </tableColumn>
    <tableColumn id="7" name="6" dataDxfId="34" dataCellStyle="Calculation">
      <calculatedColumnFormula>SQRT((($B$7-B2)*($B$7-B2))+(($C$7-C2)*($C$7-C2)))</calculatedColumnFormula>
    </tableColumn>
    <tableColumn id="8" name="7" dataDxfId="33" dataCellStyle="Calculation">
      <calculatedColumnFormula>SQRT((($B$8-B2)*($B$8-B2))+(($C$8-C2)*($C$8-C2)))</calculatedColumnFormula>
    </tableColumn>
    <tableColumn id="9" name="8" dataDxfId="32" dataCellStyle="Calculation">
      <calculatedColumnFormula>SQRT((($B$9-B2)*($B$9-B2))+(($C$9-C2)*($C$9-C2)))</calculatedColumnFormula>
    </tableColumn>
  </tableColumns>
  <tableStyleInfo name="TableStyleMedium2" showFirstColumn="0" showLastColumn="0" showRowStripes="1" showColumnStripes="0"/>
</table>
</file>

<file path=xl/tables/table93.xml><?xml version="1.0" encoding="utf-8"?>
<table xmlns="http://schemas.openxmlformats.org/spreadsheetml/2006/main" id="44" name="Table323645" displayName="Table323645" ref="A1:H11" totalsRowShown="0">
  <autoFilter ref="A1:H11"/>
  <tableColumns count="8">
    <tableColumn id="1" name="RIDa" dataCellStyle="Calculation">
      <calculatedColumnFormula>A1+1</calculatedColumnFormula>
    </tableColumn>
    <tableColumn id="2" name="Gender" dataCellStyle="40% - Accent6"/>
    <tableColumn id="3" name="Cough" dataCellStyle="40% - Accent6"/>
    <tableColumn id="4" name="Fever" dataCellStyle="40% - Accent6"/>
    <tableColumn id="5" name="Unused" dataCellStyle="40% - Accent6"/>
    <tableColumn id="6" name="Return" dataCellStyle="40% - Accent6"/>
    <tableColumn id="7" name="Positive" dataDxfId="31" dataCellStyle="40% - Accent5">
      <calculatedColumnFormula>IF(Table323645[[#This Row],[Return]]="Positive",1,0)</calculatedColumnFormula>
    </tableColumn>
    <tableColumn id="8" name="Negative" dataDxfId="30" dataCellStyle="Calculation">
      <calculatedColumnFormula>ABS(1-Table323645[[#This Row],[Positive]])</calculatedColumnFormula>
    </tableColumn>
  </tableColumns>
  <tableStyleInfo name="TableStyleMedium2" showFirstColumn="0" showLastColumn="0" showRowStripes="1" showColumnStripes="0"/>
</table>
</file>

<file path=xl/tables/table94.xml><?xml version="1.0" encoding="utf-8"?>
<table xmlns="http://schemas.openxmlformats.org/spreadsheetml/2006/main" id="55" name="tblD156" displayName="tblD156" ref="B25:H27" totalsRowShown="0">
  <autoFilter ref="B25:H27"/>
  <tableColumns count="7">
    <tableColumn id="7" name="Ci" dataDxfId="29" dataCellStyle="Calculation">
      <calculatedColumnFormula>R2</calculatedColumnFormula>
    </tableColumn>
    <tableColumn id="1" name="ID" dataCellStyle="Calculation"/>
    <tableColumn id="6" name="p" dataDxfId="28" dataCellStyle="Calculation">
      <calculatedColumnFormula>"p"&amp;tblD156[[#This Row],[ID]]</calculatedColumnFormula>
    </tableColumn>
    <tableColumn id="4" name="p(i|t)" dataDxfId="27" dataCellStyle="Calculation">
      <calculatedColumnFormula>IFERROR(tblD156[[#This Row],[Ci]]/SUM(tblD156[Ci]),0)</calculatedColumnFormula>
    </tableColumn>
    <tableColumn id="5" name="log2 p(i|t)" dataDxfId="26" dataCellStyle="Calculation">
      <calculatedColumnFormula>IFERROR(LOG(tblD156[[#This Row],[Ci]]/SUM(tblD156[Ci]),2),0)</calculatedColumnFormula>
    </tableColumn>
    <tableColumn id="8" name="p(i|t)*log2(i|t)" dataDxfId="25" dataCellStyle="Calculation">
      <calculatedColumnFormula>tblD156[[#This Row],[p(i|t)]]*tblD156[[#This Row],[log2 p(i|t)]]</calculatedColumnFormula>
    </tableColumn>
    <tableColumn id="9" name="p(i|t)^2" dataDxfId="24" dataCellStyle="Calculation">
      <calculatedColumnFormula>tblD156[[#This Row],[p(i|t)]]^2</calculatedColumnFormula>
    </tableColumn>
  </tableColumns>
  <tableStyleInfo name="TableStyleMedium2" showFirstColumn="0" showLastColumn="0" showRowStripes="1" showColumnStripes="0"/>
</table>
</file>

<file path=xl/tables/table95.xml><?xml version="1.0" encoding="utf-8"?>
<table xmlns="http://schemas.openxmlformats.org/spreadsheetml/2006/main" id="57" name="tblD1Calc58" displayName="tblD1Calc58" ref="J25:M26" totalsRowShown="0" dataCellStyle="Calculation">
  <autoFilter ref="J25:M26"/>
  <tableColumns count="4">
    <tableColumn id="1" name="Entropy" dataCellStyle="Calculation">
      <calculatedColumnFormula>-1*(SUM(tblD156[p(i|t)*log2(i|t)]))</calculatedColumnFormula>
    </tableColumn>
    <tableColumn id="2" name="Gini" dataCellStyle="Calculation">
      <calculatedColumnFormula>1-SUM(tblD156[p(i|t)^2])</calculatedColumnFormula>
    </tableColumn>
    <tableColumn id="3" name="Classification Error" dataCellStyle="Calculation">
      <calculatedColumnFormula>1-MAX(tblD156[p(i|t)])</calculatedColumnFormula>
    </tableColumn>
    <tableColumn id="4" name="Sum" dataCellStyle="Calculation">
      <calculatedColumnFormula>SUM(tblD156[Ci])</calculatedColumnFormula>
    </tableColumn>
  </tableColumns>
  <tableStyleInfo name="TableStyleMedium2" showFirstColumn="0" showLastColumn="0" showRowStripes="1" showColumnStripes="0"/>
</table>
</file>

<file path=xl/tables/table96.xml><?xml version="1.0" encoding="utf-8"?>
<table xmlns="http://schemas.openxmlformats.org/spreadsheetml/2006/main" id="59" name="tblD260" displayName="tblD260" ref="B37:H39" totalsRowShown="0">
  <autoFilter ref="B37:H39"/>
  <tableColumns count="7">
    <tableColumn id="7" name="Ci" dataDxfId="23" dataCellStyle="Calculation">
      <calculatedColumnFormula>R4</calculatedColumnFormula>
    </tableColumn>
    <tableColumn id="1" name="ID" dataCellStyle="Calculation"/>
    <tableColumn id="6" name="p" dataDxfId="22" dataCellStyle="Calculation">
      <calculatedColumnFormula>"p"&amp;tblD260[[#This Row],[ID]]</calculatedColumnFormula>
    </tableColumn>
    <tableColumn id="4" name="p(i|t)" dataDxfId="21" dataCellStyle="Calculation">
      <calculatedColumnFormula>IFERROR(tblD260[[#This Row],[Ci]]/SUM(tblD260[Ci]),0)</calculatedColumnFormula>
    </tableColumn>
    <tableColumn id="5" name="log2 p(i|t)" dataDxfId="20" dataCellStyle="Calculation">
      <calculatedColumnFormula>IFERROR(LOG(tblD260[[#This Row],[Ci]]/SUM(tblD260[Ci]),2),0)</calculatedColumnFormula>
    </tableColumn>
    <tableColumn id="8" name="p(i|t)*log2(i|t)" dataDxfId="19" dataCellStyle="Calculation">
      <calculatedColumnFormula>tblD260[[#This Row],[p(i|t)]]*tblD260[[#This Row],[log2 p(i|t)]]</calculatedColumnFormula>
    </tableColumn>
    <tableColumn id="9" name="p(i|t)^2" dataDxfId="18" dataCellStyle="Calculation">
      <calculatedColumnFormula>tblD260[[#This Row],[p(i|t)]]^2</calculatedColumnFormula>
    </tableColumn>
  </tableColumns>
  <tableStyleInfo name="TableStyleMedium2" showFirstColumn="0" showLastColumn="0" showRowStripes="1" showColumnStripes="0"/>
</table>
</file>

<file path=xl/tables/table97.xml><?xml version="1.0" encoding="utf-8"?>
<table xmlns="http://schemas.openxmlformats.org/spreadsheetml/2006/main" id="60" name="tblD2Calc61" displayName="tblD2Calc61" ref="J37:M38" totalsRowShown="0" dataCellStyle="Calculation">
  <autoFilter ref="J37:M38"/>
  <tableColumns count="4">
    <tableColumn id="1" name="Entropy" dataCellStyle="Calculation">
      <calculatedColumnFormula>-1*(SUM(tblD260[p(i|t)*log2(i|t)]))</calculatedColumnFormula>
    </tableColumn>
    <tableColumn id="2" name="Gini" dataCellStyle="Calculation">
      <calculatedColumnFormula>1-SUM(tblD260[p(i|t)^2])</calculatedColumnFormula>
    </tableColumn>
    <tableColumn id="3" name="Classification Error" dataCellStyle="Calculation">
      <calculatedColumnFormula>1-MAX(tblD260[p(i|t)])</calculatedColumnFormula>
    </tableColumn>
    <tableColumn id="4" name="Sum" dataCellStyle="Calculation">
      <calculatedColumnFormula>SUM(tblD260[Ci])</calculatedColumnFormula>
    </tableColumn>
  </tableColumns>
  <tableStyleInfo name="TableStyleMedium2" showFirstColumn="0" showLastColumn="0" showRowStripes="1" showColumnStripes="0"/>
</table>
</file>

<file path=xl/tables/table98.xml><?xml version="1.0" encoding="utf-8"?>
<table xmlns="http://schemas.openxmlformats.org/spreadsheetml/2006/main" id="61" name="tblD362" displayName="tblD362" ref="B43:H45" totalsRowShown="0">
  <autoFilter ref="B43:H45"/>
  <tableColumns count="7">
    <tableColumn id="7" name="Ci" dataDxfId="17" dataCellStyle="Calculation">
      <calculatedColumnFormula>R6</calculatedColumnFormula>
    </tableColumn>
    <tableColumn id="1" name="ID" dataCellStyle="Calculation"/>
    <tableColumn id="6" name="p" dataDxfId="16" dataCellStyle="Calculation">
      <calculatedColumnFormula>"p"&amp;tblD362[[#This Row],[ID]]</calculatedColumnFormula>
    </tableColumn>
    <tableColumn id="4" name="p(i|t)" dataDxfId="15" dataCellStyle="Calculation">
      <calculatedColumnFormula>IFERROR(tblD362[[#This Row],[Ci]]/SUM(tblD362[Ci]),0)</calculatedColumnFormula>
    </tableColumn>
    <tableColumn id="5" name="log2 p(i|t)" dataDxfId="14" dataCellStyle="Calculation">
      <calculatedColumnFormula>IFERROR(LOG(tblD362[[#This Row],[Ci]]/SUM(tblD362[Ci]),2),0)</calculatedColumnFormula>
    </tableColumn>
    <tableColumn id="8" name="p(i|t)*log2(i|t)" dataDxfId="13" dataCellStyle="Calculation">
      <calculatedColumnFormula>tblD362[[#This Row],[p(i|t)]]*tblD362[[#This Row],[log2 p(i|t)]]</calculatedColumnFormula>
    </tableColumn>
    <tableColumn id="9" name="p(i|t)^2" dataDxfId="12" dataCellStyle="Calculation">
      <calculatedColumnFormula>tblD362[[#This Row],[p(i|t)]]^2</calculatedColumnFormula>
    </tableColumn>
  </tableColumns>
  <tableStyleInfo name="TableStyleMedium2" showFirstColumn="0" showLastColumn="0" showRowStripes="1" showColumnStripes="0"/>
</table>
</file>

<file path=xl/tables/table99.xml><?xml version="1.0" encoding="utf-8"?>
<table xmlns="http://schemas.openxmlformats.org/spreadsheetml/2006/main" id="62" name="tblD3Calc63" displayName="tblD3Calc63" ref="J43:M44" totalsRowShown="0" dataCellStyle="Calculation">
  <autoFilter ref="J43:M44"/>
  <tableColumns count="4">
    <tableColumn id="1" name="Entropy" dataCellStyle="Calculation">
      <calculatedColumnFormula>-1*(SUM(tblD362[p(i|t)*log2(i|t)]))</calculatedColumnFormula>
    </tableColumn>
    <tableColumn id="2" name="Gini" dataCellStyle="Calculation">
      <calculatedColumnFormula>1-SUM(tblD362[p(i|t)^2])</calculatedColumnFormula>
    </tableColumn>
    <tableColumn id="3" name="Classification Error" dataCellStyle="Calculation">
      <calculatedColumnFormula>1-MAX(tblD362[p(i|t)])</calculatedColumnFormula>
    </tableColumn>
    <tableColumn id="4" name="Sum" dataCellStyle="Calculation">
      <calculatedColumnFormula>SUM(tblD362[Ci])</calculatedColumnFormula>
    </tableColumn>
  </tableColumns>
  <tableStyleInfo name="TableStyleMedium2" showFirstColumn="0" showLastColumn="0" showRowStripes="1" showColumnStripes="0"/>
</table>
</file>

<file path=xl/tables/table100.xml><?xml version="1.0" encoding="utf-8"?>
<table xmlns="http://schemas.openxmlformats.org/spreadsheetml/2006/main" id="63" name="tblD464" displayName="tblD464" ref="B49:H51" totalsRowShown="0">
  <autoFilter ref="B49:H51"/>
  <tableColumns count="7">
    <tableColumn id="7" name="Ci" dataDxfId="11" dataCellStyle="Calculation">
      <calculatedColumnFormula>R8</calculatedColumnFormula>
    </tableColumn>
    <tableColumn id="1" name="ID" dataCellStyle="Calculation"/>
    <tableColumn id="6" name="p" dataDxfId="10" dataCellStyle="Calculation">
      <calculatedColumnFormula>"p"&amp;tblD464[[#This Row],[ID]]</calculatedColumnFormula>
    </tableColumn>
    <tableColumn id="4" name="p(i|t)" dataDxfId="9" dataCellStyle="Calculation">
      <calculatedColumnFormula>IFERROR(tblD464[[#This Row],[Ci]]/SUM(tblD464[Ci]),0)</calculatedColumnFormula>
    </tableColumn>
    <tableColumn id="5" name="log2 p(i|t)" dataDxfId="8" dataCellStyle="Calculation">
      <calculatedColumnFormula>IFERROR(LOG(tblD464[[#This Row],[Ci]]/SUM(tblD464[Ci]),2),0)</calculatedColumnFormula>
    </tableColumn>
    <tableColumn id="8" name="p(i|t)*log2(i|t)" dataDxfId="7" dataCellStyle="Calculation">
      <calculatedColumnFormula>tblD464[[#This Row],[p(i|t)]]*tblD464[[#This Row],[log2 p(i|t)]]</calculatedColumnFormula>
    </tableColumn>
    <tableColumn id="9" name="p(i|t)^2" dataDxfId="6" dataCellStyle="Calculation">
      <calculatedColumnFormula>tblD464[[#This Row],[p(i|t)]]^2</calculatedColumnFormula>
    </tableColumn>
  </tableColumns>
  <tableStyleInfo name="TableStyleMedium2" showFirstColumn="0" showLastColumn="0" showRowStripes="1" showColumnStripes="0"/>
</table>
</file>

<file path=xl/tables/table101.xml><?xml version="1.0" encoding="utf-8"?>
<table xmlns="http://schemas.openxmlformats.org/spreadsheetml/2006/main" id="64" name="tblD4Calc65" displayName="tblD4Calc65" ref="J49:M50" totalsRowShown="0" dataCellStyle="Calculation">
  <autoFilter ref="J49:M50"/>
  <tableColumns count="4">
    <tableColumn id="1" name="Entropy" dataCellStyle="Calculation">
      <calculatedColumnFormula>-1*(SUM(tblD464[p(i|t)*log2(i|t)]))</calculatedColumnFormula>
    </tableColumn>
    <tableColumn id="2" name="Gini" dataCellStyle="Calculation">
      <calculatedColumnFormula>1-SUM(tblD464[p(i|t)^2])</calculatedColumnFormula>
    </tableColumn>
    <tableColumn id="3" name="Classification Error" dataCellStyle="Calculation">
      <calculatedColumnFormula>1-MAX(tblD464[p(i|t)])</calculatedColumnFormula>
    </tableColumn>
    <tableColumn id="4" name="Sum" dataCellStyle="Calculation">
      <calculatedColumnFormula>SUM(tblD464[Ci])</calculatedColumnFormula>
    </tableColumn>
  </tableColumns>
  <tableStyleInfo name="TableStyleMedium2" showFirstColumn="0" showLastColumn="0" showRowStripes="1" showColumnStripes="0"/>
</table>
</file>

<file path=xl/tables/table102.xml><?xml version="1.0" encoding="utf-8"?>
<table xmlns="http://schemas.openxmlformats.org/spreadsheetml/2006/main" id="65" name="Overall66" displayName="Overall66" ref="B18:H20" totalsRowShown="0">
  <autoFilter ref="B18:H20"/>
  <tableColumns count="7">
    <tableColumn id="7" name="Ci" dataDxfId="5" dataCellStyle="Calculation">
      <calculatedColumnFormula>N2</calculatedColumnFormula>
    </tableColumn>
    <tableColumn id="1" name="ID" dataCellStyle="Calculation"/>
    <tableColumn id="6" name="p" dataDxfId="4" dataCellStyle="Calculation">
      <calculatedColumnFormula>"p"&amp;Overall66[[#This Row],[ID]]</calculatedColumnFormula>
    </tableColumn>
    <tableColumn id="4" name="p(i|t)" dataDxfId="3" dataCellStyle="Calculation">
      <calculatedColumnFormula>IFERROR(Overall66[[#This Row],[Ci]]/SUM(Overall66[Ci]),0)</calculatedColumnFormula>
    </tableColumn>
    <tableColumn id="5" name="log2 p(i|t)" dataDxfId="2" dataCellStyle="Calculation">
      <calculatedColumnFormula>IFERROR(LOG(Overall66[[#This Row],[Ci]]/SUM(Overall66[Ci]),2),0)</calculatedColumnFormula>
    </tableColumn>
    <tableColumn id="8" name="p(i|t)*log2(i|t)" dataDxfId="1" dataCellStyle="Calculation">
      <calculatedColumnFormula>Overall66[[#This Row],[p(i|t)]]*Overall66[[#This Row],[log2 p(i|t)]]</calculatedColumnFormula>
    </tableColumn>
    <tableColumn id="9" name="p(i|t)^2" dataDxfId="0" dataCellStyle="Calculation">
      <calculatedColumnFormula>Overall66[[#This Row],[p(i|t)]]^2</calculatedColumnFormula>
    </tableColumn>
  </tableColumns>
  <tableStyleInfo name="TableStyleMedium2" showFirstColumn="0" showLastColumn="0" showRowStripes="1" showColumnStripes="0"/>
</table>
</file>

<file path=xl/tables/table103.xml><?xml version="1.0" encoding="utf-8"?>
<table xmlns="http://schemas.openxmlformats.org/spreadsheetml/2006/main" id="66" name="OverallCalc67" displayName="OverallCalc67" ref="J18:M19" totalsRowShown="0" dataCellStyle="Calculation">
  <autoFilter ref="J18:M19"/>
  <tableColumns count="4">
    <tableColumn id="1" name="Entropy" dataCellStyle="Calculation">
      <calculatedColumnFormula>-1*(SUM(Overall66[p(i|t)*log2(i|t)]))</calculatedColumnFormula>
    </tableColumn>
    <tableColumn id="2" name="Gini" dataCellStyle="Calculation">
      <calculatedColumnFormula>1-SUM(Overall66[p(i|t)^2])</calculatedColumnFormula>
    </tableColumn>
    <tableColumn id="3" name="Classification Error" dataCellStyle="Calculation">
      <calculatedColumnFormula>1-MAX(Overall66[p(i|t)])</calculatedColumnFormula>
    </tableColumn>
    <tableColumn id="4" name="Sum" dataCellStyle="Calculation">
      <calculatedColumnFormula>SUM(Overall66[Ci])</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5" Type="http://schemas.openxmlformats.org/officeDocument/2006/relationships/table" Target="../tables/table6.xml"/><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table" Target="../tables/table7.xml"/><Relationship Id="rId7" Type="http://schemas.openxmlformats.org/officeDocument/2006/relationships/table" Target="../tables/table11.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table" Target="../tables/table18.xml"/><Relationship Id="rId4" Type="http://schemas.openxmlformats.org/officeDocument/2006/relationships/table" Target="../tables/table17.xml"/></Relationships>
</file>

<file path=xl/worksheets/_rels/sheet6.xml.rels><?xml version="1.0" encoding="UTF-8" standalone="yes"?>
<Relationships xmlns="http://schemas.openxmlformats.org/package/2006/relationships"><Relationship Id="rId8" Type="http://schemas.openxmlformats.org/officeDocument/2006/relationships/table" Target="../tables/table24.xml"/><Relationship Id="rId3" Type="http://schemas.openxmlformats.org/officeDocument/2006/relationships/table" Target="../tables/table19.xml"/><Relationship Id="rId7" Type="http://schemas.openxmlformats.org/officeDocument/2006/relationships/table" Target="../tables/table23.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table" Target="../tables/table22.xml"/><Relationship Id="rId5" Type="http://schemas.openxmlformats.org/officeDocument/2006/relationships/table" Target="../tables/table21.xml"/><Relationship Id="rId4" Type="http://schemas.openxmlformats.org/officeDocument/2006/relationships/table" Target="../tables/table20.xml"/><Relationship Id="rId9" Type="http://schemas.openxmlformats.org/officeDocument/2006/relationships/table" Target="../tables/table2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table" Target="../tables/table27.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7" Type="http://schemas.openxmlformats.org/officeDocument/2006/relationships/table" Target="../tables/table30.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openxmlformats.org/officeDocument/2006/relationships/table" Target="../tables/table33.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table" Target="../tables/table32.xml"/><Relationship Id="rId5" Type="http://schemas.openxmlformats.org/officeDocument/2006/relationships/table" Target="../tables/table31.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table" Target="../tables/table3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table" Target="../tables/table3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table" Target="../tables/table3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3.bin"/><Relationship Id="rId1" Type="http://schemas.openxmlformats.org/officeDocument/2006/relationships/pivotTable" Target="../pivotTables/pivotTable6.xml"/><Relationship Id="rId5" Type="http://schemas.openxmlformats.org/officeDocument/2006/relationships/table" Target="../tables/table41.xml"/><Relationship Id="rId4" Type="http://schemas.openxmlformats.org/officeDocument/2006/relationships/table" Target="../tables/table4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42.x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table" Target="../tables/table43.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openxmlformats.org/officeDocument/2006/relationships/table" Target="../tables/table45.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7" Type="http://schemas.microsoft.com/office/2007/relationships/slicer" Target="../slicers/slicer1.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table" Target="../tables/table47.xml"/><Relationship Id="rId5" Type="http://schemas.openxmlformats.org/officeDocument/2006/relationships/table" Target="../tables/table46.xml"/><Relationship Id="rId4"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7" Type="http://schemas.microsoft.com/office/2007/relationships/slicer" Target="../slicers/slicer2.xml"/><Relationship Id="rId2" Type="http://schemas.openxmlformats.org/officeDocument/2006/relationships/printerSettings" Target="../printerSettings/printerSettings17.bin"/><Relationship Id="rId1" Type="http://schemas.openxmlformats.org/officeDocument/2006/relationships/pivotTable" Target="../pivotTables/pivotTable9.xml"/><Relationship Id="rId6" Type="http://schemas.openxmlformats.org/officeDocument/2006/relationships/table" Target="../tables/table50.xml"/><Relationship Id="rId5" Type="http://schemas.openxmlformats.org/officeDocument/2006/relationships/table" Target="../tables/table49.xml"/><Relationship Id="rId4" Type="http://schemas.openxmlformats.org/officeDocument/2006/relationships/table" Target="../tables/table48.xml"/></Relationships>
</file>

<file path=xl/worksheets/_rels/sheet18.xml.rels><?xml version="1.0" encoding="UTF-8" standalone="yes"?>
<Relationships xmlns="http://schemas.openxmlformats.org/package/2006/relationships"><Relationship Id="rId8" Type="http://schemas.openxmlformats.org/officeDocument/2006/relationships/table" Target="../tables/table54.xml"/><Relationship Id="rId3" Type="http://schemas.openxmlformats.org/officeDocument/2006/relationships/printerSettings" Target="../printerSettings/printerSettings18.bin"/><Relationship Id="rId7" Type="http://schemas.openxmlformats.org/officeDocument/2006/relationships/table" Target="../tables/table53.xml"/><Relationship Id="rId2" Type="http://schemas.openxmlformats.org/officeDocument/2006/relationships/hyperlink" Target="https://www.socscistatistics.com/tests/regression/default.aspx" TargetMode="External"/><Relationship Id="rId1" Type="http://schemas.openxmlformats.org/officeDocument/2006/relationships/pivotTable" Target="../pivotTables/pivotTable10.xml"/><Relationship Id="rId6" Type="http://schemas.openxmlformats.org/officeDocument/2006/relationships/table" Target="../tables/table52.xml"/><Relationship Id="rId5" Type="http://schemas.openxmlformats.org/officeDocument/2006/relationships/table" Target="../tables/table51.xml"/><Relationship Id="rId4"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8" Type="http://schemas.openxmlformats.org/officeDocument/2006/relationships/table" Target="../tables/table60.xml"/><Relationship Id="rId3" Type="http://schemas.openxmlformats.org/officeDocument/2006/relationships/table" Target="../tables/table55.xml"/><Relationship Id="rId7" Type="http://schemas.openxmlformats.org/officeDocument/2006/relationships/table" Target="../tables/table59.xml"/><Relationship Id="rId2" Type="http://schemas.openxmlformats.org/officeDocument/2006/relationships/drawing" Target="../drawings/drawing17.xml"/><Relationship Id="rId1" Type="http://schemas.openxmlformats.org/officeDocument/2006/relationships/printerSettings" Target="../printerSettings/printerSettings19.bin"/><Relationship Id="rId6" Type="http://schemas.openxmlformats.org/officeDocument/2006/relationships/table" Target="../tables/table58.xml"/><Relationship Id="rId5" Type="http://schemas.openxmlformats.org/officeDocument/2006/relationships/table" Target="../tables/table57.xml"/><Relationship Id="rId4" Type="http://schemas.openxmlformats.org/officeDocument/2006/relationships/table" Target="../tables/table56.xml"/><Relationship Id="rId9" Type="http://schemas.openxmlformats.org/officeDocument/2006/relationships/table" Target="../tables/table61.xml"/></Relationships>
</file>

<file path=xl/worksheets/_rels/sheet20.xml.rels><?xml version="1.0" encoding="UTF-8" standalone="yes"?>
<Relationships xmlns="http://schemas.openxmlformats.org/package/2006/relationships"><Relationship Id="rId8" Type="http://schemas.openxmlformats.org/officeDocument/2006/relationships/table" Target="../tables/table65.xml"/><Relationship Id="rId13" Type="http://schemas.openxmlformats.org/officeDocument/2006/relationships/table" Target="../tables/table70.xml"/><Relationship Id="rId3" Type="http://schemas.openxmlformats.org/officeDocument/2006/relationships/printerSettings" Target="../printerSettings/printerSettings20.bin"/><Relationship Id="rId7" Type="http://schemas.openxmlformats.org/officeDocument/2006/relationships/table" Target="../tables/table64.xml"/><Relationship Id="rId12" Type="http://schemas.openxmlformats.org/officeDocument/2006/relationships/table" Target="../tables/table69.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table" Target="../tables/table63.xml"/><Relationship Id="rId11" Type="http://schemas.openxmlformats.org/officeDocument/2006/relationships/table" Target="../tables/table68.xml"/><Relationship Id="rId5" Type="http://schemas.openxmlformats.org/officeDocument/2006/relationships/table" Target="../tables/table62.xml"/><Relationship Id="rId15" Type="http://schemas.openxmlformats.org/officeDocument/2006/relationships/table" Target="../tables/table72.xml"/><Relationship Id="rId10" Type="http://schemas.openxmlformats.org/officeDocument/2006/relationships/table" Target="../tables/table67.xml"/><Relationship Id="rId4" Type="http://schemas.openxmlformats.org/officeDocument/2006/relationships/drawing" Target="../drawings/drawing18.xml"/><Relationship Id="rId9" Type="http://schemas.openxmlformats.org/officeDocument/2006/relationships/table" Target="../tables/table66.xml"/><Relationship Id="rId14" Type="http://schemas.openxmlformats.org/officeDocument/2006/relationships/table" Target="../tables/table71.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74.xml"/><Relationship Id="rId2" Type="http://schemas.openxmlformats.org/officeDocument/2006/relationships/drawing" Target="../drawings/drawing20.xml"/><Relationship Id="rId1" Type="http://schemas.openxmlformats.org/officeDocument/2006/relationships/printerSettings" Target="../printerSettings/printerSettings22.bin"/><Relationship Id="rId4" Type="http://schemas.openxmlformats.org/officeDocument/2006/relationships/table" Target="../tables/table75.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76.xml"/><Relationship Id="rId2" Type="http://schemas.openxmlformats.org/officeDocument/2006/relationships/drawing" Target="../drawings/drawing22.xml"/><Relationship Id="rId1" Type="http://schemas.openxmlformats.org/officeDocument/2006/relationships/printerSettings" Target="../printerSettings/printerSettings25.bin"/><Relationship Id="rId6" Type="http://schemas.openxmlformats.org/officeDocument/2006/relationships/table" Target="../tables/table79.xml"/><Relationship Id="rId5" Type="http://schemas.openxmlformats.org/officeDocument/2006/relationships/table" Target="../tables/table78.xml"/><Relationship Id="rId4" Type="http://schemas.openxmlformats.org/officeDocument/2006/relationships/table" Target="../tables/table77.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80.xml"/><Relationship Id="rId2" Type="http://schemas.openxmlformats.org/officeDocument/2006/relationships/drawing" Target="../drawings/drawing23.xml"/><Relationship Id="rId1" Type="http://schemas.openxmlformats.org/officeDocument/2006/relationships/printerSettings" Target="../printerSettings/printerSettings26.bin"/><Relationship Id="rId4" Type="http://schemas.openxmlformats.org/officeDocument/2006/relationships/table" Target="../tables/table81.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82.xml"/><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8" Type="http://schemas.openxmlformats.org/officeDocument/2006/relationships/table" Target="../tables/table88.xml"/><Relationship Id="rId3" Type="http://schemas.openxmlformats.org/officeDocument/2006/relationships/table" Target="../tables/table83.xml"/><Relationship Id="rId7" Type="http://schemas.openxmlformats.org/officeDocument/2006/relationships/table" Target="../tables/table87.xml"/><Relationship Id="rId2" Type="http://schemas.openxmlformats.org/officeDocument/2006/relationships/drawing" Target="../drawings/drawing26.xml"/><Relationship Id="rId1" Type="http://schemas.openxmlformats.org/officeDocument/2006/relationships/printerSettings" Target="../printerSettings/printerSettings29.bin"/><Relationship Id="rId6" Type="http://schemas.openxmlformats.org/officeDocument/2006/relationships/table" Target="../tables/table86.xml"/><Relationship Id="rId5" Type="http://schemas.openxmlformats.org/officeDocument/2006/relationships/table" Target="../tables/table85.xml"/><Relationship Id="rId10" Type="http://schemas.openxmlformats.org/officeDocument/2006/relationships/table" Target="../tables/table90.xml"/><Relationship Id="rId4" Type="http://schemas.openxmlformats.org/officeDocument/2006/relationships/table" Target="../tables/table84.xml"/><Relationship Id="rId9" Type="http://schemas.openxmlformats.org/officeDocument/2006/relationships/table" Target="../tables/table8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91.xml"/><Relationship Id="rId2" Type="http://schemas.openxmlformats.org/officeDocument/2006/relationships/drawing" Target="../drawings/drawing28.xml"/><Relationship Id="rId1" Type="http://schemas.openxmlformats.org/officeDocument/2006/relationships/printerSettings" Target="../printerSettings/printerSettings31.bin"/><Relationship Id="rId4" Type="http://schemas.openxmlformats.org/officeDocument/2006/relationships/table" Target="../tables/table92.xml"/></Relationships>
</file>

<file path=xl/worksheets/_rels/sheet32.xml.rels><?xml version="1.0" encoding="UTF-8" standalone="yes"?>
<Relationships xmlns="http://schemas.openxmlformats.org/package/2006/relationships"><Relationship Id="rId8" Type="http://schemas.openxmlformats.org/officeDocument/2006/relationships/table" Target="../tables/table96.xml"/><Relationship Id="rId13" Type="http://schemas.openxmlformats.org/officeDocument/2006/relationships/table" Target="../tables/table101.xml"/><Relationship Id="rId3" Type="http://schemas.openxmlformats.org/officeDocument/2006/relationships/printerSettings" Target="../printerSettings/printerSettings32.bin"/><Relationship Id="rId7" Type="http://schemas.openxmlformats.org/officeDocument/2006/relationships/table" Target="../tables/table95.xml"/><Relationship Id="rId12" Type="http://schemas.openxmlformats.org/officeDocument/2006/relationships/table" Target="../tables/table100.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table" Target="../tables/table94.xml"/><Relationship Id="rId11" Type="http://schemas.openxmlformats.org/officeDocument/2006/relationships/table" Target="../tables/table99.xml"/><Relationship Id="rId5" Type="http://schemas.openxmlformats.org/officeDocument/2006/relationships/table" Target="../tables/table93.xml"/><Relationship Id="rId15" Type="http://schemas.openxmlformats.org/officeDocument/2006/relationships/table" Target="../tables/table103.xml"/><Relationship Id="rId10" Type="http://schemas.openxmlformats.org/officeDocument/2006/relationships/table" Target="../tables/table98.xml"/><Relationship Id="rId4" Type="http://schemas.openxmlformats.org/officeDocument/2006/relationships/drawing" Target="../drawings/drawing29.xml"/><Relationship Id="rId9" Type="http://schemas.openxmlformats.org/officeDocument/2006/relationships/table" Target="../tables/table97.xml"/><Relationship Id="rId14" Type="http://schemas.openxmlformats.org/officeDocument/2006/relationships/table" Target="../tables/table10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8"/>
  <sheetViews>
    <sheetView showGridLines="0" topLeftCell="A8" zoomScale="90" zoomScaleNormal="90" workbookViewId="0">
      <selection activeCell="D13" sqref="D13"/>
    </sheetView>
  </sheetViews>
  <sheetFormatPr defaultRowHeight="15"/>
  <cols>
    <col min="1" max="1" width="7.42578125" style="123" customWidth="1"/>
    <col min="2" max="2" width="24.5703125" style="123" bestFit="1" customWidth="1"/>
    <col min="3" max="3" width="30.28515625" style="123" bestFit="1" customWidth="1"/>
    <col min="4" max="4" width="26" bestFit="1" customWidth="1"/>
    <col min="5" max="5" width="38.5703125" customWidth="1"/>
    <col min="6" max="6" width="47.7109375" bestFit="1" customWidth="1"/>
    <col min="10" max="10" width="31.85546875" bestFit="1" customWidth="1"/>
  </cols>
  <sheetData>
    <row r="1" spans="2:10">
      <c r="B1" s="152" t="s">
        <v>429</v>
      </c>
      <c r="C1" s="152" t="s">
        <v>430</v>
      </c>
      <c r="D1" s="152" t="s">
        <v>466</v>
      </c>
      <c r="E1" s="152" t="s">
        <v>33</v>
      </c>
      <c r="F1" s="152" t="s">
        <v>425</v>
      </c>
      <c r="I1" s="235" t="s">
        <v>490</v>
      </c>
      <c r="J1" s="235"/>
    </row>
    <row r="2" spans="2:10">
      <c r="B2" s="147" t="s">
        <v>540</v>
      </c>
      <c r="C2" s="147" t="s">
        <v>541</v>
      </c>
      <c r="D2" s="231" t="s">
        <v>540</v>
      </c>
      <c r="E2" s="147"/>
      <c r="F2" s="147"/>
      <c r="I2" s="154">
        <v>174</v>
      </c>
      <c r="J2" s="155" t="s">
        <v>491</v>
      </c>
    </row>
    <row r="3" spans="2:10" ht="45">
      <c r="B3" s="147" t="s">
        <v>427</v>
      </c>
      <c r="C3" s="147" t="s">
        <v>473</v>
      </c>
      <c r="D3" s="148" t="s">
        <v>467</v>
      </c>
      <c r="E3" s="147" t="s">
        <v>474</v>
      </c>
      <c r="F3" s="147" t="s">
        <v>475</v>
      </c>
      <c r="I3" s="156">
        <v>200</v>
      </c>
      <c r="J3" s="155" t="s">
        <v>492</v>
      </c>
    </row>
    <row r="4" spans="2:10" ht="30">
      <c r="B4" s="147" t="s">
        <v>427</v>
      </c>
      <c r="C4" s="147" t="s">
        <v>487</v>
      </c>
      <c r="D4" s="148" t="s">
        <v>476</v>
      </c>
      <c r="E4" s="147" t="s">
        <v>488</v>
      </c>
      <c r="F4" s="147" t="s">
        <v>489</v>
      </c>
    </row>
    <row r="5" spans="2:10" ht="30">
      <c r="B5" s="147" t="s">
        <v>427</v>
      </c>
      <c r="C5" s="147" t="s">
        <v>478</v>
      </c>
      <c r="D5" s="148" t="s">
        <v>477</v>
      </c>
      <c r="E5" s="147" t="s">
        <v>485</v>
      </c>
      <c r="F5" s="147" t="s">
        <v>486</v>
      </c>
    </row>
    <row r="6" spans="2:10" ht="30">
      <c r="B6" s="147" t="s">
        <v>435</v>
      </c>
      <c r="C6" s="147" t="s">
        <v>449</v>
      </c>
      <c r="D6" s="148" t="s">
        <v>448</v>
      </c>
      <c r="E6" s="147" t="s">
        <v>450</v>
      </c>
      <c r="F6" s="147" t="s">
        <v>451</v>
      </c>
    </row>
    <row r="7" spans="2:10" ht="30">
      <c r="B7" s="147" t="s">
        <v>435</v>
      </c>
      <c r="C7" s="147" t="s">
        <v>436</v>
      </c>
      <c r="D7" s="148" t="s">
        <v>376</v>
      </c>
      <c r="E7" s="147" t="s">
        <v>515</v>
      </c>
      <c r="F7" s="147" t="s">
        <v>516</v>
      </c>
    </row>
    <row r="8" spans="2:10" ht="30">
      <c r="B8" s="147" t="s">
        <v>435</v>
      </c>
      <c r="C8" s="147" t="s">
        <v>507</v>
      </c>
      <c r="D8" s="148" t="s">
        <v>506</v>
      </c>
      <c r="E8" s="147" t="s">
        <v>508</v>
      </c>
      <c r="F8" s="147" t="s">
        <v>509</v>
      </c>
    </row>
    <row r="9" spans="2:10" ht="30">
      <c r="B9" s="147" t="s">
        <v>435</v>
      </c>
      <c r="C9" s="147" t="s">
        <v>456</v>
      </c>
      <c r="D9" s="148" t="s">
        <v>455</v>
      </c>
      <c r="E9" s="147" t="s">
        <v>457</v>
      </c>
      <c r="F9" s="147" t="s">
        <v>462</v>
      </c>
    </row>
    <row r="10" spans="2:10" ht="45">
      <c r="B10" s="147" t="s">
        <v>435</v>
      </c>
      <c r="C10" s="147" t="s">
        <v>440</v>
      </c>
      <c r="D10" s="148" t="s">
        <v>437</v>
      </c>
      <c r="E10" s="147" t="s">
        <v>438</v>
      </c>
      <c r="F10" s="147" t="s">
        <v>439</v>
      </c>
    </row>
    <row r="11" spans="2:10" ht="45">
      <c r="B11" s="149" t="s">
        <v>435</v>
      </c>
      <c r="C11" s="149" t="s">
        <v>464</v>
      </c>
      <c r="D11" s="150" t="s">
        <v>463</v>
      </c>
      <c r="E11" s="149" t="s">
        <v>465</v>
      </c>
      <c r="F11" s="149" t="s">
        <v>510</v>
      </c>
    </row>
    <row r="12" spans="2:10" ht="60">
      <c r="B12" s="147" t="s">
        <v>744</v>
      </c>
      <c r="C12" s="147" t="s">
        <v>745</v>
      </c>
      <c r="D12" s="148" t="s">
        <v>746</v>
      </c>
      <c r="E12" s="147" t="s">
        <v>747</v>
      </c>
      <c r="F12" s="147" t="s">
        <v>748</v>
      </c>
    </row>
    <row r="13" spans="2:10" ht="30">
      <c r="B13" s="147" t="s">
        <v>446</v>
      </c>
      <c r="C13" s="147" t="s">
        <v>447</v>
      </c>
      <c r="D13" s="148" t="s">
        <v>445</v>
      </c>
      <c r="E13" s="147" t="s">
        <v>459</v>
      </c>
      <c r="F13" s="147" t="s">
        <v>458</v>
      </c>
    </row>
    <row r="14" spans="2:10" ht="30">
      <c r="B14" s="147" t="s">
        <v>446</v>
      </c>
      <c r="C14" s="147" t="s">
        <v>447</v>
      </c>
      <c r="D14" s="148" t="s">
        <v>454</v>
      </c>
      <c r="E14" s="147" t="s">
        <v>460</v>
      </c>
      <c r="F14" s="147" t="s">
        <v>461</v>
      </c>
    </row>
    <row r="15" spans="2:10">
      <c r="B15" s="230" t="s">
        <v>699</v>
      </c>
      <c r="C15" s="147"/>
      <c r="D15" s="148" t="s">
        <v>700</v>
      </c>
      <c r="E15" s="147"/>
      <c r="F15" s="147"/>
    </row>
    <row r="16" spans="2:10" ht="30">
      <c r="B16" s="147" t="s">
        <v>469</v>
      </c>
      <c r="C16" s="147" t="s">
        <v>470</v>
      </c>
      <c r="D16" s="148" t="s">
        <v>468</v>
      </c>
      <c r="E16" s="147" t="s">
        <v>471</v>
      </c>
      <c r="F16" s="147" t="s">
        <v>472</v>
      </c>
    </row>
    <row r="17" spans="2:6" s="123" customFormat="1">
      <c r="B17" s="149" t="s">
        <v>431</v>
      </c>
      <c r="C17" s="149" t="s">
        <v>426</v>
      </c>
      <c r="D17" s="150" t="s">
        <v>398</v>
      </c>
      <c r="E17" s="149" t="s">
        <v>426</v>
      </c>
      <c r="F17" s="149" t="s">
        <v>428</v>
      </c>
    </row>
    <row r="18" spans="2:6" s="123" customFormat="1" ht="45">
      <c r="B18" s="149" t="s">
        <v>431</v>
      </c>
      <c r="C18" s="149" t="s">
        <v>441</v>
      </c>
      <c r="D18" s="150" t="s">
        <v>442</v>
      </c>
      <c r="E18" s="149" t="s">
        <v>444</v>
      </c>
      <c r="F18" s="149" t="s">
        <v>443</v>
      </c>
    </row>
    <row r="19" spans="2:6" ht="60">
      <c r="B19" s="149" t="s">
        <v>433</v>
      </c>
      <c r="C19" s="149" t="s">
        <v>440</v>
      </c>
      <c r="D19" s="150" t="s">
        <v>411</v>
      </c>
      <c r="E19" s="149" t="s">
        <v>432</v>
      </c>
      <c r="F19" s="149" t="s">
        <v>434</v>
      </c>
    </row>
    <row r="20" spans="2:6">
      <c r="B20" s="162"/>
      <c r="C20" s="162"/>
      <c r="D20" s="162"/>
      <c r="E20" s="162"/>
      <c r="F20" s="162"/>
    </row>
    <row r="21" spans="2:6">
      <c r="B21" s="123" t="s">
        <v>542</v>
      </c>
      <c r="C21" s="123" t="s">
        <v>541</v>
      </c>
      <c r="D21" s="102" t="s">
        <v>542</v>
      </c>
    </row>
    <row r="22" spans="2:6">
      <c r="B22" s="162"/>
      <c r="C22" s="162"/>
      <c r="D22" s="162"/>
      <c r="E22" s="162"/>
      <c r="F22" s="162"/>
    </row>
    <row r="23" spans="2:6">
      <c r="B23" s="123" t="s">
        <v>544</v>
      </c>
      <c r="C23" s="123" t="s">
        <v>541</v>
      </c>
      <c r="D23" s="102" t="s">
        <v>543</v>
      </c>
      <c r="E23" s="123" t="s">
        <v>558</v>
      </c>
    </row>
    <row r="24" spans="2:6">
      <c r="B24" s="162"/>
      <c r="C24" s="162"/>
      <c r="D24" s="162"/>
      <c r="E24" s="162"/>
      <c r="F24" s="162"/>
    </row>
    <row r="25" spans="2:6">
      <c r="B25" s="211" t="s">
        <v>696</v>
      </c>
      <c r="C25" s="211" t="s">
        <v>697</v>
      </c>
      <c r="D25" s="212" t="s">
        <v>696</v>
      </c>
      <c r="E25" s="211"/>
      <c r="F25" s="211"/>
    </row>
    <row r="26" spans="2:6">
      <c r="B26" s="162"/>
      <c r="C26" s="162"/>
      <c r="D26" s="162"/>
      <c r="E26" s="162"/>
      <c r="F26" s="162"/>
    </row>
    <row r="27" spans="2:6">
      <c r="B27" s="211" t="s">
        <v>698</v>
      </c>
      <c r="C27" s="211" t="s">
        <v>697</v>
      </c>
      <c r="D27" s="212" t="s">
        <v>698</v>
      </c>
      <c r="E27" s="211"/>
      <c r="F27" s="211"/>
    </row>
    <row r="28" spans="2:6">
      <c r="B28" s="162"/>
      <c r="C28" s="162"/>
      <c r="D28" s="162"/>
      <c r="E28" s="162"/>
      <c r="F28" s="162"/>
    </row>
  </sheetData>
  <mergeCells count="1">
    <mergeCell ref="I1:J1"/>
  </mergeCells>
  <hyperlinks>
    <hyperlink ref="D7" location="'Chi-Square'!A1" display="'Chi-Square'!A1"/>
    <hyperlink ref="D17" location="'Chi-Square Multivariate'!A1" display="'Chi-Square Multivariate'!A1"/>
    <hyperlink ref="D19" location="'L1, L2 Distance, Outlier '!A1" display="'L1, L2 Distance, Outlier '!A1"/>
    <hyperlink ref="D10" location="'Minkowski, Cosine'!A1" display="'Minkowski, Cosine'!A1"/>
    <hyperlink ref="D18" location="'Univariate Outlier'!A1" display="'Univariate Outlier'!A1"/>
    <hyperlink ref="D13" location="'Min-Max, Z-Score'!A1" display="'Min-Max, Z-Score'!A1"/>
    <hyperlink ref="D6" location="'5 Point Summary'!A1" display="'5 Point Summary'!A1"/>
    <hyperlink ref="D9" location="'Linear Regression Line'!A1" display="'Linear Regression Line'!A1"/>
    <hyperlink ref="D11" location="'Similarity Example'!A1" display="'Similarity Example'!A1"/>
    <hyperlink ref="D3" location="'Information Gain'!A1" display="'Information Gain'!A1"/>
    <hyperlink ref="D16" location="'Attribute Types'!A1" display="'Attribute Types'!A1"/>
    <hyperlink ref="D4" location="'Entropy, Gini, Error'!A1" display="'Entropy, Gini, Error'!A1"/>
    <hyperlink ref="D5" location="'Confusion Matrix'!A1" display="'Confusion Matrix'!A1"/>
    <hyperlink ref="D8" location="'Covariance, Correlation'!A1" display="'Covariance, Correlation'!A1"/>
    <hyperlink ref="D2" location="BIRCH!A1" display="BIRCH"/>
    <hyperlink ref="D21" location="Kmeans!A1" display="Kmeans"/>
    <hyperlink ref="D23" location="'K-median'!A1" display="Kmediod"/>
    <hyperlink ref="D25" location="'FP GROWTHG'!A1" display="FP Tree"/>
    <hyperlink ref="D27" location="'APRIORI-2'!A1" display="Apriori"/>
    <hyperlink ref="D15" location="'DBSCAN Outlier Detection'!A1" display="DBSCAN_Outlier"/>
    <hyperlink ref="D14" location="'ZScore v2'!A1" display="'ZScore v2'!A1"/>
    <hyperlink ref="D12" location="TFIDF!A1" display="TFIDF!A1"/>
  </hyperlink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XFD19"/>
  <sheetViews>
    <sheetView showGridLines="0" zoomScaleNormal="100" workbookViewId="0">
      <selection activeCell="A22" sqref="A22"/>
    </sheetView>
  </sheetViews>
  <sheetFormatPr defaultColWidth="9.140625" defaultRowHeight="15"/>
  <cols>
    <col min="1" max="1" width="38.28515625" style="123" bestFit="1" customWidth="1"/>
    <col min="2" max="2" width="11" style="123" customWidth="1"/>
    <col min="3" max="3" width="9.140625" style="123"/>
    <col min="4" max="4" width="12" style="123" bestFit="1" customWidth="1"/>
    <col min="5" max="5" width="11" style="123" bestFit="1" customWidth="1"/>
    <col min="6" max="6" width="21.5703125" style="123" customWidth="1"/>
    <col min="7" max="7" width="19.7109375" style="123" customWidth="1"/>
    <col min="8" max="8" width="13.5703125" style="123" customWidth="1"/>
    <col min="9" max="16384" width="9.140625" style="123"/>
  </cols>
  <sheetData>
    <row r="1" spans="1:8 16384:16384">
      <c r="A1" s="143" t="s">
        <v>7</v>
      </c>
      <c r="B1" s="123" t="s">
        <v>57</v>
      </c>
      <c r="C1" s="123" t="s">
        <v>0</v>
      </c>
      <c r="D1" s="123" t="s">
        <v>1</v>
      </c>
      <c r="E1" s="123" t="s">
        <v>2</v>
      </c>
      <c r="G1" s="143" t="s">
        <v>502</v>
      </c>
      <c r="H1" s="158">
        <v>2</v>
      </c>
    </row>
    <row r="2" spans="1:8 16384:16384">
      <c r="B2" s="123" t="s">
        <v>3</v>
      </c>
      <c r="C2" s="130">
        <v>250</v>
      </c>
      <c r="D2" s="130">
        <v>200</v>
      </c>
      <c r="E2" s="128">
        <f>SUM(C2:D2)</f>
        <v>450</v>
      </c>
      <c r="G2" s="143" t="s">
        <v>503</v>
      </c>
      <c r="H2" s="158">
        <v>2</v>
      </c>
    </row>
    <row r="3" spans="1:8 16384:16384">
      <c r="B3" s="123" t="s">
        <v>4</v>
      </c>
      <c r="C3" s="130">
        <v>50</v>
      </c>
      <c r="D3" s="130">
        <v>1000</v>
      </c>
      <c r="E3" s="128">
        <f>SUM(C3:D3)</f>
        <v>1050</v>
      </c>
      <c r="G3" s="143"/>
      <c r="H3" s="143"/>
    </row>
    <row r="4" spans="1:8 16384:16384" ht="16.5" customHeight="1">
      <c r="B4" s="123" t="s">
        <v>2</v>
      </c>
      <c r="C4" s="128">
        <f>SUM(C2:C3)</f>
        <v>300</v>
      </c>
      <c r="D4" s="128">
        <f>SUM(D2:D3)</f>
        <v>1200</v>
      </c>
      <c r="E4" s="128">
        <f>SUM(E2:E3)</f>
        <v>1500</v>
      </c>
      <c r="G4" s="145" t="s">
        <v>504</v>
      </c>
      <c r="H4" s="128">
        <f>(H1-1)*(H2-1)</f>
        <v>1</v>
      </c>
      <c r="XFD4" s="123">
        <f>SUM(XFD2:XFD3)</f>
        <v>0</v>
      </c>
    </row>
    <row r="6" spans="1:8 16384:16384">
      <c r="A6" s="143" t="s">
        <v>6</v>
      </c>
    </row>
    <row r="7" spans="1:8 16384:16384">
      <c r="A7" s="143" t="s">
        <v>5</v>
      </c>
      <c r="B7" s="123" t="s">
        <v>57</v>
      </c>
      <c r="C7" s="123" t="s">
        <v>0</v>
      </c>
      <c r="D7" s="123" t="s">
        <v>1</v>
      </c>
    </row>
    <row r="8" spans="1:8 16384:16384">
      <c r="B8" s="123" t="s">
        <v>3</v>
      </c>
      <c r="C8" s="128">
        <f>C$4*$E2/$E$4</f>
        <v>90</v>
      </c>
      <c r="D8" s="128">
        <f>D$4*$E2/$E$4</f>
        <v>360</v>
      </c>
    </row>
    <row r="9" spans="1:8 16384:16384">
      <c r="B9" s="123" t="s">
        <v>4</v>
      </c>
      <c r="C9" s="128">
        <f>C$4*$E3/$E$4</f>
        <v>210</v>
      </c>
      <c r="D9" s="128">
        <f>D$4*$E3/$E$4</f>
        <v>840</v>
      </c>
    </row>
    <row r="11" spans="1:8 16384:16384">
      <c r="A11" s="143" t="s">
        <v>231</v>
      </c>
      <c r="B11" s="123" t="s">
        <v>57</v>
      </c>
      <c r="C11" s="123" t="s">
        <v>0</v>
      </c>
      <c r="D11" s="123" t="s">
        <v>1</v>
      </c>
    </row>
    <row r="12" spans="1:8 16384:16384">
      <c r="B12" s="123" t="s">
        <v>3</v>
      </c>
      <c r="C12" s="128">
        <f>(C2-C8)*(C2-C8)/C8</f>
        <v>284.44444444444446</v>
      </c>
      <c r="D12" s="128">
        <f>(D2-D8)*(D2-D8)/D8</f>
        <v>71.111111111111114</v>
      </c>
    </row>
    <row r="13" spans="1:8 16384:16384">
      <c r="B13" s="123" t="s">
        <v>4</v>
      </c>
      <c r="C13" s="128">
        <f>(C3-C9)*(C3-C9)/C9</f>
        <v>121.9047619047619</v>
      </c>
      <c r="D13" s="128">
        <f>(D3-D9)*(D3-D9)/D9</f>
        <v>30.476190476190474</v>
      </c>
    </row>
    <row r="15" spans="1:8 16384:16384">
      <c r="D15" s="124" t="s">
        <v>58</v>
      </c>
      <c r="E15" s="128">
        <f>SUM(C12:D13)</f>
        <v>507.93650793650795</v>
      </c>
    </row>
    <row r="18" spans="3:6">
      <c r="C18" s="144" t="s">
        <v>500</v>
      </c>
      <c r="D18" s="236" t="s">
        <v>501</v>
      </c>
      <c r="E18" s="236"/>
      <c r="F18" s="236"/>
    </row>
    <row r="19" spans="3:6" ht="45" customHeight="1">
      <c r="C19" s="144"/>
      <c r="D19" s="236"/>
      <c r="E19" s="236"/>
      <c r="F19" s="236"/>
    </row>
  </sheetData>
  <mergeCells count="1">
    <mergeCell ref="D18:F19"/>
  </mergeCells>
  <pageMargins left="0.7" right="0.7" top="0.75" bottom="0.75" header="0.3" footer="0.3"/>
  <pageSetup orientation="portrait" horizontalDpi="4294967293" verticalDpi="0"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T37"/>
  <sheetViews>
    <sheetView showGridLines="0" topLeftCell="G1" zoomScale="80" zoomScaleNormal="80" workbookViewId="0">
      <selection activeCell="O37" sqref="O37"/>
    </sheetView>
  </sheetViews>
  <sheetFormatPr defaultRowHeight="15"/>
  <cols>
    <col min="1" max="1" width="14.7109375" customWidth="1"/>
    <col min="2" max="2" width="22.5703125" customWidth="1"/>
    <col min="3" max="3" width="15.7109375" customWidth="1"/>
    <col min="4" max="4" width="12.7109375" bestFit="1" customWidth="1"/>
    <col min="5" max="5" width="25.42578125" bestFit="1" customWidth="1"/>
    <col min="6" max="7" width="26.140625" bestFit="1" customWidth="1"/>
    <col min="8" max="8" width="25.85546875" bestFit="1" customWidth="1"/>
    <col min="9" max="9" width="13.140625" customWidth="1"/>
    <col min="14" max="14" width="23.28515625" bestFit="1" customWidth="1"/>
    <col min="15" max="15" width="15.85546875" customWidth="1"/>
    <col min="16" max="19" width="8.42578125" customWidth="1"/>
    <col min="20" max="20" width="12.7109375" bestFit="1" customWidth="1"/>
    <col min="21" max="22" width="14.85546875" customWidth="1"/>
  </cols>
  <sheetData>
    <row r="1" spans="1:20">
      <c r="A1" t="s">
        <v>25</v>
      </c>
      <c r="B1" t="s">
        <v>26</v>
      </c>
      <c r="C1" t="s">
        <v>18</v>
      </c>
      <c r="D1" t="s">
        <v>19</v>
      </c>
      <c r="E1" t="s">
        <v>755</v>
      </c>
      <c r="F1" t="s">
        <v>756</v>
      </c>
      <c r="G1" t="s">
        <v>505</v>
      </c>
      <c r="H1" t="s">
        <v>105</v>
      </c>
    </row>
    <row r="2" spans="1:20">
      <c r="A2" s="18">
        <f>AVERAGE(Input13[X])</f>
        <v>10.199999999999999</v>
      </c>
      <c r="B2" s="18">
        <f>AVERAGE(Input13[Y])</f>
        <v>11.2</v>
      </c>
      <c r="C2" s="18">
        <f>SUMPRODUCT(Input13[Xi - Xmean],Input13[Yi - Ymean])</f>
        <v>72.8</v>
      </c>
      <c r="D2" s="18">
        <f>COUNT(Input13[X])-1</f>
        <v>4</v>
      </c>
      <c r="E2" s="128">
        <f>_xlfn.STDEV.S(Input13[X])</f>
        <v>4.3243496620879291</v>
      </c>
      <c r="F2" s="128">
        <f>_xlfn.STDEV.S(Input13[Y])</f>
        <v>5.0695167422546294</v>
      </c>
      <c r="G2" s="128">
        <f>_xlfn.COVARIANCE.S(Input13[X],Input13[Y])</f>
        <v>18.2</v>
      </c>
      <c r="H2" s="18">
        <f>Results14[[#This Row],[Covariance (x,y) (Sample)]]/(Results14[[#This Row],[Standard_Deviation(x)(Sample)]]*Results14[[#This Row],[Standard_Deviation(y)(Sample)]])</f>
        <v>0.83020247363862398</v>
      </c>
    </row>
    <row r="3" spans="1:20">
      <c r="O3" s="127" t="s">
        <v>76</v>
      </c>
    </row>
    <row r="4" spans="1:20">
      <c r="N4" s="127" t="s">
        <v>67</v>
      </c>
      <c r="O4" s="123">
        <v>1</v>
      </c>
      <c r="P4" s="123">
        <v>2</v>
      </c>
      <c r="Q4" s="123">
        <v>3</v>
      </c>
      <c r="R4" s="123">
        <v>4</v>
      </c>
      <c r="S4" s="123">
        <v>5</v>
      </c>
      <c r="T4" s="123" t="s">
        <v>108</v>
      </c>
    </row>
    <row r="5" spans="1:20">
      <c r="A5" s="125" t="s">
        <v>106</v>
      </c>
      <c r="B5" s="125" t="s">
        <v>107</v>
      </c>
      <c r="C5" s="125" t="s">
        <v>23</v>
      </c>
      <c r="D5" s="125" t="s">
        <v>24</v>
      </c>
      <c r="E5" s="125" t="s">
        <v>102</v>
      </c>
      <c r="F5" s="125" t="s">
        <v>103</v>
      </c>
      <c r="G5" s="125" t="s">
        <v>104</v>
      </c>
      <c r="H5" s="125" t="s">
        <v>76</v>
      </c>
      <c r="I5" s="125" t="s">
        <v>25</v>
      </c>
      <c r="J5" s="125" t="s">
        <v>26</v>
      </c>
      <c r="N5" s="123" t="s">
        <v>109</v>
      </c>
      <c r="O5" s="126">
        <v>10</v>
      </c>
      <c r="P5" s="126">
        <v>11</v>
      </c>
      <c r="Q5" s="126">
        <v>3</v>
      </c>
      <c r="R5" s="126">
        <v>13</v>
      </c>
      <c r="S5" s="126">
        <v>14</v>
      </c>
      <c r="T5" s="126">
        <v>51</v>
      </c>
    </row>
    <row r="6" spans="1:20">
      <c r="A6" s="111">
        <v>10</v>
      </c>
      <c r="B6" s="111">
        <v>8</v>
      </c>
      <c r="C6" s="18">
        <f>Results14[Xmean]-Input13[[#This Row],[X]]</f>
        <v>0.19999999999999929</v>
      </c>
      <c r="D6" s="18">
        <f>Results14[Ymean]-Input13[[#This Row],[Y]]</f>
        <v>3.1999999999999993</v>
      </c>
      <c r="E6" s="18">
        <f>Input13[[#This Row],[Xi - Xmean]]*Input13[[#This Row],[Yi - Ymean]]</f>
        <v>0.63999999999999757</v>
      </c>
      <c r="F6" s="23">
        <f>Input13[[#This Row],[Xi - Xmean]]^2</f>
        <v>3.9999999999999716E-2</v>
      </c>
      <c r="G6" s="23">
        <f>Input13[[#This Row],[Yi - Ymean]]^2</f>
        <v>10.239999999999995</v>
      </c>
      <c r="H6" s="23">
        <v>1</v>
      </c>
      <c r="I6" s="23">
        <f>AVERAGE(Input13[X])</f>
        <v>10.199999999999999</v>
      </c>
      <c r="J6" s="23">
        <f>AVERAGE(Input13[Y])</f>
        <v>11.2</v>
      </c>
      <c r="N6" s="123" t="s">
        <v>110</v>
      </c>
      <c r="O6" s="126">
        <v>8</v>
      </c>
      <c r="P6" s="126">
        <v>9</v>
      </c>
      <c r="Q6" s="126">
        <v>6</v>
      </c>
      <c r="R6" s="126">
        <v>15</v>
      </c>
      <c r="S6" s="126">
        <v>18</v>
      </c>
      <c r="T6" s="126">
        <v>56</v>
      </c>
    </row>
    <row r="7" spans="1:20">
      <c r="A7" s="111">
        <v>11</v>
      </c>
      <c r="B7" s="111">
        <v>9</v>
      </c>
      <c r="C7" s="18">
        <f>Results14[Xmean]-Input13[[#This Row],[X]]</f>
        <v>-0.80000000000000071</v>
      </c>
      <c r="D7" s="18">
        <f>Results14[Ymean]-Input13[[#This Row],[Y]]</f>
        <v>2.1999999999999993</v>
      </c>
      <c r="E7" s="18">
        <f>Input13[[#This Row],[Xi - Xmean]]*Input13[[#This Row],[Yi - Ymean]]</f>
        <v>-1.7600000000000009</v>
      </c>
      <c r="F7" s="23">
        <f>Input13[[#This Row],[Xi - Xmean]]^2</f>
        <v>0.64000000000000112</v>
      </c>
      <c r="G7" s="23">
        <f>Input13[[#This Row],[Yi - Ymean]]^2</f>
        <v>4.8399999999999972</v>
      </c>
      <c r="H7" s="23">
        <f>H6+1</f>
        <v>2</v>
      </c>
      <c r="I7" s="23">
        <f>AVERAGE(Input13[X])</f>
        <v>10.199999999999999</v>
      </c>
      <c r="J7" s="23">
        <f>AVERAGE(Input13[Y])</f>
        <v>11.2</v>
      </c>
      <c r="N7" s="123" t="s">
        <v>111</v>
      </c>
      <c r="O7" s="126">
        <v>10.199999999999999</v>
      </c>
      <c r="P7" s="126">
        <v>10.199999999999999</v>
      </c>
      <c r="Q7" s="126">
        <v>10.199999999999999</v>
      </c>
      <c r="R7" s="126">
        <v>10.199999999999999</v>
      </c>
      <c r="S7" s="126">
        <v>10.199999999999999</v>
      </c>
      <c r="T7" s="126">
        <v>51</v>
      </c>
    </row>
    <row r="8" spans="1:20">
      <c r="A8" s="111">
        <v>3</v>
      </c>
      <c r="B8" s="111">
        <v>6</v>
      </c>
      <c r="C8" s="18">
        <f>Results14[Xmean]-Input13[[#This Row],[X]]</f>
        <v>7.1999999999999993</v>
      </c>
      <c r="D8" s="18">
        <f>Results14[Ymean]-Input13[[#This Row],[Y]]</f>
        <v>5.1999999999999993</v>
      </c>
      <c r="E8" s="18">
        <f>Input13[[#This Row],[Xi - Xmean]]*Input13[[#This Row],[Yi - Ymean]]</f>
        <v>37.439999999999991</v>
      </c>
      <c r="F8" s="23">
        <f>Input13[[#This Row],[Xi - Xmean]]^2</f>
        <v>51.839999999999989</v>
      </c>
      <c r="G8" s="23">
        <f>Input13[[#This Row],[Yi - Ymean]]^2</f>
        <v>27.039999999999992</v>
      </c>
      <c r="H8" s="23">
        <f>H7+1</f>
        <v>3</v>
      </c>
      <c r="I8" s="23">
        <f>AVERAGE(Input13[X])</f>
        <v>10.199999999999999</v>
      </c>
      <c r="J8" s="23">
        <f>AVERAGE(Input13[Y])</f>
        <v>11.2</v>
      </c>
      <c r="N8" s="123" t="s">
        <v>112</v>
      </c>
      <c r="O8" s="126">
        <v>11.2</v>
      </c>
      <c r="P8" s="126">
        <v>11.2</v>
      </c>
      <c r="Q8" s="126">
        <v>11.2</v>
      </c>
      <c r="R8" s="126">
        <v>11.2</v>
      </c>
      <c r="S8" s="126">
        <v>11.2</v>
      </c>
      <c r="T8" s="126">
        <v>56</v>
      </c>
    </row>
    <row r="9" spans="1:20">
      <c r="A9" s="111">
        <v>13</v>
      </c>
      <c r="B9" s="111">
        <v>15</v>
      </c>
      <c r="C9" s="18">
        <f>Results14[Xmean]-Input13[[#This Row],[X]]</f>
        <v>-2.8000000000000007</v>
      </c>
      <c r="D9" s="18">
        <f>Results14[Ymean]-Input13[[#This Row],[Y]]</f>
        <v>-3.8000000000000007</v>
      </c>
      <c r="E9" s="18">
        <f>Input13[[#This Row],[Xi - Xmean]]*Input13[[#This Row],[Yi - Ymean]]</f>
        <v>10.640000000000004</v>
      </c>
      <c r="F9" s="23">
        <f>Input13[[#This Row],[Xi - Xmean]]^2</f>
        <v>7.8400000000000043</v>
      </c>
      <c r="G9" s="23">
        <f>Input13[[#This Row],[Yi - Ymean]]^2</f>
        <v>14.440000000000005</v>
      </c>
      <c r="H9" s="23">
        <f>H8+1</f>
        <v>4</v>
      </c>
      <c r="I9" s="23">
        <f>AVERAGE(Input13[X])</f>
        <v>10.199999999999999</v>
      </c>
      <c r="J9" s="23">
        <f>AVERAGE(Input13[Y])</f>
        <v>11.2</v>
      </c>
      <c r="N9" s="123" t="s">
        <v>113</v>
      </c>
      <c r="O9" s="126">
        <v>0.19999999999999929</v>
      </c>
      <c r="P9" s="126">
        <v>-0.80000000000000071</v>
      </c>
      <c r="Q9" s="126">
        <v>7.1999999999999993</v>
      </c>
      <c r="R9" s="126">
        <v>-2.8000000000000007</v>
      </c>
      <c r="S9" s="126">
        <v>-3.8000000000000007</v>
      </c>
      <c r="T9" s="141">
        <v>-3.5527136788005009E-15</v>
      </c>
    </row>
    <row r="10" spans="1:20">
      <c r="A10" s="111">
        <v>14</v>
      </c>
      <c r="B10" s="111">
        <v>18</v>
      </c>
      <c r="C10" s="18">
        <f>Results14[Xmean]-Input13[[#This Row],[X]]</f>
        <v>-3.8000000000000007</v>
      </c>
      <c r="D10" s="18">
        <f>Results14[Ymean]-Input13[[#This Row],[Y]]</f>
        <v>-6.8000000000000007</v>
      </c>
      <c r="E10" s="18">
        <f>Input13[[#This Row],[Xi - Xmean]]*Input13[[#This Row],[Yi - Ymean]]</f>
        <v>25.840000000000007</v>
      </c>
      <c r="F10" s="23">
        <f>Input13[[#This Row],[Xi - Xmean]]^2</f>
        <v>14.440000000000005</v>
      </c>
      <c r="G10" s="23">
        <f>Input13[[#This Row],[Yi - Ymean]]^2</f>
        <v>46.240000000000009</v>
      </c>
      <c r="H10" s="23">
        <f>H9+1</f>
        <v>5</v>
      </c>
      <c r="I10" s="23">
        <f>AVERAGE(Input13[X])</f>
        <v>10.199999999999999</v>
      </c>
      <c r="J10" s="23">
        <f>AVERAGE(Input13[Y])</f>
        <v>11.2</v>
      </c>
      <c r="N10" s="123" t="s">
        <v>114</v>
      </c>
      <c r="O10" s="126">
        <v>3.1999999999999993</v>
      </c>
      <c r="P10" s="126">
        <v>2.1999999999999993</v>
      </c>
      <c r="Q10" s="126">
        <v>5.1999999999999993</v>
      </c>
      <c r="R10" s="126">
        <v>-3.8000000000000007</v>
      </c>
      <c r="S10" s="126">
        <v>-6.8000000000000007</v>
      </c>
      <c r="T10" s="141">
        <v>-3.5527136788005009E-15</v>
      </c>
    </row>
    <row r="11" spans="1:20">
      <c r="N11" s="123" t="s">
        <v>115</v>
      </c>
      <c r="O11" s="126">
        <v>3.9999999999999716E-2</v>
      </c>
      <c r="P11" s="126">
        <v>0.64000000000000112</v>
      </c>
      <c r="Q11" s="126">
        <v>51.839999999999989</v>
      </c>
      <c r="R11" s="126">
        <v>7.8400000000000043</v>
      </c>
      <c r="S11" s="126">
        <v>14.440000000000005</v>
      </c>
      <c r="T11" s="139">
        <v>74.8</v>
      </c>
    </row>
    <row r="12" spans="1:20">
      <c r="N12" s="123" t="s">
        <v>116</v>
      </c>
      <c r="O12" s="126">
        <v>10.239999999999995</v>
      </c>
      <c r="P12" s="126">
        <v>4.8399999999999972</v>
      </c>
      <c r="Q12" s="126">
        <v>27.039999999999992</v>
      </c>
      <c r="R12" s="126">
        <v>14.440000000000005</v>
      </c>
      <c r="S12" s="126">
        <v>46.240000000000009</v>
      </c>
      <c r="T12" s="140">
        <v>102.8</v>
      </c>
    </row>
    <row r="13" spans="1:20">
      <c r="N13" s="123" t="s">
        <v>117</v>
      </c>
      <c r="O13" s="126">
        <v>0.63999999999999757</v>
      </c>
      <c r="P13" s="126">
        <v>-1.7600000000000009</v>
      </c>
      <c r="Q13" s="126">
        <v>37.439999999999991</v>
      </c>
      <c r="R13" s="126">
        <v>10.640000000000004</v>
      </c>
      <c r="S13" s="126">
        <v>25.840000000000007</v>
      </c>
      <c r="T13" s="138">
        <v>72.8</v>
      </c>
    </row>
    <row r="15" spans="1:20">
      <c r="D15" s="151"/>
      <c r="H15" s="48" t="s">
        <v>245</v>
      </c>
    </row>
    <row r="19" spans="6:16">
      <c r="F19" t="s">
        <v>757</v>
      </c>
    </row>
    <row r="26" spans="6:16">
      <c r="N26" s="90" t="s">
        <v>255</v>
      </c>
      <c r="O26">
        <f>COUNT(Input13[X])</f>
        <v>5</v>
      </c>
    </row>
    <row r="27" spans="6:16">
      <c r="N27" s="90"/>
    </row>
    <row r="28" spans="6:16">
      <c r="N28" s="91" t="s">
        <v>256</v>
      </c>
      <c r="O28" s="92" t="str">
        <f>"1/"&amp;O26-1&amp;" * "&amp;T13</f>
        <v>1/4 * 72.8</v>
      </c>
      <c r="P28" s="80" t="str">
        <f>"="&amp;G2</f>
        <v>=18.2</v>
      </c>
    </row>
    <row r="29" spans="6:16">
      <c r="N29" s="91"/>
      <c r="P29" s="80"/>
    </row>
    <row r="31" spans="6:16">
      <c r="N31" s="90" t="s">
        <v>257</v>
      </c>
      <c r="O31" t="str">
        <f>"sqrt(1/"&amp;O26-1&amp;" * "&amp;T11&amp;")"</f>
        <v>sqrt(1/4 * 74.8)</v>
      </c>
    </row>
    <row r="32" spans="6:16">
      <c r="N32" s="90" t="s">
        <v>197</v>
      </c>
      <c r="O32">
        <f>E2</f>
        <v>4.3243496620879291</v>
      </c>
    </row>
    <row r="34" spans="14:15">
      <c r="N34" s="90" t="s">
        <v>258</v>
      </c>
      <c r="O34" t="str">
        <f>"sqrt(1/"&amp;O26-1&amp;" * "&amp;T12&amp;")"</f>
        <v>sqrt(1/4 * 102.8)</v>
      </c>
    </row>
    <row r="35" spans="14:15">
      <c r="N35" s="90" t="s">
        <v>197</v>
      </c>
      <c r="O35">
        <f>F2</f>
        <v>5.0695167422546294</v>
      </c>
    </row>
    <row r="37" spans="14:15">
      <c r="N37" s="90" t="s">
        <v>259</v>
      </c>
      <c r="O37">
        <f>H2</f>
        <v>0.83020247363862398</v>
      </c>
    </row>
  </sheetData>
  <pageMargins left="0.7" right="0.7" top="0.75" bottom="0.75" header="0.3" footer="0.3"/>
  <pageSetup orientation="portrait" horizontalDpi="4294967293" verticalDpi="0" r:id="rId2"/>
  <drawing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E73"/>
  <sheetViews>
    <sheetView showGridLines="0" topLeftCell="A36" zoomScale="80" zoomScaleNormal="80" workbookViewId="0">
      <selection activeCell="C9" sqref="C9"/>
    </sheetView>
  </sheetViews>
  <sheetFormatPr defaultColWidth="8.85546875" defaultRowHeight="15"/>
  <cols>
    <col min="1" max="1" width="31" customWidth="1"/>
    <col min="2" max="2" width="28.85546875" bestFit="1" customWidth="1"/>
    <col min="3" max="3" width="14.5703125" bestFit="1" customWidth="1"/>
    <col min="4" max="5" width="11.7109375" bestFit="1" customWidth="1"/>
    <col min="7" max="7" width="33.85546875" bestFit="1" customWidth="1"/>
    <col min="8" max="8" width="8.5703125" bestFit="1" customWidth="1"/>
    <col min="9" max="9" width="7.28515625" bestFit="1" customWidth="1"/>
    <col min="10" max="11" width="7.5703125" bestFit="1" customWidth="1"/>
    <col min="12" max="12" width="8.5703125" bestFit="1" customWidth="1"/>
    <col min="13" max="17" width="7.28515625" bestFit="1" customWidth="1"/>
    <col min="18" max="20" width="4.5703125" customWidth="1"/>
    <col min="21" max="21" width="24.85546875" bestFit="1" customWidth="1"/>
  </cols>
  <sheetData>
    <row r="1" spans="1:31" s="123" customFormat="1">
      <c r="A1" s="237" t="s">
        <v>410</v>
      </c>
      <c r="B1" s="237"/>
      <c r="C1" s="237"/>
      <c r="G1" s="123" t="s">
        <v>409</v>
      </c>
      <c r="H1" s="123" t="s">
        <v>407</v>
      </c>
    </row>
    <row r="2" spans="1:31" s="123" customFormat="1">
      <c r="A2" s="238" t="s">
        <v>421</v>
      </c>
      <c r="B2" s="122" t="s">
        <v>405</v>
      </c>
      <c r="C2" s="117">
        <v>2.5</v>
      </c>
      <c r="G2" s="128">
        <f>COUNTA(InputTableDistances15[Variable1])</f>
        <v>10</v>
      </c>
      <c r="H2" s="128">
        <f>C2*C3</f>
        <v>2</v>
      </c>
    </row>
    <row r="3" spans="1:31" s="123" customFormat="1">
      <c r="A3" s="238"/>
      <c r="B3" s="122" t="s">
        <v>406</v>
      </c>
      <c r="C3" s="111">
        <v>0.8</v>
      </c>
    </row>
    <row r="4" spans="1:31" s="123" customFormat="1">
      <c r="G4" s="123" t="s">
        <v>420</v>
      </c>
      <c r="H4" s="123" t="s">
        <v>208</v>
      </c>
    </row>
    <row r="5" spans="1:31" s="123" customFormat="1">
      <c r="A5" s="239" t="s">
        <v>751</v>
      </c>
      <c r="B5" s="240" t="s">
        <v>412</v>
      </c>
      <c r="C5" s="241">
        <v>1</v>
      </c>
      <c r="G5" s="128">
        <v>1</v>
      </c>
      <c r="H5" s="128" t="s">
        <v>417</v>
      </c>
      <c r="U5" s="237" t="s">
        <v>423</v>
      </c>
      <c r="V5" s="237"/>
      <c r="W5" s="237"/>
      <c r="X5" s="237"/>
      <c r="Y5" s="237"/>
      <c r="Z5" s="237"/>
      <c r="AA5" s="237"/>
      <c r="AB5" s="237"/>
      <c r="AC5" s="237"/>
      <c r="AD5" s="237"/>
      <c r="AE5" s="237"/>
    </row>
    <row r="6" spans="1:31" s="123" customFormat="1">
      <c r="A6" s="239"/>
      <c r="B6" s="240"/>
      <c r="C6" s="241"/>
      <c r="G6" s="128">
        <v>2</v>
      </c>
      <c r="H6" s="128" t="s">
        <v>419</v>
      </c>
    </row>
    <row r="7" spans="1:31" s="123" customFormat="1">
      <c r="A7"/>
      <c r="B7"/>
      <c r="C7"/>
      <c r="G7" s="128">
        <v>3</v>
      </c>
      <c r="H7" s="128" t="s">
        <v>418</v>
      </c>
    </row>
    <row r="8" spans="1:31" s="123" customFormat="1">
      <c r="A8" s="161" t="s">
        <v>702</v>
      </c>
      <c r="B8" s="159" t="s">
        <v>703</v>
      </c>
      <c r="C8" s="160">
        <v>3</v>
      </c>
      <c r="G8" s="133">
        <v>4</v>
      </c>
      <c r="H8" s="133" t="s">
        <v>422</v>
      </c>
    </row>
    <row r="9" spans="1:31" s="123" customFormat="1">
      <c r="A9"/>
      <c r="B9"/>
      <c r="C9"/>
    </row>
    <row r="10" spans="1:31" s="123" customFormat="1">
      <c r="G10" s="237" t="str">
        <f>VLOOKUP($C$5,Norms90[],2,FALSE)</f>
        <v>Manhattan/L1 Norm/City Block</v>
      </c>
      <c r="H10" s="237"/>
      <c r="I10" s="237"/>
      <c r="J10" s="237"/>
      <c r="K10" s="237"/>
      <c r="L10" s="237"/>
      <c r="M10" s="237"/>
      <c r="N10" s="237"/>
      <c r="O10" s="237"/>
      <c r="P10" s="237"/>
      <c r="Q10" s="237"/>
      <c r="U10" s="237"/>
      <c r="V10" s="237"/>
      <c r="W10" s="237"/>
      <c r="X10" s="237"/>
      <c r="Y10" s="237"/>
      <c r="Z10" s="237"/>
      <c r="AA10" s="237"/>
      <c r="AB10" s="237"/>
      <c r="AC10" s="237"/>
      <c r="AD10" s="237"/>
      <c r="AE10" s="237"/>
    </row>
    <row r="11" spans="1:31" s="123" customFormat="1">
      <c r="A11" s="123" t="s">
        <v>82</v>
      </c>
      <c r="B11" s="123" t="s">
        <v>413</v>
      </c>
      <c r="C11" s="123" t="s">
        <v>414</v>
      </c>
      <c r="D11" s="123" t="s">
        <v>415</v>
      </c>
      <c r="E11" s="123" t="s">
        <v>416</v>
      </c>
      <c r="G11" s="123" t="s">
        <v>82</v>
      </c>
      <c r="H11" s="123" t="s">
        <v>83</v>
      </c>
      <c r="I11" s="123" t="s">
        <v>84</v>
      </c>
      <c r="J11" s="123" t="s">
        <v>85</v>
      </c>
      <c r="K11" s="123" t="s">
        <v>86</v>
      </c>
      <c r="L11" s="123" t="s">
        <v>220</v>
      </c>
      <c r="M11" s="123" t="s">
        <v>221</v>
      </c>
      <c r="N11" s="123" t="s">
        <v>400</v>
      </c>
      <c r="O11" s="123" t="s">
        <v>401</v>
      </c>
      <c r="P11" s="123" t="s">
        <v>402</v>
      </c>
      <c r="Q11" s="123" t="s">
        <v>403</v>
      </c>
      <c r="U11" s="123" t="s">
        <v>82</v>
      </c>
      <c r="V11" s="123" t="s">
        <v>83</v>
      </c>
      <c r="W11" s="123" t="s">
        <v>84</v>
      </c>
      <c r="X11" s="123" t="s">
        <v>85</v>
      </c>
      <c r="Y11" s="123" t="s">
        <v>86</v>
      </c>
      <c r="Z11" s="123" t="s">
        <v>220</v>
      </c>
      <c r="AA11" s="123" t="s">
        <v>221</v>
      </c>
      <c r="AB11" s="123" t="s">
        <v>400</v>
      </c>
      <c r="AC11" s="123" t="s">
        <v>401</v>
      </c>
      <c r="AD11" s="123" t="s">
        <v>402</v>
      </c>
      <c r="AE11" s="123" t="s">
        <v>403</v>
      </c>
    </row>
    <row r="12" spans="1:31" s="123" customFormat="1">
      <c r="A12" s="128">
        <v>1</v>
      </c>
      <c r="B12" s="111">
        <v>0</v>
      </c>
      <c r="C12" s="111">
        <v>2</v>
      </c>
      <c r="D12" s="111"/>
      <c r="E12" s="111"/>
      <c r="G12" s="128">
        <f>IFERROR(InputTableDistances15[[#This Row],[Point]],"")</f>
        <v>1</v>
      </c>
      <c r="H12" s="121">
        <f>IF(AND(DistanceTable[[#This Row],[Point]]&lt;=Cal_89[Applicable Points],VALUE(DistanceTable[[#Headers],[1]])&lt;=Cal_89[Applicable Points]),(ABS($B12-$B$12)^$C$5+ABS($C12-$C$12)^$C$5+ABS($D12-$D$12)^$C$5+ABS($E12-$E$12)^$C$5)^(1/$C$5),"NA")</f>
        <v>0</v>
      </c>
      <c r="I12" s="131">
        <f>IF(AND(DistanceTable[[#This Row],[Point]]&lt;=Cal_89[Applicable Points],VALUE(DistanceTable[[#Headers],[2]])&lt;=Cal_89[Applicable Points]),(ABS($B12-$B$13)^$C$5+ABS($C12-$C$13)^$C$5+ABS($D12-$D$13)^$C$5+ABS($E12-$E$13)^$C$5)^(1/$C$5),"NA")</f>
        <v>2</v>
      </c>
      <c r="J12" s="131">
        <f>IF(AND(DistanceTable[[#This Row],[Point]]&lt;=Cal_89[Applicable Points],VALUE(DistanceTable[[#Headers],[3]])&lt;=Cal_89[Applicable Points]),(ABS($B12-$B$14)^$C$5+ABS($C12-$C$14)^$C$5+ABS($D12-$D$14)^$C$5+ABS($E12-$E$14)^$C$5)^(1/$C$5),"NA")</f>
        <v>4</v>
      </c>
      <c r="K12" s="131">
        <f>IF(AND(DistanceTable[[#This Row],[Point]]&lt;=Cal_89[Applicable Points],VALUE(DistanceTable[[#Headers],[4]])&lt;=Cal_89[Applicable Points]),ABS($B12-$B$15)^$C$5+ABS($C12-$C$15)^$C$5+ABS($D12-$D$15)^$C$5+ABS($E12-$E$15)^$C$5,"NA")</f>
        <v>1</v>
      </c>
      <c r="L12" s="131">
        <f>IF(AND(DistanceTable[[#This Row],[Point]]&lt;=Cal_89[Applicable Points],VALUE(DistanceTable[[#Headers],[5]])&lt;=Cal_89[Applicable Points]),(ABS($B12-$B$16)^$C$5+ABS($C12-$C$16)^$C$5+ABS($D12-$D$16)^$C$5+ABS($E12-$E$16)^$C$5)^(1/$C$5),"NA")</f>
        <v>3</v>
      </c>
      <c r="M12" s="131">
        <f>IF(AND(DistanceTable[[#This Row],[Point]]&lt;=Cal_89[Applicable Points],VALUE(DistanceTable[[#Headers],[6]])&lt;=Cal_89[Applicable Points]),(ABS($B12-$B$17)^$C$5+ABS($C12-$C$17)^$C$5+ABS($D12-$D$17)^$C$5+ABS($E12-$E$17)^$C$5)^(1/$C$5),"NA")</f>
        <v>1</v>
      </c>
      <c r="N12" s="131">
        <f>IF(AND(DistanceTable[[#This Row],[Point]]&lt;=Cal_89[Applicable Points],VALUE(DistanceTable[[#Headers],[7]])&lt;=Cal_89[Applicable Points]),(ABS($B12-$B$18)^$C$5+ABS($C12-$C$18)^$C$5+ABS($D12-$D$18)^$C$5+ABS($E12-$E$18)^$C$5)^(1/$C$5),"NA")</f>
        <v>0</v>
      </c>
      <c r="O12" s="131">
        <f>IF(AND(DistanceTable[[#This Row],[Point]]&lt;=Cal_89[Applicable Points],VALUE(DistanceTable[[#Headers],[8]])&lt;=Cal_89[Applicable Points]),(ABS($B12-$B$19)^$C$5+ABS($C12-$C$19)^$C$5+ABS($D12-$D$19)^$C$5+ABS($E12-$E$19)^$C$5)^(1/$C$5),"NA")</f>
        <v>5</v>
      </c>
      <c r="P12" s="131">
        <f>IF(AND(DistanceTable[[#This Row],[Point]]&lt;=Cal_89[Applicable Points],VALUE(DistanceTable[[#Headers],[9]])&lt;=Cal_89[Applicable Points]),(ABS($B12-$B$20)^$C$5+ABS($C12-$C$20)^$C$5+ABS($D12-$D$20)^$C$5+ABS($E12-$E$20)^$C$5)^(1/$C$5),"NA")</f>
        <v>2</v>
      </c>
      <c r="Q12" s="131">
        <f>IF(AND(DistanceTable[[#This Row],[Point]]&lt;=Cal_89[Applicable Points],VALUE(DistanceTable[[#Headers],[10]])&lt;=Cal_89[Applicable Points]),(ABS($B12-$B$21)^$C$5+ABS($C12-$C$21)^$C$5+ABS($D12-$D$21)^$C$5+ABS($E12-$E$21)^$C$5)^(1/$C$5),"NA")</f>
        <v>2</v>
      </c>
      <c r="U12" s="128">
        <f>InputTableDistances15[[#This Row],[Point]]</f>
        <v>1</v>
      </c>
      <c r="V12" s="121">
        <f>IF(AND(Table1723558378[[#This Row],[Point]]&lt;=Cal_89[Applicable Points],VALUE(DistanceTable[[#Headers],[1]])&lt;=Cal_89[Applicable Points]),MAX(ABS($B12-$B$12),ABS($C12-$C$12),ABS($D12-$D$12),ABS($E12-$E$12)),"")</f>
        <v>0</v>
      </c>
      <c r="W12" s="131">
        <f>IF(AND(Table1723558378[[#This Row],[Point]]&lt;=Cal_89[Applicable Points],VALUE(DistanceTable[[#Headers],[2]])&lt;=Cal_89[Applicable Points]),MAX(ABS($B12-$B$13),ABS($C12-$C$13),ABS($D12-$D$13),ABS($E12-$E$13)),"")</f>
        <v>1</v>
      </c>
      <c r="X12" s="131">
        <f>IF(AND(Table1723558378[[#This Row],[Point]]&lt;=Cal_89[Applicable Points],VALUE(DistanceTable[[#Headers],[3]])&lt;=Cal_89[Applicable Points]),MAX(ABS($B12-$B$14),ABS($C12-$C$14),ABS($D12-$D$14),ABS($E12-$E$14)),"")</f>
        <v>3</v>
      </c>
      <c r="Y12" s="131">
        <f>IF(AND(Table1723558378[[#This Row],[Point]]&lt;=Cal_89[Applicable Points],VALUE(DistanceTable[[#Headers],[4]])&lt;=Cal_89[Applicable Points]),MAX(ABS($B12-$B$15),ABS($C12-$C$15),ABS($D12-$D$15),ABS($E12-$E$15)),"")</f>
        <v>1</v>
      </c>
      <c r="Z12" s="131">
        <f>IF(AND(Table1723558378[[#This Row],[Point]]&lt;=Cal_89[Applicable Points],VALUE(DistanceTable[[#Headers],[5]])&lt;=Cal_89[Applicable Points]),MAX(ABS($B12-$B$16),ABS($C12-$C$16),ABS($D12-$D$16),ABS($E12-$E$16)),"")</f>
        <v>2</v>
      </c>
      <c r="AA12" s="131">
        <f>IF(AND(Table1723558378[[#This Row],[Point]]&lt;=Cal_89[Applicable Points],VALUE(DistanceTable[[#Headers],[6]])&lt;=Cal_89[Applicable Points]),MAX(ABS($B12-$B$17),ABS($C12-$C$17),ABS($D12-$D$17),ABS($E12-$E$17)),"")</f>
        <v>1</v>
      </c>
      <c r="AB12" s="131">
        <f>IF(AND(Table1723558378[[#This Row],[Point]]&lt;=Cal_89[Applicable Points],VALUE(DistanceTable[[#Headers],[7]])&lt;=Cal_89[Applicable Points]),MAX(ABS($B12-$B$18),ABS($C12-$C$18),ABS($D12-$D$18),ABS($E12-$E$18)),"")</f>
        <v>0</v>
      </c>
      <c r="AC12" s="131">
        <f>IF(AND(Table1723558378[[#This Row],[Point]]&lt;=Cal_89[Applicable Points],VALUE(DistanceTable[[#Headers],[8]])&lt;=Cal_89[Applicable Points]),MAX(ABS($B12-$B$19),ABS($C12-$C$19),ABS($D12-$D$19),ABS($E12-$E$19)),"")</f>
        <v>3</v>
      </c>
      <c r="AD12" s="131">
        <f>IF(AND(Table1723558378[[#This Row],[Point]]&lt;=Cal_89[Applicable Points],VALUE(DistanceTable[[#Headers],[9]])&lt;=Cal_89[Applicable Points]),MAX(ABS($B12-$B$20),ABS($C12-$C$20),ABS($D12-$D$20),ABS($E12-$E$20)),"")</f>
        <v>2</v>
      </c>
      <c r="AE12" s="131">
        <f>IF(AND(Table1723558378[[#This Row],[Point]]&lt;=Cal_89[Applicable Points],VALUE(DistanceTable[[#Headers],[10]])&lt;=Cal_89[Applicable Points]),MAX(ABS($B12-$B$21),ABS($C12-$C$21),ABS($D12-$D$21),ABS($E12-$E$21)),"")</f>
        <v>2</v>
      </c>
    </row>
    <row r="13" spans="1:31" s="123" customFormat="1">
      <c r="A13" s="128">
        <f>A12+1</f>
        <v>2</v>
      </c>
      <c r="B13" s="111">
        <v>1</v>
      </c>
      <c r="C13" s="111">
        <v>1</v>
      </c>
      <c r="D13" s="111"/>
      <c r="E13" s="111"/>
      <c r="G13" s="128">
        <f>IFERROR(InputTableDistances15[[#This Row],[Point]],"")</f>
        <v>2</v>
      </c>
      <c r="H13" s="131">
        <f>IF(AND(DistanceTable[[#This Row],[Point]]&lt;=Cal_89[Applicable Points],VALUE(DistanceTable[[#Headers],[1]])&lt;=Cal_89[Applicable Points]),(ABS($B13-$B$12)^$C$5+ABS($C13-$C$12)^$C$5+ABS($D13-$D$12)^$C$5+ABS($E13-$E$12)^$C$5)^(1/$C$5),"NA")</f>
        <v>2</v>
      </c>
      <c r="I13" s="121">
        <f>IF(AND(DistanceTable[[#This Row],[Point]]&lt;=Cal_89[Applicable Points],VALUE(DistanceTable[[#Headers],[2]])&lt;=Cal_89[Applicable Points]),(ABS($B13-$B$13)^$C$5+ABS($C13-$C$13)^$C$5+ABS($D13-$D$13)^$C$5+ABS($E13-$E$13)^$C$5)^(1/$C$5),"NA")</f>
        <v>0</v>
      </c>
      <c r="J13" s="131">
        <f>IF(AND(DistanceTable[[#This Row],[Point]]&lt;=Cal_89[Applicable Points],VALUE(DistanceTable[[#Headers],[3]])&lt;=Cal_89[Applicable Points]),(ABS($B13-$B$14)^$C$5+ABS($C13-$C$14)^$C$5+ABS($D13-$D$14)^$C$5+ABS($E13-$E$14)^$C$5)^(1/$C$5),"NA")</f>
        <v>4</v>
      </c>
      <c r="K13" s="131">
        <f>IF(AND(DistanceTable[[#This Row],[Point]]&lt;=Cal_89[Applicable Points],VALUE(DistanceTable[[#Headers],[4]])&lt;=Cal_89[Applicable Points]),ABS($B13-$B$15)^$C$5+ABS($C13-$C$15)^$C$5+ABS($D13-$D$15)^$C$5+ABS($E13-$E$15)^$C$5,"NA")</f>
        <v>1</v>
      </c>
      <c r="L13" s="131">
        <f>IF(AND(DistanceTable[[#This Row],[Point]]&lt;=Cal_89[Applicable Points],VALUE(DistanceTable[[#Headers],[5]])&lt;=Cal_89[Applicable Points]),(ABS($B13-$B$16)^$C$5+ABS($C13-$C$16)^$C$5+ABS($D13-$D$16)^$C$5+ABS($E13-$E$16)^$C$5)^(1/$C$5),"NA")</f>
        <v>1</v>
      </c>
      <c r="M13" s="131">
        <f>IF(AND(DistanceTable[[#This Row],[Point]]&lt;=Cal_89[Applicable Points],VALUE(DistanceTable[[#Headers],[6]])&lt;=Cal_89[Applicable Points]),(ABS($B13-$B$17)^$C$5+ABS($C13-$C$17)^$C$5+ABS($D13-$D$17)^$C$5+ABS($E13-$E$17)^$C$5)^(1/$C$5),"NA")</f>
        <v>1</v>
      </c>
      <c r="N13" s="131">
        <f>IF(AND(DistanceTable[[#This Row],[Point]]&lt;=Cal_89[Applicable Points],VALUE(DistanceTable[[#Headers],[7]])&lt;=Cal_89[Applicable Points]),(ABS($B13-$B$18)^$C$5+ABS($C13-$C$18)^$C$5+ABS($D13-$D$18)^$C$5+ABS($E13-$E$18)^$C$5)^(1/$C$5),"NA")</f>
        <v>2</v>
      </c>
      <c r="O13" s="131">
        <f>IF(AND(DistanceTable[[#This Row],[Point]]&lt;=Cal_89[Applicable Points],VALUE(DistanceTable[[#Headers],[8]])&lt;=Cal_89[Applicable Points]),(ABS($B13-$B$19)^$C$5+ABS($C13-$C$19)^$C$5+ABS($D13-$D$19)^$C$5+ABS($E13-$E$19)^$C$5)^(1/$C$5),"NA")</f>
        <v>5</v>
      </c>
      <c r="P13" s="131">
        <f>IF(AND(DistanceTable[[#This Row],[Point]]&lt;=Cal_89[Applicable Points],VALUE(DistanceTable[[#Headers],[9]])&lt;=Cal_89[Applicable Points]),(ABS($B13-$B$20)^$C$5+ABS($C13-$C$20)^$C$5+ABS($D13-$D$20)^$C$5+ABS($E13-$E$20)^$C$5)^(1/$C$5),"NA")</f>
        <v>2</v>
      </c>
      <c r="Q13" s="131">
        <f>IF(AND(DistanceTable[[#This Row],[Point]]&lt;=Cal_89[Applicable Points],VALUE(DistanceTable[[#Headers],[10]])&lt;=Cal_89[Applicable Points]),(ABS($B13-$B$21)^$C$5+ABS($C13-$C$21)^$C$5+ABS($D13-$D$21)^$C$5+ABS($E13-$E$21)^$C$5)^(1/$C$5),"NA")</f>
        <v>2</v>
      </c>
      <c r="U13" s="128">
        <f>InputTableDistances15[[#This Row],[Point]]</f>
        <v>2</v>
      </c>
      <c r="V13" s="131">
        <f>IF(AND(Table1723558378[[#This Row],[Point]]&lt;=Cal_89[Applicable Points],VALUE(DistanceTable[[#Headers],[1]])&lt;=Cal_89[Applicable Points]),MAX(ABS($B13-$B$12),ABS($C13-$C$12),ABS($D13-$D$12),ABS($E13-$E$12)),"")</f>
        <v>1</v>
      </c>
      <c r="W13" s="121">
        <f>IF(AND(Table1723558378[[#This Row],[Point]]&lt;=Cal_89[Applicable Points],VALUE(DistanceTable[[#Headers],[2]])&lt;=Cal_89[Applicable Points]),MAX(ABS($B13-$B$13),ABS($C13-$C$13),ABS($D13-$D$13),ABS($E13-$E$13)),"")</f>
        <v>0</v>
      </c>
      <c r="X13" s="131">
        <f>IF(AND(Table1723558378[[#This Row],[Point]]&lt;=Cal_89[Applicable Points],VALUE(DistanceTable[[#Headers],[3]])&lt;=Cal_89[Applicable Points]),MAX(ABS($B13-$B$14),ABS($C13-$C$14),ABS($D13-$D$14),ABS($E13-$E$14)),"")</f>
        <v>2</v>
      </c>
      <c r="Y13" s="131">
        <f>IF(AND(Table1723558378[[#This Row],[Point]]&lt;=Cal_89[Applicable Points],VALUE(DistanceTable[[#Headers],[4]])&lt;=Cal_89[Applicable Points]),MAX(ABS($B13-$B$15),ABS($C13-$C$15),ABS($D13-$D$15),ABS($E13-$E$15)),"")</f>
        <v>1</v>
      </c>
      <c r="Z13" s="131">
        <f>IF(AND(Table1723558378[[#This Row],[Point]]&lt;=Cal_89[Applicable Points],VALUE(DistanceTable[[#Headers],[5]])&lt;=Cal_89[Applicable Points]),MAX(ABS($B13-$B$16),ABS($C13-$C$16),ABS($D13-$D$16),ABS($E13-$E$16)),"")</f>
        <v>1</v>
      </c>
      <c r="AA13" s="131">
        <f>IF(AND(Table1723558378[[#This Row],[Point]]&lt;=Cal_89[Applicable Points],VALUE(DistanceTable[[#Headers],[6]])&lt;=Cal_89[Applicable Points]),MAX(ABS($B13-$B$17),ABS($C13-$C$17),ABS($D13-$D$17),ABS($E13-$E$17)),"")</f>
        <v>1</v>
      </c>
      <c r="AB13" s="131">
        <f>IF(AND(Table1723558378[[#This Row],[Point]]&lt;=Cal_89[Applicable Points],VALUE(DistanceTable[[#Headers],[7]])&lt;=Cal_89[Applicable Points]),MAX(ABS($B13-$B$18),ABS($C13-$C$18),ABS($D13-$D$18),ABS($E13-$E$18)),"")</f>
        <v>1</v>
      </c>
      <c r="AC13" s="131">
        <f>IF(AND(Table1723558378[[#This Row],[Point]]&lt;=Cal_89[Applicable Points],VALUE(DistanceTable[[#Headers],[8]])&lt;=Cal_89[Applicable Points]),MAX(ABS($B13-$B$19),ABS($C13-$C$19),ABS($D13-$D$19),ABS($E13-$E$19)),"")</f>
        <v>3</v>
      </c>
      <c r="AD13" s="131">
        <f>IF(AND(Table1723558378[[#This Row],[Point]]&lt;=Cal_89[Applicable Points],VALUE(DistanceTable[[#Headers],[9]])&lt;=Cal_89[Applicable Points]),MAX(ABS($B13-$B$20),ABS($C13-$C$20),ABS($D13-$D$20),ABS($E13-$E$20)),"")</f>
        <v>1</v>
      </c>
      <c r="AE13" s="131">
        <f>IF(AND(Table1723558378[[#This Row],[Point]]&lt;=Cal_89[Applicable Points],VALUE(DistanceTable[[#Headers],[10]])&lt;=Cal_89[Applicable Points]),MAX(ABS($B13-$B$21),ABS($C13-$C$21),ABS($D13-$D$21),ABS($E13-$E$21)),"")</f>
        <v>1</v>
      </c>
    </row>
    <row r="14" spans="1:31" s="123" customFormat="1">
      <c r="A14" s="128">
        <f t="shared" ref="A14:A21" si="0">A13+1</f>
        <v>3</v>
      </c>
      <c r="B14" s="111">
        <v>3</v>
      </c>
      <c r="C14" s="111">
        <v>3</v>
      </c>
      <c r="D14" s="111"/>
      <c r="E14" s="111"/>
      <c r="G14" s="128">
        <f>IFERROR(InputTableDistances15[[#This Row],[Point]],"")</f>
        <v>3</v>
      </c>
      <c r="H14" s="131">
        <f>IF(AND(DistanceTable[[#This Row],[Point]]&lt;=Cal_89[Applicable Points],VALUE(DistanceTable[[#Headers],[1]])&lt;=Cal_89[Applicable Points]),(ABS($B14-$B$12)^$C$5+ABS($C14-$C$12)^$C$5+ABS($D14-$D$12)^$C$5+ABS($E14-$E$12)^$C$5)^(1/$C$5),"NA")</f>
        <v>4</v>
      </c>
      <c r="I14" s="131">
        <f>IF(AND(DistanceTable[[#This Row],[Point]]&lt;=Cal_89[Applicable Points],VALUE(DistanceTable[[#Headers],[2]])&lt;=Cal_89[Applicable Points]),(ABS($B14-$B$13)^$C$5+ABS($C14-$C$13)^$C$5+ABS($D14-$D$13)^$C$5+ABS($E14-$E$13)^$C$5)^(1/$C$5),"NA")</f>
        <v>4</v>
      </c>
      <c r="J14" s="121">
        <f>IF(AND(DistanceTable[[#This Row],[Point]]&lt;=Cal_89[Applicable Points],VALUE(DistanceTable[[#Headers],[3]])&lt;=Cal_89[Applicable Points]),(ABS($B14-$B$14)^$C$5+ABS($C14-$C$14)^$C$5+ABS($D14-$D$14)^$C$5+ABS($E14-$E$14)^$C$5)^(1/$C$5),"NA")</f>
        <v>0</v>
      </c>
      <c r="K14" s="131">
        <f>IF(AND(DistanceTable[[#This Row],[Point]]&lt;=Cal_89[Applicable Points],VALUE(DistanceTable[[#Headers],[4]])&lt;=Cal_89[Applicable Points]),ABS($B14-$B$15)^$C$5+ABS($C14-$C$15)^$C$5+ABS($D14-$D$15)^$C$5+ABS($E14-$E$15)^$C$5,"NA")</f>
        <v>3</v>
      </c>
      <c r="L14" s="131">
        <f>IF(AND(DistanceTable[[#This Row],[Point]]&lt;=Cal_89[Applicable Points],VALUE(DistanceTable[[#Headers],[5]])&lt;=Cal_89[Applicable Points]),(ABS($B14-$B$16)^$C$5+ABS($C14-$C$16)^$C$5+ABS($D14-$D$16)^$C$5+ABS($E14-$E$16)^$C$5)^(1/$C$5),"NA")</f>
        <v>3</v>
      </c>
      <c r="M14" s="131">
        <f>IF(AND(DistanceTable[[#This Row],[Point]]&lt;=Cal_89[Applicable Points],VALUE(DistanceTable[[#Headers],[6]])&lt;=Cal_89[Applicable Points]),(ABS($B14-$B$17)^$C$5+ABS($C14-$C$17)^$C$5+ABS($D14-$D$17)^$C$5+ABS($E14-$E$17)^$C$5)^(1/$C$5),"NA")</f>
        <v>5</v>
      </c>
      <c r="N14" s="131">
        <f>IF(AND(DistanceTable[[#This Row],[Point]]&lt;=Cal_89[Applicable Points],VALUE(DistanceTable[[#Headers],[7]])&lt;=Cal_89[Applicable Points]),(ABS($B14-$B$18)^$C$5+ABS($C14-$C$18)^$C$5+ABS($D14-$D$18)^$C$5+ABS($E14-$E$18)^$C$5)^(1/$C$5),"NA")</f>
        <v>4</v>
      </c>
      <c r="O14" s="131">
        <f>IF(AND(DistanceTable[[#This Row],[Point]]&lt;=Cal_89[Applicable Points],VALUE(DistanceTable[[#Headers],[8]])&lt;=Cal_89[Applicable Points]),(ABS($B14-$B$19)^$C$5+ABS($C14-$C$19)^$C$5+ABS($D14-$D$19)^$C$5+ABS($E14-$E$19)^$C$5)^(1/$C$5),"NA")</f>
        <v>1</v>
      </c>
      <c r="P14" s="131">
        <f>IF(AND(DistanceTable[[#This Row],[Point]]&lt;=Cal_89[Applicable Points],VALUE(DistanceTable[[#Headers],[9]])&lt;=Cal_89[Applicable Points]),(ABS($B14-$B$20)^$C$5+ABS($C14-$C$20)^$C$5+ABS($D14-$D$20)^$C$5+ABS($E14-$E$20)^$C$5)^(1/$C$5),"NA")</f>
        <v>2</v>
      </c>
      <c r="Q14" s="131">
        <f>IF(AND(DistanceTable[[#This Row],[Point]]&lt;=Cal_89[Applicable Points],VALUE(DistanceTable[[#Headers],[10]])&lt;=Cal_89[Applicable Points]),(ABS($B14-$B$21)^$C$5+ABS($C14-$C$21)^$C$5+ABS($D14-$D$21)^$C$5+ABS($E14-$E$21)^$C$5)^(1/$C$5),"NA")</f>
        <v>6</v>
      </c>
      <c r="U14" s="128">
        <f>InputTableDistances15[[#This Row],[Point]]</f>
        <v>3</v>
      </c>
      <c r="V14" s="131">
        <f>IF(AND(Table1723558378[[#This Row],[Point]]&lt;=Cal_89[Applicable Points],VALUE(DistanceTable[[#Headers],[1]])&lt;=Cal_89[Applicable Points]),MAX(ABS($B14-$B$12),ABS($C14-$C$12),ABS($D14-$D$12),ABS($E14-$E$12)),"")</f>
        <v>3</v>
      </c>
      <c r="W14" s="131">
        <f>IF(AND(Table1723558378[[#This Row],[Point]]&lt;=Cal_89[Applicable Points],VALUE(DistanceTable[[#Headers],[2]])&lt;=Cal_89[Applicable Points]),MAX(ABS($B14-$B$13),ABS($C14-$C$13),ABS($D14-$D$13),ABS($E14-$E$13)),"")</f>
        <v>2</v>
      </c>
      <c r="X14" s="121">
        <f>IF(AND(Table1723558378[[#This Row],[Point]]&lt;=Cal_89[Applicable Points],VALUE(DistanceTable[[#Headers],[3]])&lt;=Cal_89[Applicable Points]),MAX(ABS($B14-$B$14),ABS($C14-$C$14),ABS($D14-$D$14),ABS($E14-$E$14)),"")</f>
        <v>0</v>
      </c>
      <c r="Y14" s="131">
        <f>IF(AND(Table1723558378[[#This Row],[Point]]&lt;=Cal_89[Applicable Points],VALUE(DistanceTable[[#Headers],[4]])&lt;=Cal_89[Applicable Points]),MAX(ABS($B14-$B$15),ABS($C14-$C$15),ABS($D14-$D$15),ABS($E14-$E$15)),"")</f>
        <v>2</v>
      </c>
      <c r="Z14" s="131">
        <f>IF(AND(Table1723558378[[#This Row],[Point]]&lt;=Cal_89[Applicable Points],VALUE(DistanceTable[[#Headers],[5]])&lt;=Cal_89[Applicable Points]),MAX(ABS($B14-$B$16),ABS($C14-$C$16),ABS($D14-$D$16),ABS($E14-$E$16)),"")</f>
        <v>2</v>
      </c>
      <c r="AA14" s="131">
        <f>IF(AND(Table1723558378[[#This Row],[Point]]&lt;=Cal_89[Applicable Points],VALUE(DistanceTable[[#Headers],[6]])&lt;=Cal_89[Applicable Points]),MAX(ABS($B14-$B$17),ABS($C14-$C$17),ABS($D14-$D$17),ABS($E14-$E$17)),"")</f>
        <v>3</v>
      </c>
      <c r="AB14" s="131">
        <f>IF(AND(Table1723558378[[#This Row],[Point]]&lt;=Cal_89[Applicable Points],VALUE(DistanceTable[[#Headers],[7]])&lt;=Cal_89[Applicable Points]),MAX(ABS($B14-$B$18),ABS($C14-$C$18),ABS($D14-$D$18),ABS($E14-$E$18)),"")</f>
        <v>3</v>
      </c>
      <c r="AC14" s="131">
        <f>IF(AND(Table1723558378[[#This Row],[Point]]&lt;=Cal_89[Applicable Points],VALUE(DistanceTable[[#Headers],[8]])&lt;=Cal_89[Applicable Points]),MAX(ABS($B14-$B$19),ABS($C14-$C$19),ABS($D14-$D$19),ABS($E14-$E$19)),"")</f>
        <v>1</v>
      </c>
      <c r="AD14" s="131">
        <f>IF(AND(Table1723558378[[#This Row],[Point]]&lt;=Cal_89[Applicable Points],VALUE(DistanceTable[[#Headers],[9]])&lt;=Cal_89[Applicable Points]),MAX(ABS($B14-$B$20),ABS($C14-$C$20),ABS($D14-$D$20),ABS($E14-$E$20)),"")</f>
        <v>1</v>
      </c>
      <c r="AE14" s="131">
        <f>IF(AND(Table1723558378[[#This Row],[Point]]&lt;=Cal_89[Applicable Points],VALUE(DistanceTable[[#Headers],[10]])&lt;=Cal_89[Applicable Points]),MAX(ABS($B14-$B$21),ABS($C14-$C$21),ABS($D14-$D$21),ABS($E14-$E$21)),"")</f>
        <v>3</v>
      </c>
    </row>
    <row r="15" spans="1:31" s="123" customFormat="1">
      <c r="A15" s="128">
        <f t="shared" si="0"/>
        <v>4</v>
      </c>
      <c r="B15" s="111">
        <v>1</v>
      </c>
      <c r="C15" s="111">
        <v>2</v>
      </c>
      <c r="D15" s="111"/>
      <c r="E15" s="111"/>
      <c r="G15" s="128">
        <f>IFERROR(InputTableDistances15[[#This Row],[Point]],"")</f>
        <v>4</v>
      </c>
      <c r="H15" s="131">
        <f>IF(AND(DistanceTable[[#This Row],[Point]]&lt;=Cal_89[Applicable Points],VALUE(DistanceTable[[#Headers],[1]])&lt;=Cal_89[Applicable Points]),(ABS($B15-$B$12)^$C$5+ABS($C15-$C$12)^$C$5+ABS($D15-$D$12)^$C$5+ABS($E15-$E$12)^$C$5)^(1/$C$5),"NA")</f>
        <v>1</v>
      </c>
      <c r="I15" s="131">
        <f>IF(AND(DistanceTable[[#This Row],[Point]]&lt;=Cal_89[Applicable Points],VALUE(DistanceTable[[#Headers],[2]])&lt;=Cal_89[Applicable Points]),(ABS($B15-$B$13)^$C$5+ABS($C15-$C$13)^$C$5+ABS($D15-$D$13)^$C$5+ABS($E15-$E$13)^$C$5)^(1/$C$5),"NA")</f>
        <v>1</v>
      </c>
      <c r="J15" s="131">
        <f>IF(AND(DistanceTable[[#This Row],[Point]]&lt;=Cal_89[Applicable Points],VALUE(DistanceTable[[#Headers],[3]])&lt;=Cal_89[Applicable Points]),(ABS($B15-$B$14)^$C$5+ABS($C15-$C$14)^$C$5+ABS($D15-$D$14)^$C$5+ABS($E15-$E$14)^$C$5)^(1/$C$5),"NA")</f>
        <v>3</v>
      </c>
      <c r="K15" s="121">
        <f>IF(AND(DistanceTable[[#This Row],[Point]]&lt;=Cal_89[Applicable Points],VALUE(DistanceTable[[#Headers],[4]])&lt;=Cal_89[Applicable Points]),ABS($B15-$B$15)^$C$5+ABS($C15-$C$15)^$C$5+ABS($D15-$D$15)^$C$5+ABS($E15-$E$15)^$C$5,"NA")</f>
        <v>0</v>
      </c>
      <c r="L15" s="131">
        <f>IF(AND(DistanceTable[[#This Row],[Point]]&lt;=Cal_89[Applicable Points],VALUE(DistanceTable[[#Headers],[5]])&lt;=Cal_89[Applicable Points]),(ABS($B15-$B$16)^$C$5+ABS($C15-$C$16)^$C$5+ABS($D15-$D$16)^$C$5+ABS($E15-$E$16)^$C$5)^(1/$C$5),"NA")</f>
        <v>2</v>
      </c>
      <c r="M15" s="131">
        <f>IF(AND(DistanceTable[[#This Row],[Point]]&lt;=Cal_89[Applicable Points],VALUE(DistanceTable[[#Headers],[6]])&lt;=Cal_89[Applicable Points]),(ABS($B15-$B$17)^$C$5+ABS($C15-$C$17)^$C$5+ABS($D15-$D$17)^$C$5+ABS($E15-$E$17)^$C$5)^(1/$C$5),"NA")</f>
        <v>2</v>
      </c>
      <c r="N15" s="131">
        <f>IF(AND(DistanceTable[[#This Row],[Point]]&lt;=Cal_89[Applicable Points],VALUE(DistanceTable[[#Headers],[7]])&lt;=Cal_89[Applicable Points]),(ABS($B15-$B$18)^$C$5+ABS($C15-$C$18)^$C$5+ABS($D15-$D$18)^$C$5+ABS($E15-$E$18)^$C$5)^(1/$C$5),"NA")</f>
        <v>1</v>
      </c>
      <c r="O15" s="131">
        <f>IF(AND(DistanceTable[[#This Row],[Point]]&lt;=Cal_89[Applicable Points],VALUE(DistanceTable[[#Headers],[8]])&lt;=Cal_89[Applicable Points]),(ABS($B15-$B$19)^$C$5+ABS($C15-$C$19)^$C$5+ABS($D15-$D$19)^$C$5+ABS($E15-$E$19)^$C$5)^(1/$C$5),"NA")</f>
        <v>4</v>
      </c>
      <c r="P15" s="131">
        <f>IF(AND(DistanceTable[[#This Row],[Point]]&lt;=Cal_89[Applicable Points],VALUE(DistanceTable[[#Headers],[9]])&lt;=Cal_89[Applicable Points]),(ABS($B15-$B$20)^$C$5+ABS($C15-$C$20)^$C$5+ABS($D15-$D$20)^$C$5+ABS($E15-$E$20)^$C$5)^(1/$C$5),"NA")</f>
        <v>1</v>
      </c>
      <c r="Q15" s="131">
        <f>IF(AND(DistanceTable[[#This Row],[Point]]&lt;=Cal_89[Applicable Points],VALUE(DistanceTable[[#Headers],[10]])&lt;=Cal_89[Applicable Points]),(ABS($B15-$B$21)^$C$5+ABS($C15-$C$21)^$C$5+ABS($D15-$D$21)^$C$5+ABS($E15-$E$21)^$C$5)^(1/$C$5),"NA")</f>
        <v>3</v>
      </c>
      <c r="U15" s="128">
        <f>InputTableDistances15[[#This Row],[Point]]</f>
        <v>4</v>
      </c>
      <c r="V15" s="131">
        <f>IF(AND(Table1723558378[[#This Row],[Point]]&lt;=Cal_89[Applicable Points],VALUE(DistanceTable[[#Headers],[1]])&lt;=Cal_89[Applicable Points]),MAX(ABS($B15-$B$12),ABS($C15-$C$12),ABS($D15-$D$12),ABS($E15-$E$12)),"")</f>
        <v>1</v>
      </c>
      <c r="W15" s="131">
        <f>IF(AND(Table1723558378[[#This Row],[Point]]&lt;=Cal_89[Applicable Points],VALUE(DistanceTable[[#Headers],[2]])&lt;=Cal_89[Applicable Points]),MAX(ABS($B15-$B$13),ABS($C15-$C$13),ABS($D15-$D$13),ABS($E15-$E$13)),"")</f>
        <v>1</v>
      </c>
      <c r="X15" s="131">
        <f>IF(AND(Table1723558378[[#This Row],[Point]]&lt;=Cal_89[Applicable Points],VALUE(DistanceTable[[#Headers],[3]])&lt;=Cal_89[Applicable Points]),MAX(ABS($B15-$B$14),ABS($C15-$C$14),ABS($D15-$D$14),ABS($E15-$E$14)),"")</f>
        <v>2</v>
      </c>
      <c r="Y15" s="121">
        <f>IF(AND(Table1723558378[[#This Row],[Point]]&lt;=Cal_89[Applicable Points],VALUE(DistanceTable[[#Headers],[4]])&lt;=Cal_89[Applicable Points]),MAX(ABS($B15-$B$15),ABS($C15-$C$15),ABS($D15-$D$15),ABS($E15-$E$15)),"")</f>
        <v>0</v>
      </c>
      <c r="Z15" s="131">
        <f>IF(AND(Table1723558378[[#This Row],[Point]]&lt;=Cal_89[Applicable Points],VALUE(DistanceTable[[#Headers],[5]])&lt;=Cal_89[Applicable Points]),MAX(ABS($B15-$B$16),ABS($C15-$C$16),ABS($D15-$D$16),ABS($E15-$E$16)),"")</f>
        <v>1</v>
      </c>
      <c r="AA15" s="131">
        <f>IF(AND(Table1723558378[[#This Row],[Point]]&lt;=Cal_89[Applicable Points],VALUE(DistanceTable[[#Headers],[6]])&lt;=Cal_89[Applicable Points]),MAX(ABS($B15-$B$17),ABS($C15-$C$17),ABS($D15-$D$17),ABS($E15-$E$17)),"")</f>
        <v>1</v>
      </c>
      <c r="AB15" s="131">
        <f>IF(AND(Table1723558378[[#This Row],[Point]]&lt;=Cal_89[Applicable Points],VALUE(DistanceTable[[#Headers],[7]])&lt;=Cal_89[Applicable Points]),MAX(ABS($B15-$B$18),ABS($C15-$C$18),ABS($D15-$D$18),ABS($E15-$E$18)),"")</f>
        <v>1</v>
      </c>
      <c r="AC15" s="131">
        <f>IF(AND(Table1723558378[[#This Row],[Point]]&lt;=Cal_89[Applicable Points],VALUE(DistanceTable[[#Headers],[8]])&lt;=Cal_89[Applicable Points]),MAX(ABS($B15-$B$19),ABS($C15-$C$19),ABS($D15-$D$19),ABS($E15-$E$19)),"")</f>
        <v>2</v>
      </c>
      <c r="AD15" s="131">
        <f>IF(AND(Table1723558378[[#This Row],[Point]]&lt;=Cal_89[Applicable Points],VALUE(DistanceTable[[#Headers],[9]])&lt;=Cal_89[Applicable Points]),MAX(ABS($B15-$B$20),ABS($C15-$C$20),ABS($D15-$D$20),ABS($E15-$E$20)),"")</f>
        <v>1</v>
      </c>
      <c r="AE15" s="131">
        <f>IF(AND(Table1723558378[[#This Row],[Point]]&lt;=Cal_89[Applicable Points],VALUE(DistanceTable[[#Headers],[10]])&lt;=Cal_89[Applicable Points]),MAX(ABS($B15-$B$21),ABS($C15-$C$21),ABS($D15-$D$21),ABS($E15-$E$21)),"")</f>
        <v>2</v>
      </c>
    </row>
    <row r="16" spans="1:31" s="123" customFormat="1">
      <c r="A16" s="128">
        <f t="shared" si="0"/>
        <v>5</v>
      </c>
      <c r="B16" s="111">
        <v>2</v>
      </c>
      <c r="C16" s="111">
        <v>1</v>
      </c>
      <c r="D16" s="111"/>
      <c r="E16" s="111"/>
      <c r="G16" s="129">
        <f>IFERROR(InputTableDistances15[[#This Row],[Point]],"")</f>
        <v>5</v>
      </c>
      <c r="H16" s="131">
        <f>IF(AND(DistanceTable[[#This Row],[Point]]&lt;=Cal_89[Applicable Points],VALUE(DistanceTable[[#Headers],[1]])&lt;=Cal_89[Applicable Points]),(ABS($B16-$B$12)^$C$5+ABS($C16-$C$12)^$C$5+ABS($D16-$D$12)^$C$5+ABS($E16-$E$12)^$C$5)^(1/$C$5),"NA")</f>
        <v>3</v>
      </c>
      <c r="I16" s="131">
        <f>IF(AND(DistanceTable[[#This Row],[Point]]&lt;=Cal_89[Applicable Points],VALUE(DistanceTable[[#Headers],[2]])&lt;=Cal_89[Applicable Points]),(ABS($B16-$B$13)^$C$5+ABS($C16-$C$13)^$C$5+ABS($D16-$D$13)^$C$5+ABS($E16-$E$13)^$C$5)^(1/$C$5),"NA")</f>
        <v>1</v>
      </c>
      <c r="J16" s="131">
        <f>IF(AND(DistanceTable[[#This Row],[Point]]&lt;=Cal_89[Applicable Points],VALUE(DistanceTable[[#Headers],[3]])&lt;=Cal_89[Applicable Points]),(ABS($B16-$B$14)^$C$5+ABS($C16-$C$14)^$C$5+ABS($D16-$D$14)^$C$5+ABS($E16-$E$14)^$C$5)^(1/$C$5),"NA")</f>
        <v>3</v>
      </c>
      <c r="K16" s="131">
        <f>IF(AND(DistanceTable[[#This Row],[Point]]&lt;=Cal_89[Applicable Points],VALUE(DistanceTable[[#Headers],[4]])&lt;=Cal_89[Applicable Points]),ABS($B16-$B$15)^$C$5+ABS($C16-$C$15)^$C$5+ABS($D16-$D$15)^$C$5+ABS($E16-$E$15)^$C$5,"NA")</f>
        <v>2</v>
      </c>
      <c r="L16" s="121">
        <f>IF(AND(DistanceTable[[#This Row],[Point]]&lt;=Cal_89[Applicable Points],VALUE(DistanceTable[[#Headers],[5]])&lt;=Cal_89[Applicable Points]),(ABS($B16-$B$16)^$C$5+ABS($C16-$C$16)^$C$5+ABS($D16-$D$16)^$C$5+ABS($E16-$E$16)^$C$5)^(1/$C$5),"NA")</f>
        <v>0</v>
      </c>
      <c r="M16" s="131">
        <f>IF(AND(DistanceTable[[#This Row],[Point]]&lt;=Cal_89[Applicable Points],VALUE(DistanceTable[[#Headers],[6]])&lt;=Cal_89[Applicable Points]),(ABS($B16-$B$17)^$C$5+ABS($C16-$C$17)^$C$5+ABS($D16-$D$17)^$C$5+ABS($E16-$E$17)^$C$5)^(1/$C$5),"NA")</f>
        <v>2</v>
      </c>
      <c r="N16" s="131">
        <f>IF(AND(DistanceTable[[#This Row],[Point]]&lt;=Cal_89[Applicable Points],VALUE(DistanceTable[[#Headers],[7]])&lt;=Cal_89[Applicable Points]),(ABS($B16-$B$18)^$C$5+ABS($C16-$C$18)^$C$5+ABS($D16-$D$18)^$C$5+ABS($E16-$E$18)^$C$5)^(1/$C$5),"NA")</f>
        <v>3</v>
      </c>
      <c r="O16" s="131">
        <f>IF(AND(DistanceTable[[#This Row],[Point]]&lt;=Cal_89[Applicable Points],VALUE(DistanceTable[[#Headers],[8]])&lt;=Cal_89[Applicable Points]),(ABS($B16-$B$19)^$C$5+ABS($C16-$C$19)^$C$5+ABS($D16-$D$19)^$C$5+ABS($E16-$E$19)^$C$5)^(1/$C$5),"NA")</f>
        <v>4</v>
      </c>
      <c r="P16" s="131">
        <f>IF(AND(DistanceTable[[#This Row],[Point]]&lt;=Cal_89[Applicable Points],VALUE(DistanceTable[[#Headers],[9]])&lt;=Cal_89[Applicable Points]),(ABS($B16-$B$20)^$C$5+ABS($C16-$C$20)^$C$5+ABS($D16-$D$20)^$C$5+ABS($E16-$E$20)^$C$5)^(1/$C$5),"NA")</f>
        <v>1</v>
      </c>
      <c r="Q16" s="131">
        <f>IF(AND(DistanceTable[[#This Row],[Point]]&lt;=Cal_89[Applicable Points],VALUE(DistanceTable[[#Headers],[10]])&lt;=Cal_89[Applicable Points]),(ABS($B16-$B$21)^$C$5+ABS($C16-$C$21)^$C$5+ABS($D16-$D$21)^$C$5+ABS($E16-$E$21)^$C$5)^(1/$C$5),"NA")</f>
        <v>3</v>
      </c>
      <c r="U16" s="129">
        <f>InputTableDistances15[[#This Row],[Point]]</f>
        <v>5</v>
      </c>
      <c r="V16" s="131">
        <f>IF(AND(Table1723558378[[#This Row],[Point]]&lt;=Cal_89[Applicable Points],VALUE(DistanceTable[[#Headers],[1]])&lt;=Cal_89[Applicable Points]),MAX(ABS($B16-$B$12),ABS($C16-$C$12),ABS($D16-$D$12),ABS($E16-$E$12)),"")</f>
        <v>2</v>
      </c>
      <c r="W16" s="131">
        <f>IF(AND(Table1723558378[[#This Row],[Point]]&lt;=Cal_89[Applicable Points],VALUE(DistanceTable[[#Headers],[2]])&lt;=Cal_89[Applicable Points]),MAX(ABS($B16-$B$13),ABS($C16-$C$13),ABS($D16-$D$13),ABS($E16-$E$13)),"")</f>
        <v>1</v>
      </c>
      <c r="X16" s="131">
        <f>IF(AND(Table1723558378[[#This Row],[Point]]&lt;=Cal_89[Applicable Points],VALUE(DistanceTable[[#Headers],[3]])&lt;=Cal_89[Applicable Points]),MAX(ABS($B16-$B$14),ABS($C16-$C$14),ABS($D16-$D$14),ABS($E16-$E$14)),"")</f>
        <v>2</v>
      </c>
      <c r="Y16" s="131">
        <f>IF(AND(Table1723558378[[#This Row],[Point]]&lt;=Cal_89[Applicable Points],VALUE(DistanceTable[[#Headers],[4]])&lt;=Cal_89[Applicable Points]),MAX(ABS($B16-$B$15),ABS($C16-$C$15),ABS($D16-$D$15),ABS($E16-$E$15)),"")</f>
        <v>1</v>
      </c>
      <c r="Z16" s="121">
        <f>IF(AND(Table1723558378[[#This Row],[Point]]&lt;=Cal_89[Applicable Points],VALUE(DistanceTable[[#Headers],[5]])&lt;=Cal_89[Applicable Points]),MAX(ABS($B16-$B$16),ABS($C16-$C$16),ABS($D16-$D$16),ABS($E16-$E$16)),"")</f>
        <v>0</v>
      </c>
      <c r="AA16" s="131">
        <f>IF(AND(Table1723558378[[#This Row],[Point]]&lt;=Cal_89[Applicable Points],VALUE(DistanceTable[[#Headers],[6]])&lt;=Cal_89[Applicable Points]),MAX(ABS($B16-$B$17),ABS($C16-$C$17),ABS($D16-$D$17),ABS($E16-$E$17)),"")</f>
        <v>2</v>
      </c>
      <c r="AB16" s="131">
        <f>IF(AND(Table1723558378[[#This Row],[Point]]&lt;=Cal_89[Applicable Points],VALUE(DistanceTable[[#Headers],[7]])&lt;=Cal_89[Applicable Points]),MAX(ABS($B16-$B$18),ABS($C16-$C$18),ABS($D16-$D$18),ABS($E16-$E$18)),"")</f>
        <v>2</v>
      </c>
      <c r="AC16" s="131">
        <f>IF(AND(Table1723558378[[#This Row],[Point]]&lt;=Cal_89[Applicable Points],VALUE(DistanceTable[[#Headers],[8]])&lt;=Cal_89[Applicable Points]),MAX(ABS($B16-$B$19),ABS($C16-$C$19),ABS($D16-$D$19),ABS($E16-$E$19)),"")</f>
        <v>3</v>
      </c>
      <c r="AD16" s="131">
        <f>IF(AND(Table1723558378[[#This Row],[Point]]&lt;=Cal_89[Applicable Points],VALUE(DistanceTable[[#Headers],[9]])&lt;=Cal_89[Applicable Points]),MAX(ABS($B16-$B$20),ABS($C16-$C$20),ABS($D16-$D$20),ABS($E16-$E$20)),"")</f>
        <v>1</v>
      </c>
      <c r="AE16" s="131">
        <f>IF(AND(Table1723558378[[#This Row],[Point]]&lt;=Cal_89[Applicable Points],VALUE(DistanceTable[[#Headers],[10]])&lt;=Cal_89[Applicable Points]),MAX(ABS($B16-$B$21),ABS($C16-$C$21),ABS($D16-$D$21),ABS($E16-$E$21)),"")</f>
        <v>2</v>
      </c>
    </row>
    <row r="17" spans="1:31" s="123" customFormat="1">
      <c r="A17" s="128">
        <f t="shared" si="0"/>
        <v>6</v>
      </c>
      <c r="B17" s="111">
        <v>0</v>
      </c>
      <c r="C17" s="111">
        <v>1</v>
      </c>
      <c r="D17" s="111"/>
      <c r="E17" s="111"/>
      <c r="G17" s="135">
        <f>IFERROR(InputTableDistances15[[#This Row],[Point]],"")</f>
        <v>6</v>
      </c>
      <c r="H17" s="131">
        <f>IF(AND(DistanceTable[[#This Row],[Point]]&lt;=Cal_89[Applicable Points],VALUE(DistanceTable[[#Headers],[1]])&lt;=Cal_89[Applicable Points]),(ABS($B17-$B$12)^$C$5+ABS($C17-$C$12)^$C$5+ABS($D17-$D$12)^$C$5+ABS($E17-$E$12)^$C$5)^(1/$C$5),"NA")</f>
        <v>1</v>
      </c>
      <c r="I17" s="131">
        <f>IF(AND(DistanceTable[[#This Row],[Point]]&lt;=Cal_89[Applicable Points],VALUE(DistanceTable[[#Headers],[2]])&lt;=Cal_89[Applicable Points]),(ABS($B17-$B$13)^$C$5+ABS($C17-$C$13)^$C$5+ABS($D17-$D$13)^$C$5+ABS($E17-$E$13)^$C$5)^(1/$C$5),"NA")</f>
        <v>1</v>
      </c>
      <c r="J17" s="131">
        <f>IF(AND(DistanceTable[[#This Row],[Point]]&lt;=Cal_89[Applicable Points],VALUE(DistanceTable[[#Headers],[3]])&lt;=Cal_89[Applicable Points]),(ABS($B17-$B$14)^$C$5+ABS($C17-$C$14)^$C$5+ABS($D17-$D$14)^$C$5+ABS($E17-$E$14)^$C$5)^(1/$C$5),"NA")</f>
        <v>5</v>
      </c>
      <c r="K17" s="131">
        <f>IF(AND(DistanceTable[[#This Row],[Point]]&lt;=Cal_89[Applicable Points],VALUE(DistanceTable[[#Headers],[4]])&lt;=Cal_89[Applicable Points]),ABS($B17-$B$15)^$C$5+ABS($C17-$C$15)^$C$5+ABS($D17-$D$15)^$C$5+ABS($E17-$E$15)^$C$5,"NA")</f>
        <v>2</v>
      </c>
      <c r="L17" s="131">
        <f>IF(AND(DistanceTable[[#This Row],[Point]]&lt;=Cal_89[Applicable Points],VALUE(DistanceTable[[#Headers],[5]])&lt;=Cal_89[Applicable Points]),(ABS($B17-$B$16)^$C$5+ABS($C17-$C$16)^$C$5+ABS($D17-$D$16)^$C$5+ABS($E17-$E$16)^$C$5)^(1/$C$5),"NA")</f>
        <v>2</v>
      </c>
      <c r="M17" s="121">
        <f>IF(AND(DistanceTable[[#This Row],[Point]]&lt;=Cal_89[Applicable Points],VALUE(DistanceTable[[#Headers],[6]])&lt;=Cal_89[Applicable Points]),(ABS($B17-$B$17)^$C$5+ABS($C17-$C$17)^$C$5+ABS($D17-$D$17)^$C$5+ABS($E17-$E$17)^$C$5)^(1/$C$5),"NA")</f>
        <v>0</v>
      </c>
      <c r="N17" s="131">
        <f>IF(AND(DistanceTable[[#This Row],[Point]]&lt;=Cal_89[Applicable Points],VALUE(DistanceTable[[#Headers],[7]])&lt;=Cal_89[Applicable Points]),(ABS($B17-$B$18)^$C$5+ABS($C17-$C$18)^$C$5+ABS($D17-$D$18)^$C$5+ABS($E17-$E$18)^$C$5)^(1/$C$5),"NA")</f>
        <v>1</v>
      </c>
      <c r="O17" s="131">
        <f>IF(AND(DistanceTable[[#This Row],[Point]]&lt;=Cal_89[Applicable Points],VALUE(DistanceTable[[#Headers],[8]])&lt;=Cal_89[Applicable Points]),(ABS($B17-$B$19)^$C$5+ABS($C17-$C$19)^$C$5+ABS($D17-$D$19)^$C$5+ABS($E17-$E$19)^$C$5)^(1/$C$5),"NA")</f>
        <v>6</v>
      </c>
      <c r="P17" s="131">
        <f>IF(AND(DistanceTable[[#This Row],[Point]]&lt;=Cal_89[Applicable Points],VALUE(DistanceTable[[#Headers],[9]])&lt;=Cal_89[Applicable Points]),(ABS($B17-$B$20)^$C$5+ABS($C17-$C$20)^$C$5+ABS($D17-$D$20)^$C$5+ABS($E17-$E$20)^$C$5)^(1/$C$5),"NA")</f>
        <v>3</v>
      </c>
      <c r="Q17" s="131">
        <f>IF(AND(DistanceTable[[#This Row],[Point]]&lt;=Cal_89[Applicable Points],VALUE(DistanceTable[[#Headers],[10]])&lt;=Cal_89[Applicable Points]),(ABS($B17-$B$21)^$C$5+ABS($C17-$C$21)^$C$5+ABS($D17-$D$21)^$C$5+ABS($E17-$E$21)^$C$5)^(1/$C$5),"NA")</f>
        <v>1</v>
      </c>
      <c r="U17" s="129">
        <f>InputTableDistances15[[#This Row],[Point]]</f>
        <v>6</v>
      </c>
      <c r="V17" s="131">
        <f>IF(AND(Table1723558378[[#This Row],[Point]]&lt;=Cal_89[Applicable Points],VALUE(DistanceTable[[#Headers],[1]])&lt;=Cal_89[Applicable Points]),MAX(ABS($B17-$B$12),ABS($C17-$C$12),ABS($D17-$D$12),ABS($E17-$E$12)),"")</f>
        <v>1</v>
      </c>
      <c r="W17" s="131">
        <f>IF(AND(Table1723558378[[#This Row],[Point]]&lt;=Cal_89[Applicable Points],VALUE(DistanceTable[[#Headers],[2]])&lt;=Cal_89[Applicable Points]),MAX(ABS($B17-$B$13),ABS($C17-$C$13),ABS($D17-$D$13),ABS($E17-$E$13)),"")</f>
        <v>1</v>
      </c>
      <c r="X17" s="131">
        <f>IF(AND(Table1723558378[[#This Row],[Point]]&lt;=Cal_89[Applicable Points],VALUE(DistanceTable[[#Headers],[3]])&lt;=Cal_89[Applicable Points]),MAX(ABS($B17-$B$14),ABS($C17-$C$14),ABS($D17-$D$14),ABS($E17-$E$14)),"")</f>
        <v>3</v>
      </c>
      <c r="Y17" s="131">
        <f>IF(AND(Table1723558378[[#This Row],[Point]]&lt;=Cal_89[Applicable Points],VALUE(DistanceTable[[#Headers],[4]])&lt;=Cal_89[Applicable Points]),MAX(ABS($B17-$B$15),ABS($C17-$C$15),ABS($D17-$D$15),ABS($E17-$E$15)),"")</f>
        <v>1</v>
      </c>
      <c r="Z17" s="131">
        <f>IF(AND(Table1723558378[[#This Row],[Point]]&lt;=Cal_89[Applicable Points],VALUE(DistanceTable[[#Headers],[5]])&lt;=Cal_89[Applicable Points]),MAX(ABS($B17-$B$16),ABS($C17-$C$16),ABS($D17-$D$16),ABS($E17-$E$16)),"")</f>
        <v>2</v>
      </c>
      <c r="AA17" s="121">
        <f>IF(AND(Table1723558378[[#This Row],[Point]]&lt;=Cal_89[Applicable Points],VALUE(DistanceTable[[#Headers],[6]])&lt;=Cal_89[Applicable Points]),MAX(ABS($B17-$B$17),ABS($C17-$C$17),ABS($D17-$D$17),ABS($E17-$E$17)),"")</f>
        <v>0</v>
      </c>
      <c r="AB17" s="131">
        <f>IF(AND(Table1723558378[[#This Row],[Point]]&lt;=Cal_89[Applicable Points],VALUE(DistanceTable[[#Headers],[7]])&lt;=Cal_89[Applicable Points]),MAX(ABS($B17-$B$18),ABS($C17-$C$18),ABS($D17-$D$18),ABS($E17-$E$18)),"")</f>
        <v>1</v>
      </c>
      <c r="AC17" s="131">
        <f>IF(AND(Table1723558378[[#This Row],[Point]]&lt;=Cal_89[Applicable Points],VALUE(DistanceTable[[#Headers],[8]])&lt;=Cal_89[Applicable Points]),MAX(ABS($B17-$B$19),ABS($C17-$C$19),ABS($D17-$D$19),ABS($E17-$E$19)),"")</f>
        <v>3</v>
      </c>
      <c r="AD17" s="131">
        <f>IF(AND(Table1723558378[[#This Row],[Point]]&lt;=Cal_89[Applicable Points],VALUE(DistanceTable[[#Headers],[9]])&lt;=Cal_89[Applicable Points]),MAX(ABS($B17-$B$20),ABS($C17-$C$20),ABS($D17-$D$20),ABS($E17-$E$20)),"")</f>
        <v>2</v>
      </c>
      <c r="AE17" s="131">
        <f>IF(AND(Table1723558378[[#This Row],[Point]]&lt;=Cal_89[Applicable Points],VALUE(DistanceTable[[#Headers],[10]])&lt;=Cal_89[Applicable Points]),MAX(ABS($B17-$B$21),ABS($C17-$C$21),ABS($D17-$D$21),ABS($E17-$E$21)),"")</f>
        <v>1</v>
      </c>
    </row>
    <row r="18" spans="1:31" s="123" customFormat="1">
      <c r="A18" s="128">
        <f t="shared" si="0"/>
        <v>7</v>
      </c>
      <c r="B18" s="111">
        <v>0</v>
      </c>
      <c r="C18" s="111">
        <v>2</v>
      </c>
      <c r="D18" s="111"/>
      <c r="E18" s="111"/>
      <c r="G18" s="116">
        <f>IFERROR(InputTableDistances15[[#This Row],[Point]],"")</f>
        <v>7</v>
      </c>
      <c r="H18" s="131">
        <f>IF(AND(DistanceTable[[#This Row],[Point]]&lt;=Cal_89[Applicable Points],VALUE(DistanceTable[[#Headers],[1]])&lt;=Cal_89[Applicable Points]),(ABS($B18-$B$12)^$C$5+ABS($C18-$C$12)^$C$5+ABS($D18-$D$12)^$C$5+ABS($E18-$E$12)^$C$5)^(1/$C$5),"NA")</f>
        <v>0</v>
      </c>
      <c r="I18" s="131">
        <f>IF(AND(DistanceTable[[#This Row],[Point]]&lt;=Cal_89[Applicable Points],VALUE(DistanceTable[[#Headers],[2]])&lt;=Cal_89[Applicable Points]),(ABS($B18-$B$13)^$C$5+ABS($C18-$C$13)^$C$5+ABS($D18-$D$13)^$C$5+ABS($E18-$E$13)^$C$5)^(1/$C$5),"NA")</f>
        <v>2</v>
      </c>
      <c r="J18" s="131">
        <f>IF(AND(DistanceTable[[#This Row],[Point]]&lt;=Cal_89[Applicable Points],VALUE(DistanceTable[[#Headers],[3]])&lt;=Cal_89[Applicable Points]),(ABS($B18-$B$14)^$C$5+ABS($C18-$C$14)^$C$5+ABS($D18-$D$14)^$C$5+ABS($E18-$E$14)^$C$5)^(1/$C$5),"NA")</f>
        <v>4</v>
      </c>
      <c r="K18" s="131">
        <f>IF(AND(DistanceTable[[#This Row],[Point]]&lt;=Cal_89[Applicable Points],VALUE(DistanceTable[[#Headers],[4]])&lt;=Cal_89[Applicable Points]),ABS($B18-$B$15)^$C$5+ABS($C18-$C$15)^$C$5+ABS($D18-$D$15)^$C$5+ABS($E18-$E$15)^$C$5,"NA")</f>
        <v>1</v>
      </c>
      <c r="L18" s="131">
        <f>IF(AND(DistanceTable[[#This Row],[Point]]&lt;=Cal_89[Applicable Points],VALUE(DistanceTable[[#Headers],[5]])&lt;=Cal_89[Applicable Points]),(ABS($B18-$B$16)^$C$5+ABS($C18-$C$16)^$C$5+ABS($D18-$D$16)^$C$5+ABS($E18-$E$16)^$C$5)^(1/$C$5),"NA")</f>
        <v>3</v>
      </c>
      <c r="M18" s="131">
        <f>IF(AND(DistanceTable[[#This Row],[Point]]&lt;=Cal_89[Applicable Points],VALUE(DistanceTable[[#Headers],[6]])&lt;=Cal_89[Applicable Points]),(ABS($B18-$B$17)^$C$5+ABS($C18-$C$17)^$C$5+ABS($D18-$D$17)^$C$5+ABS($E18-$E$17)^$C$5)^(1/$C$5),"NA")</f>
        <v>1</v>
      </c>
      <c r="N18" s="121">
        <f>IF(AND(DistanceTable[[#This Row],[Point]]&lt;=Cal_89[Applicable Points],VALUE(DistanceTable[[#Headers],[7]])&lt;=Cal_89[Applicable Points]),(ABS($B18-$B$18)^$C$5+ABS($C18-$C$18)^$C$5+ABS($D18-$D$18)^$C$5+ABS($E18-$E$18)^$C$5)^(1/$C$5),"NA")</f>
        <v>0</v>
      </c>
      <c r="O18" s="131">
        <f>IF(AND(DistanceTable[[#This Row],[Point]]&lt;=Cal_89[Applicable Points],VALUE(DistanceTable[[#Headers],[8]])&lt;=Cal_89[Applicable Points]),(ABS($B18-$B$19)^$C$5+ABS($C18-$C$19)^$C$5+ABS($D18-$D$19)^$C$5+ABS($E18-$E$19)^$C$5)^(1/$C$5),"NA")</f>
        <v>5</v>
      </c>
      <c r="P18" s="131">
        <f>IF(AND(DistanceTable[[#This Row],[Point]]&lt;=Cal_89[Applicable Points],VALUE(DistanceTable[[#Headers],[9]])&lt;=Cal_89[Applicable Points]),(ABS($B18-$B$20)^$C$5+ABS($C18-$C$20)^$C$5+ABS($D18-$D$20)^$C$5+ABS($E18-$E$20)^$C$5)^(1/$C$5),"NA")</f>
        <v>2</v>
      </c>
      <c r="Q18" s="131">
        <f>IF(AND(DistanceTable[[#This Row],[Point]]&lt;=Cal_89[Applicable Points],VALUE(DistanceTable[[#Headers],[10]])&lt;=Cal_89[Applicable Points]),(ABS($B18-$B$21)^$C$5+ABS($C18-$C$21)^$C$5+ABS($D18-$D$21)^$C$5+ABS($E18-$E$21)^$C$5)^(1/$C$5),"NA")</f>
        <v>2</v>
      </c>
      <c r="U18" s="129">
        <f>InputTableDistances15[[#This Row],[Point]]</f>
        <v>7</v>
      </c>
      <c r="V18" s="131">
        <f>IF(AND(Table1723558378[[#This Row],[Point]]&lt;=Cal_89[Applicable Points],VALUE(DistanceTable[[#Headers],[1]])&lt;=Cal_89[Applicable Points]),MAX(ABS($B18-$B$12),ABS($C18-$C$12),ABS($D18-$D$12),ABS($E18-$E$12)),"")</f>
        <v>0</v>
      </c>
      <c r="W18" s="131">
        <f>IF(AND(Table1723558378[[#This Row],[Point]]&lt;=Cal_89[Applicable Points],VALUE(DistanceTable[[#Headers],[2]])&lt;=Cal_89[Applicable Points]),MAX(ABS($B18-$B$13),ABS($C18-$C$13),ABS($D18-$D$13),ABS($E18-$E$13)),"")</f>
        <v>1</v>
      </c>
      <c r="X18" s="131">
        <f>IF(AND(Table1723558378[[#This Row],[Point]]&lt;=Cal_89[Applicable Points],VALUE(DistanceTable[[#Headers],[3]])&lt;=Cal_89[Applicable Points]),MAX(ABS($B18-$B$14),ABS($C18-$C$14),ABS($D18-$D$14),ABS($E18-$E$14)),"")</f>
        <v>3</v>
      </c>
      <c r="Y18" s="131">
        <f>IF(AND(Table1723558378[[#This Row],[Point]]&lt;=Cal_89[Applicable Points],VALUE(DistanceTable[[#Headers],[4]])&lt;=Cal_89[Applicable Points]),MAX(ABS($B18-$B$15),ABS($C18-$C$15),ABS($D18-$D$15),ABS($E18-$E$15)),"")</f>
        <v>1</v>
      </c>
      <c r="Z18" s="131">
        <f>IF(AND(Table1723558378[[#This Row],[Point]]&lt;=Cal_89[Applicable Points],VALUE(DistanceTable[[#Headers],[5]])&lt;=Cal_89[Applicable Points]),MAX(ABS($B18-$B$16),ABS($C18-$C$16),ABS($D18-$D$16),ABS($E18-$E$16)),"")</f>
        <v>2</v>
      </c>
      <c r="AA18" s="131">
        <f>IF(AND(Table1723558378[[#This Row],[Point]]&lt;=Cal_89[Applicable Points],VALUE(DistanceTable[[#Headers],[6]])&lt;=Cal_89[Applicable Points]),MAX(ABS($B18-$B$17),ABS($C18-$C$17),ABS($D18-$D$17),ABS($E18-$E$17)),"")</f>
        <v>1</v>
      </c>
      <c r="AB18" s="121">
        <f>IF(AND(Table1723558378[[#This Row],[Point]]&lt;=Cal_89[Applicable Points],VALUE(DistanceTable[[#Headers],[7]])&lt;=Cal_89[Applicable Points]),MAX(ABS($B18-$B$18),ABS($C18-$C$18),ABS($D18-$D$18),ABS($E18-$E$18)),"")</f>
        <v>0</v>
      </c>
      <c r="AC18" s="131">
        <f>IF(AND(Table1723558378[[#This Row],[Point]]&lt;=Cal_89[Applicable Points],VALUE(DistanceTable[[#Headers],[8]])&lt;=Cal_89[Applicable Points]),MAX(ABS($B18-$B$19),ABS($C18-$C$19),ABS($D18-$D$19),ABS($E18-$E$19)),"")</f>
        <v>3</v>
      </c>
      <c r="AD18" s="131">
        <f>IF(AND(Table1723558378[[#This Row],[Point]]&lt;=Cal_89[Applicable Points],VALUE(DistanceTable[[#Headers],[9]])&lt;=Cal_89[Applicable Points]),MAX(ABS($B18-$B$20),ABS($C18-$C$20),ABS($D18-$D$20),ABS($E18-$E$20)),"")</f>
        <v>2</v>
      </c>
      <c r="AE18" s="131">
        <f>IF(AND(Table1723558378[[#This Row],[Point]]&lt;=Cal_89[Applicable Points],VALUE(DistanceTable[[#Headers],[10]])&lt;=Cal_89[Applicable Points]),MAX(ABS($B18-$B$21),ABS($C18-$C$21),ABS($D18-$D$21),ABS($E18-$E$21)),"")</f>
        <v>2</v>
      </c>
    </row>
    <row r="19" spans="1:31" s="123" customFormat="1">
      <c r="A19" s="128">
        <f t="shared" si="0"/>
        <v>8</v>
      </c>
      <c r="B19" s="111">
        <v>3</v>
      </c>
      <c r="C19" s="111">
        <v>4</v>
      </c>
      <c r="D19" s="111"/>
      <c r="E19" s="111"/>
      <c r="G19" s="116">
        <f>IFERROR(InputTableDistances15[[#This Row],[Point]],"")</f>
        <v>8</v>
      </c>
      <c r="H19" s="131">
        <f>IF(AND(DistanceTable[[#This Row],[Point]]&lt;=Cal_89[Applicable Points],VALUE(DistanceTable[[#Headers],[1]])&lt;=Cal_89[Applicable Points]),(ABS($B19-$B$12)^$C$5+ABS($C19-$C$12)^$C$5+ABS($D19-$D$12)^$C$5+ABS($E19-$E$12)^$C$5)^(1/$C$5),"NA")</f>
        <v>5</v>
      </c>
      <c r="I19" s="131">
        <f>IF(AND(DistanceTable[[#This Row],[Point]]&lt;=Cal_89[Applicable Points],VALUE(DistanceTable[[#Headers],[2]])&lt;=Cal_89[Applicable Points]),(ABS($B19-$B$13)^$C$5+ABS($C19-$C$13)^$C$5+ABS($D19-$D$13)^$C$5+ABS($E19-$E$13)^$C$5)^(1/$C$5),"NA")</f>
        <v>5</v>
      </c>
      <c r="J19" s="131">
        <f>IF(AND(DistanceTable[[#This Row],[Point]]&lt;=Cal_89[Applicable Points],VALUE(DistanceTable[[#Headers],[3]])&lt;=Cal_89[Applicable Points]),(ABS($B19-$B$14)^$C$5+ABS($C19-$C$14)^$C$5+ABS($D19-$D$14)^$C$5+ABS($E19-$E$14)^$C$5)^(1/$C$5),"NA")</f>
        <v>1</v>
      </c>
      <c r="K19" s="131">
        <f>IF(AND(DistanceTable[[#This Row],[Point]]&lt;=Cal_89[Applicable Points],VALUE(DistanceTable[[#Headers],[4]])&lt;=Cal_89[Applicable Points]),ABS($B19-$B$15)^$C$5+ABS($C19-$C$15)^$C$5+ABS($D19-$D$15)^$C$5+ABS($E19-$E$15)^$C$5,"NA")</f>
        <v>4</v>
      </c>
      <c r="L19" s="131">
        <f>IF(AND(DistanceTable[[#This Row],[Point]]&lt;=Cal_89[Applicable Points],VALUE(DistanceTable[[#Headers],[5]])&lt;=Cal_89[Applicable Points]),(ABS($B19-$B$16)^$C$5+ABS($C19-$C$16)^$C$5+ABS($D19-$D$16)^$C$5+ABS($E19-$E$16)^$C$5)^(1/$C$5),"NA")</f>
        <v>4</v>
      </c>
      <c r="M19" s="131">
        <f>IF(AND(DistanceTable[[#This Row],[Point]]&lt;=Cal_89[Applicable Points],VALUE(DistanceTable[[#Headers],[6]])&lt;=Cal_89[Applicable Points]),(ABS($B19-$B$17)^$C$5+ABS($C19-$C$17)^$C$5+ABS($D19-$D$17)^$C$5+ABS($E19-$E$17)^$C$5)^(1/$C$5),"NA")</f>
        <v>6</v>
      </c>
      <c r="N19" s="131">
        <f>IF(AND(DistanceTable[[#This Row],[Point]]&lt;=Cal_89[Applicable Points],VALUE(DistanceTable[[#Headers],[7]])&lt;=Cal_89[Applicable Points]),(ABS($B19-$B$18)^$C$5+ABS($C19-$C$18)^$C$5+ABS($D19-$D$18)^$C$5+ABS($E19-$E$18)^$C$5)^(1/$C$5),"NA")</f>
        <v>5</v>
      </c>
      <c r="O19" s="121">
        <f>IF(AND(DistanceTable[[#This Row],[Point]]&lt;=Cal_89[Applicable Points],VALUE(DistanceTable[[#Headers],[8]])&lt;=Cal_89[Applicable Points]),(ABS($B19-$B$19)^$C$5+ABS($C19-$C$19)^$C$5+ABS($D19-$D$19)^$C$5+ABS($E19-$E$19)^$C$5)^(1/$C$5),"NA")</f>
        <v>0</v>
      </c>
      <c r="P19" s="131">
        <f>IF(AND(DistanceTable[[#This Row],[Point]]&lt;=Cal_89[Applicable Points],VALUE(DistanceTable[[#Headers],[9]])&lt;=Cal_89[Applicable Points]),(ABS($B19-$B$20)^$C$5+ABS($C19-$C$20)^$C$5+ABS($D19-$D$20)^$C$5+ABS($E19-$E$20)^$C$5)^(1/$C$5),"NA")</f>
        <v>3</v>
      </c>
      <c r="Q19" s="131">
        <f>IF(AND(DistanceTable[[#This Row],[Point]]&lt;=Cal_89[Applicable Points],VALUE(DistanceTable[[#Headers],[10]])&lt;=Cal_89[Applicable Points]),(ABS($B19-$B$21)^$C$5+ABS($C19-$C$21)^$C$5+ABS($D19-$D$21)^$C$5+ABS($E19-$E$21)^$C$5)^(1/$C$5),"NA")</f>
        <v>7</v>
      </c>
      <c r="U19" s="129">
        <f>InputTableDistances15[[#This Row],[Point]]</f>
        <v>8</v>
      </c>
      <c r="V19" s="131">
        <f>IF(AND(Table1723558378[[#This Row],[Point]]&lt;=Cal_89[Applicable Points],VALUE(DistanceTable[[#Headers],[1]])&lt;=Cal_89[Applicable Points]),MAX(ABS($B19-$B$12),ABS($C19-$C$12),ABS($D19-$D$12),ABS($E19-$E$12)),"")</f>
        <v>3</v>
      </c>
      <c r="W19" s="131">
        <f>IF(AND(Table1723558378[[#This Row],[Point]]&lt;=Cal_89[Applicable Points],VALUE(DistanceTable[[#Headers],[2]])&lt;=Cal_89[Applicable Points]),MAX(ABS($B19-$B$13),ABS($C19-$C$13),ABS($D19-$D$13),ABS($E19-$E$13)),"")</f>
        <v>3</v>
      </c>
      <c r="X19" s="131">
        <f>IF(AND(Table1723558378[[#This Row],[Point]]&lt;=Cal_89[Applicable Points],VALUE(DistanceTable[[#Headers],[3]])&lt;=Cal_89[Applicable Points]),MAX(ABS($B19-$B$14),ABS($C19-$C$14),ABS($D19-$D$14),ABS($E19-$E$14)),"")</f>
        <v>1</v>
      </c>
      <c r="Y19" s="131">
        <f>IF(AND(Table1723558378[[#This Row],[Point]]&lt;=Cal_89[Applicable Points],VALUE(DistanceTable[[#Headers],[4]])&lt;=Cal_89[Applicable Points]),MAX(ABS($B19-$B$15),ABS($C19-$C$15),ABS($D19-$D$15),ABS($E19-$E$15)),"")</f>
        <v>2</v>
      </c>
      <c r="Z19" s="131">
        <f>IF(AND(Table1723558378[[#This Row],[Point]]&lt;=Cal_89[Applicable Points],VALUE(DistanceTable[[#Headers],[5]])&lt;=Cal_89[Applicable Points]),MAX(ABS($B19-$B$16),ABS($C19-$C$16),ABS($D19-$D$16),ABS($E19-$E$16)),"")</f>
        <v>3</v>
      </c>
      <c r="AA19" s="131">
        <f>IF(AND(Table1723558378[[#This Row],[Point]]&lt;=Cal_89[Applicable Points],VALUE(DistanceTable[[#Headers],[6]])&lt;=Cal_89[Applicable Points]),MAX(ABS($B19-$B$17),ABS($C19-$C$17),ABS($D19-$D$17),ABS($E19-$E$17)),"")</f>
        <v>3</v>
      </c>
      <c r="AB19" s="131">
        <f>IF(AND(Table1723558378[[#This Row],[Point]]&lt;=Cal_89[Applicable Points],VALUE(DistanceTable[[#Headers],[7]])&lt;=Cal_89[Applicable Points]),MAX(ABS($B19-$B$18),ABS($C19-$C$18),ABS($D19-$D$18),ABS($E19-$E$18)),"")</f>
        <v>3</v>
      </c>
      <c r="AC19" s="121">
        <f>IF(AND(Table1723558378[[#This Row],[Point]]&lt;=Cal_89[Applicable Points],VALUE(DistanceTable[[#Headers],[8]])&lt;=Cal_89[Applicable Points]),MAX(ABS($B19-$B$19),ABS($C19-$C$19),ABS($D19-$D$19),ABS($E19-$E$19)),"")</f>
        <v>0</v>
      </c>
      <c r="AD19" s="131">
        <f>IF(AND(Table1723558378[[#This Row],[Point]]&lt;=Cal_89[Applicable Points],VALUE(DistanceTable[[#Headers],[9]])&lt;=Cal_89[Applicable Points]),MAX(ABS($B19-$B$20),ABS($C19-$C$20),ABS($D19-$D$20),ABS($E19-$E$20)),"")</f>
        <v>2</v>
      </c>
      <c r="AE19" s="131">
        <f>IF(AND(Table1723558378[[#This Row],[Point]]&lt;=Cal_89[Applicable Points],VALUE(DistanceTable[[#Headers],[10]])&lt;=Cal_89[Applicable Points]),MAX(ABS($B19-$B$21),ABS($C19-$C$21),ABS($D19-$D$21),ABS($E19-$E$21)),"")</f>
        <v>4</v>
      </c>
    </row>
    <row r="20" spans="1:31" s="123" customFormat="1">
      <c r="A20" s="128">
        <f t="shared" si="0"/>
        <v>9</v>
      </c>
      <c r="B20" s="111">
        <v>2</v>
      </c>
      <c r="C20" s="111">
        <v>2</v>
      </c>
      <c r="D20" s="111"/>
      <c r="E20" s="111"/>
      <c r="G20" s="116">
        <f>IFERROR(InputTableDistances15[[#This Row],[Point]],"")</f>
        <v>9</v>
      </c>
      <c r="H20" s="131">
        <f>IF(AND(DistanceTable[[#This Row],[Point]]&lt;=Cal_89[Applicable Points],VALUE(DistanceTable[[#Headers],[1]])&lt;=Cal_89[Applicable Points]),(ABS($B20-$B$12)^$C$5+ABS($C20-$C$12)^$C$5+ABS($D20-$D$12)^$C$5+ABS($E20-$E$12)^$C$5)^(1/$C$5),"NA")</f>
        <v>2</v>
      </c>
      <c r="I20" s="131">
        <f>IF(AND(DistanceTable[[#This Row],[Point]]&lt;=Cal_89[Applicable Points],VALUE(DistanceTable[[#Headers],[2]])&lt;=Cal_89[Applicable Points]),(ABS($B20-$B$13)^$C$5+ABS($C20-$C$13)^$C$5+ABS($D20-$D$13)^$C$5+ABS($E20-$E$13)^$C$5)^(1/$C$5),"NA")</f>
        <v>2</v>
      </c>
      <c r="J20" s="131">
        <f>IF(AND(DistanceTable[[#This Row],[Point]]&lt;=Cal_89[Applicable Points],VALUE(DistanceTable[[#Headers],[3]])&lt;=Cal_89[Applicable Points]),(ABS($B20-$B$14)^$C$5+ABS($C20-$C$14)^$C$5+ABS($D20-$D$14)^$C$5+ABS($E20-$E$14)^$C$5)^(1/$C$5),"NA")</f>
        <v>2</v>
      </c>
      <c r="K20" s="131">
        <f>IF(AND(DistanceTable[[#This Row],[Point]]&lt;=Cal_89[Applicable Points],VALUE(DistanceTable[[#Headers],[4]])&lt;=Cal_89[Applicable Points]),ABS($B20-$B$15)^$C$5+ABS($C20-$C$15)^$C$5+ABS($D20-$D$15)^$C$5+ABS($E20-$E$15)^$C$5,"NA")</f>
        <v>1</v>
      </c>
      <c r="L20" s="131">
        <f>IF(AND(DistanceTable[[#This Row],[Point]]&lt;=Cal_89[Applicable Points],VALUE(DistanceTable[[#Headers],[5]])&lt;=Cal_89[Applicable Points]),(ABS($B20-$B$16)^$C$5+ABS($C20-$C$16)^$C$5+ABS($D20-$D$16)^$C$5+ABS($E20-$E$16)^$C$5)^(1/$C$5),"NA")</f>
        <v>1</v>
      </c>
      <c r="M20" s="131">
        <f>IF(AND(DistanceTable[[#This Row],[Point]]&lt;=Cal_89[Applicable Points],VALUE(DistanceTable[[#Headers],[6]])&lt;=Cal_89[Applicable Points]),(ABS($B20-$B$17)^$C$5+ABS($C20-$C$17)^$C$5+ABS($D20-$D$17)^$C$5+ABS($E20-$E$17)^$C$5)^(1/$C$5),"NA")</f>
        <v>3</v>
      </c>
      <c r="N20" s="131">
        <f>IF(AND(DistanceTable[[#This Row],[Point]]&lt;=Cal_89[Applicable Points],VALUE(DistanceTable[[#Headers],[7]])&lt;=Cal_89[Applicable Points]),(ABS($B20-$B$18)^$C$5+ABS($C20-$C$18)^$C$5+ABS($D20-$D$18)^$C$5+ABS($E20-$E$18)^$C$5)^(1/$C$5),"NA")</f>
        <v>2</v>
      </c>
      <c r="O20" s="131">
        <f>IF(AND(DistanceTable[[#This Row],[Point]]&lt;=Cal_89[Applicable Points],VALUE(DistanceTable[[#Headers],[8]])&lt;=Cal_89[Applicable Points]),(ABS($B20-$B$19)^$C$5+ABS($C20-$C$19)^$C$5+ABS($D20-$D$19)^$C$5+ABS($E20-$E$19)^$C$5)^(1/$C$5),"NA")</f>
        <v>3</v>
      </c>
      <c r="P20" s="121">
        <f>IF(AND(DistanceTable[[#This Row],[Point]]&lt;=Cal_89[Applicable Points],VALUE(DistanceTable[[#Headers],[9]])&lt;=Cal_89[Applicable Points]),(ABS($B20-$B$20)^$C$5+ABS($C20-$C$20)^$C$5+ABS($D20-$D$20)^$C$5+ABS($E20-$E$20)^$C$5)^(1/$C$5),"NA")</f>
        <v>0</v>
      </c>
      <c r="Q20" s="131">
        <f>IF(AND(DistanceTable[[#This Row],[Point]]&lt;=Cal_89[Applicable Points],VALUE(DistanceTable[[#Headers],[10]])&lt;=Cal_89[Applicable Points]),(ABS($B20-$B$21)^$C$5+ABS($C20-$C$21)^$C$5+ABS($D20-$D$21)^$C$5+ABS($E20-$E$21)^$C$5)^(1/$C$5),"NA")</f>
        <v>4</v>
      </c>
      <c r="U20" s="129">
        <f>InputTableDistances15[[#This Row],[Point]]</f>
        <v>9</v>
      </c>
      <c r="V20" s="131">
        <f>IF(AND(Table1723558378[[#This Row],[Point]]&lt;=Cal_89[Applicable Points],VALUE(DistanceTable[[#Headers],[1]])&lt;=Cal_89[Applicable Points]),MAX(ABS($B20-$B$12),ABS($C20-$C$12),ABS($D20-$D$12),ABS($E20-$E$12)),"")</f>
        <v>2</v>
      </c>
      <c r="W20" s="131">
        <f>IF(AND(Table1723558378[[#This Row],[Point]]&lt;=Cal_89[Applicable Points],VALUE(DistanceTable[[#Headers],[2]])&lt;=Cal_89[Applicable Points]),MAX(ABS($B20-$B$13),ABS($C20-$C$13),ABS($D20-$D$13),ABS($E20-$E$13)),"")</f>
        <v>1</v>
      </c>
      <c r="X20" s="131">
        <f>IF(AND(Table1723558378[[#This Row],[Point]]&lt;=Cal_89[Applicable Points],VALUE(DistanceTable[[#Headers],[3]])&lt;=Cal_89[Applicable Points]),MAX(ABS($B20-$B$14),ABS($C20-$C$14),ABS($D20-$D$14),ABS($E20-$E$14)),"")</f>
        <v>1</v>
      </c>
      <c r="Y20" s="131">
        <f>IF(AND(Table1723558378[[#This Row],[Point]]&lt;=Cal_89[Applicable Points],VALUE(DistanceTable[[#Headers],[4]])&lt;=Cal_89[Applicable Points]),MAX(ABS($B20-$B$15),ABS($C20-$C$15),ABS($D20-$D$15),ABS($E20-$E$15)),"")</f>
        <v>1</v>
      </c>
      <c r="Z20" s="131">
        <f>IF(AND(Table1723558378[[#This Row],[Point]]&lt;=Cal_89[Applicable Points],VALUE(DistanceTable[[#Headers],[5]])&lt;=Cal_89[Applicable Points]),MAX(ABS($B20-$B$16),ABS($C20-$C$16),ABS($D20-$D$16),ABS($E20-$E$16)),"")</f>
        <v>1</v>
      </c>
      <c r="AA20" s="131">
        <f>IF(AND(Table1723558378[[#This Row],[Point]]&lt;=Cal_89[Applicable Points],VALUE(DistanceTable[[#Headers],[6]])&lt;=Cal_89[Applicable Points]),MAX(ABS($B20-$B$17),ABS($C20-$C$17),ABS($D20-$D$17),ABS($E20-$E$17)),"")</f>
        <v>2</v>
      </c>
      <c r="AB20" s="131">
        <f>IF(AND(Table1723558378[[#This Row],[Point]]&lt;=Cal_89[Applicable Points],VALUE(DistanceTable[[#Headers],[7]])&lt;=Cal_89[Applicable Points]),MAX(ABS($B20-$B$18),ABS($C20-$C$18),ABS($D20-$D$18),ABS($E20-$E$18)),"")</f>
        <v>2</v>
      </c>
      <c r="AC20" s="131">
        <f>IF(AND(Table1723558378[[#This Row],[Point]]&lt;=Cal_89[Applicable Points],VALUE(DistanceTable[[#Headers],[8]])&lt;=Cal_89[Applicable Points]),MAX(ABS($B20-$B$19),ABS($C20-$C$19),ABS($D20-$D$19),ABS($E20-$E$19)),"")</f>
        <v>2</v>
      </c>
      <c r="AD20" s="121">
        <f>IF(AND(Table1723558378[[#This Row],[Point]]&lt;=Cal_89[Applicable Points],VALUE(DistanceTable[[#Headers],[9]])&lt;=Cal_89[Applicable Points]),MAX(ABS($B20-$B$20),ABS($C20-$C$20),ABS($D20-$D$20),ABS($E20-$E$20)),"")</f>
        <v>0</v>
      </c>
      <c r="AE20" s="131">
        <f>IF(AND(Table1723558378[[#This Row],[Point]]&lt;=Cal_89[Applicable Points],VALUE(DistanceTable[[#Headers],[10]])&lt;=Cal_89[Applicable Points]),MAX(ABS($B20-$B$21),ABS($C20-$C$21),ABS($D20-$D$21),ABS($E20-$E$21)),"")</f>
        <v>2</v>
      </c>
    </row>
    <row r="21" spans="1:31" s="123" customFormat="1">
      <c r="A21" s="133">
        <f t="shared" si="0"/>
        <v>10</v>
      </c>
      <c r="B21" s="111">
        <v>0</v>
      </c>
      <c r="C21" s="111">
        <v>0</v>
      </c>
      <c r="D21" s="111"/>
      <c r="E21" s="111"/>
      <c r="G21" s="135">
        <f>IFERROR(InputTableDistances15[[#This Row],[Point]],"")</f>
        <v>10</v>
      </c>
      <c r="H21" s="131">
        <f>IF(AND(DistanceTable[[#This Row],[Point]]&lt;=Cal_89[Applicable Points],VALUE(DistanceTable[[#Headers],[1]])&lt;=Cal_89[Applicable Points]),(ABS($B21-$B$12)^$C$5+ABS($C21-$C$12)^$C$5+ABS($D21-$D$12)^$C$5+ABS($E21-$E$12)^$C$5)^(1/$C$5),"NA")</f>
        <v>2</v>
      </c>
      <c r="I21" s="131">
        <f>IF(AND(DistanceTable[[#This Row],[Point]]&lt;=Cal_89[Applicable Points],VALUE(DistanceTable[[#Headers],[2]])&lt;=Cal_89[Applicable Points]),(ABS($B21-$B$13)^$C$5+ABS($C21-$C$13)^$C$5+ABS($D21-$D$13)^$C$5+ABS($E21-$E$13)^$C$5)^(1/$C$5),"NA")</f>
        <v>2</v>
      </c>
      <c r="J21" s="131">
        <f>IF(AND(DistanceTable[[#This Row],[Point]]&lt;=Cal_89[Applicable Points],VALUE(DistanceTable[[#Headers],[3]])&lt;=Cal_89[Applicable Points]),(ABS($B21-$B$14)^$C$5+ABS($C21-$C$14)^$C$5+ABS($D21-$D$14)^$C$5+ABS($E21-$E$14)^$C$5)^(1/$C$5),"NA")</f>
        <v>6</v>
      </c>
      <c r="K21" s="131">
        <f>IF(AND(DistanceTable[[#This Row],[Point]]&lt;=Cal_89[Applicable Points],VALUE(DistanceTable[[#Headers],[4]])&lt;=Cal_89[Applicable Points]),ABS($B21-$B$15)^$C$5+ABS($C21-$C$15)^$C$5+ABS($D21-$D$15)^$C$5+ABS($E21-$E$15)^$C$5,"NA")</f>
        <v>3</v>
      </c>
      <c r="L21" s="131">
        <f>IF(AND(DistanceTable[[#This Row],[Point]]&lt;=Cal_89[Applicable Points],VALUE(DistanceTable[[#Headers],[5]])&lt;=Cal_89[Applicable Points]),(ABS($B21-$B$16)^$C$5+ABS($C21-$C$16)^$C$5+ABS($D21-$D$16)^$C$5+ABS($E21-$E$16)^$C$5)^(1/$C$5),"NA")</f>
        <v>3</v>
      </c>
      <c r="M21" s="131">
        <f>IF(AND(DistanceTable[[#This Row],[Point]]&lt;=Cal_89[Applicable Points],VALUE(DistanceTable[[#Headers],[6]])&lt;=Cal_89[Applicable Points]),(ABS($B21-$B$17)^$C$5+ABS($C21-$C$17)^$C$5+ABS($D21-$D$17)^$C$5+ABS($E21-$E$17)^$C$5)^(1/$C$5),"NA")</f>
        <v>1</v>
      </c>
      <c r="N21" s="131">
        <f>IF(AND(DistanceTable[[#This Row],[Point]]&lt;=Cal_89[Applicable Points],VALUE(DistanceTable[[#Headers],[7]])&lt;=Cal_89[Applicable Points]),(ABS($B21-$B$18)^$C$5+ABS($C21-$C$18)^$C$5+ABS($D21-$D$18)^$C$5+ABS($E21-$E$18)^$C$5)^(1/$C$5),"NA")</f>
        <v>2</v>
      </c>
      <c r="O21" s="131">
        <f>IF(AND(DistanceTable[[#This Row],[Point]]&lt;=Cal_89[Applicable Points],VALUE(DistanceTable[[#Headers],[8]])&lt;=Cal_89[Applicable Points]),(ABS($B21-$B$19)^$C$5+ABS($C21-$C$19)^$C$5+ABS($D21-$D$19)^$C$5+ABS($E21-$E$19)^$C$5)^(1/$C$5),"NA")</f>
        <v>7</v>
      </c>
      <c r="P21" s="131">
        <f>IF(AND(DistanceTable[[#This Row],[Point]]&lt;=Cal_89[Applicable Points],VALUE(DistanceTable[[#Headers],[9]])&lt;=Cal_89[Applicable Points]),(ABS($B21-$B$20)^$C$5+ABS($C21-$C$20)^$C$5+ABS($D21-$D$20)^$C$5+ABS($E21-$E$20)^$C$5)^(1/$C$5),"NA")</f>
        <v>4</v>
      </c>
      <c r="Q21" s="121">
        <f>IF(AND(DistanceTable[[#This Row],[Point]]&lt;=Cal_89[Applicable Points],VALUE(DistanceTable[[#Headers],[10]])&lt;=Cal_89[Applicable Points]),(ABS($B21-$B$21)^$C$5+ABS($C21-$C$21)^$C$5+ABS($D21-$D$21)^$C$5+ABS($E21-$E$21)^$C$5)^(1/$C$5),"NA")</f>
        <v>0</v>
      </c>
      <c r="U21" s="135">
        <f>InputTableDistances15[[#This Row],[Point]]</f>
        <v>10</v>
      </c>
      <c r="V21" s="131">
        <f>IF(AND(Table1723558378[[#This Row],[Point]]&lt;=Cal_89[Applicable Points],VALUE(DistanceTable[[#Headers],[1]])&lt;=Cal_89[Applicable Points]),MAX(ABS($B21-$B$12),ABS($C21-$C$12),ABS($D21-$D$12),ABS($E21-$E$12)),"")</f>
        <v>2</v>
      </c>
      <c r="W21" s="131">
        <f>IF(AND(Table1723558378[[#This Row],[Point]]&lt;=Cal_89[Applicable Points],VALUE(DistanceTable[[#Headers],[2]])&lt;=Cal_89[Applicable Points]),MAX(ABS($B21-$B$13),ABS($C21-$C$13),ABS($D21-$D$13),ABS($E21-$E$13)),"")</f>
        <v>1</v>
      </c>
      <c r="X21" s="131">
        <f>IF(AND(Table1723558378[[#This Row],[Point]]&lt;=Cal_89[Applicable Points],VALUE(DistanceTable[[#Headers],[3]])&lt;=Cal_89[Applicable Points]),MAX(ABS($B21-$B$14),ABS($C21-$C$14),ABS($D21-$D$14),ABS($E21-$E$14)),"")</f>
        <v>3</v>
      </c>
      <c r="Y21" s="131">
        <f>IF(AND(Table1723558378[[#This Row],[Point]]&lt;=Cal_89[Applicable Points],VALUE(DistanceTable[[#Headers],[4]])&lt;=Cal_89[Applicable Points]),MAX(ABS($B21-$B$15),ABS($C21-$C$15),ABS($D21-$D$15),ABS($E21-$E$15)),"")</f>
        <v>2</v>
      </c>
      <c r="Z21" s="131">
        <f>IF(AND(Table1723558378[[#This Row],[Point]]&lt;=Cal_89[Applicable Points],VALUE(DistanceTable[[#Headers],[5]])&lt;=Cal_89[Applicable Points]),MAX(ABS($B21-$B$16),ABS($C21-$C$16),ABS($D21-$D$16),ABS($E21-$E$16)),"")</f>
        <v>2</v>
      </c>
      <c r="AA21" s="131">
        <f>IF(AND(Table1723558378[[#This Row],[Point]]&lt;=Cal_89[Applicable Points],VALUE(DistanceTable[[#Headers],[6]])&lt;=Cal_89[Applicable Points]),MAX(ABS($B21-$B$17),ABS($C21-$C$17),ABS($D21-$D$17),ABS($E21-$E$17)),"")</f>
        <v>1</v>
      </c>
      <c r="AB21" s="131">
        <f>IF(AND(Table1723558378[[#This Row],[Point]]&lt;=Cal_89[Applicable Points],VALUE(DistanceTable[[#Headers],[7]])&lt;=Cal_89[Applicable Points]),MAX(ABS($B21-$B$18),ABS($C21-$C$18),ABS($D21-$D$18),ABS($E21-$E$18)),"")</f>
        <v>2</v>
      </c>
      <c r="AC21" s="131">
        <f>IF(AND(Table1723558378[[#This Row],[Point]]&lt;=Cal_89[Applicable Points],VALUE(DistanceTable[[#Headers],[8]])&lt;=Cal_89[Applicable Points]),MAX(ABS($B21-$B$19),ABS($C21-$C$19),ABS($D21-$D$19),ABS($E21-$E$19)),"")</f>
        <v>4</v>
      </c>
      <c r="AD21" s="131">
        <f>IF(AND(Table1723558378[[#This Row],[Point]]&lt;=Cal_89[Applicable Points],VALUE(DistanceTable[[#Headers],[9]])&lt;=Cal_89[Applicable Points]),MAX(ABS($B21-$B$20),ABS($C21-$C$20),ABS($D21-$D$20),ABS($E21-$E$20)),"")</f>
        <v>2</v>
      </c>
      <c r="AE21" s="121">
        <f>IF(AND(Table1723558378[[#This Row],[Point]]&lt;=Cal_89[Applicable Points],VALUE(DistanceTable[[#Headers],[10]])&lt;=Cal_89[Applicable Points]),MAX(ABS($B21-$B$21),ABS($C21-$C$21),ABS($D21-$D$21),ABS($E21-$E$21)),"")</f>
        <v>0</v>
      </c>
    </row>
    <row r="22" spans="1:31" s="123" customFormat="1"/>
    <row r="23" spans="1:31" s="123" customFormat="1">
      <c r="A23" s="123" t="s">
        <v>749</v>
      </c>
    </row>
    <row r="24" spans="1:31" s="123" customFormat="1"/>
    <row r="25" spans="1:31" s="123" customFormat="1"/>
    <row r="26" spans="1:31" s="123" customFormat="1"/>
    <row r="27" spans="1:31" s="123" customFormat="1">
      <c r="G27" s="118" t="s">
        <v>704</v>
      </c>
      <c r="H27" s="119" t="s">
        <v>83</v>
      </c>
      <c r="I27" s="119" t="s">
        <v>84</v>
      </c>
      <c r="J27" s="119" t="s">
        <v>85</v>
      </c>
      <c r="K27" s="119" t="s">
        <v>86</v>
      </c>
      <c r="L27" s="119" t="s">
        <v>220</v>
      </c>
      <c r="M27" s="119" t="s">
        <v>221</v>
      </c>
      <c r="N27" s="119" t="s">
        <v>400</v>
      </c>
      <c r="O27" s="119" t="s">
        <v>401</v>
      </c>
      <c r="P27" s="119" t="s">
        <v>402</v>
      </c>
      <c r="Q27" s="120" t="s">
        <v>403</v>
      </c>
    </row>
    <row r="28" spans="1:31" s="123" customFormat="1">
      <c r="G28" s="216">
        <v>1</v>
      </c>
      <c r="H28" s="219" t="str">
        <f t="shared" ref="H28:Q28" si="1">IF($G28=VALUE(H$27),"NA",H12)</f>
        <v>NA</v>
      </c>
      <c r="I28" s="219">
        <f t="shared" si="1"/>
        <v>2</v>
      </c>
      <c r="J28" s="219">
        <f t="shared" si="1"/>
        <v>4</v>
      </c>
      <c r="K28" s="219">
        <f t="shared" si="1"/>
        <v>1</v>
      </c>
      <c r="L28" s="219">
        <f t="shared" si="1"/>
        <v>3</v>
      </c>
      <c r="M28" s="219">
        <f t="shared" si="1"/>
        <v>1</v>
      </c>
      <c r="N28" s="219">
        <f t="shared" si="1"/>
        <v>0</v>
      </c>
      <c r="O28" s="219">
        <f t="shared" si="1"/>
        <v>5</v>
      </c>
      <c r="P28" s="219">
        <f t="shared" si="1"/>
        <v>2</v>
      </c>
      <c r="Q28" s="219">
        <f t="shared" si="1"/>
        <v>2</v>
      </c>
    </row>
    <row r="29" spans="1:31" s="123" customFormat="1">
      <c r="G29" s="216">
        <v>2</v>
      </c>
      <c r="H29" s="219">
        <f t="shared" ref="H29:Q29" si="2">IF($G29=VALUE(H$27),"NA",H13)</f>
        <v>2</v>
      </c>
      <c r="I29" s="219" t="str">
        <f t="shared" si="2"/>
        <v>NA</v>
      </c>
      <c r="J29" s="219">
        <f t="shared" si="2"/>
        <v>4</v>
      </c>
      <c r="K29" s="219">
        <f t="shared" si="2"/>
        <v>1</v>
      </c>
      <c r="L29" s="219">
        <f t="shared" si="2"/>
        <v>1</v>
      </c>
      <c r="M29" s="219">
        <f t="shared" si="2"/>
        <v>1</v>
      </c>
      <c r="N29" s="219">
        <f t="shared" si="2"/>
        <v>2</v>
      </c>
      <c r="O29" s="219">
        <f t="shared" si="2"/>
        <v>5</v>
      </c>
      <c r="P29" s="219">
        <f t="shared" si="2"/>
        <v>2</v>
      </c>
      <c r="Q29" s="219">
        <f t="shared" si="2"/>
        <v>2</v>
      </c>
    </row>
    <row r="30" spans="1:31" s="123" customFormat="1">
      <c r="G30" s="216">
        <v>3</v>
      </c>
      <c r="H30" s="219">
        <f t="shared" ref="H30:Q30" si="3">IF($G30=VALUE(H$27),"NA",H14)</f>
        <v>4</v>
      </c>
      <c r="I30" s="219">
        <f t="shared" si="3"/>
        <v>4</v>
      </c>
      <c r="J30" s="219" t="str">
        <f t="shared" si="3"/>
        <v>NA</v>
      </c>
      <c r="K30" s="219">
        <f t="shared" si="3"/>
        <v>3</v>
      </c>
      <c r="L30" s="219">
        <f t="shared" si="3"/>
        <v>3</v>
      </c>
      <c r="M30" s="219">
        <f t="shared" si="3"/>
        <v>5</v>
      </c>
      <c r="N30" s="219">
        <f t="shared" si="3"/>
        <v>4</v>
      </c>
      <c r="O30" s="219">
        <f t="shared" si="3"/>
        <v>1</v>
      </c>
      <c r="P30" s="219">
        <f t="shared" si="3"/>
        <v>2</v>
      </c>
      <c r="Q30" s="219">
        <f t="shared" si="3"/>
        <v>6</v>
      </c>
    </row>
    <row r="31" spans="1:31" s="123" customFormat="1">
      <c r="E31"/>
      <c r="G31" s="216">
        <v>4</v>
      </c>
      <c r="H31" s="219">
        <f t="shared" ref="H31:Q31" si="4">IF($G31=VALUE(H$27),"NA",H15)</f>
        <v>1</v>
      </c>
      <c r="I31" s="219">
        <f t="shared" si="4"/>
        <v>1</v>
      </c>
      <c r="J31" s="219">
        <f t="shared" si="4"/>
        <v>3</v>
      </c>
      <c r="K31" s="219" t="str">
        <f t="shared" si="4"/>
        <v>NA</v>
      </c>
      <c r="L31" s="219">
        <f t="shared" si="4"/>
        <v>2</v>
      </c>
      <c r="M31" s="219">
        <f t="shared" si="4"/>
        <v>2</v>
      </c>
      <c r="N31" s="219">
        <f t="shared" si="4"/>
        <v>1</v>
      </c>
      <c r="O31" s="219">
        <f t="shared" si="4"/>
        <v>4</v>
      </c>
      <c r="P31" s="219">
        <f t="shared" si="4"/>
        <v>1</v>
      </c>
      <c r="Q31" s="219">
        <f t="shared" si="4"/>
        <v>3</v>
      </c>
    </row>
    <row r="32" spans="1:31" s="123" customFormat="1">
      <c r="E32"/>
      <c r="G32" s="217">
        <v>5</v>
      </c>
      <c r="H32" s="219">
        <f t="shared" ref="H32:Q32" si="5">IF($G32=VALUE(H$27),"NA",H16)</f>
        <v>3</v>
      </c>
      <c r="I32" s="219">
        <f t="shared" si="5"/>
        <v>1</v>
      </c>
      <c r="J32" s="219">
        <f t="shared" si="5"/>
        <v>3</v>
      </c>
      <c r="K32" s="219">
        <f t="shared" si="5"/>
        <v>2</v>
      </c>
      <c r="L32" s="219" t="str">
        <f t="shared" si="5"/>
        <v>NA</v>
      </c>
      <c r="M32" s="219">
        <f t="shared" si="5"/>
        <v>2</v>
      </c>
      <c r="N32" s="219">
        <f t="shared" si="5"/>
        <v>3</v>
      </c>
      <c r="O32" s="219">
        <f t="shared" si="5"/>
        <v>4</v>
      </c>
      <c r="P32" s="219">
        <f t="shared" si="5"/>
        <v>1</v>
      </c>
      <c r="Q32" s="219">
        <f t="shared" si="5"/>
        <v>3</v>
      </c>
    </row>
    <row r="33" spans="5:18" s="123" customFormat="1">
      <c r="E33"/>
      <c r="G33" s="217">
        <v>6</v>
      </c>
      <c r="H33" s="219">
        <f t="shared" ref="H33:Q33" si="6">IF($G33=VALUE(H$27),"NA",H17)</f>
        <v>1</v>
      </c>
      <c r="I33" s="219">
        <f t="shared" si="6"/>
        <v>1</v>
      </c>
      <c r="J33" s="219">
        <f t="shared" si="6"/>
        <v>5</v>
      </c>
      <c r="K33" s="219">
        <f t="shared" si="6"/>
        <v>2</v>
      </c>
      <c r="L33" s="219">
        <f t="shared" si="6"/>
        <v>2</v>
      </c>
      <c r="M33" s="219" t="str">
        <f t="shared" si="6"/>
        <v>NA</v>
      </c>
      <c r="N33" s="219">
        <f t="shared" si="6"/>
        <v>1</v>
      </c>
      <c r="O33" s="219">
        <f t="shared" si="6"/>
        <v>6</v>
      </c>
      <c r="P33" s="219">
        <f t="shared" si="6"/>
        <v>3</v>
      </c>
      <c r="Q33" s="219">
        <f t="shared" si="6"/>
        <v>1</v>
      </c>
    </row>
    <row r="34" spans="5:18" s="123" customFormat="1">
      <c r="E34"/>
      <c r="G34" s="217">
        <v>7</v>
      </c>
      <c r="H34" s="219">
        <f t="shared" ref="H34:Q34" si="7">IF($G34=VALUE(H$27),"NA",H18)</f>
        <v>0</v>
      </c>
      <c r="I34" s="219">
        <f t="shared" si="7"/>
        <v>2</v>
      </c>
      <c r="J34" s="219">
        <f t="shared" si="7"/>
        <v>4</v>
      </c>
      <c r="K34" s="219">
        <f t="shared" si="7"/>
        <v>1</v>
      </c>
      <c r="L34" s="219">
        <f t="shared" si="7"/>
        <v>3</v>
      </c>
      <c r="M34" s="219">
        <f t="shared" si="7"/>
        <v>1</v>
      </c>
      <c r="N34" s="219" t="str">
        <f t="shared" si="7"/>
        <v>NA</v>
      </c>
      <c r="O34" s="219">
        <f t="shared" si="7"/>
        <v>5</v>
      </c>
      <c r="P34" s="219">
        <f t="shared" si="7"/>
        <v>2</v>
      </c>
      <c r="Q34" s="219">
        <f t="shared" si="7"/>
        <v>2</v>
      </c>
    </row>
    <row r="35" spans="5:18" s="123" customFormat="1">
      <c r="E35"/>
      <c r="G35" s="217">
        <v>8</v>
      </c>
      <c r="H35" s="219">
        <f t="shared" ref="H35:Q35" si="8">IF($G35=VALUE(H$27),"NA",H19)</f>
        <v>5</v>
      </c>
      <c r="I35" s="219">
        <f t="shared" si="8"/>
        <v>5</v>
      </c>
      <c r="J35" s="219">
        <f t="shared" si="8"/>
        <v>1</v>
      </c>
      <c r="K35" s="219">
        <f t="shared" si="8"/>
        <v>4</v>
      </c>
      <c r="L35" s="219">
        <f t="shared" si="8"/>
        <v>4</v>
      </c>
      <c r="M35" s="219">
        <f t="shared" si="8"/>
        <v>6</v>
      </c>
      <c r="N35" s="219">
        <f t="shared" si="8"/>
        <v>5</v>
      </c>
      <c r="O35" s="219" t="str">
        <f t="shared" si="8"/>
        <v>NA</v>
      </c>
      <c r="P35" s="219">
        <f t="shared" si="8"/>
        <v>3</v>
      </c>
      <c r="Q35" s="219">
        <f t="shared" si="8"/>
        <v>7</v>
      </c>
    </row>
    <row r="36" spans="5:18" s="123" customFormat="1">
      <c r="E36"/>
      <c r="G36" s="217">
        <v>9</v>
      </c>
      <c r="H36" s="219">
        <f t="shared" ref="H36:Q36" si="9">IF($G36=VALUE(H$27),"NA",H20)</f>
        <v>2</v>
      </c>
      <c r="I36" s="219">
        <f t="shared" si="9"/>
        <v>2</v>
      </c>
      <c r="J36" s="219">
        <f t="shared" si="9"/>
        <v>2</v>
      </c>
      <c r="K36" s="219">
        <f t="shared" si="9"/>
        <v>1</v>
      </c>
      <c r="L36" s="219">
        <f t="shared" si="9"/>
        <v>1</v>
      </c>
      <c r="M36" s="219">
        <f t="shared" si="9"/>
        <v>3</v>
      </c>
      <c r="N36" s="219">
        <f t="shared" si="9"/>
        <v>2</v>
      </c>
      <c r="O36" s="219">
        <f t="shared" si="9"/>
        <v>3</v>
      </c>
      <c r="P36" s="219" t="str">
        <f t="shared" si="9"/>
        <v>NA</v>
      </c>
      <c r="Q36" s="219">
        <f t="shared" si="9"/>
        <v>4</v>
      </c>
    </row>
    <row r="37" spans="5:18" s="123" customFormat="1">
      <c r="E37"/>
      <c r="G37" s="218">
        <v>10</v>
      </c>
      <c r="H37" s="219">
        <f t="shared" ref="H37:Q37" si="10">IF($G37=VALUE(H$27),"NA",H21)</f>
        <v>2</v>
      </c>
      <c r="I37" s="219">
        <f t="shared" si="10"/>
        <v>2</v>
      </c>
      <c r="J37" s="219">
        <f t="shared" si="10"/>
        <v>6</v>
      </c>
      <c r="K37" s="219">
        <f t="shared" si="10"/>
        <v>3</v>
      </c>
      <c r="L37" s="219">
        <f t="shared" si="10"/>
        <v>3</v>
      </c>
      <c r="M37" s="219">
        <f t="shared" si="10"/>
        <v>1</v>
      </c>
      <c r="N37" s="219">
        <f t="shared" si="10"/>
        <v>2</v>
      </c>
      <c r="O37" s="219">
        <f t="shared" si="10"/>
        <v>7</v>
      </c>
      <c r="P37" s="219">
        <f t="shared" si="10"/>
        <v>4</v>
      </c>
      <c r="Q37" s="219" t="str">
        <f t="shared" si="10"/>
        <v>NA</v>
      </c>
    </row>
    <row r="38" spans="5:18" s="123" customFormat="1">
      <c r="E38"/>
    </row>
    <row r="39" spans="5:18" s="123" customFormat="1">
      <c r="E39"/>
      <c r="G39" s="118" t="s">
        <v>750</v>
      </c>
      <c r="H39" s="119" t="s">
        <v>83</v>
      </c>
      <c r="I39" s="119" t="s">
        <v>84</v>
      </c>
      <c r="J39" s="119" t="s">
        <v>85</v>
      </c>
      <c r="K39" s="119" t="s">
        <v>86</v>
      </c>
      <c r="L39" s="119" t="s">
        <v>220</v>
      </c>
      <c r="M39" s="119" t="s">
        <v>221</v>
      </c>
      <c r="N39" s="119" t="s">
        <v>400</v>
      </c>
      <c r="O39" s="119" t="s">
        <v>401</v>
      </c>
      <c r="P39" s="119" t="s">
        <v>402</v>
      </c>
      <c r="Q39" s="120" t="s">
        <v>403</v>
      </c>
      <c r="R39" s="119" t="s">
        <v>753</v>
      </c>
    </row>
    <row r="40" spans="5:18" s="123" customFormat="1">
      <c r="E40"/>
      <c r="G40" s="216">
        <v>1</v>
      </c>
      <c r="H40" s="97" t="str">
        <f>IFERROR(RANK(H28,DistanceTable2[1],1)+COUNTIF(H$28:$H28,H28)-1,"NA")</f>
        <v>NA</v>
      </c>
      <c r="I40" s="97">
        <f>IFERROR(RANK(I28,DistanceTable2[2],1)+COUNTIF($I$28:I28,I28)-1,"NA")</f>
        <v>4</v>
      </c>
      <c r="J40" s="97">
        <f>IFERROR(RANK(J28,DistanceTable2[3],1)+COUNTIF($J$28:J28,J28)-1,"NA")</f>
        <v>5</v>
      </c>
      <c r="K40" s="97">
        <f>IFERROR(RANK(K28,DistanceTable2[4],1)+COUNTIF($K$28:K28,K28)-1,"NA")</f>
        <v>1</v>
      </c>
      <c r="L40" s="97">
        <f>IFERROR(RANK(L28,DistanceTable2[5],1)+COUNTIF($L$28:L28,L28)-1,"NA")</f>
        <v>5</v>
      </c>
      <c r="M40" s="97">
        <f>IFERROR(RANK(M28,DistanceTable2[6],1)+COUNTIF($M$28:M28,M28)-1,"NA")</f>
        <v>1</v>
      </c>
      <c r="N40" s="97">
        <f>IFERROR(RANK(N28,DistanceTable2[7],1)+COUNTIF($N$28:N28,N28)-1,"NA")</f>
        <v>1</v>
      </c>
      <c r="O40" s="97">
        <f>IFERROR(RANK(O28,DistanceTable2[8],1)+COUNTIF($O$28:O28,O28)-1,"NA")</f>
        <v>5</v>
      </c>
      <c r="P40" s="97">
        <f>IFERROR(RANK(P28,DistanceTable2[9],1)+COUNTIF($P$28:P28,P28)-1,"NA")</f>
        <v>3</v>
      </c>
      <c r="Q40" s="97">
        <f>IFERROR(RANK(Q28,DistanceTable2[10],1)+COUNTIF($Q$28:Q28,Q28)-1,"NA")</f>
        <v>2</v>
      </c>
      <c r="R40" s="229">
        <v>1</v>
      </c>
    </row>
    <row r="41" spans="5:18" s="123" customFormat="1">
      <c r="E41"/>
      <c r="G41" s="216">
        <v>2</v>
      </c>
      <c r="H41" s="97">
        <f>IFERROR(RANK(H29,DistanceTable2[1],1)+COUNTIF(H$28:$H29,H29)-1,"NA")</f>
        <v>4</v>
      </c>
      <c r="I41" s="97" t="str">
        <f>IFERROR(RANK(I29,DistanceTable2[2],1)+COUNTIF($I$28:I29,I29)-1,"NA")</f>
        <v>NA</v>
      </c>
      <c r="J41" s="97">
        <f>IFERROR(RANK(J29,DistanceTable2[3],1)+COUNTIF($J$28:J29,J29)-1,"NA")</f>
        <v>6</v>
      </c>
      <c r="K41" s="97">
        <f>IFERROR(RANK(K29,DistanceTable2[4],1)+COUNTIF($K$28:K29,K29)-1,"NA")</f>
        <v>2</v>
      </c>
      <c r="L41" s="97">
        <f>IFERROR(RANK(L29,DistanceTable2[5],1)+COUNTIF($L$28:L29,L29)-1,"NA")</f>
        <v>1</v>
      </c>
      <c r="M41" s="97">
        <f>IFERROR(RANK(M29,DistanceTable2[6],1)+COUNTIF($M$28:M29,M29)-1,"NA")</f>
        <v>2</v>
      </c>
      <c r="N41" s="97">
        <f>IFERROR(RANK(N29,DistanceTable2[7],1)+COUNTIF($N$28:N29,N29)-1,"NA")</f>
        <v>4</v>
      </c>
      <c r="O41" s="97">
        <f>IFERROR(RANK(O29,DistanceTable2[8],1)+COUNTIF($O$28:O29,O29)-1,"NA")</f>
        <v>6</v>
      </c>
      <c r="P41" s="97">
        <f>IFERROR(RANK(P29,DistanceTable2[9],1)+COUNTIF($P$28:P29,P29)-1,"NA")</f>
        <v>4</v>
      </c>
      <c r="Q41" s="97">
        <f>IFERROR(RANK(Q29,DistanceTable2[10],1)+COUNTIF($Q$28:Q29,Q29)-1,"NA")</f>
        <v>3</v>
      </c>
      <c r="R41" s="229">
        <v>2</v>
      </c>
    </row>
    <row r="42" spans="5:18" s="123" customFormat="1">
      <c r="E42"/>
      <c r="G42" s="216">
        <v>3</v>
      </c>
      <c r="H42" s="97">
        <f>IFERROR(RANK(H30,DistanceTable2[1],1)+COUNTIF(H$28:$H30,H30)-1,"NA")</f>
        <v>8</v>
      </c>
      <c r="I42" s="97">
        <f>IFERROR(RANK(I30,DistanceTable2[2],1)+COUNTIF($I$28:I30,I30)-1,"NA")</f>
        <v>8</v>
      </c>
      <c r="J42" s="97" t="str">
        <f>IFERROR(RANK(J30,DistanceTable2[3],1)+COUNTIF($J$28:J30,J30)-1,"NA")</f>
        <v>NA</v>
      </c>
      <c r="K42" s="97">
        <f>IFERROR(RANK(K30,DistanceTable2[4],1)+COUNTIF($K$28:K30,K30)-1,"NA")</f>
        <v>7</v>
      </c>
      <c r="L42" s="97">
        <f>IFERROR(RANK(L30,DistanceTable2[5],1)+COUNTIF($L$28:L30,L30)-1,"NA")</f>
        <v>6</v>
      </c>
      <c r="M42" s="97">
        <f>IFERROR(RANK(M30,DistanceTable2[6],1)+COUNTIF($M$28:M30,M30)-1,"NA")</f>
        <v>8</v>
      </c>
      <c r="N42" s="97">
        <f>IFERROR(RANK(N30,DistanceTable2[7],1)+COUNTIF($N$28:N30,N30)-1,"NA")</f>
        <v>8</v>
      </c>
      <c r="O42" s="97">
        <f>IFERROR(RANK(O30,DistanceTable2[8],1)+COUNTIF($O$28:O30,O30)-1,"NA")</f>
        <v>1</v>
      </c>
      <c r="P42" s="97">
        <f>IFERROR(RANK(P30,DistanceTable2[9],1)+COUNTIF($P$28:P30,P30)-1,"NA")</f>
        <v>5</v>
      </c>
      <c r="Q42" s="97">
        <f>IFERROR(RANK(Q30,DistanceTable2[10],1)+COUNTIF($Q$28:Q30,Q30)-1,"NA")</f>
        <v>8</v>
      </c>
      <c r="R42" s="229">
        <v>3</v>
      </c>
    </row>
    <row r="43" spans="5:18" s="123" customFormat="1">
      <c r="E43"/>
      <c r="G43" s="216">
        <v>4</v>
      </c>
      <c r="H43" s="97">
        <f>IFERROR(RANK(H31,DistanceTable2[1],1)+COUNTIF(H$28:$H31,H31)-1,"NA")</f>
        <v>2</v>
      </c>
      <c r="I43" s="97">
        <f>IFERROR(RANK(I31,DistanceTable2[2],1)+COUNTIF($I$28:I31,I31)-1,"NA")</f>
        <v>1</v>
      </c>
      <c r="J43" s="97">
        <f>IFERROR(RANK(J31,DistanceTable2[3],1)+COUNTIF($J$28:J31,J31)-1,"NA")</f>
        <v>3</v>
      </c>
      <c r="K43" s="97" t="str">
        <f>IFERROR(RANK(K31,DistanceTable2[4],1)+COUNTIF($K$28:K31,K31)-1,"NA")</f>
        <v>NA</v>
      </c>
      <c r="L43" s="97">
        <f>IFERROR(RANK(L31,DistanceTable2[5],1)+COUNTIF($L$28:L31,L31)-1,"NA")</f>
        <v>3</v>
      </c>
      <c r="M43" s="97">
        <f>IFERROR(RANK(M31,DistanceTable2[6],1)+COUNTIF($M$28:M31,M31)-1,"NA")</f>
        <v>5</v>
      </c>
      <c r="N43" s="97">
        <f>IFERROR(RANK(N31,DistanceTable2[7],1)+COUNTIF($N$28:N31,N31)-1,"NA")</f>
        <v>2</v>
      </c>
      <c r="O43" s="97">
        <f>IFERROR(RANK(O31,DistanceTable2[8],1)+COUNTIF($O$28:O31,O31)-1,"NA")</f>
        <v>3</v>
      </c>
      <c r="P43" s="97">
        <f>IFERROR(RANK(P31,DistanceTable2[9],1)+COUNTIF($P$28:P31,P31)-1,"NA")</f>
        <v>1</v>
      </c>
      <c r="Q43" s="97">
        <f>IFERROR(RANK(Q31,DistanceTable2[10],1)+COUNTIF($Q$28:Q31,Q31)-1,"NA")</f>
        <v>5</v>
      </c>
      <c r="R43" s="229">
        <v>4</v>
      </c>
    </row>
    <row r="44" spans="5:18" s="123" customFormat="1">
      <c r="E44"/>
      <c r="G44" s="217">
        <v>5</v>
      </c>
      <c r="H44" s="97">
        <f>IFERROR(RANK(H32,DistanceTable2[1],1)+COUNTIF(H$28:$H32,H32)-1,"NA")</f>
        <v>7</v>
      </c>
      <c r="I44" s="97">
        <f>IFERROR(RANK(I32,DistanceTable2[2],1)+COUNTIF($I$28:I32,I32)-1,"NA")</f>
        <v>2</v>
      </c>
      <c r="J44" s="97">
        <f>IFERROR(RANK(J32,DistanceTable2[3],1)+COUNTIF($J$28:J32,J32)-1,"NA")</f>
        <v>4</v>
      </c>
      <c r="K44" s="97">
        <f>IFERROR(RANK(K32,DistanceTable2[4],1)+COUNTIF($K$28:K32,K32)-1,"NA")</f>
        <v>5</v>
      </c>
      <c r="L44" s="97" t="str">
        <f>IFERROR(RANK(L32,DistanceTable2[5],1)+COUNTIF($L$28:L32,L32)-1,"NA")</f>
        <v>NA</v>
      </c>
      <c r="M44" s="97">
        <f>IFERROR(RANK(M32,DistanceTable2[6],1)+COUNTIF($M$28:M32,M32)-1,"NA")</f>
        <v>6</v>
      </c>
      <c r="N44" s="97">
        <f>IFERROR(RANK(N32,DistanceTable2[7],1)+COUNTIF($N$28:N32,N32)-1,"NA")</f>
        <v>7</v>
      </c>
      <c r="O44" s="97">
        <f>IFERROR(RANK(O32,DistanceTable2[8],1)+COUNTIF($O$28:O32,O32)-1,"NA")</f>
        <v>4</v>
      </c>
      <c r="P44" s="97">
        <f>IFERROR(RANK(P32,DistanceTable2[9],1)+COUNTIF($P$28:P32,P32)-1,"NA")</f>
        <v>2</v>
      </c>
      <c r="Q44" s="97">
        <f>IFERROR(RANK(Q32,DistanceTable2[10],1)+COUNTIF($Q$28:Q32,Q32)-1,"NA")</f>
        <v>6</v>
      </c>
      <c r="R44" s="229">
        <v>5</v>
      </c>
    </row>
    <row r="45" spans="5:18" s="123" customFormat="1">
      <c r="E45"/>
      <c r="G45" s="217">
        <v>6</v>
      </c>
      <c r="H45" s="97">
        <f>IFERROR(RANK(H33,DistanceTable2[1],1)+COUNTIF(H$28:$H33,H33)-1,"NA")</f>
        <v>3</v>
      </c>
      <c r="I45" s="97">
        <f>IFERROR(RANK(I33,DistanceTable2[2],1)+COUNTIF($I$28:I33,I33)-1,"NA")</f>
        <v>3</v>
      </c>
      <c r="J45" s="97">
        <f>IFERROR(RANK(J33,DistanceTable2[3],1)+COUNTIF($J$28:J33,J33)-1,"NA")</f>
        <v>8</v>
      </c>
      <c r="K45" s="97">
        <f>IFERROR(RANK(K33,DistanceTable2[4],1)+COUNTIF($K$28:K33,K33)-1,"NA")</f>
        <v>6</v>
      </c>
      <c r="L45" s="97">
        <f>IFERROR(RANK(L33,DistanceTable2[5],1)+COUNTIF($L$28:L33,L33)-1,"NA")</f>
        <v>4</v>
      </c>
      <c r="M45" s="97" t="str">
        <f>IFERROR(RANK(M33,DistanceTable2[6],1)+COUNTIF($M$28:M33,M33)-1,"NA")</f>
        <v>NA</v>
      </c>
      <c r="N45" s="97">
        <f>IFERROR(RANK(N33,DistanceTable2[7],1)+COUNTIF($N$28:N33,N33)-1,"NA")</f>
        <v>3</v>
      </c>
      <c r="O45" s="97">
        <f>IFERROR(RANK(O33,DistanceTable2[8],1)+COUNTIF($O$28:O33,O33)-1,"NA")</f>
        <v>8</v>
      </c>
      <c r="P45" s="97">
        <f>IFERROR(RANK(P33,DistanceTable2[9],1)+COUNTIF($P$28:P33,P33)-1,"NA")</f>
        <v>7</v>
      </c>
      <c r="Q45" s="97">
        <f>IFERROR(RANK(Q33,DistanceTable2[10],1)+COUNTIF($Q$28:Q33,Q33)-1,"NA")</f>
        <v>1</v>
      </c>
      <c r="R45" s="229">
        <v>6</v>
      </c>
    </row>
    <row r="46" spans="5:18" s="123" customFormat="1">
      <c r="E46"/>
      <c r="G46" s="217">
        <v>7</v>
      </c>
      <c r="H46" s="97">
        <f>IFERROR(RANK(H34,DistanceTable2[1],1)+COUNTIF(H$28:$H34,H34)-1,"NA")</f>
        <v>1</v>
      </c>
      <c r="I46" s="97">
        <f>IFERROR(RANK(I34,DistanceTable2[2],1)+COUNTIF($I$28:I34,I34)-1,"NA")</f>
        <v>5</v>
      </c>
      <c r="J46" s="97">
        <f>IFERROR(RANK(J34,DistanceTable2[3],1)+COUNTIF($J$28:J34,J34)-1,"NA")</f>
        <v>7</v>
      </c>
      <c r="K46" s="97">
        <f>IFERROR(RANK(K34,DistanceTable2[4],1)+COUNTIF($K$28:K34,K34)-1,"NA")</f>
        <v>3</v>
      </c>
      <c r="L46" s="97">
        <f>IFERROR(RANK(L34,DistanceTable2[5],1)+COUNTIF($L$28:L34,L34)-1,"NA")</f>
        <v>7</v>
      </c>
      <c r="M46" s="97">
        <f>IFERROR(RANK(M34,DistanceTable2[6],1)+COUNTIF($M$28:M34,M34)-1,"NA")</f>
        <v>3</v>
      </c>
      <c r="N46" s="97" t="str">
        <f>IFERROR(RANK(N34,DistanceTable2[7],1)+COUNTIF($N$28:N34,N34)-1,"NA")</f>
        <v>NA</v>
      </c>
      <c r="O46" s="97">
        <f>IFERROR(RANK(O34,DistanceTable2[8],1)+COUNTIF($O$28:O34,O34)-1,"NA")</f>
        <v>7</v>
      </c>
      <c r="P46" s="97">
        <f>IFERROR(RANK(P34,DistanceTable2[9],1)+COUNTIF($P$28:P34,P34)-1,"NA")</f>
        <v>6</v>
      </c>
      <c r="Q46" s="97">
        <f>IFERROR(RANK(Q34,DistanceTable2[10],1)+COUNTIF($Q$28:Q34,Q34)-1,"NA")</f>
        <v>4</v>
      </c>
      <c r="R46" s="229">
        <v>7</v>
      </c>
    </row>
    <row r="47" spans="5:18" s="123" customFormat="1">
      <c r="E47"/>
      <c r="G47" s="217">
        <v>8</v>
      </c>
      <c r="H47" s="97">
        <f>IFERROR(RANK(H35,DistanceTable2[1],1)+COUNTIF(H$28:$H35,H35)-1,"NA")</f>
        <v>9</v>
      </c>
      <c r="I47" s="97">
        <f>IFERROR(RANK(I35,DistanceTable2[2],1)+COUNTIF($I$28:I35,I35)-1,"NA")</f>
        <v>9</v>
      </c>
      <c r="J47" s="97">
        <f>IFERROR(RANK(J35,DistanceTable2[3],1)+COUNTIF($J$28:J35,J35)-1,"NA")</f>
        <v>1</v>
      </c>
      <c r="K47" s="97">
        <f>IFERROR(RANK(K35,DistanceTable2[4],1)+COUNTIF($K$28:K35,K35)-1,"NA")</f>
        <v>9</v>
      </c>
      <c r="L47" s="97">
        <f>IFERROR(RANK(L35,DistanceTable2[5],1)+COUNTIF($L$28:L35,L35)-1,"NA")</f>
        <v>9</v>
      </c>
      <c r="M47" s="97">
        <f>IFERROR(RANK(M35,DistanceTable2[6],1)+COUNTIF($M$28:M35,M35)-1,"NA")</f>
        <v>9</v>
      </c>
      <c r="N47" s="97">
        <f>IFERROR(RANK(N35,DistanceTable2[7],1)+COUNTIF($N$28:N35,N35)-1,"NA")</f>
        <v>9</v>
      </c>
      <c r="O47" s="97" t="str">
        <f>IFERROR(RANK(O35,DistanceTable2[8],1)+COUNTIF($O$28:O35,O35)-1,"NA")</f>
        <v>NA</v>
      </c>
      <c r="P47" s="97">
        <f>IFERROR(RANK(P35,DistanceTable2[9],1)+COUNTIF($P$28:P35,P35)-1,"NA")</f>
        <v>8</v>
      </c>
      <c r="Q47" s="97">
        <f>IFERROR(RANK(Q35,DistanceTable2[10],1)+COUNTIF($Q$28:Q35,Q35)-1,"NA")</f>
        <v>9</v>
      </c>
      <c r="R47" s="229">
        <v>8</v>
      </c>
    </row>
    <row r="48" spans="5:18" s="123" customFormat="1">
      <c r="E48"/>
      <c r="G48" s="217">
        <v>9</v>
      </c>
      <c r="H48" s="97">
        <f>IFERROR(RANK(H36,DistanceTable2[1],1)+COUNTIF(H$28:$H36,H36)-1,"NA")</f>
        <v>5</v>
      </c>
      <c r="I48" s="97">
        <f>IFERROR(RANK(I36,DistanceTable2[2],1)+COUNTIF($I$28:I36,I36)-1,"NA")</f>
        <v>6</v>
      </c>
      <c r="J48" s="97">
        <f>IFERROR(RANK(J36,DistanceTable2[3],1)+COUNTIF($J$28:J36,J36)-1,"NA")</f>
        <v>2</v>
      </c>
      <c r="K48" s="97">
        <f>IFERROR(RANK(K36,DistanceTable2[4],1)+COUNTIF($K$28:K36,K36)-1,"NA")</f>
        <v>4</v>
      </c>
      <c r="L48" s="97">
        <f>IFERROR(RANK(L36,DistanceTable2[5],1)+COUNTIF($L$28:L36,L36)-1,"NA")</f>
        <v>2</v>
      </c>
      <c r="M48" s="97">
        <f>IFERROR(RANK(M36,DistanceTable2[6],1)+COUNTIF($M$28:M36,M36)-1,"NA")</f>
        <v>7</v>
      </c>
      <c r="N48" s="97">
        <f>IFERROR(RANK(N36,DistanceTable2[7],1)+COUNTIF($N$28:N36,N36)-1,"NA")</f>
        <v>5</v>
      </c>
      <c r="O48" s="97">
        <f>IFERROR(RANK(O36,DistanceTable2[8],1)+COUNTIF($O$28:O36,O36)-1,"NA")</f>
        <v>2</v>
      </c>
      <c r="P48" s="97" t="str">
        <f>IFERROR(RANK(P36,DistanceTable2[9],1)+COUNTIF($P$28:P36,P36)-1,"NA")</f>
        <v>NA</v>
      </c>
      <c r="Q48" s="97">
        <f>IFERROR(RANK(Q36,DistanceTable2[10],1)+COUNTIF($Q$28:Q36,Q36)-1,"NA")</f>
        <v>7</v>
      </c>
      <c r="R48" s="229">
        <v>9</v>
      </c>
    </row>
    <row r="49" spans="5:18" s="123" customFormat="1">
      <c r="E49"/>
      <c r="G49" s="218">
        <v>10</v>
      </c>
      <c r="H49" s="97">
        <f>IFERROR(RANK(H37,DistanceTable2[1],1)+COUNTIF(H$28:$H37,H37)-1,"NA")</f>
        <v>6</v>
      </c>
      <c r="I49" s="97">
        <f>IFERROR(RANK(I37,DistanceTable2[2],1)+COUNTIF($I$28:I37,I37)-1,"NA")</f>
        <v>7</v>
      </c>
      <c r="J49" s="97">
        <f>IFERROR(RANK(J37,DistanceTable2[3],1)+COUNTIF($J$28:J37,J37)-1,"NA")</f>
        <v>9</v>
      </c>
      <c r="K49" s="97">
        <f>IFERROR(RANK(K37,DistanceTable2[4],1)+COUNTIF($K$28:K37,K37)-1,"NA")</f>
        <v>8</v>
      </c>
      <c r="L49" s="97">
        <f>IFERROR(RANK(L37,DistanceTable2[5],1)+COUNTIF($L$28:L37,L37)-1,"NA")</f>
        <v>8</v>
      </c>
      <c r="M49" s="97">
        <f>IFERROR(RANK(M37,DistanceTable2[6],1)+COUNTIF($M$28:M37,M37)-1,"NA")</f>
        <v>4</v>
      </c>
      <c r="N49" s="97">
        <f>IFERROR(RANK(N37,DistanceTable2[7],1)+COUNTIF($N$28:N37,N37)-1,"NA")</f>
        <v>6</v>
      </c>
      <c r="O49" s="97">
        <f>IFERROR(RANK(O37,DistanceTable2[8],1)+COUNTIF($O$28:O37,O37)-1,"NA")</f>
        <v>9</v>
      </c>
      <c r="P49" s="97">
        <f>IFERROR(RANK(P37,DistanceTable2[9],1)+COUNTIF($P$28:P37,P37)-1,"NA")</f>
        <v>9</v>
      </c>
      <c r="Q49" s="97" t="str">
        <f>IFERROR(RANK(Q37,DistanceTable2[10],1)+COUNTIF($Q$28:Q37,Q37)-1,"NA")</f>
        <v>NA</v>
      </c>
      <c r="R49" s="229">
        <v>10</v>
      </c>
    </row>
    <row r="51" spans="5:18">
      <c r="G51" s="118" t="s">
        <v>752</v>
      </c>
      <c r="H51" s="119" t="s">
        <v>83</v>
      </c>
      <c r="I51" s="119" t="s">
        <v>84</v>
      </c>
      <c r="J51" s="119" t="s">
        <v>85</v>
      </c>
      <c r="K51" s="119" t="s">
        <v>86</v>
      </c>
      <c r="L51" s="119" t="s">
        <v>220</v>
      </c>
      <c r="M51" s="119" t="s">
        <v>221</v>
      </c>
      <c r="N51" s="119" t="s">
        <v>400</v>
      </c>
      <c r="O51" s="119" t="s">
        <v>401</v>
      </c>
      <c r="P51" s="119" t="s">
        <v>402</v>
      </c>
      <c r="Q51" s="120" t="s">
        <v>403</v>
      </c>
    </row>
    <row r="52" spans="5:18">
      <c r="G52" s="216">
        <v>1</v>
      </c>
      <c r="H52" s="219">
        <f>IFERROR(INDEX(DistanceTable2[],VLOOKUP(NeighDistTable[[#This Row],[Kth-Neighbour''s Distance]],RankTable[[1]:[Dummy S No.]],11,FALSE),NeighDistTable[[#Headers],[1]]+1),"")</f>
        <v>0</v>
      </c>
      <c r="I52" s="219">
        <f>IFERROR(INDEX(DistanceTable2[],VLOOKUP(NeighDistTable[[#This Row],[Kth-Neighbour''s Distance]],RankTable[[2]:[Dummy S No.]],10,FALSE),NeighDistTable[[#Headers],[2]]+1),"")</f>
        <v>1</v>
      </c>
      <c r="J52" s="219">
        <f>IFERROR(INDEX(DistanceTable2[],VLOOKUP(NeighDistTable[[#This Row],[Kth-Neighbour''s Distance]],RankTable[[3]:[Dummy S No.]],9,FALSE),NeighDistTable[[#Headers],[3]]+1),"")</f>
        <v>1</v>
      </c>
      <c r="K52" s="219">
        <f>IFERROR(INDEX(DistanceTable2[],VLOOKUP(NeighDistTable[[#This Row],[Kth-Neighbour''s Distance]],RankTable[[4]:[Dummy S No.]],8,FALSE),NeighDistTable[[#Headers],[4]]+1),"")</f>
        <v>1</v>
      </c>
      <c r="L52" s="219">
        <f>IFERROR(INDEX(DistanceTable2[],VLOOKUP(NeighDistTable[[#This Row],[Kth-Neighbour''s Distance]],RankTable[[5]:[Dummy S No.]],7,FALSE),NeighDistTable[[#Headers],[5]]+1),"")</f>
        <v>1</v>
      </c>
      <c r="M52" s="219">
        <f>IFERROR(INDEX(DistanceTable2[],VLOOKUP(NeighDistTable[[#This Row],[Kth-Neighbour''s Distance]],RankTable[[6]:[Dummy S No.]],6,FALSE),NeighDistTable[[#Headers],[6]]+1),"")</f>
        <v>1</v>
      </c>
      <c r="N52" s="219">
        <f>IFERROR(INDEX(DistanceTable2[],VLOOKUP(NeighDistTable[[#This Row],[Kth-Neighbour''s Distance]],RankTable[[7]:[Dummy S No.]],5,FALSE),NeighDistTable[[#Headers],[7]]+1),"")</f>
        <v>0</v>
      </c>
      <c r="O52" s="219">
        <f>IFERROR(INDEX(DistanceTable2[],VLOOKUP(NeighDistTable[[#This Row],[Kth-Neighbour''s Distance]],RankTable[[8]:[Dummy S No.]],4,FALSE),NeighDistTable[[#Headers],[8]]+1),"")</f>
        <v>1</v>
      </c>
      <c r="P52" s="219">
        <f>IFERROR(INDEX(DistanceTable2[],VLOOKUP(NeighDistTable[[#This Row],[Kth-Neighbour''s Distance]],RankTable[[9]:[Dummy S No.]],3,FALSE),NeighDistTable[[#Headers],[9]]+1),"")</f>
        <v>1</v>
      </c>
      <c r="Q52" s="219">
        <f>IFERROR(INDEX(DistanceTable2[],VLOOKUP(NeighDistTable[[#This Row],[Kth-Neighbour''s Distance]],RankTable[[10]:[Dummy S No.]],2,FALSE),NeighDistTable[[#Headers],[10]]+1),"")</f>
        <v>1</v>
      </c>
    </row>
    <row r="53" spans="5:18">
      <c r="G53" s="216">
        <v>2</v>
      </c>
      <c r="H53" s="219">
        <f>IFERROR(INDEX(DistanceTable2[],VLOOKUP(NeighDistTable[[#This Row],[Kth-Neighbour''s Distance]],RankTable[[1]:[Dummy S No.]],11,FALSE),NeighDistTable[[#Headers],[1]]+1),"")</f>
        <v>1</v>
      </c>
      <c r="I53" s="219">
        <f>IFERROR(INDEX(DistanceTable2[],VLOOKUP(NeighDistTable[[#This Row],[Kth-Neighbour''s Distance]],RankTable[[2]:[Dummy S No.]],10,FALSE),NeighDistTable[[#Headers],[2]]+1),"")</f>
        <v>1</v>
      </c>
      <c r="J53" s="219">
        <f>IFERROR(INDEX(DistanceTable2[],VLOOKUP(NeighDistTable[[#This Row],[Kth-Neighbour''s Distance]],RankTable[[3]:[Dummy S No.]],9,FALSE),NeighDistTable[[#Headers],[3]]+1),"")</f>
        <v>2</v>
      </c>
      <c r="K53" s="219">
        <f>IFERROR(INDEX(DistanceTable2[],VLOOKUP(NeighDistTable[[#This Row],[Kth-Neighbour''s Distance]],RankTable[[4]:[Dummy S No.]],8,FALSE),NeighDistTable[[#Headers],[4]]+1),"")</f>
        <v>1</v>
      </c>
      <c r="L53" s="219">
        <f>IFERROR(INDEX(DistanceTable2[],VLOOKUP(NeighDistTable[[#This Row],[Kth-Neighbour''s Distance]],RankTable[[5]:[Dummy S No.]],7,FALSE),NeighDistTable[[#Headers],[5]]+1),"")</f>
        <v>1</v>
      </c>
      <c r="M53" s="219">
        <f>IFERROR(INDEX(DistanceTable2[],VLOOKUP(NeighDistTable[[#This Row],[Kth-Neighbour''s Distance]],RankTable[[6]:[Dummy S No.]],6,FALSE),NeighDistTable[[#Headers],[6]]+1),"")</f>
        <v>1</v>
      </c>
      <c r="N53" s="219">
        <f>IFERROR(INDEX(DistanceTable2[],VLOOKUP(NeighDistTable[[#This Row],[Kth-Neighbour''s Distance]],RankTable[[7]:[Dummy S No.]],5,FALSE),NeighDistTable[[#Headers],[7]]+1),"")</f>
        <v>1</v>
      </c>
      <c r="O53" s="219">
        <f>IFERROR(INDEX(DistanceTable2[],VLOOKUP(NeighDistTable[[#This Row],[Kth-Neighbour''s Distance]],RankTable[[8]:[Dummy S No.]],4,FALSE),NeighDistTable[[#Headers],[8]]+1),"")</f>
        <v>3</v>
      </c>
      <c r="P53" s="219">
        <f>IFERROR(INDEX(DistanceTable2[],VLOOKUP(NeighDistTable[[#This Row],[Kth-Neighbour''s Distance]],RankTable[[9]:[Dummy S No.]],3,FALSE),NeighDistTable[[#Headers],[9]]+1),"")</f>
        <v>1</v>
      </c>
      <c r="Q53" s="219">
        <f>IFERROR(INDEX(DistanceTable2[],VLOOKUP(NeighDistTable[[#This Row],[Kth-Neighbour''s Distance]],RankTable[[10]:[Dummy S No.]],2,FALSE),NeighDistTable[[#Headers],[10]]+1),"")</f>
        <v>2</v>
      </c>
    </row>
    <row r="54" spans="5:18">
      <c r="G54" s="216">
        <v>3</v>
      </c>
      <c r="H54" s="219">
        <f>IFERROR(INDEX(DistanceTable2[],VLOOKUP(NeighDistTable[[#This Row],[Kth-Neighbour''s Distance]],RankTable[[1]:[Dummy S No.]],11,FALSE),NeighDistTable[[#Headers],[1]]+1),"")</f>
        <v>1</v>
      </c>
      <c r="I54" s="219">
        <f>IFERROR(INDEX(DistanceTable2[],VLOOKUP(NeighDistTable[[#This Row],[Kth-Neighbour''s Distance]],RankTable[[2]:[Dummy S No.]],10,FALSE),NeighDistTable[[#Headers],[2]]+1),"")</f>
        <v>1</v>
      </c>
      <c r="J54" s="219">
        <f>IFERROR(INDEX(DistanceTable2[],VLOOKUP(NeighDistTable[[#This Row],[Kth-Neighbour''s Distance]],RankTable[[3]:[Dummy S No.]],9,FALSE),NeighDistTable[[#Headers],[3]]+1),"")</f>
        <v>3</v>
      </c>
      <c r="K54" s="219">
        <f>IFERROR(INDEX(DistanceTable2[],VLOOKUP(NeighDistTable[[#This Row],[Kth-Neighbour''s Distance]],RankTable[[4]:[Dummy S No.]],8,FALSE),NeighDistTable[[#Headers],[4]]+1),"")</f>
        <v>1</v>
      </c>
      <c r="L54" s="219">
        <f>IFERROR(INDEX(DistanceTable2[],VLOOKUP(NeighDistTable[[#This Row],[Kth-Neighbour''s Distance]],RankTable[[5]:[Dummy S No.]],7,FALSE),NeighDistTable[[#Headers],[5]]+1),"")</f>
        <v>2</v>
      </c>
      <c r="M54" s="219">
        <f>IFERROR(INDEX(DistanceTable2[],VLOOKUP(NeighDistTable[[#This Row],[Kth-Neighbour''s Distance]],RankTable[[6]:[Dummy S No.]],6,FALSE),NeighDistTable[[#Headers],[6]]+1),"")</f>
        <v>1</v>
      </c>
      <c r="N54" s="219">
        <f>IFERROR(INDEX(DistanceTable2[],VLOOKUP(NeighDistTable[[#This Row],[Kth-Neighbour''s Distance]],RankTable[[7]:[Dummy S No.]],5,FALSE),NeighDistTable[[#Headers],[7]]+1),"")</f>
        <v>1</v>
      </c>
      <c r="O54" s="219">
        <f>IFERROR(INDEX(DistanceTable2[],VLOOKUP(NeighDistTable[[#This Row],[Kth-Neighbour''s Distance]],RankTable[[8]:[Dummy S No.]],4,FALSE),NeighDistTable[[#Headers],[8]]+1),"")</f>
        <v>4</v>
      </c>
      <c r="P54" s="219">
        <f>IFERROR(INDEX(DistanceTable2[],VLOOKUP(NeighDistTable[[#This Row],[Kth-Neighbour''s Distance]],RankTable[[9]:[Dummy S No.]],3,FALSE),NeighDistTable[[#Headers],[9]]+1),"")</f>
        <v>2</v>
      </c>
      <c r="Q54" s="219">
        <f>IFERROR(INDEX(DistanceTable2[],VLOOKUP(NeighDistTable[[#This Row],[Kth-Neighbour''s Distance]],RankTable[[10]:[Dummy S No.]],2,FALSE),NeighDistTable[[#Headers],[10]]+1),"")</f>
        <v>2</v>
      </c>
    </row>
    <row r="55" spans="5:18">
      <c r="G55" s="216">
        <v>4</v>
      </c>
      <c r="H55" s="219">
        <f>IFERROR(INDEX(DistanceTable2[],VLOOKUP(NeighDistTable[[#This Row],[Kth-Neighbour''s Distance]],RankTable[[1]:[Dummy S No.]],11,FALSE),NeighDistTable[[#Headers],[1]]+1),"")</f>
        <v>2</v>
      </c>
      <c r="I55" s="219">
        <f>IFERROR(INDEX(DistanceTable2[],VLOOKUP(NeighDistTable[[#This Row],[Kth-Neighbour''s Distance]],RankTable[[2]:[Dummy S No.]],10,FALSE),NeighDistTable[[#Headers],[2]]+1),"")</f>
        <v>2</v>
      </c>
      <c r="J55" s="219">
        <f>IFERROR(INDEX(DistanceTable2[],VLOOKUP(NeighDistTable[[#This Row],[Kth-Neighbour''s Distance]],RankTable[[3]:[Dummy S No.]],9,FALSE),NeighDistTable[[#Headers],[3]]+1),"")</f>
        <v>3</v>
      </c>
      <c r="K55" s="219">
        <f>IFERROR(INDEX(DistanceTable2[],VLOOKUP(NeighDistTable[[#This Row],[Kth-Neighbour''s Distance]],RankTable[[4]:[Dummy S No.]],8,FALSE),NeighDistTable[[#Headers],[4]]+1),"")</f>
        <v>1</v>
      </c>
      <c r="L55" s="219">
        <f>IFERROR(INDEX(DistanceTable2[],VLOOKUP(NeighDistTable[[#This Row],[Kth-Neighbour''s Distance]],RankTable[[5]:[Dummy S No.]],7,FALSE),NeighDistTable[[#Headers],[5]]+1),"")</f>
        <v>2</v>
      </c>
      <c r="M55" s="219">
        <f>IFERROR(INDEX(DistanceTable2[],VLOOKUP(NeighDistTable[[#This Row],[Kth-Neighbour''s Distance]],RankTable[[6]:[Dummy S No.]],6,FALSE),NeighDistTable[[#Headers],[6]]+1),"")</f>
        <v>1</v>
      </c>
      <c r="N55" s="219">
        <f>IFERROR(INDEX(DistanceTable2[],VLOOKUP(NeighDistTable[[#This Row],[Kth-Neighbour''s Distance]],RankTable[[7]:[Dummy S No.]],5,FALSE),NeighDistTable[[#Headers],[7]]+1),"")</f>
        <v>2</v>
      </c>
      <c r="O55" s="219">
        <f>IFERROR(INDEX(DistanceTable2[],VLOOKUP(NeighDistTable[[#This Row],[Kth-Neighbour''s Distance]],RankTable[[8]:[Dummy S No.]],4,FALSE),NeighDistTable[[#Headers],[8]]+1),"")</f>
        <v>4</v>
      </c>
      <c r="P55" s="219">
        <f>IFERROR(INDEX(DistanceTable2[],VLOOKUP(NeighDistTable[[#This Row],[Kth-Neighbour''s Distance]],RankTable[[9]:[Dummy S No.]],3,FALSE),NeighDistTable[[#Headers],[9]]+1),"")</f>
        <v>2</v>
      </c>
      <c r="Q55" s="219">
        <f>IFERROR(INDEX(DistanceTable2[],VLOOKUP(NeighDistTable[[#This Row],[Kth-Neighbour''s Distance]],RankTable[[10]:[Dummy S No.]],2,FALSE),NeighDistTable[[#Headers],[10]]+1),"")</f>
        <v>2</v>
      </c>
    </row>
    <row r="56" spans="5:18">
      <c r="G56" s="217">
        <v>5</v>
      </c>
      <c r="H56" s="219">
        <f>IFERROR(INDEX(DistanceTable2[],VLOOKUP(NeighDistTable[[#This Row],[Kth-Neighbour''s Distance]],RankTable[[1]:[Dummy S No.]],11,FALSE),NeighDistTable[[#Headers],[1]]+1),"")</f>
        <v>2</v>
      </c>
      <c r="I56" s="219">
        <f>IFERROR(INDEX(DistanceTable2[],VLOOKUP(NeighDistTable[[#This Row],[Kth-Neighbour''s Distance]],RankTable[[2]:[Dummy S No.]],10,FALSE),NeighDistTable[[#Headers],[2]]+1),"")</f>
        <v>2</v>
      </c>
      <c r="J56" s="219">
        <f>IFERROR(INDEX(DistanceTable2[],VLOOKUP(NeighDistTable[[#This Row],[Kth-Neighbour''s Distance]],RankTable[[3]:[Dummy S No.]],9,FALSE),NeighDistTable[[#Headers],[3]]+1),"")</f>
        <v>4</v>
      </c>
      <c r="K56" s="219">
        <f>IFERROR(INDEX(DistanceTable2[],VLOOKUP(NeighDistTable[[#This Row],[Kth-Neighbour''s Distance]],RankTable[[4]:[Dummy S No.]],8,FALSE),NeighDistTable[[#Headers],[4]]+1),"")</f>
        <v>2</v>
      </c>
      <c r="L56" s="219">
        <f>IFERROR(INDEX(DistanceTable2[],VLOOKUP(NeighDistTable[[#This Row],[Kth-Neighbour''s Distance]],RankTable[[5]:[Dummy S No.]],7,FALSE),NeighDistTable[[#Headers],[5]]+1),"")</f>
        <v>3</v>
      </c>
      <c r="M56" s="219">
        <f>IFERROR(INDEX(DistanceTable2[],VLOOKUP(NeighDistTable[[#This Row],[Kth-Neighbour''s Distance]],RankTable[[6]:[Dummy S No.]],6,FALSE),NeighDistTable[[#Headers],[6]]+1),"")</f>
        <v>2</v>
      </c>
      <c r="N56" s="219">
        <f>IFERROR(INDEX(DistanceTable2[],VLOOKUP(NeighDistTable[[#This Row],[Kth-Neighbour''s Distance]],RankTable[[7]:[Dummy S No.]],5,FALSE),NeighDistTable[[#Headers],[7]]+1),"")</f>
        <v>2</v>
      </c>
      <c r="O56" s="219">
        <f>IFERROR(INDEX(DistanceTable2[],VLOOKUP(NeighDistTable[[#This Row],[Kth-Neighbour''s Distance]],RankTable[[8]:[Dummy S No.]],4,FALSE),NeighDistTable[[#Headers],[8]]+1),"")</f>
        <v>5</v>
      </c>
      <c r="P56" s="219">
        <f>IFERROR(INDEX(DistanceTable2[],VLOOKUP(NeighDistTable[[#This Row],[Kth-Neighbour''s Distance]],RankTable[[9]:[Dummy S No.]],3,FALSE),NeighDistTable[[#Headers],[9]]+1),"")</f>
        <v>2</v>
      </c>
      <c r="Q56" s="219">
        <f>IFERROR(INDEX(DistanceTable2[],VLOOKUP(NeighDistTable[[#This Row],[Kth-Neighbour''s Distance]],RankTable[[10]:[Dummy S No.]],2,FALSE),NeighDistTable[[#Headers],[10]]+1),"")</f>
        <v>3</v>
      </c>
    </row>
    <row r="57" spans="5:18">
      <c r="G57" s="217">
        <v>6</v>
      </c>
      <c r="H57" s="219">
        <f>IFERROR(INDEX(DistanceTable2[],VLOOKUP(NeighDistTable[[#This Row],[Kth-Neighbour''s Distance]],RankTable[[1]:[Dummy S No.]],11,FALSE),NeighDistTable[[#Headers],[1]]+1),"")</f>
        <v>2</v>
      </c>
      <c r="I57" s="219">
        <f>IFERROR(INDEX(DistanceTable2[],VLOOKUP(NeighDistTable[[#This Row],[Kth-Neighbour''s Distance]],RankTable[[2]:[Dummy S No.]],10,FALSE),NeighDistTable[[#Headers],[2]]+1),"")</f>
        <v>2</v>
      </c>
      <c r="J57" s="219">
        <f>IFERROR(INDEX(DistanceTable2[],VLOOKUP(NeighDistTable[[#This Row],[Kth-Neighbour''s Distance]],RankTable[[3]:[Dummy S No.]],9,FALSE),NeighDistTable[[#Headers],[3]]+1),"")</f>
        <v>4</v>
      </c>
      <c r="K57" s="219">
        <f>IFERROR(INDEX(DistanceTable2[],VLOOKUP(NeighDistTable[[#This Row],[Kth-Neighbour''s Distance]],RankTable[[4]:[Dummy S No.]],8,FALSE),NeighDistTable[[#Headers],[4]]+1),"")</f>
        <v>2</v>
      </c>
      <c r="L57" s="219">
        <f>IFERROR(INDEX(DistanceTable2[],VLOOKUP(NeighDistTable[[#This Row],[Kth-Neighbour''s Distance]],RankTable[[5]:[Dummy S No.]],7,FALSE),NeighDistTable[[#Headers],[5]]+1),"")</f>
        <v>3</v>
      </c>
      <c r="M57" s="219">
        <f>IFERROR(INDEX(DistanceTable2[],VLOOKUP(NeighDistTable[[#This Row],[Kth-Neighbour''s Distance]],RankTable[[6]:[Dummy S No.]],6,FALSE),NeighDistTable[[#Headers],[6]]+1),"")</f>
        <v>2</v>
      </c>
      <c r="N57" s="219">
        <f>IFERROR(INDEX(DistanceTable2[],VLOOKUP(NeighDistTable[[#This Row],[Kth-Neighbour''s Distance]],RankTable[[7]:[Dummy S No.]],5,FALSE),NeighDistTable[[#Headers],[7]]+1),"")</f>
        <v>2</v>
      </c>
      <c r="O57" s="219">
        <f>IFERROR(INDEX(DistanceTable2[],VLOOKUP(NeighDistTable[[#This Row],[Kth-Neighbour''s Distance]],RankTable[[8]:[Dummy S No.]],4,FALSE),NeighDistTable[[#Headers],[8]]+1),"")</f>
        <v>5</v>
      </c>
      <c r="P57" s="219">
        <f>IFERROR(INDEX(DistanceTable2[],VLOOKUP(NeighDistTable[[#This Row],[Kth-Neighbour''s Distance]],RankTable[[9]:[Dummy S No.]],3,FALSE),NeighDistTable[[#Headers],[9]]+1),"")</f>
        <v>2</v>
      </c>
      <c r="Q57" s="219">
        <f>IFERROR(INDEX(DistanceTable2[],VLOOKUP(NeighDistTable[[#This Row],[Kth-Neighbour''s Distance]],RankTable[[10]:[Dummy S No.]],2,FALSE),NeighDistTable[[#Headers],[10]]+1),"")</f>
        <v>3</v>
      </c>
    </row>
    <row r="58" spans="5:18">
      <c r="G58" s="217">
        <v>7</v>
      </c>
      <c r="H58" s="219">
        <f>IFERROR(INDEX(DistanceTable2[],VLOOKUP(NeighDistTable[[#This Row],[Kth-Neighbour''s Distance]],RankTable[[1]:[Dummy S No.]],11,FALSE),NeighDistTable[[#Headers],[1]]+1),"")</f>
        <v>3</v>
      </c>
      <c r="I58" s="219">
        <f>IFERROR(INDEX(DistanceTable2[],VLOOKUP(NeighDistTable[[#This Row],[Kth-Neighbour''s Distance]],RankTable[[2]:[Dummy S No.]],10,FALSE),NeighDistTable[[#Headers],[2]]+1),"")</f>
        <v>2</v>
      </c>
      <c r="J58" s="219">
        <f>IFERROR(INDEX(DistanceTable2[],VLOOKUP(NeighDistTable[[#This Row],[Kth-Neighbour''s Distance]],RankTable[[3]:[Dummy S No.]],9,FALSE),NeighDistTable[[#Headers],[3]]+1),"")</f>
        <v>4</v>
      </c>
      <c r="K58" s="219">
        <f>IFERROR(INDEX(DistanceTable2[],VLOOKUP(NeighDistTable[[#This Row],[Kth-Neighbour''s Distance]],RankTable[[4]:[Dummy S No.]],8,FALSE),NeighDistTable[[#Headers],[4]]+1),"")</f>
        <v>3</v>
      </c>
      <c r="L58" s="219">
        <f>IFERROR(INDEX(DistanceTable2[],VLOOKUP(NeighDistTable[[#This Row],[Kth-Neighbour''s Distance]],RankTable[[5]:[Dummy S No.]],7,FALSE),NeighDistTable[[#Headers],[5]]+1),"")</f>
        <v>3</v>
      </c>
      <c r="M58" s="219">
        <f>IFERROR(INDEX(DistanceTable2[],VLOOKUP(NeighDistTable[[#This Row],[Kth-Neighbour''s Distance]],RankTable[[6]:[Dummy S No.]],6,FALSE),NeighDistTable[[#Headers],[6]]+1),"")</f>
        <v>3</v>
      </c>
      <c r="N58" s="219">
        <f>IFERROR(INDEX(DistanceTable2[],VLOOKUP(NeighDistTable[[#This Row],[Kth-Neighbour''s Distance]],RankTable[[7]:[Dummy S No.]],5,FALSE),NeighDistTable[[#Headers],[7]]+1),"")</f>
        <v>3</v>
      </c>
      <c r="O58" s="219">
        <f>IFERROR(INDEX(DistanceTable2[],VLOOKUP(NeighDistTable[[#This Row],[Kth-Neighbour''s Distance]],RankTable[[8]:[Dummy S No.]],4,FALSE),NeighDistTable[[#Headers],[8]]+1),"")</f>
        <v>5</v>
      </c>
      <c r="P58" s="219">
        <f>IFERROR(INDEX(DistanceTable2[],VLOOKUP(NeighDistTable[[#This Row],[Kth-Neighbour''s Distance]],RankTable[[9]:[Dummy S No.]],3,FALSE),NeighDistTable[[#Headers],[9]]+1),"")</f>
        <v>3</v>
      </c>
      <c r="Q58" s="219">
        <f>IFERROR(INDEX(DistanceTable2[],VLOOKUP(NeighDistTable[[#This Row],[Kth-Neighbour''s Distance]],RankTable[[10]:[Dummy S No.]],2,FALSE),NeighDistTable[[#Headers],[10]]+1),"")</f>
        <v>4</v>
      </c>
    </row>
    <row r="59" spans="5:18">
      <c r="G59" s="217">
        <v>8</v>
      </c>
      <c r="H59" s="219">
        <f>IFERROR(INDEX(DistanceTable2[],VLOOKUP(NeighDistTable[[#This Row],[Kth-Neighbour''s Distance]],RankTable[[1]:[Dummy S No.]],11,FALSE),NeighDistTable[[#Headers],[1]]+1),"")</f>
        <v>4</v>
      </c>
      <c r="I59" s="219">
        <f>IFERROR(INDEX(DistanceTable2[],VLOOKUP(NeighDistTable[[#This Row],[Kth-Neighbour''s Distance]],RankTable[[2]:[Dummy S No.]],10,FALSE),NeighDistTable[[#Headers],[2]]+1),"")</f>
        <v>4</v>
      </c>
      <c r="J59" s="219">
        <f>IFERROR(INDEX(DistanceTable2[],VLOOKUP(NeighDistTable[[#This Row],[Kth-Neighbour''s Distance]],RankTable[[3]:[Dummy S No.]],9,FALSE),NeighDistTable[[#Headers],[3]]+1),"")</f>
        <v>5</v>
      </c>
      <c r="K59" s="219">
        <f>IFERROR(INDEX(DistanceTable2[],VLOOKUP(NeighDistTable[[#This Row],[Kth-Neighbour''s Distance]],RankTable[[4]:[Dummy S No.]],8,FALSE),NeighDistTable[[#Headers],[4]]+1),"")</f>
        <v>3</v>
      </c>
      <c r="L59" s="219">
        <f>IFERROR(INDEX(DistanceTable2[],VLOOKUP(NeighDistTable[[#This Row],[Kth-Neighbour''s Distance]],RankTable[[5]:[Dummy S No.]],7,FALSE),NeighDistTable[[#Headers],[5]]+1),"")</f>
        <v>3</v>
      </c>
      <c r="M59" s="219">
        <f>IFERROR(INDEX(DistanceTable2[],VLOOKUP(NeighDistTable[[#This Row],[Kth-Neighbour''s Distance]],RankTable[[6]:[Dummy S No.]],6,FALSE),NeighDistTable[[#Headers],[6]]+1),"")</f>
        <v>5</v>
      </c>
      <c r="N59" s="219">
        <f>IFERROR(INDEX(DistanceTable2[],VLOOKUP(NeighDistTable[[#This Row],[Kth-Neighbour''s Distance]],RankTable[[7]:[Dummy S No.]],5,FALSE),NeighDistTable[[#Headers],[7]]+1),"")</f>
        <v>4</v>
      </c>
      <c r="O59" s="219">
        <f>IFERROR(INDEX(DistanceTable2[],VLOOKUP(NeighDistTable[[#This Row],[Kth-Neighbour''s Distance]],RankTable[[8]:[Dummy S No.]],4,FALSE),NeighDistTable[[#Headers],[8]]+1),"")</f>
        <v>6</v>
      </c>
      <c r="P59" s="219">
        <f>IFERROR(INDEX(DistanceTable2[],VLOOKUP(NeighDistTable[[#This Row],[Kth-Neighbour''s Distance]],RankTable[[9]:[Dummy S No.]],3,FALSE),NeighDistTable[[#Headers],[9]]+1),"")</f>
        <v>3</v>
      </c>
      <c r="Q59" s="219">
        <f>IFERROR(INDEX(DistanceTable2[],VLOOKUP(NeighDistTable[[#This Row],[Kth-Neighbour''s Distance]],RankTable[[10]:[Dummy S No.]],2,FALSE),NeighDistTable[[#Headers],[10]]+1),"")</f>
        <v>6</v>
      </c>
    </row>
    <row r="60" spans="5:18">
      <c r="G60" s="217">
        <v>9</v>
      </c>
      <c r="H60" s="219">
        <f>IFERROR(INDEX(DistanceTable2[],VLOOKUP(NeighDistTable[[#This Row],[Kth-Neighbour''s Distance]],RankTable[[1]:[Dummy S No.]],11,FALSE),NeighDistTable[[#Headers],[1]]+1),"")</f>
        <v>5</v>
      </c>
      <c r="I60" s="219">
        <f>IFERROR(INDEX(DistanceTable2[],VLOOKUP(NeighDistTable[[#This Row],[Kth-Neighbour''s Distance]],RankTable[[2]:[Dummy S No.]],10,FALSE),NeighDistTable[[#Headers],[2]]+1),"")</f>
        <v>5</v>
      </c>
      <c r="J60" s="219">
        <f>IFERROR(INDEX(DistanceTable2[],VLOOKUP(NeighDistTable[[#This Row],[Kth-Neighbour''s Distance]],RankTable[[3]:[Dummy S No.]],9,FALSE),NeighDistTable[[#Headers],[3]]+1),"")</f>
        <v>6</v>
      </c>
      <c r="K60" s="219">
        <f>IFERROR(INDEX(DistanceTable2[],VLOOKUP(NeighDistTable[[#This Row],[Kth-Neighbour''s Distance]],RankTable[[4]:[Dummy S No.]],8,FALSE),NeighDistTable[[#Headers],[4]]+1),"")</f>
        <v>4</v>
      </c>
      <c r="L60" s="219">
        <f>IFERROR(INDEX(DistanceTable2[],VLOOKUP(NeighDistTable[[#This Row],[Kth-Neighbour''s Distance]],RankTable[[5]:[Dummy S No.]],7,FALSE),NeighDistTable[[#Headers],[5]]+1),"")</f>
        <v>4</v>
      </c>
      <c r="M60" s="219">
        <f>IFERROR(INDEX(DistanceTable2[],VLOOKUP(NeighDistTable[[#This Row],[Kth-Neighbour''s Distance]],RankTable[[6]:[Dummy S No.]],6,FALSE),NeighDistTable[[#Headers],[6]]+1),"")</f>
        <v>6</v>
      </c>
      <c r="N60" s="219">
        <f>IFERROR(INDEX(DistanceTable2[],VLOOKUP(NeighDistTable[[#This Row],[Kth-Neighbour''s Distance]],RankTable[[7]:[Dummy S No.]],5,FALSE),NeighDistTable[[#Headers],[7]]+1),"")</f>
        <v>5</v>
      </c>
      <c r="O60" s="219">
        <f>IFERROR(INDEX(DistanceTable2[],VLOOKUP(NeighDistTable[[#This Row],[Kth-Neighbour''s Distance]],RankTable[[8]:[Dummy S No.]],4,FALSE),NeighDistTable[[#Headers],[8]]+1),"")</f>
        <v>7</v>
      </c>
      <c r="P60" s="219">
        <f>IFERROR(INDEX(DistanceTable2[],VLOOKUP(NeighDistTable[[#This Row],[Kth-Neighbour''s Distance]],RankTable[[9]:[Dummy S No.]],3,FALSE),NeighDistTable[[#Headers],[9]]+1),"")</f>
        <v>4</v>
      </c>
      <c r="Q60" s="219">
        <f>IFERROR(INDEX(DistanceTable2[],VLOOKUP(NeighDistTable[[#This Row],[Kth-Neighbour''s Distance]],RankTable[[10]:[Dummy S No.]],2,FALSE),NeighDistTable[[#Headers],[10]]+1),"")</f>
        <v>7</v>
      </c>
    </row>
    <row r="61" spans="5:18">
      <c r="G61" s="218">
        <v>10</v>
      </c>
      <c r="H61" s="219" t="str">
        <f>IFERROR(INDEX(DistanceTable2[],VLOOKUP(NeighDistTable[[#This Row],[Kth-Neighbour''s Distance]],RankTable[[1]:[Dummy S No.]],11,FALSE),NeighDistTable[[#Headers],[1]]+1),"")</f>
        <v/>
      </c>
      <c r="I61" s="219" t="str">
        <f>IFERROR(INDEX(DistanceTable2[],VLOOKUP(NeighDistTable[[#This Row],[Kth-Neighbour''s Distance]],RankTable[[2]:[Dummy S No.]],10,FALSE),NeighDistTable[[#Headers],[2]]+1),"")</f>
        <v/>
      </c>
      <c r="J61" s="219" t="str">
        <f>IFERROR(INDEX(DistanceTable2[],VLOOKUP(NeighDistTable[[#This Row],[Kth-Neighbour''s Distance]],RankTable[[3]:[Dummy S No.]],9,FALSE),NeighDistTable[[#Headers],[3]]+1),"")</f>
        <v/>
      </c>
      <c r="K61" s="219" t="str">
        <f>IFERROR(INDEX(DistanceTable2[],VLOOKUP(NeighDistTable[[#This Row],[Kth-Neighbour''s Distance]],RankTable[[4]:[Dummy S No.]],8,FALSE),NeighDistTable[[#Headers],[4]]+1),"")</f>
        <v/>
      </c>
      <c r="L61" s="219" t="str">
        <f>IFERROR(INDEX(DistanceTable2[],VLOOKUP(NeighDistTable[[#This Row],[Kth-Neighbour''s Distance]],RankTable[[5]:[Dummy S No.]],7,FALSE),NeighDistTable[[#Headers],[5]]+1),"")</f>
        <v/>
      </c>
      <c r="M61" s="219" t="str">
        <f>IFERROR(INDEX(DistanceTable2[],VLOOKUP(NeighDistTable[[#This Row],[Kth-Neighbour''s Distance]],RankTable[[6]:[Dummy S No.]],6,FALSE),NeighDistTable[[#Headers],[6]]+1),"")</f>
        <v/>
      </c>
      <c r="N61" s="219" t="str">
        <f>IFERROR(INDEX(DistanceTable2[],VLOOKUP(NeighDistTable[[#This Row],[Kth-Neighbour''s Distance]],RankTable[[7]:[Dummy S No.]],5,FALSE),NeighDistTable[[#Headers],[7]]+1),"")</f>
        <v/>
      </c>
      <c r="O61" s="219" t="str">
        <f>IFERROR(INDEX(DistanceTable2[],VLOOKUP(NeighDistTable[[#This Row],[Kth-Neighbour''s Distance]],RankTable[[8]:[Dummy S No.]],4,FALSE),NeighDistTable[[#Headers],[8]]+1),"")</f>
        <v/>
      </c>
      <c r="P61" s="219" t="str">
        <f>IFERROR(INDEX(DistanceTable2[],VLOOKUP(NeighDistTable[[#This Row],[Kth-Neighbour''s Distance]],RankTable[[9]:[Dummy S No.]],3,FALSE),NeighDistTable[[#Headers],[9]]+1),"")</f>
        <v/>
      </c>
      <c r="Q61" s="219" t="str">
        <f>IFERROR(INDEX(DistanceTable2[],VLOOKUP(NeighDistTable[[#This Row],[Kth-Neighbour''s Distance]],RankTable[[10]:[Dummy S No.]],2,FALSE),NeighDistTable[[#Headers],[10]]+1),"")</f>
        <v/>
      </c>
    </row>
    <row r="63" spans="5:18">
      <c r="G63" s="118" t="s">
        <v>754</v>
      </c>
      <c r="H63" s="119" t="s">
        <v>83</v>
      </c>
      <c r="I63" s="119" t="s">
        <v>84</v>
      </c>
      <c r="J63" s="119" t="s">
        <v>85</v>
      </c>
      <c r="K63" s="119" t="s">
        <v>86</v>
      </c>
      <c r="L63" s="119" t="s">
        <v>220</v>
      </c>
      <c r="M63" s="119" t="s">
        <v>221</v>
      </c>
      <c r="N63" s="119" t="s">
        <v>400</v>
      </c>
      <c r="O63" s="119" t="s">
        <v>401</v>
      </c>
      <c r="P63" s="119" t="s">
        <v>402</v>
      </c>
      <c r="Q63" s="120" t="s">
        <v>403</v>
      </c>
    </row>
    <row r="64" spans="5:18">
      <c r="G64" s="216">
        <v>1</v>
      </c>
      <c r="H64" s="219">
        <f t="shared" ref="H64:Q73" si="11">COUNTIF(H$28:H$37,"&lt;="&amp;H52)</f>
        <v>1</v>
      </c>
      <c r="I64" s="219">
        <f t="shared" si="11"/>
        <v>3</v>
      </c>
      <c r="J64" s="219">
        <f t="shared" si="11"/>
        <v>1</v>
      </c>
      <c r="K64" s="219">
        <f t="shared" si="11"/>
        <v>4</v>
      </c>
      <c r="L64" s="219">
        <f t="shared" si="11"/>
        <v>2</v>
      </c>
      <c r="M64" s="219">
        <f t="shared" si="11"/>
        <v>4</v>
      </c>
      <c r="N64" s="219">
        <f t="shared" si="11"/>
        <v>1</v>
      </c>
      <c r="O64" s="219">
        <f t="shared" si="11"/>
        <v>1</v>
      </c>
      <c r="P64" s="219">
        <f t="shared" si="11"/>
        <v>2</v>
      </c>
      <c r="Q64" s="219">
        <f t="shared" si="11"/>
        <v>1</v>
      </c>
    </row>
    <row r="65" spans="7:17">
      <c r="G65" s="216">
        <v>2</v>
      </c>
      <c r="H65" s="219">
        <f t="shared" si="11"/>
        <v>3</v>
      </c>
      <c r="I65" s="219">
        <f t="shared" si="11"/>
        <v>3</v>
      </c>
      <c r="J65" s="219">
        <f t="shared" si="11"/>
        <v>2</v>
      </c>
      <c r="K65" s="219">
        <f t="shared" si="11"/>
        <v>4</v>
      </c>
      <c r="L65" s="219">
        <f t="shared" si="11"/>
        <v>2</v>
      </c>
      <c r="M65" s="219">
        <f t="shared" si="11"/>
        <v>4</v>
      </c>
      <c r="N65" s="219">
        <f t="shared" si="11"/>
        <v>3</v>
      </c>
      <c r="O65" s="219">
        <f t="shared" si="11"/>
        <v>2</v>
      </c>
      <c r="P65" s="219">
        <f t="shared" si="11"/>
        <v>2</v>
      </c>
      <c r="Q65" s="219">
        <f t="shared" si="11"/>
        <v>4</v>
      </c>
    </row>
    <row r="66" spans="7:17">
      <c r="G66" s="216">
        <v>3</v>
      </c>
      <c r="H66" s="219">
        <f t="shared" si="11"/>
        <v>3</v>
      </c>
      <c r="I66" s="219">
        <f t="shared" si="11"/>
        <v>3</v>
      </c>
      <c r="J66" s="219">
        <f t="shared" si="11"/>
        <v>4</v>
      </c>
      <c r="K66" s="219">
        <f t="shared" si="11"/>
        <v>4</v>
      </c>
      <c r="L66" s="219">
        <f t="shared" si="11"/>
        <v>4</v>
      </c>
      <c r="M66" s="219">
        <f t="shared" si="11"/>
        <v>4</v>
      </c>
      <c r="N66" s="219">
        <f t="shared" si="11"/>
        <v>3</v>
      </c>
      <c r="O66" s="219">
        <f t="shared" si="11"/>
        <v>4</v>
      </c>
      <c r="P66" s="219">
        <f t="shared" si="11"/>
        <v>6</v>
      </c>
      <c r="Q66" s="219">
        <f t="shared" si="11"/>
        <v>4</v>
      </c>
    </row>
    <row r="67" spans="7:17">
      <c r="G67" s="216">
        <v>4</v>
      </c>
      <c r="H67" s="219">
        <f t="shared" si="11"/>
        <v>6</v>
      </c>
      <c r="I67" s="219">
        <f t="shared" si="11"/>
        <v>7</v>
      </c>
      <c r="J67" s="219">
        <f t="shared" si="11"/>
        <v>4</v>
      </c>
      <c r="K67" s="219">
        <f t="shared" si="11"/>
        <v>4</v>
      </c>
      <c r="L67" s="219">
        <f t="shared" si="11"/>
        <v>4</v>
      </c>
      <c r="M67" s="219">
        <f t="shared" si="11"/>
        <v>4</v>
      </c>
      <c r="N67" s="219">
        <f t="shared" si="11"/>
        <v>6</v>
      </c>
      <c r="O67" s="219">
        <f t="shared" si="11"/>
        <v>4</v>
      </c>
      <c r="P67" s="219">
        <f t="shared" si="11"/>
        <v>6</v>
      </c>
      <c r="Q67" s="219">
        <f t="shared" si="11"/>
        <v>4</v>
      </c>
    </row>
    <row r="68" spans="7:17">
      <c r="G68" s="217">
        <v>5</v>
      </c>
      <c r="H68" s="219">
        <f t="shared" si="11"/>
        <v>6</v>
      </c>
      <c r="I68" s="219">
        <f t="shared" si="11"/>
        <v>7</v>
      </c>
      <c r="J68" s="219">
        <f t="shared" si="11"/>
        <v>7</v>
      </c>
      <c r="K68" s="219">
        <f t="shared" si="11"/>
        <v>6</v>
      </c>
      <c r="L68" s="219">
        <f t="shared" si="11"/>
        <v>8</v>
      </c>
      <c r="M68" s="219">
        <f t="shared" si="11"/>
        <v>6</v>
      </c>
      <c r="N68" s="219">
        <f t="shared" si="11"/>
        <v>6</v>
      </c>
      <c r="O68" s="219">
        <f t="shared" si="11"/>
        <v>7</v>
      </c>
      <c r="P68" s="219">
        <f t="shared" si="11"/>
        <v>6</v>
      </c>
      <c r="Q68" s="219">
        <f t="shared" si="11"/>
        <v>6</v>
      </c>
    </row>
    <row r="69" spans="7:17">
      <c r="G69" s="217">
        <v>6</v>
      </c>
      <c r="H69" s="219">
        <f t="shared" si="11"/>
        <v>6</v>
      </c>
      <c r="I69" s="219">
        <f t="shared" si="11"/>
        <v>7</v>
      </c>
      <c r="J69" s="219">
        <f t="shared" si="11"/>
        <v>7</v>
      </c>
      <c r="K69" s="219">
        <f t="shared" si="11"/>
        <v>6</v>
      </c>
      <c r="L69" s="219">
        <f t="shared" si="11"/>
        <v>8</v>
      </c>
      <c r="M69" s="219">
        <f t="shared" si="11"/>
        <v>6</v>
      </c>
      <c r="N69" s="219">
        <f t="shared" si="11"/>
        <v>6</v>
      </c>
      <c r="O69" s="219">
        <f t="shared" si="11"/>
        <v>7</v>
      </c>
      <c r="P69" s="219">
        <f t="shared" si="11"/>
        <v>6</v>
      </c>
      <c r="Q69" s="219">
        <f t="shared" si="11"/>
        <v>6</v>
      </c>
    </row>
    <row r="70" spans="7:17">
      <c r="G70" s="217">
        <v>7</v>
      </c>
      <c r="H70" s="219">
        <f t="shared" si="11"/>
        <v>7</v>
      </c>
      <c r="I70" s="219">
        <f t="shared" si="11"/>
        <v>7</v>
      </c>
      <c r="J70" s="219">
        <f t="shared" si="11"/>
        <v>7</v>
      </c>
      <c r="K70" s="219">
        <f t="shared" si="11"/>
        <v>8</v>
      </c>
      <c r="L70" s="219">
        <f t="shared" si="11"/>
        <v>8</v>
      </c>
      <c r="M70" s="219">
        <f t="shared" si="11"/>
        <v>7</v>
      </c>
      <c r="N70" s="219">
        <f t="shared" si="11"/>
        <v>7</v>
      </c>
      <c r="O70" s="219">
        <f t="shared" si="11"/>
        <v>7</v>
      </c>
      <c r="P70" s="219">
        <f t="shared" si="11"/>
        <v>8</v>
      </c>
      <c r="Q70" s="219">
        <f t="shared" si="11"/>
        <v>7</v>
      </c>
    </row>
    <row r="71" spans="7:17">
      <c r="G71" s="217">
        <v>8</v>
      </c>
      <c r="H71" s="219">
        <f t="shared" si="11"/>
        <v>8</v>
      </c>
      <c r="I71" s="219">
        <f t="shared" si="11"/>
        <v>8</v>
      </c>
      <c r="J71" s="219">
        <f t="shared" si="11"/>
        <v>8</v>
      </c>
      <c r="K71" s="219">
        <f t="shared" si="11"/>
        <v>8</v>
      </c>
      <c r="L71" s="219">
        <f t="shared" si="11"/>
        <v>8</v>
      </c>
      <c r="M71" s="219">
        <f t="shared" si="11"/>
        <v>8</v>
      </c>
      <c r="N71" s="219">
        <f t="shared" si="11"/>
        <v>8</v>
      </c>
      <c r="O71" s="219">
        <f t="shared" si="11"/>
        <v>8</v>
      </c>
      <c r="P71" s="219">
        <f t="shared" si="11"/>
        <v>8</v>
      </c>
      <c r="Q71" s="219">
        <f t="shared" si="11"/>
        <v>8</v>
      </c>
    </row>
    <row r="72" spans="7:17">
      <c r="G72" s="217">
        <v>9</v>
      </c>
      <c r="H72" s="219">
        <f t="shared" si="11"/>
        <v>9</v>
      </c>
      <c r="I72" s="219">
        <f t="shared" si="11"/>
        <v>9</v>
      </c>
      <c r="J72" s="219">
        <f t="shared" si="11"/>
        <v>9</v>
      </c>
      <c r="K72" s="219">
        <f t="shared" si="11"/>
        <v>9</v>
      </c>
      <c r="L72" s="219">
        <f t="shared" si="11"/>
        <v>9</v>
      </c>
      <c r="M72" s="219">
        <f t="shared" si="11"/>
        <v>9</v>
      </c>
      <c r="N72" s="219">
        <f t="shared" si="11"/>
        <v>9</v>
      </c>
      <c r="O72" s="219">
        <f t="shared" si="11"/>
        <v>9</v>
      </c>
      <c r="P72" s="219">
        <f t="shared" si="11"/>
        <v>9</v>
      </c>
      <c r="Q72" s="219">
        <f t="shared" si="11"/>
        <v>9</v>
      </c>
    </row>
    <row r="73" spans="7:17">
      <c r="G73" s="218">
        <v>10</v>
      </c>
      <c r="H73" s="219">
        <f t="shared" si="11"/>
        <v>0</v>
      </c>
      <c r="I73" s="219">
        <f t="shared" si="11"/>
        <v>0</v>
      </c>
      <c r="J73" s="219">
        <f t="shared" si="11"/>
        <v>0</v>
      </c>
      <c r="K73" s="219">
        <f t="shared" si="11"/>
        <v>0</v>
      </c>
      <c r="L73" s="219">
        <f t="shared" si="11"/>
        <v>0</v>
      </c>
      <c r="M73" s="219">
        <f t="shared" si="11"/>
        <v>0</v>
      </c>
      <c r="N73" s="219">
        <f t="shared" si="11"/>
        <v>0</v>
      </c>
      <c r="O73" s="219">
        <f t="shared" si="11"/>
        <v>0</v>
      </c>
      <c r="P73" s="219">
        <f t="shared" si="11"/>
        <v>0</v>
      </c>
      <c r="Q73" s="219">
        <f t="shared" si="11"/>
        <v>0</v>
      </c>
    </row>
  </sheetData>
  <mergeCells count="8">
    <mergeCell ref="G10:Q10"/>
    <mergeCell ref="U10:AE10"/>
    <mergeCell ref="A1:C1"/>
    <mergeCell ref="A2:A3"/>
    <mergeCell ref="A5:A6"/>
    <mergeCell ref="B5:B6"/>
    <mergeCell ref="C5:C6"/>
    <mergeCell ref="U5:AE5"/>
  </mergeCells>
  <conditionalFormatting sqref="H40:H49">
    <cfRule type="colorScale" priority="13">
      <colorScale>
        <cfvo type="min"/>
        <cfvo type="max"/>
        <color rgb="FF63BE7B"/>
        <color rgb="FFFCFCFF"/>
      </colorScale>
    </cfRule>
  </conditionalFormatting>
  <conditionalFormatting sqref="I40:I49">
    <cfRule type="colorScale" priority="12">
      <colorScale>
        <cfvo type="min"/>
        <cfvo type="max"/>
        <color rgb="FF63BE7B"/>
        <color rgb="FFFCFCFF"/>
      </colorScale>
    </cfRule>
  </conditionalFormatting>
  <conditionalFormatting sqref="J40:J49">
    <cfRule type="colorScale" priority="11">
      <colorScale>
        <cfvo type="min"/>
        <cfvo type="max"/>
        <color rgb="FF63BE7B"/>
        <color rgb="FFFCFCFF"/>
      </colorScale>
    </cfRule>
  </conditionalFormatting>
  <conditionalFormatting sqref="K40:K49">
    <cfRule type="colorScale" priority="10">
      <colorScale>
        <cfvo type="min"/>
        <cfvo type="max"/>
        <color rgb="FF63BE7B"/>
        <color rgb="FFFCFCFF"/>
      </colorScale>
    </cfRule>
  </conditionalFormatting>
  <conditionalFormatting sqref="L40:L49">
    <cfRule type="colorScale" priority="9">
      <colorScale>
        <cfvo type="min"/>
        <cfvo type="max"/>
        <color rgb="FF63BE7B"/>
        <color rgb="FFFCFCFF"/>
      </colorScale>
    </cfRule>
  </conditionalFormatting>
  <conditionalFormatting sqref="M40:M49">
    <cfRule type="colorScale" priority="8">
      <colorScale>
        <cfvo type="min"/>
        <cfvo type="max"/>
        <color rgb="FF63BE7B"/>
        <color rgb="FFFCFCFF"/>
      </colorScale>
    </cfRule>
  </conditionalFormatting>
  <conditionalFormatting sqref="N40:N49">
    <cfRule type="colorScale" priority="7">
      <colorScale>
        <cfvo type="min"/>
        <cfvo type="max"/>
        <color rgb="FF63BE7B"/>
        <color rgb="FFFCFCFF"/>
      </colorScale>
    </cfRule>
  </conditionalFormatting>
  <conditionalFormatting sqref="O40:O49">
    <cfRule type="colorScale" priority="6">
      <colorScale>
        <cfvo type="min"/>
        <cfvo type="max"/>
        <color rgb="FF63BE7B"/>
        <color rgb="FFFCFCFF"/>
      </colorScale>
    </cfRule>
  </conditionalFormatting>
  <conditionalFormatting sqref="P40:P49">
    <cfRule type="colorScale" priority="5">
      <colorScale>
        <cfvo type="min"/>
        <cfvo type="max"/>
        <color rgb="FF63BE7B"/>
        <color rgb="FFFCFCFF"/>
      </colorScale>
    </cfRule>
  </conditionalFormatting>
  <conditionalFormatting sqref="Q40:Q49">
    <cfRule type="colorScale" priority="4">
      <colorScale>
        <cfvo type="min"/>
        <cfvo type="max"/>
        <color rgb="FF63BE7B"/>
        <color rgb="FFFCFCFF"/>
      </colorScale>
    </cfRule>
  </conditionalFormatting>
  <conditionalFormatting sqref="H64:Q64">
    <cfRule type="colorScale" priority="3">
      <colorScale>
        <cfvo type="min"/>
        <cfvo type="max"/>
        <color rgb="FFFCFCFF"/>
        <color rgb="FF63BE7B"/>
      </colorScale>
    </cfRule>
  </conditionalFormatting>
  <conditionalFormatting sqref="H65:Q65">
    <cfRule type="colorScale" priority="2">
      <colorScale>
        <cfvo type="min"/>
        <cfvo type="max"/>
        <color rgb="FFFCFCFF"/>
        <color rgb="FF63BE7B"/>
      </colorScale>
    </cfRule>
  </conditionalFormatting>
  <conditionalFormatting sqref="H66:Q66">
    <cfRule type="colorScale" priority="1">
      <colorScale>
        <cfvo type="min"/>
        <cfvo type="max"/>
        <color rgb="FFFCFCFF"/>
        <color rgb="FF63BE7B"/>
      </colorScale>
    </cfRule>
  </conditionalFormatting>
  <pageMargins left="0.7" right="0.7" top="0.75" bottom="0.75" header="0.3" footer="0.3"/>
  <pageSetup orientation="portrait" horizontalDpi="4294967293" r:id="rId1"/>
  <drawing r:id="rId2"/>
  <tableParts count="9">
    <tablePart r:id="rId3"/>
    <tablePart r:id="rId4"/>
    <tablePart r:id="rId5"/>
    <tablePart r:id="rId6"/>
    <tablePart r:id="rId7"/>
    <tablePart r:id="rId8"/>
    <tablePart r:id="rId9"/>
    <tablePart r:id="rId10"/>
    <tablePart r:id="rId1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XEX15"/>
  <sheetViews>
    <sheetView showGridLines="0" zoomScaleNormal="100" workbookViewId="0">
      <selection activeCell="B9" sqref="B9:E15"/>
    </sheetView>
  </sheetViews>
  <sheetFormatPr defaultRowHeight="15"/>
  <cols>
    <col min="1" max="1" width="13.5703125" customWidth="1"/>
    <col min="2" max="5" width="11.7109375" bestFit="1" customWidth="1"/>
    <col min="7" max="7" width="26" bestFit="1" customWidth="1"/>
    <col min="8" max="11" width="11.5703125" customWidth="1"/>
    <col min="12" max="12" width="19.140625" customWidth="1"/>
  </cols>
  <sheetData>
    <row r="1" spans="1:12 16378:16378">
      <c r="A1" t="s">
        <v>390</v>
      </c>
      <c r="B1" t="s">
        <v>391</v>
      </c>
      <c r="C1" t="s">
        <v>392</v>
      </c>
      <c r="D1" t="s">
        <v>393</v>
      </c>
      <c r="E1" t="s">
        <v>394</v>
      </c>
    </row>
    <row r="2" spans="1:12 16378:16378">
      <c r="B2" s="18">
        <f>IFERROR(AVERAGE(InputTable[n1]),"")</f>
        <v>6</v>
      </c>
      <c r="C2" s="18">
        <f>IFERROR(AVERAGE(InputTable[n2]),"")</f>
        <v>11.5</v>
      </c>
      <c r="D2" s="18">
        <f>IFERROR(AVERAGE(InputTable[n3]),"")</f>
        <v>42.25</v>
      </c>
      <c r="E2" s="18" t="str">
        <f>IFERROR(AVERAGE(InputTable[n4]),"")</f>
        <v/>
      </c>
      <c r="H2" t="s">
        <v>426</v>
      </c>
    </row>
    <row r="6" spans="1:12 16378:16378">
      <c r="A6" t="s">
        <v>395</v>
      </c>
    </row>
    <row r="7" spans="1:12 16378:16378">
      <c r="B7" s="242" t="s">
        <v>396</v>
      </c>
      <c r="C7" s="242"/>
      <c r="D7" s="242"/>
      <c r="E7" s="242"/>
      <c r="XEX7">
        <f>SUM(XEX2:XFD3)</f>
        <v>0</v>
      </c>
    </row>
    <row r="8" spans="1:12 16378:16378">
      <c r="A8" t="s">
        <v>389</v>
      </c>
      <c r="B8" t="s">
        <v>391</v>
      </c>
      <c r="C8" t="s">
        <v>392</v>
      </c>
      <c r="D8" t="s">
        <v>393</v>
      </c>
      <c r="E8" t="s">
        <v>394</v>
      </c>
      <c r="G8" t="s">
        <v>399</v>
      </c>
      <c r="H8" t="s">
        <v>391</v>
      </c>
      <c r="I8" t="s">
        <v>392</v>
      </c>
      <c r="J8" t="s">
        <v>393</v>
      </c>
      <c r="K8" t="s">
        <v>394</v>
      </c>
      <c r="L8" s="113" t="s">
        <v>397</v>
      </c>
    </row>
    <row r="9" spans="1:12 16378:16378">
      <c r="A9" s="18">
        <v>1</v>
      </c>
      <c r="B9" s="111">
        <v>5</v>
      </c>
      <c r="C9" s="111">
        <v>10</v>
      </c>
      <c r="D9" s="111">
        <v>55</v>
      </c>
      <c r="E9" s="111"/>
      <c r="G9" s="18">
        <f>InputTable[[#This Row],[Tuple]]</f>
        <v>1</v>
      </c>
      <c r="H9" s="18">
        <f>IFERROR(POWER((InputTable[[#This Row],[n1]]-MeanValues[n1]),2)/MeanValues[n1],"")</f>
        <v>0.16666666666666666</v>
      </c>
      <c r="I9" s="18">
        <f>IFERROR(POWER((InputTable[[#This Row],[n2]]-MeanValues[n2]),2)/MeanValues[n2],"")</f>
        <v>0.19565217391304349</v>
      </c>
      <c r="J9" s="18">
        <f>IFERROR(POWER((InputTable[[#This Row],[n3]]-MeanValues[n3]),2)/MeanValues[n3],"")</f>
        <v>3.8476331360946747</v>
      </c>
      <c r="K9" s="18" t="str">
        <f>IFERROR(POWER((InputTable[[#This Row],[n4]]-MeanValues[n4]),2)/MeanValues[n4],"")</f>
        <v/>
      </c>
      <c r="L9">
        <f>SUM(Table81[[#This Row],[n1]:[n4]])</f>
        <v>4.2099519766743851</v>
      </c>
    </row>
    <row r="10" spans="1:12 16378:16378">
      <c r="A10" s="18">
        <f>A9+1</f>
        <v>2</v>
      </c>
      <c r="B10" s="111">
        <v>5</v>
      </c>
      <c r="C10" s="111">
        <v>13</v>
      </c>
      <c r="D10" s="111">
        <v>34</v>
      </c>
      <c r="E10" s="111"/>
      <c r="G10" s="18">
        <f>InputTable[[#This Row],[Tuple]]</f>
        <v>2</v>
      </c>
      <c r="H10" s="18">
        <f>IFERROR(POWER((InputTable[[#This Row],[n1]]-MeanValues[n1]),2)/MeanValues[n1],"")</f>
        <v>0.16666666666666666</v>
      </c>
      <c r="I10" s="18">
        <f>IFERROR(POWER((InputTable[[#This Row],[n2]]-MeanValues[n2]),2)/MeanValues[n2],"")</f>
        <v>0.19565217391304349</v>
      </c>
      <c r="J10" s="18">
        <f>IFERROR(POWER((InputTable[[#This Row],[n3]]-MeanValues[n3]),2)/MeanValues[n3],"")</f>
        <v>1.6109467455621302</v>
      </c>
      <c r="K10" s="18" t="str">
        <f>IFERROR(POWER((InputTable[[#This Row],[n4]]-MeanValues[n4]),2)/MeanValues[n4],"")</f>
        <v/>
      </c>
      <c r="L10">
        <f>SUM(Table81[[#This Row],[n1]:[n4]])</f>
        <v>1.9732655861418404</v>
      </c>
    </row>
    <row r="11" spans="1:12 16378:16378">
      <c r="A11" s="18">
        <f t="shared" ref="A11:A15" si="0">A10+1</f>
        <v>3</v>
      </c>
      <c r="B11" s="111">
        <v>7</v>
      </c>
      <c r="C11" s="111">
        <v>12</v>
      </c>
      <c r="D11" s="111">
        <v>45</v>
      </c>
      <c r="E11" s="111"/>
      <c r="G11" s="18">
        <f>InputTable[[#This Row],[Tuple]]</f>
        <v>3</v>
      </c>
      <c r="H11" s="18">
        <f>IFERROR(POWER((InputTable[[#This Row],[n1]]-MeanValues[n1]),2)/MeanValues[n1],"")</f>
        <v>0.16666666666666666</v>
      </c>
      <c r="I11" s="18">
        <f>IFERROR(POWER((InputTable[[#This Row],[n2]]-MeanValues[n2]),2)/MeanValues[n2],"")</f>
        <v>2.1739130434782608E-2</v>
      </c>
      <c r="J11" s="18">
        <f>IFERROR(POWER((InputTable[[#This Row],[n3]]-MeanValues[n3]),2)/MeanValues[n3],"")</f>
        <v>0.17899408284023668</v>
      </c>
      <c r="K11" s="18" t="str">
        <f>IFERROR(POWER((InputTable[[#This Row],[n4]]-MeanValues[n4]),2)/MeanValues[n4],"")</f>
        <v/>
      </c>
      <c r="L11">
        <f>SUM(Table81[[#This Row],[n1]:[n4]])</f>
        <v>0.36739987994168599</v>
      </c>
    </row>
    <row r="12" spans="1:12 16378:16378">
      <c r="A12" s="18">
        <f t="shared" si="0"/>
        <v>4</v>
      </c>
      <c r="B12" s="111">
        <v>7</v>
      </c>
      <c r="C12" s="111">
        <v>11</v>
      </c>
      <c r="D12" s="111">
        <v>35</v>
      </c>
      <c r="E12" s="111"/>
      <c r="G12" s="18">
        <f>InputTable[[#This Row],[Tuple]]</f>
        <v>4</v>
      </c>
      <c r="H12" s="18">
        <f>IFERROR(POWER((InputTable[[#This Row],[n1]]-MeanValues[n1]),2)/MeanValues[n1],"")</f>
        <v>0.16666666666666666</v>
      </c>
      <c r="I12" s="18">
        <f>IFERROR(POWER((InputTable[[#This Row],[n2]]-MeanValues[n2]),2)/MeanValues[n2],"")</f>
        <v>2.1739130434782608E-2</v>
      </c>
      <c r="J12" s="18">
        <f>IFERROR(POWER((InputTable[[#This Row],[n3]]-MeanValues[n3]),2)/MeanValues[n3],"")</f>
        <v>1.2440828402366864</v>
      </c>
      <c r="K12" s="18" t="str">
        <f>IFERROR(POWER((InputTable[[#This Row],[n4]]-MeanValues[n4]),2)/MeanValues[n4],"")</f>
        <v/>
      </c>
      <c r="L12">
        <f>SUM(Table81[[#This Row],[n1]:[n4]])</f>
        <v>1.4324886373381356</v>
      </c>
    </row>
    <row r="13" spans="1:12 16378:16378">
      <c r="A13" s="128">
        <f t="shared" si="0"/>
        <v>5</v>
      </c>
      <c r="B13" s="111"/>
      <c r="C13" s="111"/>
      <c r="D13" s="111"/>
      <c r="E13" s="111"/>
      <c r="G13" s="18">
        <f>InputTable[[#This Row],[Tuple]]</f>
        <v>5</v>
      </c>
      <c r="H13" s="18">
        <f>IFERROR(POWER((InputTable[[#This Row],[n1]]-MeanValues[n1]),2)/MeanValues[n1],"")</f>
        <v>6</v>
      </c>
      <c r="I13" s="18">
        <f>IFERROR(POWER((InputTable[[#This Row],[n2]]-MeanValues[n2]),2)/MeanValues[n2],"")</f>
        <v>11.5</v>
      </c>
      <c r="J13" s="18">
        <f>IFERROR(POWER((InputTable[[#This Row],[n3]]-MeanValues[n3]),2)/MeanValues[n3],"")</f>
        <v>42.25</v>
      </c>
      <c r="K13" s="18" t="str">
        <f>IFERROR(POWER((InputTable[[#This Row],[n4]]-MeanValues[n4]),2)/MeanValues[n4],"")</f>
        <v/>
      </c>
      <c r="L13">
        <f>SUM(Table81[[#This Row],[n1]:[n4]])</f>
        <v>59.75</v>
      </c>
    </row>
    <row r="14" spans="1:12 16378:16378">
      <c r="A14" s="128">
        <f t="shared" si="0"/>
        <v>6</v>
      </c>
      <c r="B14" s="112"/>
      <c r="C14" s="112"/>
      <c r="D14" s="112"/>
      <c r="E14" s="112"/>
      <c r="G14" s="135">
        <f>InputTable[[#This Row],[Tuple]]</f>
        <v>6</v>
      </c>
      <c r="H14" s="135">
        <f>IFERROR(POWER((InputTable[[#This Row],[n1]]-MeanValues[n1]),2)/MeanValues[n1],"")</f>
        <v>6</v>
      </c>
      <c r="I14" s="135">
        <f>IFERROR(POWER((InputTable[[#This Row],[n2]]-MeanValues[n2]),2)/MeanValues[n2],"")</f>
        <v>11.5</v>
      </c>
      <c r="J14" s="135">
        <f>IFERROR(POWER((InputTable[[#This Row],[n3]]-MeanValues[n3]),2)/MeanValues[n3],"")</f>
        <v>42.25</v>
      </c>
      <c r="K14" s="135" t="str">
        <f>IFERROR(POWER((InputTable[[#This Row],[n4]]-MeanValues[n4]),2)/MeanValues[n4],"")</f>
        <v/>
      </c>
      <c r="L14" s="190">
        <f>SUM(Table81[[#This Row],[n1]:[n4]])</f>
        <v>59.75</v>
      </c>
    </row>
    <row r="15" spans="1:12 16378:16378">
      <c r="A15" s="133">
        <f t="shared" si="0"/>
        <v>7</v>
      </c>
      <c r="B15" s="112"/>
      <c r="C15" s="112"/>
      <c r="D15" s="112"/>
      <c r="E15" s="112"/>
      <c r="G15" s="135">
        <f>InputTable[[#This Row],[Tuple]]</f>
        <v>7</v>
      </c>
      <c r="H15" s="135">
        <f>IFERROR(POWER((InputTable[[#This Row],[n1]]-MeanValues[n1]),2)/MeanValues[n1],"")</f>
        <v>6</v>
      </c>
      <c r="I15" s="135">
        <f>IFERROR(POWER((InputTable[[#This Row],[n2]]-MeanValues[n2]),2)/MeanValues[n2],"")</f>
        <v>11.5</v>
      </c>
      <c r="J15" s="135">
        <f>IFERROR(POWER((InputTable[[#This Row],[n3]]-MeanValues[n3]),2)/MeanValues[n3],"")</f>
        <v>42.25</v>
      </c>
      <c r="K15" s="135" t="str">
        <f>IFERROR(POWER((InputTable[[#This Row],[n4]]-MeanValues[n4]),2)/MeanValues[n4],"")</f>
        <v/>
      </c>
      <c r="L15" s="190">
        <f>SUM(Table81[[#This Row],[n1]:[n4]])</f>
        <v>59.75</v>
      </c>
    </row>
  </sheetData>
  <mergeCells count="1">
    <mergeCell ref="B7:E7"/>
  </mergeCells>
  <conditionalFormatting sqref="L9:L15">
    <cfRule type="colorScale" priority="3">
      <colorScale>
        <cfvo type="min"/>
        <cfvo type="percentile" val="50"/>
        <cfvo type="max"/>
        <color rgb="FF63BE7B"/>
        <color rgb="FFFFEB84"/>
        <color rgb="FFF8696B"/>
      </colorScale>
    </cfRule>
  </conditionalFormatting>
  <pageMargins left="0.7" right="0.7" top="0.75" bottom="0.75" header="0.3" footer="0.3"/>
  <pageSetup orientation="portrait" horizontalDpi="4294967293" verticalDpi="0" r:id="rId1"/>
  <drawing r:id="rId2"/>
  <tableParts count="3">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E28"/>
  <sheetViews>
    <sheetView showGridLines="0" workbookViewId="0">
      <selection activeCell="H10" sqref="H10"/>
    </sheetView>
  </sheetViews>
  <sheetFormatPr defaultRowHeight="15"/>
  <cols>
    <col min="1" max="1" width="31" customWidth="1"/>
    <col min="2" max="2" width="28.85546875" bestFit="1" customWidth="1"/>
    <col min="3" max="3" width="14.5703125" bestFit="1" customWidth="1"/>
    <col min="4" max="5" width="11.7109375" bestFit="1" customWidth="1"/>
    <col min="7" max="7" width="33.85546875" bestFit="1" customWidth="1"/>
    <col min="8" max="8" width="8.5703125" bestFit="1" customWidth="1"/>
    <col min="9" max="11" width="7.28515625" bestFit="1" customWidth="1"/>
    <col min="12" max="12" width="8.5703125" bestFit="1" customWidth="1"/>
    <col min="13" max="17" width="7.28515625" bestFit="1" customWidth="1"/>
    <col min="18" max="20" width="4.5703125" customWidth="1"/>
    <col min="21" max="21" width="8" bestFit="1" customWidth="1"/>
  </cols>
  <sheetData>
    <row r="1" spans="1:31">
      <c r="A1" s="237" t="s">
        <v>410</v>
      </c>
      <c r="B1" s="237"/>
      <c r="C1" s="237"/>
      <c r="G1" t="s">
        <v>409</v>
      </c>
      <c r="H1" t="s">
        <v>407</v>
      </c>
    </row>
    <row r="2" spans="1:31">
      <c r="A2" s="238" t="s">
        <v>421</v>
      </c>
      <c r="B2" s="122" t="s">
        <v>405</v>
      </c>
      <c r="C2" s="117">
        <v>2.5</v>
      </c>
      <c r="G2" s="18">
        <f>COUNTA(InputTableDistances[Variable1])</f>
        <v>7</v>
      </c>
      <c r="H2" s="18">
        <f>C2*C3</f>
        <v>5</v>
      </c>
    </row>
    <row r="3" spans="1:31">
      <c r="A3" s="238"/>
      <c r="B3" s="122" t="s">
        <v>406</v>
      </c>
      <c r="C3" s="111">
        <v>2</v>
      </c>
    </row>
    <row r="5" spans="1:31">
      <c r="A5" s="239" t="s">
        <v>424</v>
      </c>
      <c r="B5" s="240" t="s">
        <v>412</v>
      </c>
      <c r="C5" s="241">
        <v>2</v>
      </c>
      <c r="U5" s="237" t="s">
        <v>423</v>
      </c>
      <c r="V5" s="237"/>
      <c r="W5" s="237"/>
      <c r="X5" s="237"/>
      <c r="Y5" s="237"/>
      <c r="Z5" s="237"/>
      <c r="AA5" s="237"/>
      <c r="AB5" s="237"/>
      <c r="AC5" s="237"/>
      <c r="AD5" s="237"/>
      <c r="AE5" s="237"/>
    </row>
    <row r="6" spans="1:31">
      <c r="A6" s="239"/>
      <c r="B6" s="240"/>
      <c r="C6" s="241"/>
    </row>
    <row r="7" spans="1:31">
      <c r="G7" s="237" t="str">
        <f>VLOOKUP($C$5,Norms[],2,FALSE)</f>
        <v>Euclidean/L2 Norm</v>
      </c>
      <c r="H7" s="237"/>
      <c r="I7" s="237"/>
      <c r="J7" s="237"/>
      <c r="K7" s="237"/>
      <c r="L7" s="237"/>
      <c r="M7" s="237"/>
      <c r="N7" s="237"/>
      <c r="O7" s="237"/>
      <c r="P7" s="237"/>
      <c r="Q7" s="237"/>
      <c r="U7" s="237"/>
      <c r="V7" s="237"/>
      <c r="W7" s="237"/>
      <c r="X7" s="237"/>
      <c r="Y7" s="237"/>
      <c r="Z7" s="237"/>
      <c r="AA7" s="237"/>
      <c r="AB7" s="237"/>
      <c r="AC7" s="237"/>
      <c r="AD7" s="237"/>
      <c r="AE7" s="237"/>
    </row>
    <row r="8" spans="1:31">
      <c r="A8" t="s">
        <v>82</v>
      </c>
      <c r="B8" t="s">
        <v>413</v>
      </c>
      <c r="C8" t="s">
        <v>414</v>
      </c>
      <c r="D8" t="s">
        <v>415</v>
      </c>
      <c r="E8" t="s">
        <v>416</v>
      </c>
      <c r="G8" t="s">
        <v>82</v>
      </c>
      <c r="H8" t="s">
        <v>83</v>
      </c>
      <c r="I8" t="s">
        <v>84</v>
      </c>
      <c r="J8" t="s">
        <v>85</v>
      </c>
      <c r="K8" t="s">
        <v>86</v>
      </c>
      <c r="L8" t="s">
        <v>220</v>
      </c>
      <c r="M8" t="s">
        <v>221</v>
      </c>
      <c r="N8" t="s">
        <v>400</v>
      </c>
      <c r="O8" t="s">
        <v>401</v>
      </c>
      <c r="P8" t="s">
        <v>402</v>
      </c>
      <c r="Q8" t="s">
        <v>403</v>
      </c>
      <c r="U8" t="s">
        <v>82</v>
      </c>
      <c r="V8" t="s">
        <v>83</v>
      </c>
      <c r="W8" t="s">
        <v>84</v>
      </c>
      <c r="X8" t="s">
        <v>85</v>
      </c>
      <c r="Y8" t="s">
        <v>86</v>
      </c>
      <c r="Z8" t="s">
        <v>220</v>
      </c>
      <c r="AA8" t="s">
        <v>221</v>
      </c>
      <c r="AB8" t="s">
        <v>400</v>
      </c>
      <c r="AC8" t="s">
        <v>401</v>
      </c>
      <c r="AD8" t="s">
        <v>402</v>
      </c>
      <c r="AE8" t="s">
        <v>403</v>
      </c>
    </row>
    <row r="9" spans="1:31">
      <c r="A9" s="18">
        <v>1</v>
      </c>
      <c r="B9" s="111">
        <v>0</v>
      </c>
      <c r="C9" s="111">
        <v>2</v>
      </c>
      <c r="D9" s="111">
        <v>3</v>
      </c>
      <c r="E9" s="111">
        <v>6</v>
      </c>
      <c r="G9" s="18">
        <f>IFERROR(InputTableDistances[[#This Row],[Point]],"")</f>
        <v>1</v>
      </c>
      <c r="H9" s="121">
        <f>IF(AND(L1Distance[[#This Row],[Point]]&lt;=Cal[Applicable Points],VALUE(L1Distance[[#Headers],[1]])&lt;=Cal[Applicable Points]),(ABS($B9-$B$9)^$C$5+ABS($C9-$C$9)^$C$5+ABS($D9-$D$9)^$C$5+ABS($E9-$E$9)^$C$5)^(1/$C$5),"")</f>
        <v>0</v>
      </c>
      <c r="I9" s="46">
        <f>IF(AND(L1Distance[[#This Row],[Point]]&lt;=Cal[Applicable Points],VALUE(L1Distance[[#Headers],[2]])&lt;=Cal[Applicable Points]),(ABS($B9-$B$10)^$C$5+ABS($C9-$C$10)^$C$5+ABS($D9-$D$10)^$C$5+ABS($E9-$E$10)^$C$5)^(1/$C$5),"")</f>
        <v>2</v>
      </c>
      <c r="J9" s="46">
        <f>IF(AND(L1Distance[[#This Row],[Point]]&lt;=Cal[Applicable Points],VALUE(L1Distance[[#Headers],[3]])&lt;=Cal[Applicable Points]),(ABS($B9-$B$11)^$C$5+ABS($C9-$C$11)^$C$5+ABS($D9-$D$11)^$C$5+ABS($E9-$E$11)^$C$5)^(1/$C$5),"")</f>
        <v>4.7958315233127191</v>
      </c>
      <c r="K9" s="46">
        <f>IF(AND(L1Distance[[#This Row],[Point]]&lt;=Cal[Applicable Points],VALUE(L1Distance[[#Headers],[4]])&lt;=Cal[Applicable Points]),ABS($B9-$B$12)^$C$5+ABS($C9-$C$12)^$C$5+ABS($D9-$D$12)^$C$5+ABS($E9-$E$12)^$C$5,"")</f>
        <v>55</v>
      </c>
      <c r="L9" s="46">
        <f>IF(AND(L1Distance[[#This Row],[Point]]&lt;=Cal[Applicable Points],VALUE(L1Distance[[#Headers],[5]])&lt;=Cal[Applicable Points]),(ABS($B9-$B$13)^$C$5+ABS($C9-$C$13)^$C$5+ABS($D9-$D$13)^$C$5+ABS($E9-$E$13)^$C$5)^(1/$C$5),"")</f>
        <v>1</v>
      </c>
      <c r="M9" s="46">
        <f>IF(AND(L1Distance[[#This Row],[Point]]&lt;=Cal[Applicable Points],VALUE(L1Distance[[#Headers],[6]])&lt;=Cal[Applicable Points]),(ABS($B9-$B$14)^$C$5+ABS($C9-$C$14)^$C$5+ABS($D9-$D$14)^$C$5+ABS($E9-$E$14)^$C$5)^(1/$C$5),"")</f>
        <v>6.7082039324993694</v>
      </c>
      <c r="N9" s="46">
        <f>IF(AND(L1Distance[[#This Row],[Point]]&lt;=Cal[Applicable Points],VALUE(L1Distance[[#Headers],[7]])&lt;=Cal[Applicable Points]),(ABS($B9-$B$15)^$C$5+ABS($C9-$C$15)^$C$5+ABS($D9-$D$15)^$C$5+ABS($E9-$E$15)^$C$5)^(1/$C$5),"")</f>
        <v>5.9160797830996161</v>
      </c>
      <c r="O9" s="46" t="str">
        <f>IF(AND(L1Distance[[#This Row],[Point]]&lt;=Cal[Applicable Points],VALUE(L1Distance[[#Headers],[8]])&lt;=Cal[Applicable Points]),(ABS($B9-$B$16)^$C$5+ABS($C9-$C$16)^$C$5+ABS($D9-$D$16)^$C$5+ABS($E9-$E$16)^$C$5)^(1/$C$5),"")</f>
        <v/>
      </c>
      <c r="P9" s="46" t="str">
        <f>IF(AND(L1Distance[[#This Row],[Point]]&lt;=Cal[Applicable Points],VALUE(L1Distance[[#Headers],[9]])&lt;=Cal[Applicable Points]),(ABS($B9-$B$17)^$C$5+ABS($C9-$C$17)^$C$5+ABS($D9-$D$17)^$C$5+ABS($E9-$E$17)^$C$5)^(1/$C$5),"")</f>
        <v/>
      </c>
      <c r="Q9" s="46" t="str">
        <f>IF(AND(L1Distance[[#This Row],[Point]]&lt;=Cal[Applicable Points],VALUE(L1Distance[[#Headers],[10]])&lt;=Cal[Applicable Points]),(ABS($B9-$B$18)^$C$5+ABS($C9-$C$18)^$C$5+ABS($D9-$D$18)^$C$5+ABS($E9-$E$18)^$C$5)^(1/$C$5),"")</f>
        <v/>
      </c>
      <c r="U9" s="18">
        <f>InputTableDistances[[#This Row],[Point]]</f>
        <v>1</v>
      </c>
      <c r="V9" s="121">
        <f>IF(AND(Table17235583[[#This Row],[Point]]&lt;=Cal[Applicable Points],VALUE(L1Distance[[#Headers],[1]])&lt;=Cal[Applicable Points]),MAX(ABS($B9-$B$9),ABS($C9-$C$9),ABS($D9-$D$9),ABS($E9-$E$9)),"")</f>
        <v>0</v>
      </c>
      <c r="W9" s="46">
        <f>IF(AND(Table17235583[[#This Row],[Point]]&lt;=Cal[Applicable Points],VALUE(L1Distance[[#Headers],[2]])&lt;=Cal[Applicable Points]),MAX(ABS($B9-$B$10),ABS($C9-$C$10),ABS($D9-$D$10),ABS($E9-$E$10)),"")</f>
        <v>1</v>
      </c>
      <c r="X9" s="46">
        <f>IF(AND(Table17235583[[#This Row],[Point]]&lt;=Cal[Applicable Points],VALUE(L1Distance[[#Headers],[3]])&lt;=Cal[Applicable Points]),MAX(ABS($B9-$B$11),ABS($C9-$C$11),ABS($D9-$D$11),ABS($E9-$E$11)),"")</f>
        <v>3</v>
      </c>
      <c r="Y9" s="46">
        <f>IF(AND(Table17235583[[#This Row],[Point]]&lt;=Cal[Applicable Points],VALUE(L1Distance[[#Headers],[4]])&lt;=Cal[Applicable Points]),MAX(ABS($B9-$B$12),ABS($C9-$C$12),ABS($D9-$D$12),ABS($E9-$E$12)),"")</f>
        <v>5</v>
      </c>
      <c r="Z9" s="46">
        <f>IF(AND(Table17235583[[#This Row],[Point]]&lt;=Cal[Applicable Points],VALUE(L1Distance[[#Headers],[5]])&lt;=Cal[Applicable Points]),MAX(ABS($B9-$B$13),ABS($C9-$C$13),ABS($D9-$D$13),ABS($E9-$E$13)),"")</f>
        <v>1</v>
      </c>
      <c r="AA9" s="46">
        <f>IF(AND(Table17235583[[#This Row],[Point]]&lt;=Cal[Applicable Points],VALUE(L1Distance[[#Headers],[6]])&lt;=Cal[Applicable Points]),MAX(ABS($B9-$B$14),ABS($C9-$C$14),ABS($D9-$D$14),ABS($E9-$E$14)),"")</f>
        <v>6</v>
      </c>
      <c r="AB9" s="46">
        <f>IF(AND(Table17235583[[#This Row],[Point]]&lt;=Cal[Applicable Points],VALUE(L1Distance[[#Headers],[7]])&lt;=Cal[Applicable Points]),MAX(ABS($B9-$B$15),ABS($C9-$C$15),ABS($D9-$D$15),ABS($E9-$E$15)),"")</f>
        <v>5</v>
      </c>
      <c r="AC9" s="46" t="str">
        <f>IF(AND(Table17235583[[#This Row],[Point]]&lt;=Cal[Applicable Points],VALUE(L1Distance[[#Headers],[8]])&lt;=Cal[Applicable Points]),MAX(ABS($B9-$B$16),ABS($C9-$C$16),ABS($D9-$D$16),ABS($E9-$E$16)),"")</f>
        <v/>
      </c>
      <c r="AD9" s="46" t="str">
        <f>IF(AND(Table17235583[[#This Row],[Point]]&lt;=Cal[Applicable Points],VALUE(L1Distance[[#Headers],[9]])&lt;=Cal[Applicable Points]),MAX(ABS($B9-$B$17),ABS($C9-$C$17),ABS($D9-$D$17),ABS($E9-$E$17)),"")</f>
        <v/>
      </c>
      <c r="AE9" s="46" t="str">
        <f>IF(AND(Table17235583[[#This Row],[Point]]&lt;=Cal[Applicable Points],VALUE(L1Distance[[#Headers],[10]])&lt;=Cal[Applicable Points]),MAX(ABS($B9-$B$18),ABS($C9-$C$18),ABS($D9-$D$18),ABS($E9-$E$18)),"")</f>
        <v/>
      </c>
    </row>
    <row r="10" spans="1:31">
      <c r="A10" s="18">
        <f>A9+1</f>
        <v>2</v>
      </c>
      <c r="B10" s="111">
        <v>1</v>
      </c>
      <c r="C10" s="111">
        <v>1</v>
      </c>
      <c r="D10" s="111">
        <v>2</v>
      </c>
      <c r="E10" s="111">
        <v>5</v>
      </c>
      <c r="G10" s="18">
        <f>IFERROR(InputTableDistances[[#This Row],[Point]],"")</f>
        <v>2</v>
      </c>
      <c r="H10" s="46">
        <f>IF(AND(L1Distance[[#This Row],[Point]]&lt;=Cal[Applicable Points],VALUE(L1Distance[[#Headers],[1]])&lt;=Cal[Applicable Points]),(ABS($B10-$B$9)^$C$5+ABS($C10-$C$9)^$C$5+ABS($D10-$D$9)^$C$5+ABS($E10-$E$9)^$C$5)^(1/$C$5),"")</f>
        <v>2</v>
      </c>
      <c r="I10" s="121">
        <f>IF(AND(L1Distance[[#This Row],[Point]]&lt;=Cal[Applicable Points],VALUE(L1Distance[[#Headers],[2]])&lt;=Cal[Applicable Points]),(ABS($B10-$B$10)^$C$5+ABS($C10-$C$10)^$C$5+ABS($D10-$D$10)^$C$5+ABS($E10-$E$10)^$C$5)^(1/$C$5),"")</f>
        <v>0</v>
      </c>
      <c r="J10" s="46">
        <f>IF(AND(L1Distance[[#This Row],[Point]]&lt;=Cal[Applicable Points],VALUE(L1Distance[[#Headers],[3]])&lt;=Cal[Applicable Points]),(ABS($B10-$B$11)^$C$5+ABS($C10-$C$11)^$C$5+ABS($D10-$D$11)^$C$5+ABS($E10-$E$11)^$C$5)^(1/$C$5),"")</f>
        <v>4.5825756949558398</v>
      </c>
      <c r="K10" s="46">
        <f>IF(AND(L1Distance[[#This Row],[Point]]&lt;=Cal[Applicable Points],VALUE(L1Distance[[#Headers],[4]])&lt;=Cal[Applicable Points]),ABS($B10-$B$12)^$C$5+ABS($C10-$C$12)^$C$5+ABS($D10-$D$12)^$C$5+ABS($E10-$E$12)^$C$5,"")</f>
        <v>53</v>
      </c>
      <c r="L10" s="46">
        <f>IF(AND(L1Distance[[#This Row],[Point]]&lt;=Cal[Applicable Points],VALUE(L1Distance[[#Headers],[5]])&lt;=Cal[Applicable Points]),(ABS($B10-$B$13)^$C$5+ABS($C10-$C$13)^$C$5+ABS($D10-$D$13)^$C$5+ABS($E10-$E$13)^$C$5)^(1/$C$5),"")</f>
        <v>1.7320508075688772</v>
      </c>
      <c r="M10" s="46">
        <f>IF(AND(L1Distance[[#This Row],[Point]]&lt;=Cal[Applicable Points],VALUE(L1Distance[[#Headers],[6]])&lt;=Cal[Applicable Points]),(ABS($B10-$B$14)^$C$5+ABS($C10-$C$14)^$C$5+ABS($D10-$D$14)^$C$5+ABS($E10-$E$14)^$C$5)^(1/$C$5),"")</f>
        <v>5.196152422706632</v>
      </c>
      <c r="N10" s="46">
        <f>IF(AND(L1Distance[[#This Row],[Point]]&lt;=Cal[Applicable Points],VALUE(L1Distance[[#Headers],[7]])&lt;=Cal[Applicable Points]),(ABS($B10-$B$15)^$C$5+ABS($C10-$C$15)^$C$5+ABS($D10-$D$15)^$C$5+ABS($E10-$E$15)^$C$5)^(1/$C$5),"")</f>
        <v>4.5825756949558398</v>
      </c>
      <c r="O10" s="46" t="str">
        <f>IF(AND(L1Distance[[#This Row],[Point]]&lt;=Cal[Applicable Points],VALUE(L1Distance[[#Headers],[8]])&lt;=Cal[Applicable Points]),(ABS($B10-$B$16)^$C$5+ABS($C10-$C$16)^$C$5+ABS($D10-$D$16)^$C$5+ABS($E10-$E$16)^$C$5)^(1/$C$5),"")</f>
        <v/>
      </c>
      <c r="P10" s="46" t="str">
        <f>IF(AND(L1Distance[[#This Row],[Point]]&lt;=Cal[Applicable Points],VALUE(L1Distance[[#Headers],[9]])&lt;=Cal[Applicable Points]),(ABS($B10-$B$17)^$C$5+ABS($C10-$C$17)^$C$5+ABS($D10-$D$17)^$C$5+ABS($E10-$E$17)^$C$5)^(1/$C$5),"")</f>
        <v/>
      </c>
      <c r="Q10" s="46" t="str">
        <f>IF(AND(L1Distance[[#This Row],[Point]]&lt;=Cal[Applicable Points],VALUE(L1Distance[[#Headers],[10]])&lt;=Cal[Applicable Points]),(ABS($B10-$B$18)^$C$5+ABS($C10-$C$18)^$C$5+ABS($D10-$D$18)^$C$5+ABS($E10-$E$18)^$C$5)^(1/$C$5),"")</f>
        <v/>
      </c>
      <c r="U10" s="18">
        <f>InputTableDistances[[#This Row],[Point]]</f>
        <v>2</v>
      </c>
      <c r="V10" s="46">
        <f>IF(AND(Table17235583[[#This Row],[Point]]&lt;=Cal[Applicable Points],VALUE(L1Distance[[#Headers],[1]])&lt;=Cal[Applicable Points]),MAX(ABS($B10-$B$9),ABS($C10-$C$9),ABS($D10-$D$9),ABS($E10-$E$9)),"")</f>
        <v>1</v>
      </c>
      <c r="W10" s="121">
        <f>IF(AND(Table17235583[[#This Row],[Point]]&lt;=Cal[Applicable Points],VALUE(L1Distance[[#Headers],[2]])&lt;=Cal[Applicable Points]),MAX(ABS($B10-$B$10),ABS($C10-$C$10),ABS($D10-$D$10),ABS($E10-$E$10)),"")</f>
        <v>0</v>
      </c>
      <c r="X10" s="46">
        <f>IF(AND(Table17235583[[#This Row],[Point]]&lt;=Cal[Applicable Points],VALUE(L1Distance[[#Headers],[3]])&lt;=Cal[Applicable Points]),MAX(ABS($B10-$B$11),ABS($C10-$C$11),ABS($D10-$D$11),ABS($E10-$E$11)),"")</f>
        <v>4</v>
      </c>
      <c r="Y10" s="46">
        <f>IF(AND(Table17235583[[#This Row],[Point]]&lt;=Cal[Applicable Points],VALUE(L1Distance[[#Headers],[4]])&lt;=Cal[Applicable Points]),MAX(ABS($B10-$B$12),ABS($C10-$C$12),ABS($D10-$D$12),ABS($E10-$E$12)),"")</f>
        <v>6</v>
      </c>
      <c r="Z10" s="46">
        <f>IF(AND(Table17235583[[#This Row],[Point]]&lt;=Cal[Applicable Points],VALUE(L1Distance[[#Headers],[5]])&lt;=Cal[Applicable Points]),MAX(ABS($B10-$B$13),ABS($C10-$C$13),ABS($D10-$D$13),ABS($E10-$E$13)),"")</f>
        <v>1</v>
      </c>
      <c r="AA10" s="46">
        <f>IF(AND(Table17235583[[#This Row],[Point]]&lt;=Cal[Applicable Points],VALUE(L1Distance[[#Headers],[6]])&lt;=Cal[Applicable Points]),MAX(ABS($B10-$B$14),ABS($C10-$C$14),ABS($D10-$D$14),ABS($E10-$E$14)),"")</f>
        <v>5</v>
      </c>
      <c r="AB10" s="46">
        <f>IF(AND(Table17235583[[#This Row],[Point]]&lt;=Cal[Applicable Points],VALUE(L1Distance[[#Headers],[7]])&lt;=Cal[Applicable Points]),MAX(ABS($B10-$B$15),ABS($C10-$C$15),ABS($D10-$D$15),ABS($E10-$E$15)),"")</f>
        <v>4</v>
      </c>
      <c r="AC10" s="46" t="str">
        <f>IF(AND(Table17235583[[#This Row],[Point]]&lt;=Cal[Applicable Points],VALUE(L1Distance[[#Headers],[8]])&lt;=Cal[Applicable Points]),MAX(ABS($B10-$B$16),ABS($C10-$C$16),ABS($D10-$D$16),ABS($E10-$E$16)),"")</f>
        <v/>
      </c>
      <c r="AD10" s="46" t="str">
        <f>IF(AND(Table17235583[[#This Row],[Point]]&lt;=Cal[Applicable Points],VALUE(L1Distance[[#Headers],[9]])&lt;=Cal[Applicable Points]),MAX(ABS($B10-$B$17),ABS($C10-$C$17),ABS($D10-$D$17),ABS($E10-$E$17)),"")</f>
        <v/>
      </c>
      <c r="AE10" s="46" t="str">
        <f>IF(AND(Table17235583[[#This Row],[Point]]&lt;=Cal[Applicable Points],VALUE(L1Distance[[#Headers],[10]])&lt;=Cal[Applicable Points]),MAX(ABS($B10-$B$18),ABS($C10-$C$18),ABS($D10-$D$18),ABS($E10-$E$18)),"")</f>
        <v/>
      </c>
    </row>
    <row r="11" spans="1:31">
      <c r="A11" s="18">
        <f t="shared" ref="A11:A13" si="0">A10+1</f>
        <v>3</v>
      </c>
      <c r="B11" s="111">
        <v>3</v>
      </c>
      <c r="C11" s="111">
        <v>1</v>
      </c>
      <c r="D11" s="111">
        <v>6</v>
      </c>
      <c r="E11" s="111">
        <v>4</v>
      </c>
      <c r="G11" s="18">
        <f>IFERROR(InputTableDistances[[#This Row],[Point]],"")</f>
        <v>3</v>
      </c>
      <c r="H11" s="46">
        <f>IF(AND(L1Distance[[#This Row],[Point]]&lt;=Cal[Applicable Points],VALUE(L1Distance[[#Headers],[1]])&lt;=Cal[Applicable Points]),(ABS($B11-$B$9)^$C$5+ABS($C11-$C$9)^$C$5+ABS($D11-$D$9)^$C$5+ABS($E11-$E$9)^$C$5)^(1/$C$5),"")</f>
        <v>4.7958315233127191</v>
      </c>
      <c r="I11" s="46">
        <f>IF(AND(L1Distance[[#This Row],[Point]]&lt;=Cal[Applicable Points],VALUE(L1Distance[[#Headers],[2]])&lt;=Cal[Applicable Points]),(ABS($B11-$B$10)^$C$5+ABS($C11-$C$10)^$C$5+ABS($D11-$D$10)^$C$5+ABS($E11-$E$10)^$C$5)^(1/$C$5),"")</f>
        <v>4.5825756949558398</v>
      </c>
      <c r="J11" s="121">
        <f>IF(AND(L1Distance[[#This Row],[Point]]&lt;=Cal[Applicable Points],VALUE(L1Distance[[#Headers],[3]])&lt;=Cal[Applicable Points]),(ABS($B11-$B$11)^$C$5+ABS($C11-$C$11)^$C$5+ABS($D11-$D$11)^$C$5+ABS($E11-$E$11)^$C$5)^(1/$C$5),"")</f>
        <v>0</v>
      </c>
      <c r="K11" s="46">
        <f>IF(AND(L1Distance[[#This Row],[Point]]&lt;=Cal[Applicable Points],VALUE(L1Distance[[#Headers],[4]])&lt;=Cal[Applicable Points]),ABS($B11-$B$12)^$C$5+ABS($C11-$C$12)^$C$5+ABS($D11-$D$12)^$C$5+ABS($E11-$E$12)^$C$5,"")</f>
        <v>8</v>
      </c>
      <c r="L11" s="46">
        <f>IF(AND(L1Distance[[#This Row],[Point]]&lt;=Cal[Applicable Points],VALUE(L1Distance[[#Headers],[5]])&lt;=Cal[Applicable Points]),(ABS($B11-$B$13)^$C$5+ABS($C11-$C$13)^$C$5+ABS($D11-$D$13)^$C$5+ABS($E11-$E$13)^$C$5)^(1/$C$5),"")</f>
        <v>4.4721359549995796</v>
      </c>
      <c r="M11" s="46">
        <f>IF(AND(L1Distance[[#This Row],[Point]]&lt;=Cal[Applicable Points],VALUE(L1Distance[[#Headers],[6]])&lt;=Cal[Applicable Points]),(ABS($B11-$B$14)^$C$5+ABS($C11-$C$14)^$C$5+ABS($D11-$D$14)^$C$5+ABS($E11-$E$14)^$C$5)^(1/$C$5),"")</f>
        <v>5.8309518948453007</v>
      </c>
      <c r="N11" s="46">
        <f>IF(AND(L1Distance[[#This Row],[Point]]&lt;=Cal[Applicable Points],VALUE(L1Distance[[#Headers],[7]])&lt;=Cal[Applicable Points]),(ABS($B11-$B$15)^$C$5+ABS($C11-$C$15)^$C$5+ABS($D11-$D$15)^$C$5+ABS($E11-$E$15)^$C$5)^(1/$C$5),"")</f>
        <v>4.2426406871192848</v>
      </c>
      <c r="O11" s="46" t="str">
        <f>IF(AND(L1Distance[[#This Row],[Point]]&lt;=Cal[Applicable Points],VALUE(L1Distance[[#Headers],[8]])&lt;=Cal[Applicable Points]),(ABS($B11-$B$16)^$C$5+ABS($C11-$C$16)^$C$5+ABS($D11-$D$16)^$C$5+ABS($E11-$E$16)^$C$5)^(1/$C$5),"")</f>
        <v/>
      </c>
      <c r="P11" s="46" t="str">
        <f>IF(AND(L1Distance[[#This Row],[Point]]&lt;=Cal[Applicable Points],VALUE(L1Distance[[#Headers],[9]])&lt;=Cal[Applicable Points]),(ABS($B11-$B$17)^$C$5+ABS($C11-$C$17)^$C$5+ABS($D11-$D$17)^$C$5+ABS($E11-$E$17)^$C$5)^(1/$C$5),"")</f>
        <v/>
      </c>
      <c r="Q11" s="46" t="str">
        <f>IF(AND(L1Distance[[#This Row],[Point]]&lt;=Cal[Applicable Points],VALUE(L1Distance[[#Headers],[10]])&lt;=Cal[Applicable Points]),(ABS($B11-$B$18)^$C$5+ABS($C11-$C$18)^$C$5+ABS($D11-$D$18)^$C$5+ABS($E11-$E$18)^$C$5)^(1/$C$5),"")</f>
        <v/>
      </c>
      <c r="U11" s="18">
        <f>InputTableDistances[[#This Row],[Point]]</f>
        <v>3</v>
      </c>
      <c r="V11" s="46">
        <f>IF(AND(Table17235583[[#This Row],[Point]]&lt;=Cal[Applicable Points],VALUE(L1Distance[[#Headers],[1]])&lt;=Cal[Applicable Points]),MAX(ABS($B11-$B$9),ABS($C11-$C$9),ABS($D11-$D$9),ABS($E11-$E$9)),"")</f>
        <v>3</v>
      </c>
      <c r="W11" s="46">
        <f>IF(AND(Table17235583[[#This Row],[Point]]&lt;=Cal[Applicable Points],VALUE(L1Distance[[#Headers],[2]])&lt;=Cal[Applicable Points]),MAX(ABS($B11-$B$10),ABS($C11-$C$10),ABS($D11-$D$10),ABS($E11-$E$10)),"")</f>
        <v>4</v>
      </c>
      <c r="X11" s="121">
        <f>IF(AND(Table17235583[[#This Row],[Point]]&lt;=Cal[Applicable Points],VALUE(L1Distance[[#Headers],[3]])&lt;=Cal[Applicable Points]),MAX(ABS($B11-$B$11),ABS($C11-$C$11),ABS($D11-$D$11),ABS($E11-$E$11)),"")</f>
        <v>0</v>
      </c>
      <c r="Y11" s="46">
        <f>IF(AND(Table17235583[[#This Row],[Point]]&lt;=Cal[Applicable Points],VALUE(L1Distance[[#Headers],[4]])&lt;=Cal[Applicable Points]),MAX(ABS($B11-$B$12),ABS($C11-$C$12),ABS($D11-$D$12),ABS($E11-$E$12)),"")</f>
        <v>2</v>
      </c>
      <c r="Z11" s="46">
        <f>IF(AND(Table17235583[[#This Row],[Point]]&lt;=Cal[Applicable Points],VALUE(L1Distance[[#Headers],[5]])&lt;=Cal[Applicable Points]),MAX(ABS($B11-$B$13),ABS($C11-$C$13),ABS($D11-$D$13),ABS($E11-$E$13)),"")</f>
        <v>3</v>
      </c>
      <c r="AA11" s="46">
        <f>IF(AND(Table17235583[[#This Row],[Point]]&lt;=Cal[Applicable Points],VALUE(L1Distance[[#Headers],[6]])&lt;=Cal[Applicable Points]),MAX(ABS($B11-$B$14),ABS($C11-$C$14),ABS($D11-$D$14),ABS($E11-$E$14)),"")</f>
        <v>4</v>
      </c>
      <c r="AB11" s="46">
        <f>IF(AND(Table17235583[[#This Row],[Point]]&lt;=Cal[Applicable Points],VALUE(L1Distance[[#Headers],[7]])&lt;=Cal[Applicable Points]),MAX(ABS($B11-$B$15),ABS($C11-$C$15),ABS($D11-$D$15),ABS($E11-$E$15)),"")</f>
        <v>3</v>
      </c>
      <c r="AC11" s="46" t="str">
        <f>IF(AND(Table17235583[[#This Row],[Point]]&lt;=Cal[Applicable Points],VALUE(L1Distance[[#Headers],[8]])&lt;=Cal[Applicable Points]),MAX(ABS($B11-$B$16),ABS($C11-$C$16),ABS($D11-$D$16),ABS($E11-$E$16)),"")</f>
        <v/>
      </c>
      <c r="AD11" s="46" t="str">
        <f>IF(AND(Table17235583[[#This Row],[Point]]&lt;=Cal[Applicable Points],VALUE(L1Distance[[#Headers],[9]])&lt;=Cal[Applicable Points]),MAX(ABS($B11-$B$17),ABS($C11-$C$17),ABS($D11-$D$17),ABS($E11-$E$17)),"")</f>
        <v/>
      </c>
      <c r="AE11" s="46" t="str">
        <f>IF(AND(Table17235583[[#This Row],[Point]]&lt;=Cal[Applicable Points],VALUE(L1Distance[[#Headers],[10]])&lt;=Cal[Applicable Points]),MAX(ABS($B11-$B$18),ABS($C11-$C$18),ABS($D11-$D$18),ABS($E11-$E$18)),"")</f>
        <v/>
      </c>
    </row>
    <row r="12" spans="1:31">
      <c r="A12" s="18">
        <f t="shared" si="0"/>
        <v>4</v>
      </c>
      <c r="B12" s="111">
        <v>5</v>
      </c>
      <c r="C12" s="111">
        <v>1</v>
      </c>
      <c r="D12" s="111">
        <v>8</v>
      </c>
      <c r="E12" s="111">
        <v>4</v>
      </c>
      <c r="G12" s="18">
        <f>IFERROR(InputTableDistances[[#This Row],[Point]],"")</f>
        <v>4</v>
      </c>
      <c r="H12" s="46">
        <f>IF(AND(L1Distance[[#This Row],[Point]]&lt;=Cal[Applicable Points],VALUE(L1Distance[[#Headers],[1]])&lt;=Cal[Applicable Points]),(ABS($B12-$B$9)^$C$5+ABS($C12-$C$9)^$C$5+ABS($D12-$D$9)^$C$5+ABS($E12-$E$9)^$C$5)^(1/$C$5),"")</f>
        <v>7.416198487095663</v>
      </c>
      <c r="I12" s="46">
        <f>IF(AND(L1Distance[[#This Row],[Point]]&lt;=Cal[Applicable Points],VALUE(L1Distance[[#Headers],[2]])&lt;=Cal[Applicable Points]),(ABS($B12-$B$10)^$C$5+ABS($C12-$C$10)^$C$5+ABS($D12-$D$10)^$C$5+ABS($E12-$E$10)^$C$5)^(1/$C$5),"")</f>
        <v>7.2801098892805181</v>
      </c>
      <c r="J12" s="46">
        <f>IF(AND(L1Distance[[#This Row],[Point]]&lt;=Cal[Applicable Points],VALUE(L1Distance[[#Headers],[3]])&lt;=Cal[Applicable Points]),(ABS($B12-$B$11)^$C$5+ABS($C12-$C$11)^$C$5+ABS($D12-$D$11)^$C$5+ABS($E12-$E$11)^$C$5)^(1/$C$5),"")</f>
        <v>2.8284271247461903</v>
      </c>
      <c r="K12" s="121">
        <f>IF(AND(L1Distance[[#This Row],[Point]]&lt;=Cal[Applicable Points],VALUE(L1Distance[[#Headers],[4]])&lt;=Cal[Applicable Points]),ABS($B12-$B$12)^$C$5+ABS($C12-$C$12)^$C$5+ABS($D12-$D$12)^$C$5+ABS($E12-$E$12)^$C$5,"")</f>
        <v>0</v>
      </c>
      <c r="L12" s="46">
        <f>IF(AND(L1Distance[[#This Row],[Point]]&lt;=Cal[Applicable Points],VALUE(L1Distance[[#Headers],[5]])&lt;=Cal[Applicable Points]),(ABS($B12-$B$13)^$C$5+ABS($C12-$C$13)^$C$5+ABS($D12-$D$13)^$C$5+ABS($E12-$E$13)^$C$5)^(1/$C$5),"")</f>
        <v>7.2111025509279782</v>
      </c>
      <c r="M12" s="46">
        <f>IF(AND(L1Distance[[#This Row],[Point]]&lt;=Cal[Applicable Points],VALUE(L1Distance[[#Headers],[6]])&lt;=Cal[Applicable Points]),(ABS($B12-$B$14)^$C$5+ABS($C12-$C$14)^$C$5+ABS($D12-$D$14)^$C$5+ABS($E12-$E$14)^$C$5)^(1/$C$5),"")</f>
        <v>7.8740078740118111</v>
      </c>
      <c r="N12" s="46">
        <f>IF(AND(L1Distance[[#This Row],[Point]]&lt;=Cal[Applicable Points],VALUE(L1Distance[[#Headers],[7]])&lt;=Cal[Applicable Points]),(ABS($B12-$B$15)^$C$5+ABS($C12-$C$15)^$C$5+ABS($D12-$D$15)^$C$5+ABS($E12-$E$15)^$C$5)^(1/$C$5),"")</f>
        <v>6.164414002968976</v>
      </c>
      <c r="O12" s="46" t="str">
        <f>IF(AND(L1Distance[[#This Row],[Point]]&lt;=Cal[Applicable Points],VALUE(L1Distance[[#Headers],[8]])&lt;=Cal[Applicable Points]),(ABS($B12-$B$16)^$C$5+ABS($C12-$C$16)^$C$5+ABS($D12-$D$16)^$C$5+ABS($E12-$E$16)^$C$5)^(1/$C$5),"")</f>
        <v/>
      </c>
      <c r="P12" s="46" t="str">
        <f>IF(AND(L1Distance[[#This Row],[Point]]&lt;=Cal[Applicable Points],VALUE(L1Distance[[#Headers],[9]])&lt;=Cal[Applicable Points]),(ABS($B12-$B$17)^$C$5+ABS($C12-$C$17)^$C$5+ABS($D12-$D$17)^$C$5+ABS($E12-$E$17)^$C$5)^(1/$C$5),"")</f>
        <v/>
      </c>
      <c r="Q12" s="46" t="str">
        <f>IF(AND(L1Distance[[#This Row],[Point]]&lt;=Cal[Applicable Points],VALUE(L1Distance[[#Headers],[10]])&lt;=Cal[Applicable Points]),(ABS($B12-$B$18)^$C$5+ABS($C12-$C$18)^$C$5+ABS($D12-$D$18)^$C$5+ABS($E12-$E$18)^$C$5)^(1/$C$5),"")</f>
        <v/>
      </c>
      <c r="U12" s="18">
        <f>InputTableDistances[[#This Row],[Point]]</f>
        <v>4</v>
      </c>
      <c r="V12" s="46">
        <f>IF(AND(Table17235583[[#This Row],[Point]]&lt;=Cal[Applicable Points],VALUE(L1Distance[[#Headers],[1]])&lt;=Cal[Applicable Points]),MAX(ABS($B12-$B$9),ABS($C12-$C$9),ABS($D12-$D$9),ABS($E12-$E$9)),"")</f>
        <v>5</v>
      </c>
      <c r="W12" s="46">
        <f>IF(AND(Table17235583[[#This Row],[Point]]&lt;=Cal[Applicable Points],VALUE(L1Distance[[#Headers],[2]])&lt;=Cal[Applicable Points]),MAX(ABS($B12-$B$10),ABS($C12-$C$10),ABS($D12-$D$10),ABS($E12-$E$10)),"")</f>
        <v>6</v>
      </c>
      <c r="X12" s="46">
        <f>IF(AND(Table17235583[[#This Row],[Point]]&lt;=Cal[Applicable Points],VALUE(L1Distance[[#Headers],[3]])&lt;=Cal[Applicable Points]),MAX(ABS($B12-$B$11),ABS($C12-$C$11),ABS($D12-$D$11),ABS($E12-$E$11)),"")</f>
        <v>2</v>
      </c>
      <c r="Y12" s="121">
        <f>IF(AND(Table17235583[[#This Row],[Point]]&lt;=Cal[Applicable Points],VALUE(L1Distance[[#Headers],[4]])&lt;=Cal[Applicable Points]),MAX(ABS($B12-$B$12),ABS($C12-$C$12),ABS($D12-$D$12),ABS($E12-$E$12)),"")</f>
        <v>0</v>
      </c>
      <c r="Z12" s="46">
        <f>IF(AND(Table17235583[[#This Row],[Point]]&lt;=Cal[Applicable Points],VALUE(L1Distance[[#Headers],[5]])&lt;=Cal[Applicable Points]),MAX(ABS($B12-$B$13),ABS($C12-$C$13),ABS($D12-$D$13),ABS($E12-$E$13)),"")</f>
        <v>5</v>
      </c>
      <c r="AA12" s="46">
        <f>IF(AND(Table17235583[[#This Row],[Point]]&lt;=Cal[Applicable Points],VALUE(L1Distance[[#Headers],[6]])&lt;=Cal[Applicable Points]),MAX(ABS($B12-$B$14),ABS($C12-$C$14),ABS($D12-$D$14),ABS($E12-$E$14)),"")</f>
        <v>6</v>
      </c>
      <c r="AB12" s="46">
        <f>IF(AND(Table17235583[[#This Row],[Point]]&lt;=Cal[Applicable Points],VALUE(L1Distance[[#Headers],[7]])&lt;=Cal[Applicable Points]),MAX(ABS($B12-$B$15),ABS($C12-$C$15),ABS($D12-$D$15),ABS($E12-$E$15)),"")</f>
        <v>5</v>
      </c>
      <c r="AC12" s="46" t="str">
        <f>IF(AND(Table17235583[[#This Row],[Point]]&lt;=Cal[Applicable Points],VALUE(L1Distance[[#Headers],[8]])&lt;=Cal[Applicable Points]),MAX(ABS($B12-$B$16),ABS($C12-$C$16),ABS($D12-$D$16),ABS($E12-$E$16)),"")</f>
        <v/>
      </c>
      <c r="AD12" s="46" t="str">
        <f>IF(AND(Table17235583[[#This Row],[Point]]&lt;=Cal[Applicable Points],VALUE(L1Distance[[#Headers],[9]])&lt;=Cal[Applicable Points]),MAX(ABS($B12-$B$17),ABS($C12-$C$17),ABS($D12-$D$17),ABS($E12-$E$17)),"")</f>
        <v/>
      </c>
      <c r="AE12" s="46" t="str">
        <f>IF(AND(Table17235583[[#This Row],[Point]]&lt;=Cal[Applicable Points],VALUE(L1Distance[[#Headers],[10]])&lt;=Cal[Applicable Points]),MAX(ABS($B12-$B$18),ABS($C12-$C$18),ABS($D12-$D$18),ABS($E12-$E$18)),"")</f>
        <v/>
      </c>
    </row>
    <row r="13" spans="1:31">
      <c r="A13" s="18">
        <f t="shared" si="0"/>
        <v>5</v>
      </c>
      <c r="B13" s="111">
        <v>0</v>
      </c>
      <c r="C13" s="111">
        <v>2</v>
      </c>
      <c r="D13" s="111">
        <v>3</v>
      </c>
      <c r="E13" s="111">
        <v>5</v>
      </c>
      <c r="G13" s="23">
        <f>IFERROR(InputTableDistances[[#This Row],[Point]],"")</f>
        <v>5</v>
      </c>
      <c r="H13" s="46">
        <f>IF(AND(L1Distance[[#This Row],[Point]]&lt;=Cal[Applicable Points],VALUE(L1Distance[[#Headers],[1]])&lt;=Cal[Applicable Points]),(ABS($B13-$B$9)^$C$5+ABS($C13-$C$9)^$C$5+ABS($D13-$D$9)^$C$5+ABS($E13-$E$9)^$C$5)^(1/$C$5),"")</f>
        <v>1</v>
      </c>
      <c r="I13" s="46">
        <f>IF(AND(L1Distance[[#This Row],[Point]]&lt;=Cal[Applicable Points],VALUE(L1Distance[[#Headers],[2]])&lt;=Cal[Applicable Points]),(ABS($B13-$B$10)^$C$5+ABS($C13-$C$10)^$C$5+ABS($D13-$D$10)^$C$5+ABS($E13-$E$10)^$C$5)^(1/$C$5),"")</f>
        <v>1.7320508075688772</v>
      </c>
      <c r="J13" s="46">
        <f>IF(AND(L1Distance[[#This Row],[Point]]&lt;=Cal[Applicable Points],VALUE(L1Distance[[#Headers],[3]])&lt;=Cal[Applicable Points]),(ABS($B13-$B$11)^$C$5+ABS($C13-$C$11)^$C$5+ABS($D13-$D$11)^$C$5+ABS($E13-$E$11)^$C$5)^(1/$C$5),"")</f>
        <v>4.4721359549995796</v>
      </c>
      <c r="K13" s="46">
        <f>IF(AND(L1Distance[[#This Row],[Point]]&lt;=Cal[Applicable Points],VALUE(L1Distance[[#Headers],[4]])&lt;=Cal[Applicable Points]),ABS($B13-$B$12)^$C$5+ABS($C13-$C$12)^$C$5+ABS($D13-$D$12)^$C$5+ABS($E13-$E$12)^$C$5,"")</f>
        <v>52</v>
      </c>
      <c r="L13" s="121">
        <f>IF(AND(L1Distance[[#This Row],[Point]]&lt;=Cal[Applicable Points],VALUE(L1Distance[[#Headers],[5]])&lt;=Cal[Applicable Points]),(ABS($B13-$B$13)^$C$5+ABS($C13-$C$13)^$C$5+ABS($D13-$D$13)^$C$5+ABS($E13-$E$13)^$C$5)^(1/$C$5),"")</f>
        <v>0</v>
      </c>
      <c r="M13" s="46">
        <f>IF(AND(L1Distance[[#This Row],[Point]]&lt;=Cal[Applicable Points],VALUE(L1Distance[[#Headers],[6]])&lt;=Cal[Applicable Points]),(ABS($B13-$B$14)^$C$5+ABS($C13-$C$14)^$C$5+ABS($D13-$D$14)^$C$5+ABS($E13-$E$14)^$C$5)^(1/$C$5),"")</f>
        <v>5.8309518948453007</v>
      </c>
      <c r="N13" s="46">
        <f>IF(AND(L1Distance[[#This Row],[Point]]&lt;=Cal[Applicable Points],VALUE(L1Distance[[#Headers],[7]])&lt;=Cal[Applicable Points]),(ABS($B13-$B$15)^$C$5+ABS($C13-$C$15)^$C$5+ABS($D13-$D$15)^$C$5+ABS($E13-$E$15)^$C$5)^(1/$C$5),"")</f>
        <v>5.0990195135927845</v>
      </c>
      <c r="O13" s="46" t="str">
        <f>IF(AND(L1Distance[[#This Row],[Point]]&lt;=Cal[Applicable Points],VALUE(L1Distance[[#Headers],[8]])&lt;=Cal[Applicable Points]),(ABS($B13-$B$16)^$C$5+ABS($C13-$C$16)^$C$5+ABS($D13-$D$16)^$C$5+ABS($E13-$E$16)^$C$5)^(1/$C$5),"")</f>
        <v/>
      </c>
      <c r="P13" s="46" t="str">
        <f>IF(AND(L1Distance[[#This Row],[Point]]&lt;=Cal[Applicable Points],VALUE(L1Distance[[#Headers],[9]])&lt;=Cal[Applicable Points]),(ABS($B13-$B$17)^$C$5+ABS($C13-$C$17)^$C$5+ABS($D13-$D$17)^$C$5+ABS($E13-$E$17)^$C$5)^(1/$C$5),"")</f>
        <v/>
      </c>
      <c r="Q13" s="46" t="str">
        <f>IF(AND(L1Distance[[#This Row],[Point]]&lt;=Cal[Applicable Points],VALUE(L1Distance[[#Headers],[10]])&lt;=Cal[Applicable Points]),(ABS($B13-$B$18)^$C$5+ABS($C13-$C$18)^$C$5+ABS($D13-$D$18)^$C$5+ABS($E13-$E$18)^$C$5)^(1/$C$5),"")</f>
        <v/>
      </c>
      <c r="U13" s="23">
        <f>InputTableDistances[[#This Row],[Point]]</f>
        <v>5</v>
      </c>
      <c r="V13" s="46">
        <f>IF(AND(Table17235583[[#This Row],[Point]]&lt;=Cal[Applicable Points],VALUE(L1Distance[[#Headers],[1]])&lt;=Cal[Applicable Points]),MAX(ABS($B13-$B$9),ABS($C13-$C$9),ABS($D13-$D$9),ABS($E13-$E$9)),"")</f>
        <v>1</v>
      </c>
      <c r="W13" s="46">
        <f>IF(AND(Table17235583[[#This Row],[Point]]&lt;=Cal[Applicable Points],VALUE(L1Distance[[#Headers],[2]])&lt;=Cal[Applicable Points]),MAX(ABS($B13-$B$10),ABS($C13-$C$10),ABS($D13-$D$10),ABS($E13-$E$10)),"")</f>
        <v>1</v>
      </c>
      <c r="X13" s="46">
        <f>IF(AND(Table17235583[[#This Row],[Point]]&lt;=Cal[Applicable Points],VALUE(L1Distance[[#Headers],[3]])&lt;=Cal[Applicable Points]),MAX(ABS($B13-$B$11),ABS($C13-$C$11),ABS($D13-$D$11),ABS($E13-$E$11)),"")</f>
        <v>3</v>
      </c>
      <c r="Y13" s="46">
        <f>IF(AND(Table17235583[[#This Row],[Point]]&lt;=Cal[Applicable Points],VALUE(L1Distance[[#Headers],[4]])&lt;=Cal[Applicable Points]),MAX(ABS($B13-$B$12),ABS($C13-$C$12),ABS($D13-$D$12),ABS($E13-$E$12)),"")</f>
        <v>5</v>
      </c>
      <c r="Z13" s="121">
        <f>IF(AND(Table17235583[[#This Row],[Point]]&lt;=Cal[Applicable Points],VALUE(L1Distance[[#Headers],[5]])&lt;=Cal[Applicable Points]),MAX(ABS($B13-$B$13),ABS($C13-$C$13),ABS($D13-$D$13),ABS($E13-$E$13)),"")</f>
        <v>0</v>
      </c>
      <c r="AA13" s="46">
        <f>IF(AND(Table17235583[[#This Row],[Point]]&lt;=Cal[Applicable Points],VALUE(L1Distance[[#Headers],[6]])&lt;=Cal[Applicable Points]),MAX(ABS($B13-$B$14),ABS($C13-$C$14),ABS($D13-$D$14),ABS($E13-$E$14)),"")</f>
        <v>5</v>
      </c>
      <c r="AB13" s="46">
        <f>IF(AND(Table17235583[[#This Row],[Point]]&lt;=Cal[Applicable Points],VALUE(L1Distance[[#Headers],[7]])&lt;=Cal[Applicable Points]),MAX(ABS($B13-$B$15),ABS($C13-$C$15),ABS($D13-$D$15),ABS($E13-$E$15)),"")</f>
        <v>4</v>
      </c>
      <c r="AC13" s="46" t="str">
        <f>IF(AND(Table17235583[[#This Row],[Point]]&lt;=Cal[Applicable Points],VALUE(L1Distance[[#Headers],[8]])&lt;=Cal[Applicable Points]),MAX(ABS($B13-$B$16),ABS($C13-$C$16),ABS($D13-$D$16),ABS($E13-$E$16)),"")</f>
        <v/>
      </c>
      <c r="AD13" s="46" t="str">
        <f>IF(AND(Table17235583[[#This Row],[Point]]&lt;=Cal[Applicable Points],VALUE(L1Distance[[#Headers],[9]])&lt;=Cal[Applicable Points]),MAX(ABS($B13-$B$17),ABS($C13-$C$17),ABS($D13-$D$17),ABS($E13-$E$17)),"")</f>
        <v/>
      </c>
      <c r="AE13" s="46" t="str">
        <f>IF(AND(Table17235583[[#This Row],[Point]]&lt;=Cal[Applicable Points],VALUE(L1Distance[[#Headers],[10]])&lt;=Cal[Applicable Points]),MAX(ABS($B13-$B$18),ABS($C13-$C$18),ABS($D13-$D$18),ABS($E13-$E$18)),"")</f>
        <v/>
      </c>
    </row>
    <row r="14" spans="1:31">
      <c r="A14" s="18">
        <f t="shared" ref="A14:A18" si="1">A13+1</f>
        <v>6</v>
      </c>
      <c r="B14" s="111">
        <v>2</v>
      </c>
      <c r="C14" s="111">
        <v>0</v>
      </c>
      <c r="D14" s="111">
        <v>2</v>
      </c>
      <c r="E14" s="111">
        <v>0</v>
      </c>
      <c r="G14" s="53">
        <f>IFERROR(InputTableDistances[[#This Row],[Point]],"")</f>
        <v>6</v>
      </c>
      <c r="H14" s="46">
        <f>IF(AND(L1Distance[[#This Row],[Point]]&lt;=Cal[Applicable Points],VALUE(L1Distance[[#Headers],[1]])&lt;=Cal[Applicable Points]),(ABS($B14-$B$9)^$C$5+ABS($C14-$C$9)^$C$5+ABS($D14-$D$9)^$C$5+ABS($E14-$E$9)^$C$5)^(1/$C$5),"")</f>
        <v>6.7082039324993694</v>
      </c>
      <c r="I14" s="46">
        <f>IF(AND(L1Distance[[#This Row],[Point]]&lt;=Cal[Applicable Points],VALUE(L1Distance[[#Headers],[2]])&lt;=Cal[Applicable Points]),(ABS($B14-$B$10)^$C$5+ABS($C14-$C$10)^$C$5+ABS($D14-$D$10)^$C$5+ABS($E14-$E$10)^$C$5)^(1/$C$5),"")</f>
        <v>5.196152422706632</v>
      </c>
      <c r="J14" s="46">
        <f>IF(AND(L1Distance[[#This Row],[Point]]&lt;=Cal[Applicable Points],VALUE(L1Distance[[#Headers],[3]])&lt;=Cal[Applicable Points]),(ABS($B14-$B$11)^$C$5+ABS($C14-$C$11)^$C$5+ABS($D14-$D$11)^$C$5+ABS($E14-$E$11)^$C$5)^(1/$C$5),"")</f>
        <v>5.8309518948453007</v>
      </c>
      <c r="K14" s="46">
        <f>IF(AND(L1Distance[[#This Row],[Point]]&lt;=Cal[Applicable Points],VALUE(L1Distance[[#Headers],[4]])&lt;=Cal[Applicable Points]),ABS($B14-$B$12)^$C$5+ABS($C14-$C$12)^$C$5+ABS($D14-$D$12)^$C$5+ABS($E14-$E$12)^$C$5,"")</f>
        <v>62</v>
      </c>
      <c r="L14" s="46">
        <f>IF(AND(L1Distance[[#This Row],[Point]]&lt;=Cal[Applicable Points],VALUE(L1Distance[[#Headers],[5]])&lt;=Cal[Applicable Points]),(ABS($B14-$B$13)^$C$5+ABS($C14-$C$13)^$C$5+ABS($D14-$D$13)^$C$5+ABS($E14-$E$13)^$C$5)^(1/$C$5),"")</f>
        <v>5.8309518948453007</v>
      </c>
      <c r="M14" s="121">
        <f>IF(AND(L1Distance[[#This Row],[Point]]&lt;=Cal[Applicable Points],VALUE(L1Distance[[#Headers],[6]])&lt;=Cal[Applicable Points]),(ABS($B14-$B$14)^$C$5+ABS($C14-$C$14)^$C$5+ABS($D14-$D$14)^$C$5+ABS($E14-$E$14)^$C$5)^(1/$C$5),"")</f>
        <v>0</v>
      </c>
      <c r="N14" s="46">
        <f>IF(AND(L1Distance[[#This Row],[Point]]&lt;=Cal[Applicable Points],VALUE(L1Distance[[#Headers],[7]])&lt;=Cal[Applicable Points]),(ABS($B14-$B$15)^$C$5+ABS($C14-$C$15)^$C$5+ABS($D14-$D$15)^$C$5+ABS($E14-$E$15)^$C$5)^(1/$C$5),"")</f>
        <v>2</v>
      </c>
      <c r="O14" s="46" t="str">
        <f>IF(AND(L1Distance[[#This Row],[Point]]&lt;=Cal[Applicable Points],VALUE(L1Distance[[#Headers],[8]])&lt;=Cal[Applicable Points]),(ABS($B14-$B$16)^$C$5+ABS($C14-$C$16)^$C$5+ABS($D14-$D$16)^$C$5+ABS($E14-$E$16)^$C$5)^(1/$C$5),"")</f>
        <v/>
      </c>
      <c r="P14" s="46" t="str">
        <f>IF(AND(L1Distance[[#This Row],[Point]]&lt;=Cal[Applicable Points],VALUE(L1Distance[[#Headers],[9]])&lt;=Cal[Applicable Points]),(ABS($B14-$B$17)^$C$5+ABS($C14-$C$17)^$C$5+ABS($D14-$D$17)^$C$5+ABS($E14-$E$17)^$C$5)^(1/$C$5),"")</f>
        <v/>
      </c>
      <c r="Q14" s="46" t="str">
        <f>IF(AND(L1Distance[[#This Row],[Point]]&lt;=Cal[Applicable Points],VALUE(L1Distance[[#Headers],[10]])&lt;=Cal[Applicable Points]),(ABS($B14-$B$18)^$C$5+ABS($C14-$C$18)^$C$5+ABS($D14-$D$18)^$C$5+ABS($E14-$E$18)^$C$5)^(1/$C$5),"")</f>
        <v/>
      </c>
      <c r="U14" s="23">
        <f>InputTableDistances[[#This Row],[Point]]</f>
        <v>6</v>
      </c>
      <c r="V14" s="46">
        <f>IF(AND(Table17235583[[#This Row],[Point]]&lt;=Cal[Applicable Points],VALUE(L1Distance[[#Headers],[1]])&lt;=Cal[Applicable Points]),MAX(ABS($B14-$B$9),ABS($C14-$C$9),ABS($D14-$D$9),ABS($E14-$E$9)),"")</f>
        <v>6</v>
      </c>
      <c r="W14" s="46">
        <f>IF(AND(Table17235583[[#This Row],[Point]]&lt;=Cal[Applicable Points],VALUE(L1Distance[[#Headers],[2]])&lt;=Cal[Applicable Points]),MAX(ABS($B14-$B$10),ABS($C14-$C$10),ABS($D14-$D$10),ABS($E14-$E$10)),"")</f>
        <v>5</v>
      </c>
      <c r="X14" s="46">
        <f>IF(AND(Table17235583[[#This Row],[Point]]&lt;=Cal[Applicable Points],VALUE(L1Distance[[#Headers],[3]])&lt;=Cal[Applicable Points]),MAX(ABS($B14-$B$11),ABS($C14-$C$11),ABS($D14-$D$11),ABS($E14-$E$11)),"")</f>
        <v>4</v>
      </c>
      <c r="Y14" s="46">
        <f>IF(AND(Table17235583[[#This Row],[Point]]&lt;=Cal[Applicable Points],VALUE(L1Distance[[#Headers],[4]])&lt;=Cal[Applicable Points]),MAX(ABS($B14-$B$12),ABS($C14-$C$12),ABS($D14-$D$12),ABS($E14-$E$12)),"")</f>
        <v>6</v>
      </c>
      <c r="Z14" s="46">
        <f>IF(AND(Table17235583[[#This Row],[Point]]&lt;=Cal[Applicable Points],VALUE(L1Distance[[#Headers],[5]])&lt;=Cal[Applicable Points]),MAX(ABS($B14-$B$13),ABS($C14-$C$13),ABS($D14-$D$13),ABS($E14-$E$13)),"")</f>
        <v>5</v>
      </c>
      <c r="AA14" s="121">
        <f>IF(AND(Table17235583[[#This Row],[Point]]&lt;=Cal[Applicable Points],VALUE(L1Distance[[#Headers],[6]])&lt;=Cal[Applicable Points]),MAX(ABS($B14-$B$14),ABS($C14-$C$14),ABS($D14-$D$14),ABS($E14-$E$14)),"")</f>
        <v>0</v>
      </c>
      <c r="AB14" s="46">
        <f>IF(AND(Table17235583[[#This Row],[Point]]&lt;=Cal[Applicable Points],VALUE(L1Distance[[#Headers],[7]])&lt;=Cal[Applicable Points]),MAX(ABS($B14-$B$15),ABS($C14-$C$15),ABS($D14-$D$15),ABS($E14-$E$15)),"")</f>
        <v>1</v>
      </c>
      <c r="AC14" s="46" t="str">
        <f>IF(AND(Table17235583[[#This Row],[Point]]&lt;=Cal[Applicable Points],VALUE(L1Distance[[#Headers],[8]])&lt;=Cal[Applicable Points]),MAX(ABS($B14-$B$16),ABS($C14-$C$16),ABS($D14-$D$16),ABS($E14-$E$16)),"")</f>
        <v/>
      </c>
      <c r="AD14" s="46" t="str">
        <f>IF(AND(Table17235583[[#This Row],[Point]]&lt;=Cal[Applicable Points],VALUE(L1Distance[[#Headers],[9]])&lt;=Cal[Applicable Points]),MAX(ABS($B14-$B$17),ABS($C14-$C$17),ABS($D14-$D$17),ABS($E14-$E$17)),"")</f>
        <v/>
      </c>
      <c r="AE14" s="46" t="str">
        <f>IF(AND(Table17235583[[#This Row],[Point]]&lt;=Cal[Applicable Points],VALUE(L1Distance[[#Headers],[10]])&lt;=Cal[Applicable Points]),MAX(ABS($B14-$B$18),ABS($C14-$C$18),ABS($D14-$D$18),ABS($E14-$E$18)),"")</f>
        <v/>
      </c>
    </row>
    <row r="15" spans="1:31">
      <c r="A15" s="18">
        <f t="shared" si="1"/>
        <v>7</v>
      </c>
      <c r="B15" s="111">
        <v>3</v>
      </c>
      <c r="C15" s="111">
        <v>1</v>
      </c>
      <c r="D15" s="111">
        <v>3</v>
      </c>
      <c r="E15" s="111">
        <v>1</v>
      </c>
      <c r="G15" s="116">
        <f>IFERROR(InputTableDistances[[#This Row],[Point]],"")</f>
        <v>7</v>
      </c>
      <c r="H15" s="46">
        <f>IF(AND(L1Distance[[#This Row],[Point]]&lt;=Cal[Applicable Points],VALUE(L1Distance[[#Headers],[1]])&lt;=Cal[Applicable Points]),(ABS($B15-$B$9)^$C$5+ABS($C15-$C$9)^$C$5+ABS($D15-$D$9)^$C$5+ABS($E15-$E$9)^$C$5)^(1/$C$5),"")</f>
        <v>5.9160797830996161</v>
      </c>
      <c r="I15" s="46">
        <f>IF(AND(L1Distance[[#This Row],[Point]]&lt;=Cal[Applicable Points],VALUE(L1Distance[[#Headers],[2]])&lt;=Cal[Applicable Points]),(ABS($B15-$B$10)^$C$5+ABS($C15-$C$10)^$C$5+ABS($D15-$D$10)^$C$5+ABS($E15-$E$10)^$C$5)^(1/$C$5),"")</f>
        <v>4.5825756949558398</v>
      </c>
      <c r="J15" s="46">
        <f>IF(AND(L1Distance[[#This Row],[Point]]&lt;=Cal[Applicable Points],VALUE(L1Distance[[#Headers],[3]])&lt;=Cal[Applicable Points]),(ABS($B15-$B$11)^$C$5+ABS($C15-$C$11)^$C$5+ABS($D15-$D$11)^$C$5+ABS($E15-$E$11)^$C$5)^(1/$C$5),"")</f>
        <v>4.2426406871192848</v>
      </c>
      <c r="K15" s="46">
        <f>IF(AND(L1Distance[[#This Row],[Point]]&lt;=Cal[Applicable Points],VALUE(L1Distance[[#Headers],[4]])&lt;=Cal[Applicable Points]),ABS($B15-$B$12)^$C$5+ABS($C15-$C$12)^$C$5+ABS($D15-$D$12)^$C$5+ABS($E15-$E$12)^$C$5,"")</f>
        <v>38</v>
      </c>
      <c r="L15" s="46">
        <f>IF(AND(L1Distance[[#This Row],[Point]]&lt;=Cal[Applicable Points],VALUE(L1Distance[[#Headers],[5]])&lt;=Cal[Applicable Points]),(ABS($B15-$B$13)^$C$5+ABS($C15-$C$13)^$C$5+ABS($D15-$D$13)^$C$5+ABS($E15-$E$13)^$C$5)^(1/$C$5),"")</f>
        <v>5.0990195135927845</v>
      </c>
      <c r="M15" s="46">
        <f>IF(AND(L1Distance[[#This Row],[Point]]&lt;=Cal[Applicable Points],VALUE(L1Distance[[#Headers],[6]])&lt;=Cal[Applicable Points]),(ABS($B15-$B$14)^$C$5+ABS($C15-$C$14)^$C$5+ABS($D15-$D$14)^$C$5+ABS($E15-$E$14)^$C$5)^(1/$C$5),"")</f>
        <v>2</v>
      </c>
      <c r="N15" s="121">
        <f>IF(AND(L1Distance[[#This Row],[Point]]&lt;=Cal[Applicable Points],VALUE(L1Distance[[#Headers],[7]])&lt;=Cal[Applicable Points]),(ABS($B15-$B$15)^$C$5+ABS($C15-$C$15)^$C$5+ABS($D15-$D$15)^$C$5+ABS($E15-$E$15)^$C$5)^(1/$C$5),"")</f>
        <v>0</v>
      </c>
      <c r="O15" s="46" t="str">
        <f>IF(AND(L1Distance[[#This Row],[Point]]&lt;=Cal[Applicable Points],VALUE(L1Distance[[#Headers],[8]])&lt;=Cal[Applicable Points]),(ABS($B15-$B$16)^$C$5+ABS($C15-$C$16)^$C$5+ABS($D15-$D$16)^$C$5+ABS($E15-$E$16)^$C$5)^(1/$C$5),"")</f>
        <v/>
      </c>
      <c r="P15" s="46" t="str">
        <f>IF(AND(L1Distance[[#This Row],[Point]]&lt;=Cal[Applicable Points],VALUE(L1Distance[[#Headers],[9]])&lt;=Cal[Applicable Points]),(ABS($B15-$B$17)^$C$5+ABS($C15-$C$17)^$C$5+ABS($D15-$D$17)^$C$5+ABS($E15-$E$17)^$C$5)^(1/$C$5),"")</f>
        <v/>
      </c>
      <c r="Q15" s="46" t="str">
        <f>IF(AND(L1Distance[[#This Row],[Point]]&lt;=Cal[Applicable Points],VALUE(L1Distance[[#Headers],[10]])&lt;=Cal[Applicable Points]),(ABS($B15-$B$18)^$C$5+ABS($C15-$C$18)^$C$5+ABS($D15-$D$18)^$C$5+ABS($E15-$E$18)^$C$5)^(1/$C$5),"")</f>
        <v/>
      </c>
      <c r="U15" s="23">
        <f>InputTableDistances[[#This Row],[Point]]</f>
        <v>7</v>
      </c>
      <c r="V15" s="46">
        <f>IF(AND(Table17235583[[#This Row],[Point]]&lt;=Cal[Applicable Points],VALUE(L1Distance[[#Headers],[1]])&lt;=Cal[Applicable Points]),MAX(ABS($B15-$B$9),ABS($C15-$C$9),ABS($D15-$D$9),ABS($E15-$E$9)),"")</f>
        <v>5</v>
      </c>
      <c r="W15" s="46">
        <f>IF(AND(Table17235583[[#This Row],[Point]]&lt;=Cal[Applicable Points],VALUE(L1Distance[[#Headers],[2]])&lt;=Cal[Applicable Points]),MAX(ABS($B15-$B$10),ABS($C15-$C$10),ABS($D15-$D$10),ABS($E15-$E$10)),"")</f>
        <v>4</v>
      </c>
      <c r="X15" s="46">
        <f>IF(AND(Table17235583[[#This Row],[Point]]&lt;=Cal[Applicable Points],VALUE(L1Distance[[#Headers],[3]])&lt;=Cal[Applicable Points]),MAX(ABS($B15-$B$11),ABS($C15-$C$11),ABS($D15-$D$11),ABS($E15-$E$11)),"")</f>
        <v>3</v>
      </c>
      <c r="Y15" s="46">
        <f>IF(AND(Table17235583[[#This Row],[Point]]&lt;=Cal[Applicable Points],VALUE(L1Distance[[#Headers],[4]])&lt;=Cal[Applicable Points]),MAX(ABS($B15-$B$12),ABS($C15-$C$12),ABS($D15-$D$12),ABS($E15-$E$12)),"")</f>
        <v>5</v>
      </c>
      <c r="Z15" s="46">
        <f>IF(AND(Table17235583[[#This Row],[Point]]&lt;=Cal[Applicable Points],VALUE(L1Distance[[#Headers],[5]])&lt;=Cal[Applicable Points]),MAX(ABS($B15-$B$13),ABS($C15-$C$13),ABS($D15-$D$13),ABS($E15-$E$13)),"")</f>
        <v>4</v>
      </c>
      <c r="AA15" s="46">
        <f>IF(AND(Table17235583[[#This Row],[Point]]&lt;=Cal[Applicable Points],VALUE(L1Distance[[#Headers],[6]])&lt;=Cal[Applicable Points]),MAX(ABS($B15-$B$14),ABS($C15-$C$14),ABS($D15-$D$14),ABS($E15-$E$14)),"")</f>
        <v>1</v>
      </c>
      <c r="AB15" s="121">
        <f>IF(AND(Table17235583[[#This Row],[Point]]&lt;=Cal[Applicable Points],VALUE(L1Distance[[#Headers],[7]])&lt;=Cal[Applicable Points]),MAX(ABS($B15-$B$15),ABS($C15-$C$15),ABS($D15-$D$15),ABS($E15-$E$15)),"")</f>
        <v>0</v>
      </c>
      <c r="AC15" s="46" t="str">
        <f>IF(AND(Table17235583[[#This Row],[Point]]&lt;=Cal[Applicable Points],VALUE(L1Distance[[#Headers],[8]])&lt;=Cal[Applicable Points]),MAX(ABS($B15-$B$16),ABS($C15-$C$16),ABS($D15-$D$16),ABS($E15-$E$16)),"")</f>
        <v/>
      </c>
      <c r="AD15" s="46" t="str">
        <f>IF(AND(Table17235583[[#This Row],[Point]]&lt;=Cal[Applicable Points],VALUE(L1Distance[[#Headers],[9]])&lt;=Cal[Applicable Points]),MAX(ABS($B15-$B$17),ABS($C15-$C$17),ABS($D15-$D$17),ABS($E15-$E$17)),"")</f>
        <v/>
      </c>
      <c r="AE15" s="46" t="str">
        <f>IF(AND(Table17235583[[#This Row],[Point]]&lt;=Cal[Applicable Points],VALUE(L1Distance[[#Headers],[10]])&lt;=Cal[Applicable Points]),MAX(ABS($B15-$B$18),ABS($C15-$C$18),ABS($D15-$D$18),ABS($E15-$E$18)),"")</f>
        <v/>
      </c>
    </row>
    <row r="16" spans="1:31">
      <c r="A16" s="18">
        <f t="shared" si="1"/>
        <v>8</v>
      </c>
      <c r="B16" s="111"/>
      <c r="C16" s="111"/>
      <c r="D16" s="111"/>
      <c r="E16" s="111"/>
      <c r="G16" s="116">
        <f>IFERROR(InputTableDistances[[#This Row],[Point]],"")</f>
        <v>8</v>
      </c>
      <c r="H16" s="46" t="str">
        <f>IF(AND(L1Distance[[#This Row],[Point]]&lt;=Cal[Applicable Points],VALUE(L1Distance[[#Headers],[1]])&lt;=Cal[Applicable Points]),(ABS($B16-$B$9)^$C$5+ABS($C16-$C$9)^$C$5+ABS($D16-$D$9)^$C$5+ABS($E16-$E$9)^$C$5)^(1/$C$5),"")</f>
        <v/>
      </c>
      <c r="I16" s="46" t="str">
        <f>IF(AND(L1Distance[[#This Row],[Point]]&lt;=Cal[Applicable Points],VALUE(L1Distance[[#Headers],[2]])&lt;=Cal[Applicable Points]),(ABS($B16-$B$10)^$C$5+ABS($C16-$C$10)^$C$5+ABS($D16-$D$10)^$C$5+ABS($E16-$E$10)^$C$5)^(1/$C$5),"")</f>
        <v/>
      </c>
      <c r="J16" s="46" t="str">
        <f>IF(AND(L1Distance[[#This Row],[Point]]&lt;=Cal[Applicable Points],VALUE(L1Distance[[#Headers],[3]])&lt;=Cal[Applicable Points]),(ABS($B16-$B$11)^$C$5+ABS($C16-$C$11)^$C$5+ABS($D16-$D$11)^$C$5+ABS($E16-$E$11)^$C$5)^(1/$C$5),"")</f>
        <v/>
      </c>
      <c r="K16" s="46" t="str">
        <f>IF(AND(L1Distance[[#This Row],[Point]]&lt;=Cal[Applicable Points],VALUE(L1Distance[[#Headers],[4]])&lt;=Cal[Applicable Points]),ABS($B16-$B$12)^$C$5+ABS($C16-$C$12)^$C$5+ABS($D16-$D$12)^$C$5+ABS($E16-$E$12)^$C$5,"")</f>
        <v/>
      </c>
      <c r="L16" s="46" t="str">
        <f>IF(AND(L1Distance[[#This Row],[Point]]&lt;=Cal[Applicable Points],VALUE(L1Distance[[#Headers],[5]])&lt;=Cal[Applicable Points]),(ABS($B16-$B$13)^$C$5+ABS($C16-$C$13)^$C$5+ABS($D16-$D$13)^$C$5+ABS($E16-$E$13)^$C$5)^(1/$C$5),"")</f>
        <v/>
      </c>
      <c r="M16" s="46" t="str">
        <f>IF(AND(L1Distance[[#This Row],[Point]]&lt;=Cal[Applicable Points],VALUE(L1Distance[[#Headers],[6]])&lt;=Cal[Applicable Points]),(ABS($B16-$B$14)^$C$5+ABS($C16-$C$14)^$C$5+ABS($D16-$D$14)^$C$5+ABS($E16-$E$14)^$C$5)^(1/$C$5),"")</f>
        <v/>
      </c>
      <c r="N16" s="46" t="str">
        <f>IF(AND(L1Distance[[#This Row],[Point]]&lt;=Cal[Applicable Points],VALUE(L1Distance[[#Headers],[7]])&lt;=Cal[Applicable Points]),(ABS($B16-$B$15)^$C$5+ABS($C16-$C$15)^$C$5+ABS($D16-$D$15)^$C$5+ABS($E16-$E$15)^$C$5)^(1/$C$5),"")</f>
        <v/>
      </c>
      <c r="O16" s="121" t="str">
        <f>IF(AND(L1Distance[[#This Row],[Point]]&lt;=Cal[Applicable Points],VALUE(L1Distance[[#Headers],[8]])&lt;=Cal[Applicable Points]),(ABS($B16-$B$16)^$C$5+ABS($C16-$C$16)^$C$5+ABS($D16-$D$16)^$C$5+ABS($E16-$E$16)^$C$5)^(1/$C$5),"")</f>
        <v/>
      </c>
      <c r="P16" s="46" t="str">
        <f>IF(AND(L1Distance[[#This Row],[Point]]&lt;=Cal[Applicable Points],VALUE(L1Distance[[#Headers],[9]])&lt;=Cal[Applicable Points]),(ABS($B16-$B$17)^$C$5+ABS($C16-$C$17)^$C$5+ABS($D16-$D$17)^$C$5+ABS($E16-$E$17)^$C$5)^(1/$C$5),"")</f>
        <v/>
      </c>
      <c r="Q16" s="46" t="str">
        <f>IF(AND(L1Distance[[#This Row],[Point]]&lt;=Cal[Applicable Points],VALUE(L1Distance[[#Headers],[10]])&lt;=Cal[Applicable Points]),(ABS($B16-$B$18)^$C$5+ABS($C16-$C$18)^$C$5+ABS($D16-$D$18)^$C$5+ABS($E16-$E$18)^$C$5)^(1/$C$5),"")</f>
        <v/>
      </c>
      <c r="U16" s="23">
        <f>InputTableDistances[[#This Row],[Point]]</f>
        <v>8</v>
      </c>
      <c r="V16" s="46" t="str">
        <f>IF(AND(Table17235583[[#This Row],[Point]]&lt;=Cal[Applicable Points],VALUE(L1Distance[[#Headers],[1]])&lt;=Cal[Applicable Points]),MAX(ABS($B16-$B$9),ABS($C16-$C$9),ABS($D16-$D$9),ABS($E16-$E$9)),"")</f>
        <v/>
      </c>
      <c r="W16" s="46" t="str">
        <f>IF(AND(Table17235583[[#This Row],[Point]]&lt;=Cal[Applicable Points],VALUE(L1Distance[[#Headers],[2]])&lt;=Cal[Applicable Points]),MAX(ABS($B16-$B$10),ABS($C16-$C$10),ABS($D16-$D$10),ABS($E16-$E$10)),"")</f>
        <v/>
      </c>
      <c r="X16" s="46" t="str">
        <f>IF(AND(Table17235583[[#This Row],[Point]]&lt;=Cal[Applicable Points],VALUE(L1Distance[[#Headers],[3]])&lt;=Cal[Applicable Points]),MAX(ABS($B16-$B$11),ABS($C16-$C$11),ABS($D16-$D$11),ABS($E16-$E$11)),"")</f>
        <v/>
      </c>
      <c r="Y16" s="46" t="str">
        <f>IF(AND(Table17235583[[#This Row],[Point]]&lt;=Cal[Applicable Points],VALUE(L1Distance[[#Headers],[4]])&lt;=Cal[Applicable Points]),MAX(ABS($B16-$B$12),ABS($C16-$C$12),ABS($D16-$D$12),ABS($E16-$E$12)),"")</f>
        <v/>
      </c>
      <c r="Z16" s="46" t="str">
        <f>IF(AND(Table17235583[[#This Row],[Point]]&lt;=Cal[Applicable Points],VALUE(L1Distance[[#Headers],[5]])&lt;=Cal[Applicable Points]),MAX(ABS($B16-$B$13),ABS($C16-$C$13),ABS($D16-$D$13),ABS($E16-$E$13)),"")</f>
        <v/>
      </c>
      <c r="AA16" s="46" t="str">
        <f>IF(AND(Table17235583[[#This Row],[Point]]&lt;=Cal[Applicable Points],VALUE(L1Distance[[#Headers],[6]])&lt;=Cal[Applicable Points]),MAX(ABS($B16-$B$14),ABS($C16-$C$14),ABS($D16-$D$14),ABS($E16-$E$14)),"")</f>
        <v/>
      </c>
      <c r="AB16" s="46" t="str">
        <f>IF(AND(Table17235583[[#This Row],[Point]]&lt;=Cal[Applicable Points],VALUE(L1Distance[[#Headers],[7]])&lt;=Cal[Applicable Points]),MAX(ABS($B16-$B$15),ABS($C16-$C$15),ABS($D16-$D$15),ABS($E16-$E$15)),"")</f>
        <v/>
      </c>
      <c r="AC16" s="121" t="str">
        <f>IF(AND(Table17235583[[#This Row],[Point]]&lt;=Cal[Applicable Points],VALUE(L1Distance[[#Headers],[8]])&lt;=Cal[Applicable Points]),MAX(ABS($B16-$B$16),ABS($C16-$C$16),ABS($D16-$D$16),ABS($E16-$E$16)),"")</f>
        <v/>
      </c>
      <c r="AD16" s="46" t="str">
        <f>IF(AND(Table17235583[[#This Row],[Point]]&lt;=Cal[Applicable Points],VALUE(L1Distance[[#Headers],[9]])&lt;=Cal[Applicable Points]),MAX(ABS($B16-$B$17),ABS($C16-$C$17),ABS($D16-$D$17),ABS($E16-$E$17)),"")</f>
        <v/>
      </c>
      <c r="AE16" s="46" t="str">
        <f>IF(AND(Table17235583[[#This Row],[Point]]&lt;=Cal[Applicable Points],VALUE(L1Distance[[#Headers],[10]])&lt;=Cal[Applicable Points]),MAX(ABS($B16-$B$18),ABS($C16-$C$18),ABS($D16-$D$18),ABS($E16-$E$18)),"")</f>
        <v/>
      </c>
    </row>
    <row r="17" spans="1:31">
      <c r="A17" s="18">
        <f t="shared" si="1"/>
        <v>9</v>
      </c>
      <c r="B17" s="111"/>
      <c r="C17" s="111"/>
      <c r="D17" s="111"/>
      <c r="E17" s="111"/>
      <c r="G17" s="116">
        <f>IFERROR(InputTableDistances[[#This Row],[Point]],"")</f>
        <v>9</v>
      </c>
      <c r="H17" s="46" t="str">
        <f>IF(AND(L1Distance[[#This Row],[Point]]&lt;=Cal[Applicable Points],VALUE(L1Distance[[#Headers],[1]])&lt;=Cal[Applicable Points]),(ABS($B17-$B$9)^$C$5+ABS($C17-$C$9)^$C$5+ABS($D17-$D$9)^$C$5+ABS($E17-$E$9)^$C$5)^(1/$C$5),"")</f>
        <v/>
      </c>
      <c r="I17" s="46" t="str">
        <f>IF(AND(L1Distance[[#This Row],[Point]]&lt;=Cal[Applicable Points],VALUE(L1Distance[[#Headers],[2]])&lt;=Cal[Applicable Points]),(ABS($B17-$B$10)^$C$5+ABS($C17-$C$10)^$C$5+ABS($D17-$D$10)^$C$5+ABS($E17-$E$10)^$C$5)^(1/$C$5),"")</f>
        <v/>
      </c>
      <c r="J17" s="46" t="str">
        <f>IF(AND(L1Distance[[#This Row],[Point]]&lt;=Cal[Applicable Points],VALUE(L1Distance[[#Headers],[3]])&lt;=Cal[Applicable Points]),(ABS($B17-$B$11)^$C$5+ABS($C17-$C$11)^$C$5+ABS($D17-$D$11)^$C$5+ABS($E17-$E$11)^$C$5)^(1/$C$5),"")</f>
        <v/>
      </c>
      <c r="K17" s="46" t="str">
        <f>IF(AND(L1Distance[[#This Row],[Point]]&lt;=Cal[Applicable Points],VALUE(L1Distance[[#Headers],[4]])&lt;=Cal[Applicable Points]),ABS($B17-$B$12)^$C$5+ABS($C17-$C$12)^$C$5+ABS($D17-$D$12)^$C$5+ABS($E17-$E$12)^$C$5,"")</f>
        <v/>
      </c>
      <c r="L17" s="46" t="str">
        <f>IF(AND(L1Distance[[#This Row],[Point]]&lt;=Cal[Applicable Points],VALUE(L1Distance[[#Headers],[5]])&lt;=Cal[Applicable Points]),(ABS($B17-$B$13)^$C$5+ABS($C17-$C$13)^$C$5+ABS($D17-$D$13)^$C$5+ABS($E17-$E$13)^$C$5)^(1/$C$5),"")</f>
        <v/>
      </c>
      <c r="M17" s="46" t="str">
        <f>IF(AND(L1Distance[[#This Row],[Point]]&lt;=Cal[Applicable Points],VALUE(L1Distance[[#Headers],[6]])&lt;=Cal[Applicable Points]),(ABS($B17-$B$14)^$C$5+ABS($C17-$C$14)^$C$5+ABS($D17-$D$14)^$C$5+ABS($E17-$E$14)^$C$5)^(1/$C$5),"")</f>
        <v/>
      </c>
      <c r="N17" s="46" t="str">
        <f>IF(AND(L1Distance[[#This Row],[Point]]&lt;=Cal[Applicable Points],VALUE(L1Distance[[#Headers],[7]])&lt;=Cal[Applicable Points]),(ABS($B17-$B$15)^$C$5+ABS($C17-$C$15)^$C$5+ABS($D17-$D$15)^$C$5+ABS($E17-$E$15)^$C$5)^(1/$C$5),"")</f>
        <v/>
      </c>
      <c r="O17" s="46" t="str">
        <f>IF(AND(L1Distance[[#This Row],[Point]]&lt;=Cal[Applicable Points],VALUE(L1Distance[[#Headers],[8]])&lt;=Cal[Applicable Points]),(ABS($B17-$B$16)^$C$5+ABS($C17-$C$16)^$C$5+ABS($D17-$D$16)^$C$5+ABS($E17-$E$16)^$C$5)^(1/$C$5),"")</f>
        <v/>
      </c>
      <c r="P17" s="121" t="str">
        <f>IF(AND(L1Distance[[#This Row],[Point]]&lt;=Cal[Applicable Points],VALUE(L1Distance[[#Headers],[9]])&lt;=Cal[Applicable Points]),(ABS($B17-$B$17)^$C$5+ABS($C17-$C$17)^$C$5+ABS($D17-$D$17)^$C$5+ABS($E17-$E$17)^$C$5)^(1/$C$5),"")</f>
        <v/>
      </c>
      <c r="Q17" s="46" t="str">
        <f>IF(AND(L1Distance[[#This Row],[Point]]&lt;=Cal[Applicable Points],VALUE(L1Distance[[#Headers],[10]])&lt;=Cal[Applicable Points]),(ABS($B17-$B$18)^$C$5+ABS($C17-$C$18)^$C$5+ABS($D17-$D$18)^$C$5+ABS($E17-$E$18)^$C$5)^(1/$C$5),"")</f>
        <v/>
      </c>
      <c r="U17" s="23">
        <f>InputTableDistances[[#This Row],[Point]]</f>
        <v>9</v>
      </c>
      <c r="V17" s="46" t="str">
        <f>IF(AND(Table17235583[[#This Row],[Point]]&lt;=Cal[Applicable Points],VALUE(L1Distance[[#Headers],[1]])&lt;=Cal[Applicable Points]),MAX(ABS($B17-$B$9),ABS($C17-$C$9),ABS($D17-$D$9),ABS($E17-$E$9)),"")</f>
        <v/>
      </c>
      <c r="W17" s="46" t="str">
        <f>IF(AND(Table17235583[[#This Row],[Point]]&lt;=Cal[Applicable Points],VALUE(L1Distance[[#Headers],[2]])&lt;=Cal[Applicable Points]),MAX(ABS($B17-$B$10),ABS($C17-$C$10),ABS($D17-$D$10),ABS($E17-$E$10)),"")</f>
        <v/>
      </c>
      <c r="X17" s="46" t="str">
        <f>IF(AND(Table17235583[[#This Row],[Point]]&lt;=Cal[Applicable Points],VALUE(L1Distance[[#Headers],[3]])&lt;=Cal[Applicable Points]),MAX(ABS($B17-$B$11),ABS($C17-$C$11),ABS($D17-$D$11),ABS($E17-$E$11)),"")</f>
        <v/>
      </c>
      <c r="Y17" s="46" t="str">
        <f>IF(AND(Table17235583[[#This Row],[Point]]&lt;=Cal[Applicable Points],VALUE(L1Distance[[#Headers],[4]])&lt;=Cal[Applicable Points]),MAX(ABS($B17-$B$12),ABS($C17-$C$12),ABS($D17-$D$12),ABS($E17-$E$12)),"")</f>
        <v/>
      </c>
      <c r="Z17" s="46" t="str">
        <f>IF(AND(Table17235583[[#This Row],[Point]]&lt;=Cal[Applicable Points],VALUE(L1Distance[[#Headers],[5]])&lt;=Cal[Applicable Points]),MAX(ABS($B17-$B$13),ABS($C17-$C$13),ABS($D17-$D$13),ABS($E17-$E$13)),"")</f>
        <v/>
      </c>
      <c r="AA17" s="46" t="str">
        <f>IF(AND(Table17235583[[#This Row],[Point]]&lt;=Cal[Applicable Points],VALUE(L1Distance[[#Headers],[6]])&lt;=Cal[Applicable Points]),MAX(ABS($B17-$B$14),ABS($C17-$C$14),ABS($D17-$D$14),ABS($E17-$E$14)),"")</f>
        <v/>
      </c>
      <c r="AB17" s="46" t="str">
        <f>IF(AND(Table17235583[[#This Row],[Point]]&lt;=Cal[Applicable Points],VALUE(L1Distance[[#Headers],[7]])&lt;=Cal[Applicable Points]),MAX(ABS($B17-$B$15),ABS($C17-$C$15),ABS($D17-$D$15),ABS($E17-$E$15)),"")</f>
        <v/>
      </c>
      <c r="AC17" s="46" t="str">
        <f>IF(AND(Table17235583[[#This Row],[Point]]&lt;=Cal[Applicable Points],VALUE(L1Distance[[#Headers],[8]])&lt;=Cal[Applicable Points]),MAX(ABS($B17-$B$16),ABS($C17-$C$16),ABS($D17-$D$16),ABS($E17-$E$16)),"")</f>
        <v/>
      </c>
      <c r="AD17" s="121" t="str">
        <f>IF(AND(Table17235583[[#This Row],[Point]]&lt;=Cal[Applicable Points],VALUE(L1Distance[[#Headers],[9]])&lt;=Cal[Applicable Points]),MAX(ABS($B17-$B$17),ABS($C17-$C$17),ABS($D17-$D$17),ABS($E17-$E$17)),"")</f>
        <v/>
      </c>
      <c r="AE17" s="46" t="str">
        <f>IF(AND(Table17235583[[#This Row],[Point]]&lt;=Cal[Applicable Points],VALUE(L1Distance[[#Headers],[10]])&lt;=Cal[Applicable Points]),MAX(ABS($B17-$B$18),ABS($C17-$C$18),ABS($D17-$D$18),ABS($E17-$E$18)),"")</f>
        <v/>
      </c>
    </row>
    <row r="18" spans="1:31">
      <c r="A18" s="51">
        <f t="shared" si="1"/>
        <v>10</v>
      </c>
      <c r="B18" s="111"/>
      <c r="C18" s="111"/>
      <c r="D18" s="111"/>
      <c r="E18" s="111"/>
      <c r="G18" s="53">
        <f>IFERROR(InputTableDistances[[#This Row],[Point]],"")</f>
        <v>10</v>
      </c>
      <c r="H18" s="46" t="str">
        <f>IF(AND(L1Distance[[#This Row],[Point]]&lt;=Cal[Applicable Points],VALUE(L1Distance[[#Headers],[1]])&lt;=Cal[Applicable Points]),(ABS($B18-$B$9)^$C$5+ABS($C18-$C$9)^$C$5+ABS($D18-$D$9)^$C$5+ABS($E18-$E$9)^$C$5)^(1/$C$5),"")</f>
        <v/>
      </c>
      <c r="I18" s="46" t="str">
        <f>IF(AND(L1Distance[[#This Row],[Point]]&lt;=Cal[Applicable Points],VALUE(L1Distance[[#Headers],[2]])&lt;=Cal[Applicable Points]),(ABS($B18-$B$10)^$C$5+ABS($C18-$C$10)^$C$5+ABS($D18-$D$10)^$C$5+ABS($E18-$E$10)^$C$5)^(1/$C$5),"")</f>
        <v/>
      </c>
      <c r="J18" s="46" t="str">
        <f>IF(AND(L1Distance[[#This Row],[Point]]&lt;=Cal[Applicable Points],VALUE(L1Distance[[#Headers],[3]])&lt;=Cal[Applicable Points]),(ABS($B18-$B$11)^$C$5+ABS($C18-$C$11)^$C$5+ABS($D18-$D$11)^$C$5+ABS($E18-$E$11)^$C$5)^(1/$C$5),"")</f>
        <v/>
      </c>
      <c r="K18" s="46" t="str">
        <f>IF(AND(L1Distance[[#This Row],[Point]]&lt;=Cal[Applicable Points],VALUE(L1Distance[[#Headers],[4]])&lt;=Cal[Applicable Points]),ABS($B18-$B$12)^$C$5+ABS($C18-$C$12)^$C$5+ABS($D18-$D$12)^$C$5+ABS($E18-$E$12)^$C$5,"")</f>
        <v/>
      </c>
      <c r="L18" s="46" t="str">
        <f>IF(AND(L1Distance[[#This Row],[Point]]&lt;=Cal[Applicable Points],VALUE(L1Distance[[#Headers],[5]])&lt;=Cal[Applicable Points]),(ABS($B18-$B$13)^$C$5+ABS($C18-$C$13)^$C$5+ABS($D18-$D$13)^$C$5+ABS($E18-$E$13)^$C$5)^(1/$C$5),"")</f>
        <v/>
      </c>
      <c r="M18" s="46" t="str">
        <f>IF(AND(L1Distance[[#This Row],[Point]]&lt;=Cal[Applicable Points],VALUE(L1Distance[[#Headers],[6]])&lt;=Cal[Applicable Points]),(ABS($B18-$B$14)^$C$5+ABS($C18-$C$14)^$C$5+ABS($D18-$D$14)^$C$5+ABS($E18-$E$14)^$C$5)^(1/$C$5),"")</f>
        <v/>
      </c>
      <c r="N18" s="46" t="str">
        <f>IF(AND(L1Distance[[#This Row],[Point]]&lt;=Cal[Applicable Points],VALUE(L1Distance[[#Headers],[7]])&lt;=Cal[Applicable Points]),(ABS($B18-$B$15)^$C$5+ABS($C18-$C$15)^$C$5+ABS($D18-$D$15)^$C$5+ABS($E18-$E$15)^$C$5)^(1/$C$5),"")</f>
        <v/>
      </c>
      <c r="O18" s="46" t="str">
        <f>IF(AND(L1Distance[[#This Row],[Point]]&lt;=Cal[Applicable Points],VALUE(L1Distance[[#Headers],[8]])&lt;=Cal[Applicable Points]),(ABS($B18-$B$16)^$C$5+ABS($C18-$C$16)^$C$5+ABS($D18-$D$16)^$C$5+ABS($E18-$E$16)^$C$5)^(1/$C$5),"")</f>
        <v/>
      </c>
      <c r="P18" s="46" t="str">
        <f>IF(AND(L1Distance[[#This Row],[Point]]&lt;=Cal[Applicable Points],VALUE(L1Distance[[#Headers],[9]])&lt;=Cal[Applicable Points]),(ABS($B18-$B$17)^$C$5+ABS($C18-$C$17)^$C$5+ABS($D18-$D$17)^$C$5+ABS($E18-$E$17)^$C$5)^(1/$C$5),"")</f>
        <v/>
      </c>
      <c r="Q18" s="121" t="str">
        <f>IF(AND(L1Distance[[#This Row],[Point]]&lt;=Cal[Applicable Points],VALUE(L1Distance[[#Headers],[10]])&lt;=Cal[Applicable Points]),(ABS($B18-$B$18)^$C$5+ABS($C18-$C$18)^$C$5+ABS($D18-$D$18)^$C$5+ABS($E18-$E$18)^$C$5)^(1/$C$5),"")</f>
        <v/>
      </c>
      <c r="U18" s="53">
        <f>InputTableDistances[[#This Row],[Point]]</f>
        <v>10</v>
      </c>
      <c r="V18" s="46" t="str">
        <f>IF(AND(Table17235583[[#This Row],[Point]]&lt;=Cal[Applicable Points],VALUE(L1Distance[[#Headers],[1]])&lt;=Cal[Applicable Points]),MAX(ABS($B18-$B$9),ABS($C18-$C$9),ABS($D18-$D$9),ABS($E18-$E$9)),"")</f>
        <v/>
      </c>
      <c r="W18" s="46" t="str">
        <f>IF(AND(Table17235583[[#This Row],[Point]]&lt;=Cal[Applicable Points],VALUE(L1Distance[[#Headers],[2]])&lt;=Cal[Applicable Points]),MAX(ABS($B18-$B$10),ABS($C18-$C$10),ABS($D18-$D$10),ABS($E18-$E$10)),"")</f>
        <v/>
      </c>
      <c r="X18" s="46" t="str">
        <f>IF(AND(Table17235583[[#This Row],[Point]]&lt;=Cal[Applicable Points],VALUE(L1Distance[[#Headers],[3]])&lt;=Cal[Applicable Points]),MAX(ABS($B18-$B$11),ABS($C18-$C$11),ABS($D18-$D$11),ABS($E18-$E$11)),"")</f>
        <v/>
      </c>
      <c r="Y18" s="46" t="str">
        <f>IF(AND(Table17235583[[#This Row],[Point]]&lt;=Cal[Applicable Points],VALUE(L1Distance[[#Headers],[4]])&lt;=Cal[Applicable Points]),MAX(ABS($B18-$B$12),ABS($C18-$C$12),ABS($D18-$D$12),ABS($E18-$E$12)),"")</f>
        <v/>
      </c>
      <c r="Z18" s="46" t="str">
        <f>IF(AND(Table17235583[[#This Row],[Point]]&lt;=Cal[Applicable Points],VALUE(L1Distance[[#Headers],[5]])&lt;=Cal[Applicable Points]),MAX(ABS($B18-$B$13),ABS($C18-$C$13),ABS($D18-$D$13),ABS($E18-$E$13)),"")</f>
        <v/>
      </c>
      <c r="AA18" s="46" t="str">
        <f>IF(AND(Table17235583[[#This Row],[Point]]&lt;=Cal[Applicable Points],VALUE(L1Distance[[#Headers],[6]])&lt;=Cal[Applicable Points]),MAX(ABS($B18-$B$14),ABS($C18-$C$14),ABS($D18-$D$14),ABS($E18-$E$14)),"")</f>
        <v/>
      </c>
      <c r="AB18" s="46" t="str">
        <f>IF(AND(Table17235583[[#This Row],[Point]]&lt;=Cal[Applicable Points],VALUE(L1Distance[[#Headers],[7]])&lt;=Cal[Applicable Points]),MAX(ABS($B18-$B$15),ABS($C18-$C$15),ABS($D18-$D$15),ABS($E18-$E$15)),"")</f>
        <v/>
      </c>
      <c r="AC18" s="46" t="str">
        <f>IF(AND(Table17235583[[#This Row],[Point]]&lt;=Cal[Applicable Points],VALUE(L1Distance[[#Headers],[8]])&lt;=Cal[Applicable Points]),MAX(ABS($B18-$B$16),ABS($C18-$C$16),ABS($D18-$D$16),ABS($E18-$E$16)),"")</f>
        <v/>
      </c>
      <c r="AD18" s="46" t="str">
        <f>IF(AND(Table17235583[[#This Row],[Point]]&lt;=Cal[Applicable Points],VALUE(L1Distance[[#Headers],[9]])&lt;=Cal[Applicable Points]),MAX(ABS($B18-$B$17),ABS($C18-$C$17),ABS($D18-$D$17),ABS($E18-$E$17)),"")</f>
        <v/>
      </c>
      <c r="AE18" s="121" t="str">
        <f>IF(AND(Table17235583[[#This Row],[Point]]&lt;=Cal[Applicable Points],VALUE(L1Distance[[#Headers],[10]])&lt;=Cal[Applicable Points]),MAX(ABS($B18-$B$18),ABS($C18-$C$18),ABS($D18-$D$18),ABS($E18-$E$18)),"")</f>
        <v/>
      </c>
    </row>
    <row r="20" spans="1:31">
      <c r="A20" t="s">
        <v>705</v>
      </c>
      <c r="G20" t="s">
        <v>706</v>
      </c>
    </row>
    <row r="21" spans="1:31">
      <c r="G21" t="s">
        <v>82</v>
      </c>
      <c r="H21" s="114" t="s">
        <v>83</v>
      </c>
      <c r="I21" s="114" t="s">
        <v>84</v>
      </c>
      <c r="J21" s="114" t="s">
        <v>85</v>
      </c>
      <c r="K21" s="114" t="s">
        <v>86</v>
      </c>
      <c r="L21" s="114" t="s">
        <v>220</v>
      </c>
      <c r="M21" s="114" t="s">
        <v>221</v>
      </c>
      <c r="N21" s="114" t="s">
        <v>400</v>
      </c>
      <c r="O21" s="114" t="s">
        <v>401</v>
      </c>
      <c r="P21" s="114" t="s">
        <v>402</v>
      </c>
      <c r="Q21" s="114" t="s">
        <v>403</v>
      </c>
      <c r="U21" s="109"/>
    </row>
    <row r="22" spans="1:31">
      <c r="G22" t="s">
        <v>404</v>
      </c>
      <c r="H22" s="18">
        <f>COUNTIF(L1Distance[1],"&gt;="&amp;$C$2)</f>
        <v>4</v>
      </c>
      <c r="I22" s="18">
        <f>COUNTIF(L1Distance[2],"&gt;="&amp;$C$2)</f>
        <v>4</v>
      </c>
      <c r="J22" s="18">
        <f>COUNTIF(L1Distance[3],"&gt;="&amp;$C$2)</f>
        <v>6</v>
      </c>
      <c r="K22" s="18">
        <f>COUNTIF(L1Distance[4],"&gt;="&amp;$C$2)</f>
        <v>6</v>
      </c>
      <c r="L22" s="18">
        <f>COUNTIF(L1Distance[5],"&gt;="&amp;$C$2)</f>
        <v>4</v>
      </c>
      <c r="M22" s="18">
        <f>COUNTIF(L1Distance[6],"&gt;="&amp;$C$2)</f>
        <v>5</v>
      </c>
      <c r="N22" s="18">
        <f>COUNTIF(L1Distance[7],"&gt;="&amp;$C$2)</f>
        <v>5</v>
      </c>
      <c r="O22" s="18">
        <f>COUNTIF(L1Distance[8],"&gt;="&amp;$C$2)</f>
        <v>0</v>
      </c>
      <c r="P22" s="18">
        <f>COUNTIF(L1Distance[9],"&gt;="&amp;$C$2)</f>
        <v>0</v>
      </c>
      <c r="Q22" s="18">
        <f>COUNTIF(L1Distance[10],"&gt;="&amp;$C$2)</f>
        <v>0</v>
      </c>
      <c r="U22" s="109"/>
    </row>
    <row r="24" spans="1:31">
      <c r="A24" t="s">
        <v>420</v>
      </c>
      <c r="B24" t="s">
        <v>208</v>
      </c>
      <c r="G24" s="118" t="s">
        <v>82</v>
      </c>
      <c r="H24" s="119" t="s">
        <v>83</v>
      </c>
      <c r="I24" s="119" t="s">
        <v>84</v>
      </c>
      <c r="J24" s="119" t="s">
        <v>85</v>
      </c>
      <c r="K24" s="119" t="s">
        <v>86</v>
      </c>
      <c r="L24" s="119" t="s">
        <v>220</v>
      </c>
      <c r="M24" s="119" t="s">
        <v>221</v>
      </c>
      <c r="N24" s="119" t="s">
        <v>400</v>
      </c>
      <c r="O24" s="119" t="s">
        <v>401</v>
      </c>
      <c r="P24" s="119" t="s">
        <v>402</v>
      </c>
      <c r="Q24" s="120" t="s">
        <v>403</v>
      </c>
    </row>
    <row r="25" spans="1:31">
      <c r="A25" s="18">
        <v>1</v>
      </c>
      <c r="B25" s="18" t="s">
        <v>417</v>
      </c>
      <c r="G25" t="s">
        <v>408</v>
      </c>
      <c r="H25" s="18" t="str">
        <f>IF(L1PointCount[1]&gt;$H$2,"Outlier","")</f>
        <v/>
      </c>
      <c r="I25" s="18" t="str">
        <f>IF(L1PointCount[2]&gt;$H$2,"Outlier","")</f>
        <v/>
      </c>
      <c r="J25" s="18" t="str">
        <f>IF(L1PointCount[3]&gt;$H$2,"Outlier","")</f>
        <v>Outlier</v>
      </c>
      <c r="K25" s="18" t="str">
        <f>IF(L1PointCount[4]&gt;$H$2,"Outlier","")</f>
        <v>Outlier</v>
      </c>
      <c r="L25" s="18" t="str">
        <f>IF(L1PointCount[5]&gt;$H$2,"Outlier","")</f>
        <v/>
      </c>
      <c r="M25" s="18" t="str">
        <f>IF(L1PointCount[6]&gt;$H$2,"Outlier","")</f>
        <v/>
      </c>
      <c r="N25" s="18" t="str">
        <f>IF(L1PointCount[7]&gt;$H$2,"Outlier","")</f>
        <v/>
      </c>
      <c r="O25" s="18" t="str">
        <f>IF(L1PointCount[8]&gt;$H$2,"Outlier","")</f>
        <v/>
      </c>
      <c r="P25" s="18" t="str">
        <f>IF(L1PointCount[9]&gt;$H$2,"Outlier","")</f>
        <v/>
      </c>
      <c r="Q25" s="18" t="str">
        <f>IF(L1PointCount[10]&gt;$H$2,"Outlier","")</f>
        <v/>
      </c>
    </row>
    <row r="26" spans="1:31">
      <c r="A26" s="18">
        <v>2</v>
      </c>
      <c r="B26" s="18" t="s">
        <v>419</v>
      </c>
    </row>
    <row r="27" spans="1:31">
      <c r="A27" s="18">
        <v>3</v>
      </c>
      <c r="B27" s="18" t="s">
        <v>418</v>
      </c>
    </row>
    <row r="28" spans="1:31">
      <c r="A28" s="51">
        <v>4</v>
      </c>
      <c r="B28" s="51" t="s">
        <v>422</v>
      </c>
    </row>
  </sheetData>
  <mergeCells count="8">
    <mergeCell ref="B5:B6"/>
    <mergeCell ref="C5:C6"/>
    <mergeCell ref="U5:AE5"/>
    <mergeCell ref="A1:C1"/>
    <mergeCell ref="G7:Q7"/>
    <mergeCell ref="A2:A3"/>
    <mergeCell ref="U7:AE7"/>
    <mergeCell ref="A5:A6"/>
  </mergeCells>
  <phoneticPr fontId="9" type="noConversion"/>
  <pageMargins left="0.7" right="0.7" top="0.75" bottom="0.75" header="0.3" footer="0.3"/>
  <pageSetup orientation="portrait" horizontalDpi="4294967293" verticalDpi="0" r:id="rId1"/>
  <drawing r:id="rId2"/>
  <tableParts count="7">
    <tablePart r:id="rId3"/>
    <tablePart r:id="rId4"/>
    <tablePart r:id="rId5"/>
    <tablePart r:id="rId6"/>
    <tablePart r:id="rId7"/>
    <tablePart r:id="rId8"/>
    <tablePart r:id="rId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L17"/>
  <sheetViews>
    <sheetView showGridLines="0" topLeftCell="B1" workbookViewId="0"/>
  </sheetViews>
  <sheetFormatPr defaultRowHeight="15"/>
  <cols>
    <col min="1" max="1" width="22.140625" bestFit="1" customWidth="1"/>
    <col min="2" max="2" width="29.28515625" bestFit="1" customWidth="1"/>
    <col min="3" max="3" width="13.5703125" bestFit="1" customWidth="1"/>
    <col min="4" max="4" width="19.140625" bestFit="1" customWidth="1"/>
    <col min="5" max="7" width="16.85546875" bestFit="1" customWidth="1"/>
    <col min="8" max="10" width="19.28515625" bestFit="1" customWidth="1"/>
  </cols>
  <sheetData>
    <row r="1" spans="1:12">
      <c r="A1" t="s">
        <v>377</v>
      </c>
      <c r="B1" t="s">
        <v>378</v>
      </c>
      <c r="C1" t="s">
        <v>383</v>
      </c>
      <c r="D1" t="s">
        <v>384</v>
      </c>
      <c r="E1" t="s">
        <v>385</v>
      </c>
      <c r="F1" t="s">
        <v>386</v>
      </c>
      <c r="G1" t="s">
        <v>387</v>
      </c>
      <c r="H1" t="s">
        <v>388</v>
      </c>
    </row>
    <row r="2" spans="1:12">
      <c r="A2">
        <f>AVERAGE(Table74[Parameter Values (x)])</f>
        <v>28.779999999999994</v>
      </c>
      <c r="B2">
        <f>_xlfn.STDEV.P(Table74[Parameter Values (x)])</f>
        <v>1.6975276139138358</v>
      </c>
      <c r="C2">
        <f>StdDev[[#This Row],[Mean (u)]]+StdDev[[#This Row],[Standard Deviation (sigma) P]]</f>
        <v>30.477527613913828</v>
      </c>
      <c r="D2">
        <f>StdDev[[#This Row],[Mean (u)]]-StdDev[[#This Row],[Standard Deviation (sigma) P]]</f>
        <v>27.08247238608616</v>
      </c>
      <c r="E2">
        <f>StdDev[[#This Row],[Mean (u)]]+2*StdDev[[#This Row],[Standard Deviation (sigma) P]]</f>
        <v>32.175055227827663</v>
      </c>
      <c r="F2">
        <f>StdDev[[#This Row],[Mean (u)]]-2* StdDev[[#This Row],[Standard Deviation (sigma) P]]</f>
        <v>25.384944772172322</v>
      </c>
      <c r="G2">
        <f>StdDev[[#This Row],[Mean (u)]]+3*StdDev[[#This Row],[Standard Deviation (sigma) P]]</f>
        <v>33.872582841741504</v>
      </c>
      <c r="H2">
        <f>StdDev[[#This Row],[Mean (u)]]-3* StdDev[[#This Row],[Standard Deviation (sigma) P]]</f>
        <v>23.687417158258487</v>
      </c>
    </row>
    <row r="6" spans="1:12">
      <c r="H6" s="242" t="s">
        <v>499</v>
      </c>
      <c r="I6" s="242"/>
      <c r="J6" s="242"/>
    </row>
    <row r="7" spans="1:12">
      <c r="A7" t="s">
        <v>379</v>
      </c>
      <c r="B7" s="157" t="s">
        <v>381</v>
      </c>
      <c r="C7" s="157" t="s">
        <v>382</v>
      </c>
      <c r="D7" s="157" t="s">
        <v>380</v>
      </c>
      <c r="E7" s="157" t="s">
        <v>496</v>
      </c>
      <c r="F7" s="157" t="s">
        <v>497</v>
      </c>
      <c r="G7" s="157" t="s">
        <v>498</v>
      </c>
      <c r="H7" s="111" t="s">
        <v>495</v>
      </c>
      <c r="I7" s="111" t="s">
        <v>494</v>
      </c>
      <c r="J7" s="111" t="s">
        <v>493</v>
      </c>
    </row>
    <row r="8" spans="1:12">
      <c r="A8" s="111">
        <v>24</v>
      </c>
      <c r="B8" s="18">
        <f>Table74[[#This Row],[Parameter Values (x)]]-StdDev[Mean (u)]</f>
        <v>-4.779999999999994</v>
      </c>
      <c r="C8" s="18">
        <f>POWER(Table74[[#This Row],[(x-Mean)]],2)</f>
        <v>22.848399999999941</v>
      </c>
      <c r="D8" s="18">
        <f>Table74[[#This Row],[(x-Mean)]]/StdDev[Standard Deviation (sigma) P]</f>
        <v>-2.8158599370169779</v>
      </c>
      <c r="E8" s="128" t="str">
        <f>IF(OR(Table74[[#This Row],[Parameter Values (x)]]&gt;StdDev[SD1+],Table74[[#This Row],[Parameter Values (x)]]&lt;StdDev[SD1-]),"Outlier","")</f>
        <v>Outlier</v>
      </c>
      <c r="F8" s="128" t="str">
        <f>IF(OR(Table74[[#This Row],[Parameter Values (x)]]&gt;StdDev[SD2+],Table74[[#This Row],[Parameter Values (x)]]&lt;StdDev[SD2-]),"Outlier","")</f>
        <v>Outlier</v>
      </c>
      <c r="G8" s="128" t="str">
        <f>IF(OR(Table74[[#This Row],[Parameter Values (x)]]&gt;StdDev[SD3+],Table74[[#This Row],[Parameter Values (x)]]&lt;StdDev[SD3-]),"Outlier","")</f>
        <v/>
      </c>
      <c r="H8" s="129" t="str">
        <f>IF(ABS(Table74[[#This Row],[(x-mean)/Std Dev]])&gt;1,"Outlier","")</f>
        <v>Outlier</v>
      </c>
      <c r="I8" s="129" t="str">
        <f>IF(ABS(Table74[[#This Row],[(x-mean)/Std Dev]])&gt;2,"Outlier","")</f>
        <v>Outlier</v>
      </c>
      <c r="J8" s="129" t="str">
        <f>IF(ABS(Table74[[#This Row],[(x-mean)/Std Dev]])&gt;3,"Outlier","")</f>
        <v/>
      </c>
    </row>
    <row r="9" spans="1:12" ht="15.75">
      <c r="A9" s="111">
        <v>28.9</v>
      </c>
      <c r="B9" s="18">
        <f>Table74[[#This Row],[Parameter Values (x)]]-StdDev[Mean (u)]</f>
        <v>0.12000000000000455</v>
      </c>
      <c r="C9" s="18">
        <f>POWER(Table74[[#This Row],[(x-Mean)]],2)</f>
        <v>1.4400000000001091E-2</v>
      </c>
      <c r="D9" s="18">
        <f>Table74[[#This Row],[(x-Mean)]]/StdDev[Standard Deviation (sigma) P]</f>
        <v>7.0691044443943626E-2</v>
      </c>
      <c r="E9" s="128" t="str">
        <f>IF(OR(Table74[[#This Row],[Parameter Values (x)]]&gt;StdDev[SD1+],Table74[[#This Row],[Parameter Values (x)]]&lt;StdDev[SD1-]),"Outlier","")</f>
        <v/>
      </c>
      <c r="F9" s="128" t="str">
        <f>IF(OR(Table74[[#This Row],[Parameter Values (x)]]&gt;StdDev[SD2+],Table74[[#This Row],[Parameter Values (x)]]&lt;StdDev[SD2-]),"Outlier","")</f>
        <v/>
      </c>
      <c r="G9" s="128" t="str">
        <f>IF(OR(Table74[[#This Row],[Parameter Values (x)]]&gt;StdDev[SD3+],Table74[[#This Row],[Parameter Values (x)]]&lt;StdDev[SD3-]),"Outlier","")</f>
        <v/>
      </c>
      <c r="H9" s="129" t="str">
        <f>IF(ABS(Table74[[#This Row],[(x-mean)/Std Dev]])&gt;1,"Outlier","")</f>
        <v/>
      </c>
      <c r="I9" s="129" t="str">
        <f>IF(ABS(Table74[[#This Row],[(x-mean)/Std Dev]])&gt;2,"Outlier","")</f>
        <v/>
      </c>
      <c r="J9" s="129" t="str">
        <f>IF(ABS(Table74[[#This Row],[(x-mean)/Std Dev]])&gt;3,"Outlier","")</f>
        <v/>
      </c>
      <c r="L9" s="75"/>
    </row>
    <row r="10" spans="1:12">
      <c r="A10" s="111">
        <v>28.9</v>
      </c>
      <c r="B10" s="18">
        <f>Table74[[#This Row],[Parameter Values (x)]]-StdDev[Mean (u)]</f>
        <v>0.12000000000000455</v>
      </c>
      <c r="C10" s="18">
        <f>POWER(Table74[[#This Row],[(x-Mean)]],2)</f>
        <v>1.4400000000001091E-2</v>
      </c>
      <c r="D10" s="18">
        <f>Table74[[#This Row],[(x-Mean)]]/StdDev[Standard Deviation (sigma) P]</f>
        <v>7.0691044443943626E-2</v>
      </c>
      <c r="E10" s="128" t="str">
        <f>IF(OR(Table74[[#This Row],[Parameter Values (x)]]&gt;StdDev[SD1+],Table74[[#This Row],[Parameter Values (x)]]&lt;StdDev[SD1-]),"Outlier","")</f>
        <v/>
      </c>
      <c r="F10" s="128" t="str">
        <f>IF(OR(Table74[[#This Row],[Parameter Values (x)]]&gt;StdDev[SD2+],Table74[[#This Row],[Parameter Values (x)]]&lt;StdDev[SD2-]),"Outlier","")</f>
        <v/>
      </c>
      <c r="G10" s="128" t="str">
        <f>IF(OR(Table74[[#This Row],[Parameter Values (x)]]&gt;StdDev[SD3+],Table74[[#This Row],[Parameter Values (x)]]&lt;StdDev[SD3-]),"Outlier","")</f>
        <v/>
      </c>
      <c r="H10" s="129" t="str">
        <f>IF(ABS(Table74[[#This Row],[(x-mean)/Std Dev]])&gt;1,"Outlier","")</f>
        <v/>
      </c>
      <c r="I10" s="129" t="str">
        <f>IF(ABS(Table74[[#This Row],[(x-mean)/Std Dev]])&gt;2,"Outlier","")</f>
        <v/>
      </c>
      <c r="J10" s="129" t="str">
        <f>IF(ABS(Table74[[#This Row],[(x-mean)/Std Dev]])&gt;3,"Outlier","")</f>
        <v/>
      </c>
    </row>
    <row r="11" spans="1:12">
      <c r="A11" s="111">
        <v>29</v>
      </c>
      <c r="B11" s="18">
        <f>Table74[[#This Row],[Parameter Values (x)]]-StdDev[Mean (u)]</f>
        <v>0.22000000000000597</v>
      </c>
      <c r="C11" s="18">
        <f>POWER(Table74[[#This Row],[(x-Mean)]],2)</f>
        <v>4.8400000000002628E-2</v>
      </c>
      <c r="D11" s="18">
        <f>Table74[[#This Row],[(x-Mean)]]/StdDev[Standard Deviation (sigma) P]</f>
        <v>0.12960024814722859</v>
      </c>
      <c r="E11" s="128" t="str">
        <f>IF(OR(Table74[[#This Row],[Parameter Values (x)]]&gt;StdDev[SD1+],Table74[[#This Row],[Parameter Values (x)]]&lt;StdDev[SD1-]),"Outlier","")</f>
        <v/>
      </c>
      <c r="F11" s="128" t="str">
        <f>IF(OR(Table74[[#This Row],[Parameter Values (x)]]&gt;StdDev[SD2+],Table74[[#This Row],[Parameter Values (x)]]&lt;StdDev[SD2-]),"Outlier","")</f>
        <v/>
      </c>
      <c r="G11" s="128" t="str">
        <f>IF(OR(Table74[[#This Row],[Parameter Values (x)]]&gt;StdDev[SD3+],Table74[[#This Row],[Parameter Values (x)]]&lt;StdDev[SD3-]),"Outlier","")</f>
        <v/>
      </c>
      <c r="H11" s="129" t="str">
        <f>IF(ABS(Table74[[#This Row],[(x-mean)/Std Dev]])&gt;1,"Outlier","")</f>
        <v/>
      </c>
      <c r="I11" s="129" t="str">
        <f>IF(ABS(Table74[[#This Row],[(x-mean)/Std Dev]])&gt;2,"Outlier","")</f>
        <v/>
      </c>
      <c r="J11" s="129" t="str">
        <f>IF(ABS(Table74[[#This Row],[(x-mean)/Std Dev]])&gt;3,"Outlier","")</f>
        <v/>
      </c>
    </row>
    <row r="12" spans="1:12">
      <c r="A12" s="111">
        <v>29.1</v>
      </c>
      <c r="B12" s="18">
        <f>Table74[[#This Row],[Parameter Values (x)]]-StdDev[Mean (u)]</f>
        <v>0.32000000000000739</v>
      </c>
      <c r="C12" s="18">
        <f>POWER(Table74[[#This Row],[(x-Mean)]],2)</f>
        <v>0.10240000000000472</v>
      </c>
      <c r="D12" s="18">
        <f>Table74[[#This Row],[(x-Mean)]]/StdDev[Standard Deviation (sigma) P]</f>
        <v>0.18850945185051354</v>
      </c>
      <c r="E12" s="128" t="str">
        <f>IF(OR(Table74[[#This Row],[Parameter Values (x)]]&gt;StdDev[SD1+],Table74[[#This Row],[Parameter Values (x)]]&lt;StdDev[SD1-]),"Outlier","")</f>
        <v/>
      </c>
      <c r="F12" s="128" t="str">
        <f>IF(OR(Table74[[#This Row],[Parameter Values (x)]]&gt;StdDev[SD2+],Table74[[#This Row],[Parameter Values (x)]]&lt;StdDev[SD2-]),"Outlier","")</f>
        <v/>
      </c>
      <c r="G12" s="128" t="str">
        <f>IF(OR(Table74[[#This Row],[Parameter Values (x)]]&gt;StdDev[SD3+],Table74[[#This Row],[Parameter Values (x)]]&lt;StdDev[SD3-]),"Outlier","")</f>
        <v/>
      </c>
      <c r="H12" s="129" t="str">
        <f>IF(ABS(Table74[[#This Row],[(x-mean)/Std Dev]])&gt;1,"Outlier","")</f>
        <v/>
      </c>
      <c r="I12" s="129" t="str">
        <f>IF(ABS(Table74[[#This Row],[(x-mean)/Std Dev]])&gt;2,"Outlier","")</f>
        <v/>
      </c>
      <c r="J12" s="129" t="str">
        <f>IF(ABS(Table74[[#This Row],[(x-mean)/Std Dev]])&gt;3,"Outlier","")</f>
        <v/>
      </c>
    </row>
    <row r="13" spans="1:12">
      <c r="A13" s="111">
        <v>29.1</v>
      </c>
      <c r="B13" s="18">
        <f>Table74[[#This Row],[Parameter Values (x)]]-StdDev[Mean (u)]</f>
        <v>0.32000000000000739</v>
      </c>
      <c r="C13" s="18">
        <f>POWER(Table74[[#This Row],[(x-Mean)]],2)</f>
        <v>0.10240000000000472</v>
      </c>
      <c r="D13" s="18">
        <f>Table74[[#This Row],[(x-Mean)]]/StdDev[Standard Deviation (sigma) P]</f>
        <v>0.18850945185051354</v>
      </c>
      <c r="E13" s="128" t="str">
        <f>IF(OR(Table74[[#This Row],[Parameter Values (x)]]&gt;StdDev[SD1+],Table74[[#This Row],[Parameter Values (x)]]&lt;StdDev[SD1-]),"Outlier","")</f>
        <v/>
      </c>
      <c r="F13" s="128" t="str">
        <f>IF(OR(Table74[[#This Row],[Parameter Values (x)]]&gt;StdDev[SD2+],Table74[[#This Row],[Parameter Values (x)]]&lt;StdDev[SD2-]),"Outlier","")</f>
        <v/>
      </c>
      <c r="G13" s="128" t="str">
        <f>IF(OR(Table74[[#This Row],[Parameter Values (x)]]&gt;StdDev[SD3+],Table74[[#This Row],[Parameter Values (x)]]&lt;StdDev[SD3-]),"Outlier","")</f>
        <v/>
      </c>
      <c r="H13" s="129" t="str">
        <f>IF(ABS(Table74[[#This Row],[(x-mean)/Std Dev]])&gt;1,"Outlier","")</f>
        <v/>
      </c>
      <c r="I13" s="129" t="str">
        <f>IF(ABS(Table74[[#This Row],[(x-mean)/Std Dev]])&gt;2,"Outlier","")</f>
        <v/>
      </c>
      <c r="J13" s="129" t="str">
        <f>IF(ABS(Table74[[#This Row],[(x-mean)/Std Dev]])&gt;3,"Outlier","")</f>
        <v/>
      </c>
    </row>
    <row r="14" spans="1:12">
      <c r="A14" s="111">
        <v>29.1</v>
      </c>
      <c r="B14" s="18">
        <f>Table74[[#This Row],[Parameter Values (x)]]-StdDev[Mean (u)]</f>
        <v>0.32000000000000739</v>
      </c>
      <c r="C14" s="18">
        <f>POWER(Table74[[#This Row],[(x-Mean)]],2)</f>
        <v>0.10240000000000472</v>
      </c>
      <c r="D14" s="18">
        <f>Table74[[#This Row],[(x-Mean)]]/StdDev[Standard Deviation (sigma) P]</f>
        <v>0.18850945185051354</v>
      </c>
      <c r="E14" s="128" t="str">
        <f>IF(OR(Table74[[#This Row],[Parameter Values (x)]]&gt;StdDev[SD1+],Table74[[#This Row],[Parameter Values (x)]]&lt;StdDev[SD1-]),"Outlier","")</f>
        <v/>
      </c>
      <c r="F14" s="128" t="str">
        <f>IF(OR(Table74[[#This Row],[Parameter Values (x)]]&gt;StdDev[SD2+],Table74[[#This Row],[Parameter Values (x)]]&lt;StdDev[SD2-]),"Outlier","")</f>
        <v/>
      </c>
      <c r="G14" s="128" t="str">
        <f>IF(OR(Table74[[#This Row],[Parameter Values (x)]]&gt;StdDev[SD3+],Table74[[#This Row],[Parameter Values (x)]]&lt;StdDev[SD3-]),"Outlier","")</f>
        <v/>
      </c>
      <c r="H14" s="129" t="str">
        <f>IF(ABS(Table74[[#This Row],[(x-mean)/Std Dev]])&gt;1,"Outlier","")</f>
        <v/>
      </c>
      <c r="I14" s="129" t="str">
        <f>IF(ABS(Table74[[#This Row],[(x-mean)/Std Dev]])&gt;2,"Outlier","")</f>
        <v/>
      </c>
      <c r="J14" s="129" t="str">
        <f>IF(ABS(Table74[[#This Row],[(x-mean)/Std Dev]])&gt;3,"Outlier","")</f>
        <v/>
      </c>
    </row>
    <row r="15" spans="1:12">
      <c r="A15" s="112">
        <v>31</v>
      </c>
      <c r="B15" s="53">
        <f>Table74[[#This Row],[Parameter Values (x)]]-StdDev[Mean (u)]</f>
        <v>2.220000000000006</v>
      </c>
      <c r="C15" s="53">
        <f>POWER(Table74[[#This Row],[(x-Mean)]],2)</f>
        <v>4.9284000000000265</v>
      </c>
      <c r="D15" s="53">
        <f>Table74[[#This Row],[(x-Mean)]]/StdDev[Standard Deviation (sigma) P]</f>
        <v>1.3077843222129111</v>
      </c>
      <c r="E15" s="135" t="str">
        <f>IF(OR(Table74[[#This Row],[Parameter Values (x)]]&gt;StdDev[SD1+],Table74[[#This Row],[Parameter Values (x)]]&lt;StdDev[SD1-]),"Outlier","")</f>
        <v>Outlier</v>
      </c>
      <c r="F15" s="135" t="str">
        <f>IF(OR(Table74[[#This Row],[Parameter Values (x)]]&gt;StdDev[SD2+],Table74[[#This Row],[Parameter Values (x)]]&lt;StdDev[SD2-]),"Outlier","")</f>
        <v/>
      </c>
      <c r="G15" s="135" t="str">
        <f>IF(OR(Table74[[#This Row],[Parameter Values (x)]]&gt;StdDev[SD3+],Table74[[#This Row],[Parameter Values (x)]]&lt;StdDev[SD3-]),"Outlier","")</f>
        <v/>
      </c>
      <c r="H15" s="129" t="str">
        <f>IF(ABS(Table74[[#This Row],[(x-mean)/Std Dev]])&gt;1,"Outlier","")</f>
        <v>Outlier</v>
      </c>
      <c r="I15" s="129" t="str">
        <f>IF(ABS(Table74[[#This Row],[(x-mean)/Std Dev]])&gt;2,"Outlier","")</f>
        <v/>
      </c>
      <c r="J15" s="129" t="str">
        <f>IF(ABS(Table74[[#This Row],[(x-mean)/Std Dev]])&gt;3,"Outlier","")</f>
        <v/>
      </c>
    </row>
    <row r="16" spans="1:12">
      <c r="A16" s="112">
        <v>29.3</v>
      </c>
      <c r="B16" s="53">
        <f>Table74[[#This Row],[Parameter Values (x)]]-StdDev[Mean (u)]</f>
        <v>0.52000000000000668</v>
      </c>
      <c r="C16" s="53">
        <f>POWER(Table74[[#This Row],[(x-Mean)]],2)</f>
        <v>0.27040000000000697</v>
      </c>
      <c r="D16" s="53">
        <f>Table74[[#This Row],[(x-Mean)]]/StdDev[Standard Deviation (sigma) P]</f>
        <v>0.30632785925708139</v>
      </c>
      <c r="E16" s="135" t="str">
        <f>IF(OR(Table74[[#This Row],[Parameter Values (x)]]&gt;StdDev[SD1+],Table74[[#This Row],[Parameter Values (x)]]&lt;StdDev[SD1-]),"Outlier","")</f>
        <v/>
      </c>
      <c r="F16" s="135" t="str">
        <f>IF(OR(Table74[[#This Row],[Parameter Values (x)]]&gt;StdDev[SD2+],Table74[[#This Row],[Parameter Values (x)]]&lt;StdDev[SD2-]),"Outlier","")</f>
        <v/>
      </c>
      <c r="G16" s="135" t="str">
        <f>IF(OR(Table74[[#This Row],[Parameter Values (x)]]&gt;StdDev[SD3+],Table74[[#This Row],[Parameter Values (x)]]&lt;StdDev[SD3-]),"Outlier","")</f>
        <v/>
      </c>
      <c r="H16" s="129" t="str">
        <f>IF(ABS(Table74[[#This Row],[(x-mean)/Std Dev]])&gt;1,"Outlier","")</f>
        <v/>
      </c>
      <c r="I16" s="129" t="str">
        <f>IF(ABS(Table74[[#This Row],[(x-mean)/Std Dev]])&gt;2,"Outlier","")</f>
        <v/>
      </c>
      <c r="J16" s="129" t="str">
        <f>IF(ABS(Table74[[#This Row],[(x-mean)/Std Dev]])&gt;3,"Outlier","")</f>
        <v/>
      </c>
    </row>
    <row r="17" spans="1:10">
      <c r="A17" s="112">
        <v>29.4</v>
      </c>
      <c r="B17" s="53">
        <f>Table74[[#This Row],[Parameter Values (x)]]-StdDev[Mean (u)]</f>
        <v>0.62000000000000455</v>
      </c>
      <c r="C17" s="53">
        <f>POWER(Table74[[#This Row],[(x-Mean)]],2)</f>
        <v>0.38440000000000563</v>
      </c>
      <c r="D17" s="53">
        <f>Table74[[#This Row],[(x-Mean)]]/StdDev[Standard Deviation (sigma) P]</f>
        <v>0.36523706296036423</v>
      </c>
      <c r="E17" s="135" t="str">
        <f>IF(OR(Table74[[#This Row],[Parameter Values (x)]]&gt;StdDev[SD1+],Table74[[#This Row],[Parameter Values (x)]]&lt;StdDev[SD1-]),"Outlier","")</f>
        <v/>
      </c>
      <c r="F17" s="135" t="str">
        <f>IF(OR(Table74[[#This Row],[Parameter Values (x)]]&gt;StdDev[SD2+],Table74[[#This Row],[Parameter Values (x)]]&lt;StdDev[SD2-]),"Outlier","")</f>
        <v/>
      </c>
      <c r="G17" s="135" t="str">
        <f>IF(OR(Table74[[#This Row],[Parameter Values (x)]]&gt;StdDev[SD3+],Table74[[#This Row],[Parameter Values (x)]]&lt;StdDev[SD3-]),"Outlier","")</f>
        <v/>
      </c>
      <c r="H17" s="129" t="str">
        <f>IF(ABS(Table74[[#This Row],[(x-mean)/Std Dev]])&gt;1,"Outlier","")</f>
        <v/>
      </c>
      <c r="I17" s="129" t="str">
        <f>IF(ABS(Table74[[#This Row],[(x-mean)/Std Dev]])&gt;2,"Outlier","")</f>
        <v/>
      </c>
      <c r="J17" s="129" t="str">
        <f>IF(ABS(Table74[[#This Row],[(x-mean)/Std Dev]])&gt;3,"Outlier","")</f>
        <v/>
      </c>
    </row>
  </sheetData>
  <mergeCells count="1">
    <mergeCell ref="H6:J6"/>
  </mergeCells>
  <pageMargins left="0.7" right="0.7" top="0.75" bottom="0.75" header="0.3" footer="0.3"/>
  <pageSetup orientation="portrait"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K22"/>
  <sheetViews>
    <sheetView showGridLines="0" zoomScaleNormal="100" workbookViewId="0">
      <selection activeCell="C18" sqref="C18"/>
    </sheetView>
  </sheetViews>
  <sheetFormatPr defaultColWidth="9.140625" defaultRowHeight="15"/>
  <cols>
    <col min="1" max="1" width="12.7109375" style="123" customWidth="1"/>
    <col min="2" max="11" width="9.140625" style="123"/>
    <col min="12" max="12" width="12.5703125" style="123" bestFit="1" customWidth="1"/>
    <col min="13" max="13" width="23.5703125" style="123" bestFit="1" customWidth="1"/>
    <col min="14" max="14" width="10.7109375" style="123" bestFit="1" customWidth="1"/>
    <col min="15" max="16" width="12" style="123" bestFit="1" customWidth="1"/>
    <col min="17" max="17" width="30.5703125" style="123" bestFit="1" customWidth="1"/>
    <col min="18" max="18" width="9.140625" style="123"/>
    <col min="19" max="19" width="7" style="123" bestFit="1" customWidth="1"/>
    <col min="20" max="20" width="16.28515625" style="123" bestFit="1" customWidth="1"/>
    <col min="21" max="22" width="5" style="123" bestFit="1" customWidth="1"/>
    <col min="23" max="23" width="4" style="123" bestFit="1" customWidth="1"/>
    <col min="24" max="24" width="11.28515625" style="123" bestFit="1" customWidth="1"/>
    <col min="25" max="28" width="2" style="123" bestFit="1" customWidth="1"/>
    <col min="29" max="29" width="3" style="123" bestFit="1" customWidth="1"/>
    <col min="30" max="30" width="11.28515625" style="123" bestFit="1" customWidth="1"/>
    <col min="31" max="31" width="9.140625" style="123"/>
    <col min="32" max="32" width="11.140625" style="123" bestFit="1" customWidth="1"/>
    <col min="33" max="33" width="16.28515625" style="123" bestFit="1" customWidth="1"/>
    <col min="34" max="36" width="3" style="123" bestFit="1" customWidth="1"/>
    <col min="37" max="37" width="11.28515625" style="123" bestFit="1" customWidth="1"/>
    <col min="38" max="41" width="2" style="123" bestFit="1" customWidth="1"/>
    <col min="42" max="42" width="3" style="123" bestFit="1" customWidth="1"/>
    <col min="43" max="43" width="11.28515625" style="123" bestFit="1" customWidth="1"/>
    <col min="44" max="16384" width="9.140625" style="123"/>
  </cols>
  <sheetData>
    <row r="1" spans="1:37">
      <c r="A1" s="123" t="s">
        <v>87</v>
      </c>
      <c r="B1" s="123" t="s">
        <v>12</v>
      </c>
      <c r="C1" s="123" t="s">
        <v>13</v>
      </c>
      <c r="D1" s="123" t="s">
        <v>90</v>
      </c>
      <c r="E1" s="123" t="s">
        <v>91</v>
      </c>
      <c r="F1" s="123" t="s">
        <v>93</v>
      </c>
      <c r="G1" s="123" t="s">
        <v>95</v>
      </c>
      <c r="H1" s="123" t="s">
        <v>96</v>
      </c>
      <c r="J1" s="213" t="s">
        <v>88</v>
      </c>
      <c r="L1" s="213" t="s">
        <v>92</v>
      </c>
      <c r="M1" s="213" t="s">
        <v>89</v>
      </c>
      <c r="N1" s="213" t="s">
        <v>98</v>
      </c>
      <c r="O1" s="213" t="s">
        <v>94</v>
      </c>
      <c r="P1" s="213" t="s">
        <v>97</v>
      </c>
      <c r="Q1" s="213" t="s">
        <v>128</v>
      </c>
    </row>
    <row r="2" spans="1:37">
      <c r="A2" s="128">
        <v>1</v>
      </c>
      <c r="B2" s="130">
        <v>0</v>
      </c>
      <c r="C2" s="130">
        <v>2</v>
      </c>
      <c r="D2" s="128">
        <f>ABS(Table1997[[#This Row],[x]]-Table1997[[#This Row],[y]])</f>
        <v>2</v>
      </c>
      <c r="E2" s="128">
        <f>POWER(Table1997[[#This Row],[(x-y)]],$J$2)</f>
        <v>4</v>
      </c>
      <c r="F2" s="128">
        <f>Table1997[[#This Row],[x]]*Table1997[[#This Row],[y]]</f>
        <v>0</v>
      </c>
      <c r="G2" s="129">
        <f>Table1997[[#This Row],[x]]*Table1997[[#This Row],[x]]</f>
        <v>0</v>
      </c>
      <c r="H2" s="129">
        <f>Table1997[[#This Row],[y]]*Table1997[[#This Row],[y]]</f>
        <v>4</v>
      </c>
      <c r="J2" s="130">
        <v>2</v>
      </c>
      <c r="L2" s="128">
        <f>SUM(Table1997[(x-y)^r])</f>
        <v>28</v>
      </c>
      <c r="M2" s="128">
        <f>Table2098[[#This Row],[∑(x-y)^r]]^(1/$J$2)</f>
        <v>5.2915026221291814</v>
      </c>
      <c r="N2" s="128">
        <f>SUM(Table1997[x.y])</f>
        <v>8</v>
      </c>
      <c r="O2" s="128">
        <f>SQRT(SUM(Table1997[x^2]))</f>
        <v>6.164414002968976</v>
      </c>
      <c r="P2" s="128">
        <f>SQRT(SUM(Table1997[y^2]))</f>
        <v>2.4494897427831779</v>
      </c>
      <c r="Q2" s="128">
        <f>Table2098[[#This Row],[∑(x.y)]]/(Table2098[[#This Row],[||x||]]*Table2098[[#This Row],[||y||]])</f>
        <v>0.52981294282601754</v>
      </c>
    </row>
    <row r="3" spans="1:37">
      <c r="A3" s="128">
        <f>A2+1</f>
        <v>2</v>
      </c>
      <c r="B3" s="130">
        <v>2</v>
      </c>
      <c r="C3" s="130">
        <v>0</v>
      </c>
      <c r="D3" s="128">
        <f>ABS(Table1997[[#This Row],[x]]-Table1997[[#This Row],[y]])</f>
        <v>2</v>
      </c>
      <c r="E3" s="128">
        <f>POWER(Table1997[[#This Row],[(x-y)]],$J$2)</f>
        <v>4</v>
      </c>
      <c r="F3" s="128">
        <f>Table1997[[#This Row],[x]]*Table1997[[#This Row],[y]]</f>
        <v>0</v>
      </c>
      <c r="G3" s="129">
        <f>Table1997[[#This Row],[x]]*Table1997[[#This Row],[x]]</f>
        <v>4</v>
      </c>
      <c r="H3" s="129">
        <f>Table1997[[#This Row],[y]]*Table1997[[#This Row],[y]]</f>
        <v>0</v>
      </c>
    </row>
    <row r="4" spans="1:37">
      <c r="A4" s="128">
        <f>A3+1</f>
        <v>3</v>
      </c>
      <c r="B4" s="130">
        <v>3</v>
      </c>
      <c r="C4" s="130">
        <v>1</v>
      </c>
      <c r="D4" s="128">
        <f>ABS(Table1997[[#This Row],[x]]-Table1997[[#This Row],[y]])</f>
        <v>2</v>
      </c>
      <c r="E4" s="128">
        <f>POWER(Table1997[[#This Row],[(x-y)]],$J$2)</f>
        <v>4</v>
      </c>
      <c r="F4" s="128">
        <f>Table1997[[#This Row],[x]]*Table1997[[#This Row],[y]]</f>
        <v>3</v>
      </c>
      <c r="G4" s="129">
        <f>Table1997[[#This Row],[x]]*Table1997[[#This Row],[x]]</f>
        <v>9</v>
      </c>
      <c r="H4" s="129">
        <f>Table1997[[#This Row],[y]]*Table1997[[#This Row],[y]]</f>
        <v>1</v>
      </c>
      <c r="J4" s="142" t="s">
        <v>253</v>
      </c>
    </row>
    <row r="5" spans="1:37">
      <c r="A5" s="128">
        <f>A4+1</f>
        <v>4</v>
      </c>
      <c r="B5" s="130">
        <v>5</v>
      </c>
      <c r="C5" s="130">
        <v>1</v>
      </c>
      <c r="D5" s="128">
        <f>ABS(Table1997[[#This Row],[x]]-Table1997[[#This Row],[y]])</f>
        <v>4</v>
      </c>
      <c r="E5" s="128">
        <f>POWER(Table1997[[#This Row],[(x-y)]],$J$2)</f>
        <v>16</v>
      </c>
      <c r="F5" s="128">
        <f>Table1997[[#This Row],[x]]*Table1997[[#This Row],[y]]</f>
        <v>5</v>
      </c>
      <c r="G5" s="129">
        <f>Table1997[[#This Row],[x]]*Table1997[[#This Row],[x]]</f>
        <v>25</v>
      </c>
      <c r="H5" s="129">
        <f>Table1997[[#This Row],[y]]*Table1997[[#This Row],[y]]</f>
        <v>1</v>
      </c>
    </row>
    <row r="6" spans="1:37">
      <c r="L6" s="48"/>
    </row>
    <row r="7" spans="1:37">
      <c r="T7" s="123" t="s">
        <v>118</v>
      </c>
      <c r="AG7" s="123" t="s">
        <v>118</v>
      </c>
    </row>
    <row r="8" spans="1:37">
      <c r="S8" s="20" t="s">
        <v>127</v>
      </c>
      <c r="T8" s="20">
        <v>1</v>
      </c>
      <c r="U8" s="20">
        <v>2</v>
      </c>
      <c r="V8" s="20">
        <v>3</v>
      </c>
      <c r="W8" s="20">
        <v>4</v>
      </c>
      <c r="X8" s="20" t="s">
        <v>108</v>
      </c>
      <c r="AF8" s="20" t="s">
        <v>126</v>
      </c>
      <c r="AG8" s="20">
        <v>1</v>
      </c>
      <c r="AH8" s="20">
        <v>2</v>
      </c>
      <c r="AI8" s="20">
        <v>3</v>
      </c>
      <c r="AJ8" s="20">
        <v>4</v>
      </c>
      <c r="AK8" s="20" t="s">
        <v>108</v>
      </c>
    </row>
    <row r="9" spans="1:37">
      <c r="L9" s="48"/>
      <c r="S9" s="21" t="s">
        <v>119</v>
      </c>
      <c r="T9" s="22">
        <v>12</v>
      </c>
      <c r="U9" s="22">
        <v>36</v>
      </c>
      <c r="V9" s="22">
        <v>42</v>
      </c>
      <c r="W9" s="22">
        <v>20</v>
      </c>
      <c r="X9" s="22">
        <v>110</v>
      </c>
      <c r="AF9" s="21" t="s">
        <v>119</v>
      </c>
      <c r="AG9" s="22">
        <v>12</v>
      </c>
      <c r="AH9" s="22">
        <v>36</v>
      </c>
      <c r="AI9" s="22">
        <v>42</v>
      </c>
      <c r="AJ9" s="22">
        <v>20</v>
      </c>
      <c r="AK9" s="22">
        <v>110</v>
      </c>
    </row>
    <row r="10" spans="1:37">
      <c r="S10" s="21" t="s">
        <v>120</v>
      </c>
      <c r="T10" s="22">
        <v>17</v>
      </c>
      <c r="U10" s="22">
        <v>35</v>
      </c>
      <c r="V10" s="22">
        <v>43</v>
      </c>
      <c r="W10" s="22">
        <v>26</v>
      </c>
      <c r="X10" s="22">
        <v>121</v>
      </c>
      <c r="AF10" s="21" t="s">
        <v>120</v>
      </c>
      <c r="AG10" s="22">
        <v>17</v>
      </c>
      <c r="AH10" s="22">
        <v>35</v>
      </c>
      <c r="AI10" s="22">
        <v>43</v>
      </c>
      <c r="AJ10" s="22">
        <v>26</v>
      </c>
      <c r="AK10" s="22">
        <v>121</v>
      </c>
    </row>
    <row r="11" spans="1:37">
      <c r="S11" s="21" t="s">
        <v>123</v>
      </c>
      <c r="T11" s="22">
        <v>204</v>
      </c>
      <c r="U11" s="22">
        <v>1260</v>
      </c>
      <c r="V11" s="22">
        <v>1806</v>
      </c>
      <c r="W11" s="22">
        <v>520</v>
      </c>
      <c r="X11" s="85">
        <v>3790</v>
      </c>
      <c r="AF11" s="30" t="s">
        <v>121</v>
      </c>
      <c r="AG11" s="22">
        <v>5</v>
      </c>
      <c r="AH11" s="22">
        <v>1</v>
      </c>
      <c r="AI11" s="22">
        <v>1</v>
      </c>
      <c r="AJ11" s="22">
        <v>6</v>
      </c>
      <c r="AK11" s="22">
        <v>13</v>
      </c>
    </row>
    <row r="12" spans="1:37">
      <c r="S12" s="21" t="s">
        <v>124</v>
      </c>
      <c r="T12" s="22">
        <v>144</v>
      </c>
      <c r="U12" s="22">
        <v>1296</v>
      </c>
      <c r="V12" s="22">
        <v>1764</v>
      </c>
      <c r="W12" s="22">
        <v>400</v>
      </c>
      <c r="X12" s="86">
        <v>3604</v>
      </c>
      <c r="AF12" s="30" t="s">
        <v>122</v>
      </c>
      <c r="AG12" s="22">
        <v>25</v>
      </c>
      <c r="AH12" s="22">
        <v>1</v>
      </c>
      <c r="AI12" s="22">
        <v>1</v>
      </c>
      <c r="AJ12" s="22">
        <v>36</v>
      </c>
      <c r="AK12" s="22">
        <v>63</v>
      </c>
    </row>
    <row r="13" spans="1:37">
      <c r="S13" s="21" t="s">
        <v>125</v>
      </c>
      <c r="T13" s="22">
        <v>289</v>
      </c>
      <c r="U13" s="22">
        <v>1225</v>
      </c>
      <c r="V13" s="22">
        <v>1849</v>
      </c>
      <c r="W13" s="22">
        <v>676</v>
      </c>
      <c r="X13" s="87">
        <v>4039</v>
      </c>
    </row>
    <row r="14" spans="1:37">
      <c r="A14" s="247" t="s">
        <v>722</v>
      </c>
      <c r="B14" s="247"/>
      <c r="C14" s="247"/>
      <c r="D14" s="247"/>
      <c r="E14" s="247"/>
    </row>
    <row r="15" spans="1:37">
      <c r="A15" s="123" t="s">
        <v>708</v>
      </c>
      <c r="B15" s="123" t="s">
        <v>709</v>
      </c>
      <c r="C15" s="123" t="s">
        <v>710</v>
      </c>
      <c r="D15" s="123" t="s">
        <v>711</v>
      </c>
      <c r="E15" s="123" t="s">
        <v>712</v>
      </c>
    </row>
    <row r="16" spans="1:37" ht="15.75" thickBot="1">
      <c r="A16" s="123" t="s">
        <v>714</v>
      </c>
      <c r="B16" s="131">
        <v>0.83333333333333326</v>
      </c>
      <c r="C16" s="131">
        <v>0.74995915773886657</v>
      </c>
      <c r="D16" s="131">
        <v>1</v>
      </c>
      <c r="E16" s="131">
        <v>0.83333333333333326</v>
      </c>
      <c r="T16" s="243" t="s">
        <v>252</v>
      </c>
      <c r="U16" s="244">
        <f>N2</f>
        <v>8</v>
      </c>
      <c r="V16" s="244"/>
      <c r="W16" s="58"/>
    </row>
    <row r="17" spans="1:37">
      <c r="A17" s="123" t="s">
        <v>715</v>
      </c>
      <c r="B17" s="131">
        <v>1</v>
      </c>
      <c r="C17" s="131">
        <v>0.56246936830414995</v>
      </c>
      <c r="D17" s="131">
        <v>0.66666666666666663</v>
      </c>
      <c r="E17" s="131">
        <v>0.83333333333333326</v>
      </c>
      <c r="T17" s="243"/>
      <c r="U17" s="88" t="str">
        <f>"sqrt("&amp;X12&amp;"*"&amp;X13&amp;")"</f>
        <v>sqrt(3604*4039)</v>
      </c>
      <c r="V17" s="88"/>
      <c r="W17" s="58"/>
      <c r="AE17" s="245" t="s">
        <v>254</v>
      </c>
      <c r="AF17" s="245"/>
      <c r="AG17" s="245"/>
      <c r="AH17" s="245"/>
      <c r="AI17" s="245"/>
      <c r="AJ17" s="245"/>
      <c r="AK17" s="58" t="str">
        <f>"("&amp;AK12&amp;")^1/"&amp;J2</f>
        <v>(63)^1/2</v>
      </c>
    </row>
    <row r="18" spans="1:37">
      <c r="A18" s="123" t="s">
        <v>716</v>
      </c>
      <c r="B18" s="131">
        <v>1</v>
      </c>
      <c r="C18" s="131">
        <v>0.84370405245622493</v>
      </c>
      <c r="D18" s="131">
        <v>1</v>
      </c>
      <c r="E18" s="131">
        <v>1</v>
      </c>
      <c r="T18" s="214" t="s">
        <v>197</v>
      </c>
      <c r="U18" s="58">
        <f>Q2</f>
        <v>0.52981294282601754</v>
      </c>
      <c r="V18" s="58"/>
      <c r="W18" s="58"/>
      <c r="AE18" s="58"/>
      <c r="AF18" s="58"/>
      <c r="AG18" s="58"/>
      <c r="AH18" s="58"/>
      <c r="AI18" s="58"/>
      <c r="AJ18" s="214" t="s">
        <v>197</v>
      </c>
      <c r="AK18" s="89">
        <f>M2</f>
        <v>5.2915026221291814</v>
      </c>
    </row>
    <row r="19" spans="1:37">
      <c r="A19" s="221" t="s">
        <v>723</v>
      </c>
      <c r="B19" s="98">
        <v>1</v>
      </c>
      <c r="C19" s="98">
        <v>1.1249387366082999</v>
      </c>
      <c r="D19" s="98">
        <v>1</v>
      </c>
      <c r="E19" s="98">
        <v>1</v>
      </c>
      <c r="T19" s="58"/>
      <c r="U19" s="58"/>
      <c r="V19" s="58"/>
      <c r="W19" s="58"/>
    </row>
    <row r="20" spans="1:37">
      <c r="J20" s="123" t="s">
        <v>452</v>
      </c>
    </row>
    <row r="21" spans="1:37">
      <c r="J21" s="123" t="s">
        <v>453</v>
      </c>
    </row>
    <row r="22" spans="1:37">
      <c r="J22" s="110" t="s">
        <v>411</v>
      </c>
      <c r="T22" s="246" t="s">
        <v>264</v>
      </c>
      <c r="U22" s="246"/>
      <c r="V22" s="246"/>
      <c r="W22" s="246"/>
      <c r="X22" s="246"/>
    </row>
  </sheetData>
  <mergeCells count="5">
    <mergeCell ref="T16:T17"/>
    <mergeCell ref="U16:V16"/>
    <mergeCell ref="AE17:AJ17"/>
    <mergeCell ref="T22:X22"/>
    <mergeCell ref="A14:E14"/>
  </mergeCells>
  <hyperlinks>
    <hyperlink ref="J22" location="'L1, L2 Distance, Outlier '!A1" display="'L1, L2 Distance, Outlier '!A1"/>
  </hyperlinks>
  <pageMargins left="0.7" right="0.7" top="0.75" bottom="0.75" header="0.3" footer="0.3"/>
  <pageSetup orientation="portrait" horizontalDpi="4294967293" verticalDpi="0" r:id="rId3"/>
  <drawing r:id="rId4"/>
  <tableParts count="3">
    <tablePart r:id="rId5"/>
    <tablePart r:id="rId6"/>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K22"/>
  <sheetViews>
    <sheetView showGridLines="0" zoomScaleNormal="100" workbookViewId="0">
      <selection activeCell="J22" sqref="J22"/>
    </sheetView>
  </sheetViews>
  <sheetFormatPr defaultRowHeight="15"/>
  <cols>
    <col min="1" max="1" width="12.7109375" customWidth="1"/>
    <col min="12" max="12" width="12.5703125" bestFit="1" customWidth="1"/>
    <col min="13" max="13" width="23.5703125" bestFit="1" customWidth="1"/>
    <col min="14" max="14" width="10.7109375" bestFit="1" customWidth="1"/>
    <col min="15" max="16" width="12" bestFit="1" customWidth="1"/>
    <col min="17" max="17" width="30.5703125" bestFit="1" customWidth="1"/>
    <col min="19" max="19" width="7" bestFit="1" customWidth="1"/>
    <col min="20" max="20" width="16.28515625" bestFit="1" customWidth="1"/>
    <col min="21" max="22" width="5" bestFit="1" customWidth="1"/>
    <col min="23" max="23" width="4" bestFit="1" customWidth="1"/>
    <col min="24" max="24" width="11.28515625" bestFit="1" customWidth="1"/>
    <col min="25" max="28" width="2" bestFit="1" customWidth="1"/>
    <col min="29" max="29" width="3" bestFit="1" customWidth="1"/>
    <col min="30" max="30" width="11.28515625" bestFit="1" customWidth="1"/>
    <col min="32" max="32" width="11.140625" bestFit="1" customWidth="1"/>
    <col min="33" max="33" width="16.28515625" bestFit="1" customWidth="1"/>
    <col min="34" max="36" width="3" bestFit="1" customWidth="1"/>
    <col min="37" max="37" width="11.28515625" bestFit="1" customWidth="1"/>
    <col min="38" max="41" width="2" bestFit="1" customWidth="1"/>
    <col min="42" max="42" width="3" bestFit="1" customWidth="1"/>
    <col min="43" max="43" width="11.28515625" bestFit="1" customWidth="1"/>
  </cols>
  <sheetData>
    <row r="1" spans="1:37">
      <c r="A1" t="s">
        <v>87</v>
      </c>
      <c r="B1" t="s">
        <v>12</v>
      </c>
      <c r="C1" t="s">
        <v>13</v>
      </c>
      <c r="D1" t="s">
        <v>90</v>
      </c>
      <c r="E1" t="s">
        <v>91</v>
      </c>
      <c r="F1" t="s">
        <v>93</v>
      </c>
      <c r="G1" t="s">
        <v>95</v>
      </c>
      <c r="H1" t="s">
        <v>96</v>
      </c>
      <c r="J1" s="10" t="s">
        <v>88</v>
      </c>
      <c r="L1" s="10" t="s">
        <v>92</v>
      </c>
      <c r="M1" s="10" t="s">
        <v>89</v>
      </c>
      <c r="N1" s="10" t="s">
        <v>98</v>
      </c>
      <c r="O1" s="10" t="s">
        <v>94</v>
      </c>
      <c r="P1" s="10" t="s">
        <v>97</v>
      </c>
      <c r="Q1" s="10" t="s">
        <v>128</v>
      </c>
    </row>
    <row r="2" spans="1:37">
      <c r="A2" s="18">
        <v>1</v>
      </c>
      <c r="B2" s="34">
        <v>1</v>
      </c>
      <c r="C2" s="34">
        <v>1</v>
      </c>
      <c r="D2" s="18">
        <f>ABS(Table19[[#This Row],[x]]-Table19[[#This Row],[y]])</f>
        <v>0</v>
      </c>
      <c r="E2" s="18">
        <f>POWER(Table19[[#This Row],[(x-y)]],$J$2)</f>
        <v>0</v>
      </c>
      <c r="F2" s="18">
        <f>Table19[[#This Row],[x]]*Table19[[#This Row],[y]]</f>
        <v>1</v>
      </c>
      <c r="G2" s="23">
        <f>Table19[[#This Row],[x]]*Table19[[#This Row],[x]]</f>
        <v>1</v>
      </c>
      <c r="H2" s="23">
        <f>Table19[[#This Row],[y]]*Table19[[#This Row],[y]]</f>
        <v>1</v>
      </c>
      <c r="J2" s="34">
        <v>2</v>
      </c>
      <c r="L2" s="18">
        <f>SUM(Table19[(x-y)^r])</f>
        <v>0.22533830449058756</v>
      </c>
      <c r="M2" s="18">
        <f>Table20[[#This Row],[∑(x-y)^r]]^(1/$J$2)</f>
        <v>0.47469811932489003</v>
      </c>
      <c r="N2" s="18">
        <f>SUM(Table19[x.y])</f>
        <v>3.0186964936101912</v>
      </c>
      <c r="O2" s="18">
        <f>SQRT(SUM(Table19[x^2]))</f>
        <v>1.576288854016193</v>
      </c>
      <c r="P2" s="18">
        <f>SQRT(SUM(Table19[y^2]))</f>
        <v>1.9437193059738043</v>
      </c>
      <c r="Q2" s="18">
        <f>Table20[[#This Row],[∑(x.y)]]/(Table20[[#This Row],[||x||]]*Table20[[#This Row],[||y||]])</f>
        <v>0.98525828909705016</v>
      </c>
    </row>
    <row r="3" spans="1:37">
      <c r="A3" s="18">
        <f>A2+1</f>
        <v>2</v>
      </c>
      <c r="B3" s="34">
        <v>0.58804562952784067</v>
      </c>
      <c r="C3" s="34">
        <v>0.88206844429176101</v>
      </c>
      <c r="D3" s="18">
        <f>ABS(Table19[[#This Row],[x]]-Table19[[#This Row],[y]])</f>
        <v>0.29402281476392034</v>
      </c>
      <c r="E3" s="18">
        <f>POWER(Table19[[#This Row],[(x-y)]],$J$2)</f>
        <v>8.6449415601698609E-2</v>
      </c>
      <c r="F3" s="18">
        <f>Table19[[#This Row],[x]]*Table19[[#This Row],[y]]</f>
        <v>0.51869649361019166</v>
      </c>
      <c r="G3" s="23">
        <f>Table19[[#This Row],[x]]*Table19[[#This Row],[x]]</f>
        <v>0.34579766240679444</v>
      </c>
      <c r="H3" s="23">
        <f>Table19[[#This Row],[y]]*Table19[[#This Row],[y]]</f>
        <v>0.77804474041528748</v>
      </c>
    </row>
    <row r="4" spans="1:37">
      <c r="A4" s="18">
        <f>A3+1</f>
        <v>3</v>
      </c>
      <c r="B4" s="34">
        <v>0.66666666666666663</v>
      </c>
      <c r="C4" s="34">
        <v>1</v>
      </c>
      <c r="D4" s="18">
        <f>ABS(Table19[[#This Row],[x]]-Table19[[#This Row],[y]])</f>
        <v>0.33333333333333337</v>
      </c>
      <c r="E4" s="18">
        <f>POWER(Table19[[#This Row],[(x-y)]],$J$2)</f>
        <v>0.11111111111111113</v>
      </c>
      <c r="F4" s="18">
        <f>Table19[[#This Row],[x]]*Table19[[#This Row],[y]]</f>
        <v>0.66666666666666663</v>
      </c>
      <c r="G4" s="23">
        <f>Table19[[#This Row],[x]]*Table19[[#This Row],[x]]</f>
        <v>0.44444444444444442</v>
      </c>
      <c r="H4" s="23">
        <f>Table19[[#This Row],[y]]*Table19[[#This Row],[y]]</f>
        <v>1</v>
      </c>
      <c r="J4" s="93" t="s">
        <v>253</v>
      </c>
    </row>
    <row r="5" spans="1:37">
      <c r="A5" s="18">
        <f>A4+1</f>
        <v>4</v>
      </c>
      <c r="B5" s="34">
        <v>0.83333333333333326</v>
      </c>
      <c r="C5" s="34">
        <v>1</v>
      </c>
      <c r="D5" s="18">
        <f>ABS(Table19[[#This Row],[x]]-Table19[[#This Row],[y]])</f>
        <v>0.16666666666666674</v>
      </c>
      <c r="E5" s="18">
        <f>POWER(Table19[[#This Row],[(x-y)]],$J$2)</f>
        <v>2.7777777777777804E-2</v>
      </c>
      <c r="F5" s="18">
        <f>Table19[[#This Row],[x]]*Table19[[#This Row],[y]]</f>
        <v>0.83333333333333326</v>
      </c>
      <c r="G5" s="23">
        <f>Table19[[#This Row],[x]]*Table19[[#This Row],[x]]</f>
        <v>0.69444444444444431</v>
      </c>
      <c r="H5" s="23">
        <f>Table19[[#This Row],[y]]*Table19[[#This Row],[y]]</f>
        <v>1</v>
      </c>
    </row>
    <row r="6" spans="1:37">
      <c r="L6" s="48"/>
    </row>
    <row r="7" spans="1:37">
      <c r="T7" s="17" t="s">
        <v>118</v>
      </c>
      <c r="AG7" s="17" t="s">
        <v>118</v>
      </c>
    </row>
    <row r="8" spans="1:37">
      <c r="S8" s="19" t="s">
        <v>127</v>
      </c>
      <c r="T8" s="20">
        <v>1</v>
      </c>
      <c r="U8" s="20">
        <v>2</v>
      </c>
      <c r="V8" s="20">
        <v>3</v>
      </c>
      <c r="W8" s="20">
        <v>4</v>
      </c>
      <c r="X8" s="20" t="s">
        <v>108</v>
      </c>
      <c r="AF8" s="19" t="s">
        <v>126</v>
      </c>
      <c r="AG8" s="20">
        <v>1</v>
      </c>
      <c r="AH8" s="20">
        <v>2</v>
      </c>
      <c r="AI8" s="20">
        <v>3</v>
      </c>
      <c r="AJ8" s="20">
        <v>4</v>
      </c>
      <c r="AK8" s="20" t="s">
        <v>108</v>
      </c>
    </row>
    <row r="9" spans="1:37">
      <c r="L9" s="48"/>
      <c r="S9" s="21" t="s">
        <v>119</v>
      </c>
      <c r="T9" s="22">
        <v>12</v>
      </c>
      <c r="U9" s="22">
        <v>36</v>
      </c>
      <c r="V9" s="22">
        <v>42</v>
      </c>
      <c r="W9" s="22">
        <v>20</v>
      </c>
      <c r="X9" s="22">
        <v>110</v>
      </c>
      <c r="AF9" s="21" t="s">
        <v>119</v>
      </c>
      <c r="AG9" s="22">
        <v>12</v>
      </c>
      <c r="AH9" s="22">
        <v>36</v>
      </c>
      <c r="AI9" s="22">
        <v>42</v>
      </c>
      <c r="AJ9" s="22">
        <v>20</v>
      </c>
      <c r="AK9" s="22">
        <v>110</v>
      </c>
    </row>
    <row r="10" spans="1:37">
      <c r="S10" s="21" t="s">
        <v>120</v>
      </c>
      <c r="T10" s="22">
        <v>17</v>
      </c>
      <c r="U10" s="22">
        <v>35</v>
      </c>
      <c r="V10" s="22">
        <v>43</v>
      </c>
      <c r="W10" s="22">
        <v>26</v>
      </c>
      <c r="X10" s="22">
        <v>121</v>
      </c>
      <c r="AF10" s="21" t="s">
        <v>120</v>
      </c>
      <c r="AG10" s="22">
        <v>17</v>
      </c>
      <c r="AH10" s="22">
        <v>35</v>
      </c>
      <c r="AI10" s="22">
        <v>43</v>
      </c>
      <c r="AJ10" s="22">
        <v>26</v>
      </c>
      <c r="AK10" s="22">
        <v>121</v>
      </c>
    </row>
    <row r="11" spans="1:37">
      <c r="S11" s="21" t="s">
        <v>123</v>
      </c>
      <c r="T11" s="22">
        <v>204</v>
      </c>
      <c r="U11" s="22">
        <v>1260</v>
      </c>
      <c r="V11" s="22">
        <v>1806</v>
      </c>
      <c r="W11" s="22">
        <v>520</v>
      </c>
      <c r="X11" s="85">
        <v>3790</v>
      </c>
      <c r="AF11" s="30" t="s">
        <v>121</v>
      </c>
      <c r="AG11" s="22">
        <v>5</v>
      </c>
      <c r="AH11" s="22">
        <v>1</v>
      </c>
      <c r="AI11" s="22">
        <v>1</v>
      </c>
      <c r="AJ11" s="22">
        <v>6</v>
      </c>
      <c r="AK11" s="22">
        <v>13</v>
      </c>
    </row>
    <row r="12" spans="1:37">
      <c r="S12" s="21" t="s">
        <v>124</v>
      </c>
      <c r="T12" s="22">
        <v>144</v>
      </c>
      <c r="U12" s="22">
        <v>1296</v>
      </c>
      <c r="V12" s="22">
        <v>1764</v>
      </c>
      <c r="W12" s="22">
        <v>400</v>
      </c>
      <c r="X12" s="86">
        <v>3604</v>
      </c>
      <c r="AF12" s="30" t="s">
        <v>122</v>
      </c>
      <c r="AG12" s="22">
        <v>25</v>
      </c>
      <c r="AH12" s="22">
        <v>1</v>
      </c>
      <c r="AI12" s="22">
        <v>1</v>
      </c>
      <c r="AJ12" s="22">
        <v>36</v>
      </c>
      <c r="AK12" s="22">
        <v>63</v>
      </c>
    </row>
    <row r="13" spans="1:37">
      <c r="S13" s="21" t="s">
        <v>125</v>
      </c>
      <c r="T13" s="22">
        <v>289</v>
      </c>
      <c r="U13" s="22">
        <v>1225</v>
      </c>
      <c r="V13" s="22">
        <v>1849</v>
      </c>
      <c r="W13" s="22">
        <v>676</v>
      </c>
      <c r="X13" s="87">
        <v>4039</v>
      </c>
    </row>
    <row r="16" spans="1:37" ht="15.75" thickBot="1">
      <c r="T16" s="243" t="s">
        <v>252</v>
      </c>
      <c r="U16" s="244">
        <f>N2</f>
        <v>3.0186964936101912</v>
      </c>
      <c r="V16" s="244"/>
      <c r="W16" s="58"/>
    </row>
    <row r="17" spans="10:37">
      <c r="T17" s="243"/>
      <c r="U17" s="88" t="str">
        <f>"sqrt("&amp;X12&amp;"*"&amp;X13&amp;")"</f>
        <v>sqrt(3604*4039)</v>
      </c>
      <c r="V17" s="88"/>
      <c r="W17" s="58"/>
      <c r="AE17" s="245" t="s">
        <v>254</v>
      </c>
      <c r="AF17" s="245"/>
      <c r="AG17" s="245"/>
      <c r="AH17" s="245"/>
      <c r="AI17" s="245"/>
      <c r="AJ17" s="245"/>
      <c r="AK17" s="58" t="str">
        <f>"("&amp;AK12&amp;")^1/"&amp;J2</f>
        <v>(63)^1/2</v>
      </c>
    </row>
    <row r="18" spans="10:37">
      <c r="T18" s="83" t="s">
        <v>197</v>
      </c>
      <c r="U18" s="58">
        <f>Q2</f>
        <v>0.98525828909705016</v>
      </c>
      <c r="V18" s="58"/>
      <c r="W18" s="58"/>
      <c r="AE18" s="58"/>
      <c r="AF18" s="58"/>
      <c r="AG18" s="58"/>
      <c r="AH18" s="58"/>
      <c r="AI18" s="58"/>
      <c r="AJ18" s="83" t="s">
        <v>197</v>
      </c>
      <c r="AK18" s="89">
        <f>M2</f>
        <v>0.47469811932489003</v>
      </c>
    </row>
    <row r="19" spans="10:37">
      <c r="T19" s="58"/>
      <c r="U19" s="58"/>
      <c r="V19" s="58"/>
      <c r="W19" s="58"/>
    </row>
    <row r="20" spans="10:37">
      <c r="J20" t="s">
        <v>452</v>
      </c>
    </row>
    <row r="21" spans="10:37">
      <c r="J21" t="s">
        <v>453</v>
      </c>
    </row>
    <row r="22" spans="10:37">
      <c r="J22" s="110" t="s">
        <v>411</v>
      </c>
      <c r="T22" s="246" t="s">
        <v>264</v>
      </c>
      <c r="U22" s="246"/>
      <c r="V22" s="246"/>
      <c r="W22" s="246"/>
      <c r="X22" s="246"/>
    </row>
  </sheetData>
  <mergeCells count="4">
    <mergeCell ref="U16:V16"/>
    <mergeCell ref="T16:T17"/>
    <mergeCell ref="AE17:AJ17"/>
    <mergeCell ref="T22:X22"/>
  </mergeCells>
  <phoneticPr fontId="9" type="noConversion"/>
  <hyperlinks>
    <hyperlink ref="J22" location="'L1, L2 Distance, Outlier '!A1" display="'L1, L2 Distance, Outlier '!A1"/>
  </hyperlinks>
  <pageMargins left="0.7" right="0.7" top="0.75" bottom="0.75" header="0.3" footer="0.3"/>
  <pageSetup orientation="portrait" horizontalDpi="4294967293" verticalDpi="0" r:id="rId3"/>
  <drawing r:id="rId4"/>
  <tableParts count="3">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C16" sqref="C16"/>
    </sheetView>
  </sheetViews>
  <sheetFormatPr defaultRowHeight="15"/>
  <cols>
    <col min="1" max="1" width="13" bestFit="1" customWidth="1"/>
    <col min="2" max="2" width="15.85546875" bestFit="1" customWidth="1"/>
    <col min="3" max="3" width="14.7109375" bestFit="1" customWidth="1"/>
    <col min="4" max="4" width="9.85546875" bestFit="1" customWidth="1"/>
    <col min="5" max="5" width="9.28515625" bestFit="1" customWidth="1"/>
    <col min="6" max="6" width="8.85546875" bestFit="1" customWidth="1"/>
    <col min="8" max="12" width="6.85546875" customWidth="1"/>
    <col min="13" max="13" width="10.7109375" customWidth="1"/>
  </cols>
  <sheetData>
    <row r="1" spans="1:6" ht="17.25">
      <c r="A1" s="5" t="s">
        <v>14</v>
      </c>
      <c r="B1" s="5" t="s">
        <v>16</v>
      </c>
      <c r="C1" s="5" t="s">
        <v>17</v>
      </c>
      <c r="D1" s="5" t="s">
        <v>15</v>
      </c>
      <c r="E1" s="5" t="s">
        <v>21</v>
      </c>
      <c r="F1" s="5" t="s">
        <v>22</v>
      </c>
    </row>
    <row r="2" spans="1:6">
      <c r="A2" s="18">
        <f>COUNT(Input_Table[(xy)])</f>
        <v>4</v>
      </c>
      <c r="B2" s="18">
        <f>SUM(Input_Table[x])</f>
        <v>76</v>
      </c>
      <c r="C2" s="18">
        <f>SUM(Input_Table[y])</f>
        <v>95</v>
      </c>
      <c r="D2" s="18">
        <f>SUM(Input_Table[(xy)])</f>
        <v>1809</v>
      </c>
      <c r="E2" s="18">
        <f>SUM(Input_Table[(x2)])</f>
        <v>1490</v>
      </c>
      <c r="F2" s="18">
        <f>SUM(Input_Table[(y2)])</f>
        <v>2353</v>
      </c>
    </row>
    <row r="3" spans="1:6" ht="15.75" thickBot="1">
      <c r="A3" s="5"/>
      <c r="B3" s="5"/>
      <c r="C3" s="5"/>
      <c r="D3" s="5"/>
      <c r="E3" s="5"/>
      <c r="F3" s="5"/>
    </row>
    <row r="4" spans="1:6" ht="16.5" thickTop="1" thickBot="1">
      <c r="A4" s="248" t="s">
        <v>18</v>
      </c>
      <c r="B4" s="248"/>
      <c r="C4" s="248"/>
      <c r="D4" s="248"/>
      <c r="E4" s="248"/>
      <c r="F4" s="18">
        <f>(tblResult[N]*tblResult[∑xy])-(tblResult[∑x]*tblResult[∑y])</f>
        <v>16</v>
      </c>
    </row>
    <row r="5" spans="1:6" ht="16.5" thickTop="1" thickBot="1">
      <c r="A5" s="249" t="s">
        <v>19</v>
      </c>
      <c r="B5" s="249"/>
      <c r="C5" s="249"/>
      <c r="D5" s="249"/>
      <c r="E5" s="249"/>
      <c r="F5" s="18">
        <f>SQRT(((tblResult[N]*tblResult[∑x2])-(tblResult[∑x]*tblResult[∑x]))*((tblResult[N]*tblResult[∑y2])-(tblResult[∑y]*tblResult[∑y])))</f>
        <v>266.848271495245</v>
      </c>
    </row>
    <row r="6" spans="1:6" ht="16.5" thickTop="1" thickBot="1">
      <c r="A6" s="249" t="s">
        <v>20</v>
      </c>
      <c r="B6" s="249"/>
      <c r="C6" s="249"/>
      <c r="D6" s="249"/>
      <c r="E6" s="249"/>
      <c r="F6" s="35">
        <f>F4/F5</f>
        <v>5.995916672177172E-2</v>
      </c>
    </row>
    <row r="7" spans="1:6" ht="15.75" thickTop="1"/>
    <row r="9" spans="1:6" ht="16.5">
      <c r="A9" s="1" t="s">
        <v>8</v>
      </c>
      <c r="B9" s="2" t="s">
        <v>12</v>
      </c>
      <c r="C9" s="2" t="s">
        <v>13</v>
      </c>
      <c r="D9" s="3" t="s">
        <v>9</v>
      </c>
      <c r="E9" s="3" t="s">
        <v>10</v>
      </c>
      <c r="F9" s="4" t="s">
        <v>11</v>
      </c>
    </row>
    <row r="10" spans="1:6">
      <c r="A10" s="37">
        <v>1</v>
      </c>
      <c r="B10" s="38">
        <v>20</v>
      </c>
      <c r="C10" s="38">
        <v>30</v>
      </c>
      <c r="D10" s="36">
        <f>Input_Table[[#This Row],[x]]*Input_Table[[#This Row],[y]]</f>
        <v>600</v>
      </c>
      <c r="E10" s="36">
        <f>Input_Table[[#This Row],[x]]*Input_Table[[#This Row],[x]]</f>
        <v>400</v>
      </c>
      <c r="F10" s="36">
        <f>Input_Table[[#This Row],[y]]*Input_Table[[#This Row],[y]]</f>
        <v>900</v>
      </c>
    </row>
    <row r="11" spans="1:6">
      <c r="A11" s="37">
        <v>2</v>
      </c>
      <c r="B11" s="38">
        <v>24</v>
      </c>
      <c r="C11" s="38">
        <v>20</v>
      </c>
      <c r="D11" s="36">
        <f>Input_Table[[#This Row],[x]]*Input_Table[[#This Row],[y]]</f>
        <v>480</v>
      </c>
      <c r="E11" s="36">
        <f>Input_Table[[#This Row],[x]]*Input_Table[[#This Row],[x]]</f>
        <v>576</v>
      </c>
      <c r="F11" s="36">
        <f>Input_Table[[#This Row],[y]]*Input_Table[[#This Row],[y]]</f>
        <v>400</v>
      </c>
    </row>
    <row r="12" spans="1:6">
      <c r="A12" s="39">
        <v>3</v>
      </c>
      <c r="B12" s="40">
        <v>17</v>
      </c>
      <c r="C12" s="40">
        <v>27</v>
      </c>
      <c r="D12" s="36">
        <f>Input_Table[[#This Row],[x]]*Input_Table[[#This Row],[y]]</f>
        <v>459</v>
      </c>
      <c r="E12" s="36">
        <f>Input_Table[[#This Row],[x]]*Input_Table[[#This Row],[x]]</f>
        <v>289</v>
      </c>
      <c r="F12" s="36">
        <f>Input_Table[[#This Row],[y]]*Input_Table[[#This Row],[y]]</f>
        <v>729</v>
      </c>
    </row>
    <row r="13" spans="1:6">
      <c r="A13" s="39"/>
      <c r="B13" s="40">
        <v>15</v>
      </c>
      <c r="C13" s="40">
        <v>18</v>
      </c>
      <c r="D13" s="76">
        <f>Input_Table[[#This Row],[x]]*Input_Table[[#This Row],[y]]</f>
        <v>270</v>
      </c>
      <c r="E13" s="76">
        <f>Input_Table[[#This Row],[x]]*Input_Table[[#This Row],[x]]</f>
        <v>225</v>
      </c>
      <c r="F13" s="76">
        <f>Input_Table[[#This Row],[y]]*Input_Table[[#This Row],[y]]</f>
        <v>324</v>
      </c>
    </row>
  </sheetData>
  <mergeCells count="3">
    <mergeCell ref="A4:E4"/>
    <mergeCell ref="A5:E5"/>
    <mergeCell ref="A6:E6"/>
  </mergeCells>
  <pageMargins left="0.7" right="0.7" top="0.75" bottom="0.75" header="0.3" footer="0.3"/>
  <pageSetup orientation="portrait" horizontalDpi="4294967293" verticalDpi="0"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F10" sqref="F10"/>
    </sheetView>
  </sheetViews>
  <sheetFormatPr defaultRowHeight="15"/>
  <cols>
    <col min="1" max="1" width="13" bestFit="1" customWidth="1"/>
    <col min="2" max="2" width="15.85546875" bestFit="1" customWidth="1"/>
    <col min="3" max="3" width="14.7109375" bestFit="1" customWidth="1"/>
    <col min="4" max="4" width="18.140625" customWidth="1"/>
    <col min="5" max="5" width="18.28515625" bestFit="1" customWidth="1"/>
    <col min="6" max="6" width="54.140625" bestFit="1" customWidth="1"/>
    <col min="7" max="7" width="13.140625" bestFit="1" customWidth="1"/>
    <col min="8" max="12" width="6.85546875" customWidth="1"/>
    <col min="13" max="13" width="10.7109375" customWidth="1"/>
  </cols>
  <sheetData>
    <row r="1" spans="1:7">
      <c r="A1" s="5" t="s">
        <v>14</v>
      </c>
      <c r="B1" s="5" t="s">
        <v>59</v>
      </c>
      <c r="C1" s="5" t="s">
        <v>60</v>
      </c>
      <c r="D1" s="5" t="s">
        <v>18</v>
      </c>
      <c r="E1" s="5" t="s">
        <v>63</v>
      </c>
      <c r="F1" s="5" t="s">
        <v>64</v>
      </c>
    </row>
    <row r="2" spans="1:7">
      <c r="A2" s="18">
        <f>COUNT(Input_Table11[x-xmean])</f>
        <v>3</v>
      </c>
      <c r="B2" s="18">
        <f>AVERAGE(Input_Table11[x])</f>
        <v>20.333333333333332</v>
      </c>
      <c r="C2" s="18">
        <f>AVERAGE(Input_Table11[y])</f>
        <v>25.666666666666668</v>
      </c>
      <c r="D2" s="18">
        <f>SUMPRODUCT(Input_Table11[x-xmean],Input_Table11[y-ymean])</f>
        <v>-26.666666666666668</v>
      </c>
      <c r="E2" s="42">
        <f>SQRT((SUM(Input_Table11[(x-xmean)sq])*SUM(Input_Table11[(y-mean)sq])))</f>
        <v>36.04318397576872</v>
      </c>
      <c r="F2" s="43">
        <f>__12[[#This Row],[Numerator]]/__12[[#This Row],[Denomenator]]</f>
        <v>-0.73985324616699399</v>
      </c>
    </row>
    <row r="3" spans="1:7" ht="15.75" thickBot="1">
      <c r="A3" s="5"/>
      <c r="B3" s="5"/>
      <c r="C3" s="5"/>
      <c r="D3" s="5"/>
      <c r="E3" s="5"/>
      <c r="F3" s="5"/>
    </row>
    <row r="4" spans="1:7" ht="16.5" thickTop="1" thickBot="1">
      <c r="A4" s="248" t="s">
        <v>18</v>
      </c>
      <c r="B4" s="248"/>
      <c r="C4" s="248"/>
      <c r="D4" s="248"/>
      <c r="E4" s="248"/>
      <c r="F4" s="18">
        <f>(__12[N]*__12[Numerator])-(__12[X mean]*__12[Y mean])</f>
        <v>-601.88888888888891</v>
      </c>
    </row>
    <row r="5" spans="1:7" ht="16.5" thickTop="1" thickBot="1">
      <c r="A5" s="249" t="s">
        <v>19</v>
      </c>
      <c r="B5" s="249"/>
      <c r="C5" s="249"/>
      <c r="D5" s="249"/>
      <c r="E5" s="249"/>
      <c r="F5" s="18">
        <f>SQRT(((__12[N]*__12[Denomenator])-(__12[X mean]*__12[X mean]))*((__12[N]*__12[Corr (x,y)])-(__12[Y mean]*__12[Y mean])))</f>
        <v>449.23527361272198</v>
      </c>
    </row>
    <row r="6" spans="1:7" ht="16.5" thickTop="1" thickBot="1">
      <c r="A6" s="249" t="s">
        <v>20</v>
      </c>
      <c r="B6" s="249"/>
      <c r="C6" s="249"/>
      <c r="D6" s="249"/>
      <c r="E6" s="249"/>
      <c r="F6" s="18">
        <f>F4/F5</f>
        <v>-1.3398077226851224</v>
      </c>
    </row>
    <row r="7" spans="1:7" ht="15.75" thickTop="1"/>
    <row r="9" spans="1:7">
      <c r="A9" s="1" t="s">
        <v>8</v>
      </c>
      <c r="B9" s="2" t="s">
        <v>12</v>
      </c>
      <c r="C9" s="2" t="s">
        <v>13</v>
      </c>
      <c r="D9" s="3" t="s">
        <v>61</v>
      </c>
      <c r="E9" s="3" t="s">
        <v>62</v>
      </c>
      <c r="F9" s="4" t="s">
        <v>65</v>
      </c>
      <c r="G9" s="9" t="s">
        <v>66</v>
      </c>
    </row>
    <row r="10" spans="1:7">
      <c r="A10" s="37">
        <v>1</v>
      </c>
      <c r="B10" s="38">
        <v>20</v>
      </c>
      <c r="C10" s="38">
        <v>30</v>
      </c>
      <c r="D10" s="41">
        <f>Input_Table11[[#This Row],[x]]-__12[X mean]</f>
        <v>-0.33333333333333215</v>
      </c>
      <c r="E10" s="41">
        <f>Input_Table11[[#This Row],[y]]-__12[Y mean]</f>
        <v>4.3333333333333321</v>
      </c>
      <c r="F10" s="41">
        <f>Input_Table11[[#This Row],[x-xmean]]*Input_Table11[[#This Row],[x-xmean]]</f>
        <v>0.11111111111111033</v>
      </c>
      <c r="G10" s="41">
        <f>Input_Table11[[#This Row],[y-ymean]]*Input_Table11[[#This Row],[y-ymean]]</f>
        <v>18.777777777777768</v>
      </c>
    </row>
    <row r="11" spans="1:7">
      <c r="A11" s="37">
        <v>2</v>
      </c>
      <c r="B11" s="38">
        <v>24</v>
      </c>
      <c r="C11" s="38">
        <v>20</v>
      </c>
      <c r="D11" s="41">
        <f>Input_Table11[[#This Row],[x]]-__12[X mean]</f>
        <v>3.6666666666666679</v>
      </c>
      <c r="E11" s="41">
        <f>Input_Table11[[#This Row],[y]]-__12[Y mean]</f>
        <v>-5.6666666666666679</v>
      </c>
      <c r="F11" s="41">
        <f>Input_Table11[[#This Row],[x-xmean]]*Input_Table11[[#This Row],[x-xmean]]</f>
        <v>13.444444444444454</v>
      </c>
      <c r="G11" s="41">
        <f>Input_Table11[[#This Row],[y-ymean]]*Input_Table11[[#This Row],[y-ymean]]</f>
        <v>32.111111111111121</v>
      </c>
    </row>
    <row r="12" spans="1:7">
      <c r="A12" s="39">
        <v>3</v>
      </c>
      <c r="B12" s="40">
        <v>17</v>
      </c>
      <c r="C12" s="40">
        <v>27</v>
      </c>
      <c r="D12" s="41">
        <f>Input_Table11[[#This Row],[x]]-__12[X mean]</f>
        <v>-3.3333333333333321</v>
      </c>
      <c r="E12" s="41">
        <f>Input_Table11[[#This Row],[y]]-__12[Y mean]</f>
        <v>1.3333333333333321</v>
      </c>
      <c r="F12" s="41">
        <f>Input_Table11[[#This Row],[x-xmean]]*Input_Table11[[#This Row],[x-xmean]]</f>
        <v>11.111111111111104</v>
      </c>
      <c r="G12" s="41">
        <f>Input_Table11[[#This Row],[y-ymean]]*Input_Table11[[#This Row],[y-ymean]]</f>
        <v>1.7777777777777746</v>
      </c>
    </row>
  </sheetData>
  <mergeCells count="3">
    <mergeCell ref="A4:E4"/>
    <mergeCell ref="A5:E5"/>
    <mergeCell ref="A6:E6"/>
  </mergeCells>
  <pageMargins left="0.7" right="0.7" top="0.75" bottom="0.75" header="0.3" footer="0.3"/>
  <pageSetup paperSize="9" orientation="portrait" horizontalDpi="4294967293"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P52"/>
  <sheetViews>
    <sheetView showGridLines="0" workbookViewId="0">
      <selection activeCell="A2" sqref="A2"/>
    </sheetView>
  </sheetViews>
  <sheetFormatPr defaultRowHeight="15"/>
  <cols>
    <col min="1" max="1" width="17.85546875" bestFit="1" customWidth="1"/>
    <col min="2" max="2" width="16.7109375" bestFit="1" customWidth="1"/>
    <col min="3" max="3" width="12.7109375" bestFit="1" customWidth="1"/>
    <col min="4" max="4" width="40.5703125" bestFit="1" customWidth="1"/>
    <col min="5" max="5" width="13.42578125" bestFit="1" customWidth="1"/>
    <col min="6" max="6" width="20.85546875" bestFit="1" customWidth="1"/>
    <col min="7" max="7" width="13.85546875" bestFit="1" customWidth="1"/>
    <col min="14" max="14" width="13.140625" bestFit="1" customWidth="1"/>
    <col min="15" max="15" width="6" bestFit="1" customWidth="1"/>
    <col min="16" max="16" width="15.7109375" bestFit="1" customWidth="1"/>
  </cols>
  <sheetData>
    <row r="1" spans="1:16">
      <c r="A1" t="s">
        <v>208</v>
      </c>
      <c r="B1" t="s">
        <v>209</v>
      </c>
      <c r="C1" t="s">
        <v>210</v>
      </c>
      <c r="D1" t="s">
        <v>291</v>
      </c>
      <c r="E1" t="s">
        <v>295</v>
      </c>
      <c r="F1" t="s">
        <v>213</v>
      </c>
      <c r="G1" t="s">
        <v>300</v>
      </c>
      <c r="K1" s="242" t="s">
        <v>99</v>
      </c>
      <c r="L1" s="242"/>
      <c r="M1" s="242"/>
      <c r="N1" s="242"/>
      <c r="O1" s="242"/>
      <c r="P1" s="242"/>
    </row>
    <row r="2" spans="1:16">
      <c r="A2" t="s">
        <v>284</v>
      </c>
      <c r="B2">
        <v>80000</v>
      </c>
      <c r="C2" t="s">
        <v>211</v>
      </c>
      <c r="D2" t="s">
        <v>292</v>
      </c>
      <c r="E2" t="s">
        <v>296</v>
      </c>
      <c r="F2" s="46">
        <v>0.86956521739130432</v>
      </c>
      <c r="G2">
        <v>2</v>
      </c>
      <c r="K2" t="s">
        <v>49</v>
      </c>
      <c r="L2" t="s">
        <v>50</v>
      </c>
      <c r="M2" t="s">
        <v>51</v>
      </c>
      <c r="N2" t="s">
        <v>52</v>
      </c>
      <c r="O2" t="s">
        <v>53</v>
      </c>
      <c r="P2" t="s">
        <v>54</v>
      </c>
    </row>
    <row r="3" spans="1:16">
      <c r="A3" t="s">
        <v>285</v>
      </c>
      <c r="B3">
        <v>50000</v>
      </c>
      <c r="C3" t="s">
        <v>289</v>
      </c>
      <c r="D3" t="s">
        <v>293</v>
      </c>
      <c r="E3" t="s">
        <v>297</v>
      </c>
      <c r="F3" s="46">
        <v>0.43478260869565216</v>
      </c>
      <c r="G3">
        <v>1</v>
      </c>
      <c r="K3" s="45">
        <f>MIN(Table54971[vi])</f>
        <v>20000</v>
      </c>
      <c r="L3" s="45">
        <f>MAX(Table54971[vi])</f>
        <v>89000</v>
      </c>
      <c r="M3" s="44">
        <v>0</v>
      </c>
      <c r="N3" s="44">
        <v>1</v>
      </c>
      <c r="O3">
        <v>80000</v>
      </c>
      <c r="P3" s="50">
        <f>(Table54971[[#This Row],[vi]]-Table54971[[#This Row],[minA]])/(Table54971[[#This Row],[maxA]]-Table54971[[#This Row],[minA]])*(Table54971[[#This Row],[new_maxA]]-Table54971[[#This Row],[new_minA]])+Table54971[[#This Row],[new_minA]]</f>
        <v>0.86956521739130432</v>
      </c>
    </row>
    <row r="4" spans="1:16">
      <c r="A4" t="s">
        <v>287</v>
      </c>
      <c r="B4">
        <v>70000</v>
      </c>
      <c r="C4" t="s">
        <v>290</v>
      </c>
      <c r="D4" t="s">
        <v>294</v>
      </c>
      <c r="E4" t="s">
        <v>298</v>
      </c>
      <c r="F4" s="46">
        <v>0.72463768115942029</v>
      </c>
      <c r="G4">
        <v>3</v>
      </c>
      <c r="K4" s="45">
        <f>MIN(Table54971[vi])</f>
        <v>20000</v>
      </c>
      <c r="L4" s="45">
        <f>MAX(Table54971[vi])</f>
        <v>89000</v>
      </c>
      <c r="M4" s="44">
        <v>0</v>
      </c>
      <c r="N4" s="44">
        <v>1</v>
      </c>
      <c r="O4">
        <v>50000</v>
      </c>
      <c r="P4" s="50">
        <f>(Table54971[[#This Row],[vi]]-Table54971[[#This Row],[minA]])/(Table54971[[#This Row],[maxA]]-Table54971[[#This Row],[minA]])*(Table54971[[#This Row],[new_maxA]]-Table54971[[#This Row],[new_minA]])+Table54971[[#This Row],[new_minA]]</f>
        <v>0.43478260869565216</v>
      </c>
    </row>
    <row r="5" spans="1:16">
      <c r="A5" t="s">
        <v>286</v>
      </c>
      <c r="B5">
        <v>89000</v>
      </c>
      <c r="C5" t="s">
        <v>211</v>
      </c>
      <c r="D5" t="s">
        <v>292</v>
      </c>
      <c r="E5" t="s">
        <v>297</v>
      </c>
      <c r="F5" s="46">
        <v>1</v>
      </c>
      <c r="G5">
        <v>2</v>
      </c>
      <c r="K5" s="45">
        <f>MIN(Table54971[vi])</f>
        <v>20000</v>
      </c>
      <c r="L5" s="45">
        <f>MAX(Table54971[vi])</f>
        <v>89000</v>
      </c>
      <c r="M5" s="44">
        <v>0</v>
      </c>
      <c r="N5" s="44">
        <v>1</v>
      </c>
      <c r="O5">
        <v>70000</v>
      </c>
      <c r="P5" s="50">
        <f>(Table54971[[#This Row],[vi]]-Table54971[[#This Row],[minA]])/(Table54971[[#This Row],[maxA]]-Table54971[[#This Row],[minA]])*(Table54971[[#This Row],[new_maxA]]-Table54971[[#This Row],[new_minA]])+Table54971[[#This Row],[new_minA]]</f>
        <v>0.72463768115942029</v>
      </c>
    </row>
    <row r="6" spans="1:16">
      <c r="A6" s="103" t="s">
        <v>288</v>
      </c>
      <c r="B6" s="103">
        <v>20000</v>
      </c>
      <c r="C6" s="103" t="s">
        <v>212</v>
      </c>
      <c r="D6" t="s">
        <v>292</v>
      </c>
      <c r="E6" s="103" t="s">
        <v>299</v>
      </c>
      <c r="F6" s="98">
        <v>0</v>
      </c>
      <c r="G6" s="103">
        <v>2</v>
      </c>
      <c r="K6" s="45">
        <f>MIN(Table54971[vi])</f>
        <v>20000</v>
      </c>
      <c r="L6" s="45">
        <f>MAX(Table54971[vi])</f>
        <v>89000</v>
      </c>
      <c r="M6" s="44">
        <v>0</v>
      </c>
      <c r="N6" s="44">
        <v>1</v>
      </c>
      <c r="O6">
        <v>89000</v>
      </c>
      <c r="P6" s="50">
        <f>(Table54971[[#This Row],[vi]]-Table54971[[#This Row],[minA]])/(Table54971[[#This Row],[maxA]]-Table54971[[#This Row],[minA]])*(Table54971[[#This Row],[new_maxA]]-Table54971[[#This Row],[new_minA]])+Table54971[[#This Row],[new_minA]]</f>
        <v>1</v>
      </c>
    </row>
    <row r="7" spans="1:16">
      <c r="K7" s="45">
        <f>MIN(Table54971[vi])</f>
        <v>20000</v>
      </c>
      <c r="L7" s="45">
        <f>MAX(Table54971[vi])</f>
        <v>89000</v>
      </c>
      <c r="M7" s="44"/>
      <c r="N7" s="44"/>
      <c r="O7" s="103">
        <v>20000</v>
      </c>
      <c r="P7" s="50">
        <f>(Table54971[[#This Row],[vi]]-Table54971[[#This Row],[minA]])/(Table54971[[#This Row],[maxA]]-Table54971[[#This Row],[minA]])*(Table54971[[#This Row],[new_maxA]]-Table54971[[#This Row],[new_minA]])+Table54971[[#This Row],[new_minA]]</f>
        <v>0</v>
      </c>
    </row>
    <row r="8" spans="1:16">
      <c r="C8" t="s">
        <v>27</v>
      </c>
      <c r="D8" t="s">
        <v>303</v>
      </c>
      <c r="E8" t="s">
        <v>27</v>
      </c>
      <c r="K8" s="45"/>
      <c r="L8" s="45"/>
      <c r="M8" s="44"/>
      <c r="N8" s="44"/>
      <c r="O8" s="103"/>
      <c r="P8" s="50"/>
    </row>
    <row r="9" spans="1:16">
      <c r="C9" t="s">
        <v>262</v>
      </c>
      <c r="D9" t="s">
        <v>304</v>
      </c>
      <c r="E9" t="s">
        <v>262</v>
      </c>
      <c r="K9" s="45"/>
      <c r="L9" s="45"/>
      <c r="M9" s="44"/>
      <c r="N9" s="44"/>
      <c r="O9" s="103"/>
      <c r="P9" s="50"/>
    </row>
    <row r="10" spans="1:16">
      <c r="C10" t="s">
        <v>263</v>
      </c>
      <c r="E10" t="s">
        <v>263</v>
      </c>
      <c r="K10" s="45"/>
      <c r="L10" s="45"/>
      <c r="M10" s="44"/>
      <c r="N10" s="44"/>
      <c r="O10" s="103"/>
      <c r="P10" s="50"/>
    </row>
    <row r="11" spans="1:16">
      <c r="K11" s="45"/>
      <c r="L11" s="45"/>
      <c r="M11" s="44"/>
      <c r="N11" s="44"/>
      <c r="O11" s="103"/>
      <c r="P11" s="50"/>
    </row>
    <row r="12" spans="1:16">
      <c r="A12" t="s">
        <v>302</v>
      </c>
      <c r="B12" t="s">
        <v>305</v>
      </c>
    </row>
    <row r="13" spans="1:16">
      <c r="A13" t="s">
        <v>301</v>
      </c>
      <c r="B13" t="s">
        <v>306</v>
      </c>
    </row>
    <row r="14" spans="1:16">
      <c r="B14" t="s">
        <v>307</v>
      </c>
      <c r="F14" t="s">
        <v>334</v>
      </c>
      <c r="G14" t="s">
        <v>335</v>
      </c>
    </row>
    <row r="15" spans="1:16">
      <c r="B15">
        <f>0.44+1+0.5+1</f>
        <v>2.94</v>
      </c>
      <c r="F15" t="s">
        <v>314</v>
      </c>
      <c r="G15">
        <f>(0.87)+1+0.5+1</f>
        <v>3.37</v>
      </c>
    </row>
    <row r="16" spans="1:16">
      <c r="F16" t="s">
        <v>317</v>
      </c>
      <c r="G16">
        <f>(0.29)+1+1+1</f>
        <v>3.29</v>
      </c>
    </row>
    <row r="17" spans="1:7">
      <c r="A17" t="s">
        <v>308</v>
      </c>
      <c r="B17" t="s">
        <v>309</v>
      </c>
      <c r="F17" t="s">
        <v>328</v>
      </c>
      <c r="G17">
        <f>(0.72)+1+0.5+1</f>
        <v>3.2199999999999998</v>
      </c>
    </row>
    <row r="18" spans="1:7">
      <c r="B18" t="s">
        <v>310</v>
      </c>
      <c r="F18" t="s">
        <v>331</v>
      </c>
      <c r="G18">
        <f>(1)+1+0+1</f>
        <v>3</v>
      </c>
    </row>
    <row r="19" spans="1:7">
      <c r="B19">
        <f>(0.12)+1+0.5+1</f>
        <v>2.62</v>
      </c>
      <c r="F19" t="s">
        <v>301</v>
      </c>
      <c r="G19">
        <f>0.44+1+0.5+1</f>
        <v>2.94</v>
      </c>
    </row>
    <row r="20" spans="1:7">
      <c r="F20" t="s">
        <v>321</v>
      </c>
      <c r="G20">
        <f>(0.43)+1+0.5+1</f>
        <v>2.9299999999999997</v>
      </c>
    </row>
    <row r="21" spans="1:7">
      <c r="A21" t="s">
        <v>311</v>
      </c>
      <c r="B21" t="s">
        <v>312</v>
      </c>
      <c r="F21" t="s">
        <v>324</v>
      </c>
      <c r="G21">
        <f>(0.43)+1+0.5+1</f>
        <v>2.9299999999999997</v>
      </c>
    </row>
    <row r="22" spans="1:7">
      <c r="B22" t="s">
        <v>313</v>
      </c>
      <c r="F22" t="s">
        <v>308</v>
      </c>
      <c r="G22">
        <f>(0.12)+1+0.5+1</f>
        <v>2.62</v>
      </c>
    </row>
    <row r="23" spans="1:7">
      <c r="B23">
        <f>(0.13)+0+0.5+1</f>
        <v>1.63</v>
      </c>
      <c r="F23" t="s">
        <v>320</v>
      </c>
      <c r="G23">
        <f>(0.57)+1+0.5+0</f>
        <v>2.0699999999999998</v>
      </c>
    </row>
    <row r="24" spans="1:7">
      <c r="F24" t="s">
        <v>311</v>
      </c>
      <c r="G24">
        <f>(0.13)+0+0.5+1</f>
        <v>1.63</v>
      </c>
    </row>
    <row r="26" spans="1:7">
      <c r="A26" t="s">
        <v>314</v>
      </c>
      <c r="B26" t="s">
        <v>315</v>
      </c>
      <c r="F26" t="s">
        <v>336</v>
      </c>
    </row>
    <row r="27" spans="1:7">
      <c r="B27" t="s">
        <v>316</v>
      </c>
      <c r="F27" t="s">
        <v>337</v>
      </c>
    </row>
    <row r="28" spans="1:7">
      <c r="B28">
        <f>(0.87)+1+0.5+1</f>
        <v>3.37</v>
      </c>
    </row>
    <row r="30" spans="1:7">
      <c r="A30" t="s">
        <v>317</v>
      </c>
      <c r="B30" t="s">
        <v>318</v>
      </c>
    </row>
    <row r="31" spans="1:7">
      <c r="B31" t="s">
        <v>319</v>
      </c>
    </row>
    <row r="32" spans="1:7">
      <c r="B32">
        <f>(0.29)+1+1+1</f>
        <v>3.29</v>
      </c>
    </row>
    <row r="33" spans="1:4">
      <c r="D33" s="48"/>
    </row>
    <row r="34" spans="1:4">
      <c r="A34" t="s">
        <v>320</v>
      </c>
      <c r="B34" t="s">
        <v>326</v>
      </c>
    </row>
    <row r="35" spans="1:4">
      <c r="B35" t="s">
        <v>327</v>
      </c>
    </row>
    <row r="36" spans="1:4">
      <c r="B36">
        <f>(0.57)+1+0.5+0</f>
        <v>2.0699999999999998</v>
      </c>
    </row>
    <row r="38" spans="1:4">
      <c r="A38" t="s">
        <v>321</v>
      </c>
      <c r="B38" t="s">
        <v>322</v>
      </c>
    </row>
    <row r="39" spans="1:4">
      <c r="B39" t="s">
        <v>323</v>
      </c>
    </row>
    <row r="40" spans="1:4">
      <c r="B40">
        <f>(0.43)+1+0.5+1</f>
        <v>2.9299999999999997</v>
      </c>
    </row>
    <row r="42" spans="1:4">
      <c r="A42" t="s">
        <v>324</v>
      </c>
      <c r="B42" t="s">
        <v>325</v>
      </c>
    </row>
    <row r="43" spans="1:4">
      <c r="B43" t="s">
        <v>323</v>
      </c>
    </row>
    <row r="44" spans="1:4">
      <c r="B44">
        <f>(0.43)+1+0.5+1</f>
        <v>2.9299999999999997</v>
      </c>
    </row>
    <row r="46" spans="1:4">
      <c r="A46" t="s">
        <v>328</v>
      </c>
      <c r="B46" t="s">
        <v>329</v>
      </c>
    </row>
    <row r="47" spans="1:4">
      <c r="B47" t="s">
        <v>330</v>
      </c>
    </row>
    <row r="48" spans="1:4">
      <c r="B48">
        <f>(0.72)+1+0.5+1</f>
        <v>3.2199999999999998</v>
      </c>
    </row>
    <row r="50" spans="1:2">
      <c r="A50" t="s">
        <v>331</v>
      </c>
      <c r="B50" t="s">
        <v>332</v>
      </c>
    </row>
    <row r="51" spans="1:2">
      <c r="B51" t="s">
        <v>333</v>
      </c>
    </row>
    <row r="52" spans="1:2">
      <c r="B52">
        <f>(1)+1+0+1</f>
        <v>3</v>
      </c>
    </row>
  </sheetData>
  <sortState ref="F15:G24">
    <sortCondition descending="1" ref="G15:G24"/>
  </sortState>
  <mergeCells count="1">
    <mergeCell ref="K1:P1"/>
  </mergeCells>
  <pageMargins left="0.7" right="0.7" top="0.75" bottom="0.75" header="0.3" footer="0.3"/>
  <pageSetup paperSize="9" orientation="portrait" horizontalDpi="4294967292" verticalDpi="0" r:id="rId1"/>
  <drawing r:id="rId2"/>
  <tableParts count="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X18"/>
  <sheetViews>
    <sheetView showGridLines="0" workbookViewId="0"/>
  </sheetViews>
  <sheetFormatPr defaultRowHeight="15"/>
  <cols>
    <col min="1" max="1" width="14.140625" customWidth="1"/>
    <col min="2" max="2" width="15.85546875" bestFit="1" customWidth="1"/>
    <col min="3" max="3" width="14.140625" customWidth="1"/>
    <col min="4" max="4" width="25" bestFit="1" customWidth="1"/>
    <col min="5" max="5" width="14.140625" customWidth="1"/>
    <col min="6" max="6" width="21" customWidth="1"/>
    <col min="10" max="10" width="0" hidden="1" customWidth="1"/>
    <col min="11" max="11" width="13.5703125" hidden="1" customWidth="1"/>
    <col min="12" max="12" width="12.85546875" hidden="1" customWidth="1"/>
    <col min="13" max="13" width="10.7109375" hidden="1" customWidth="1"/>
    <col min="14" max="14" width="13.7109375" hidden="1" customWidth="1"/>
    <col min="15" max="15" width="0" hidden="1" customWidth="1"/>
    <col min="18" max="18" width="14.7109375" bestFit="1" customWidth="1"/>
    <col min="19" max="19" width="16.28515625" bestFit="1" customWidth="1"/>
    <col min="20" max="20" width="11.85546875" customWidth="1"/>
    <col min="21" max="21" width="7" bestFit="1" customWidth="1"/>
    <col min="22" max="22" width="8" bestFit="1" customWidth="1"/>
    <col min="23" max="23" width="9" bestFit="1" customWidth="1"/>
    <col min="24" max="25" width="11.28515625" bestFit="1" customWidth="1"/>
    <col min="26" max="37" width="16.28515625" bestFit="1" customWidth="1"/>
    <col min="38" max="38" width="14.140625" bestFit="1" customWidth="1"/>
    <col min="39" max="39" width="19.5703125" bestFit="1" customWidth="1"/>
    <col min="40" max="40" width="16.140625" bestFit="1" customWidth="1"/>
    <col min="41" max="41" width="18.7109375" bestFit="1" customWidth="1"/>
  </cols>
  <sheetData>
    <row r="1" spans="1:24">
      <c r="A1" s="10" t="s">
        <v>55</v>
      </c>
      <c r="B1" s="10" t="s">
        <v>80</v>
      </c>
      <c r="C1" s="10" t="s">
        <v>81</v>
      </c>
      <c r="D1" s="10" t="s">
        <v>101</v>
      </c>
      <c r="J1" t="s">
        <v>75</v>
      </c>
    </row>
    <row r="2" spans="1:24">
      <c r="A2" s="18">
        <f>AVERAGE(Table3[vi])</f>
        <v>560</v>
      </c>
      <c r="B2" s="45">
        <f>SUM(Table3[(vi-A)^2])</f>
        <v>452000</v>
      </c>
      <c r="C2" s="18">
        <f>Table4[[#This Row],[∑(𝑣_𝑖−𝐴)^2]]/COUNT(Table3[vi])</f>
        <v>90400</v>
      </c>
      <c r="D2" s="46">
        <f>SQRT(Table4[[#This Row],[𝜎_𝐴^2]])</f>
        <v>300.66592756745814</v>
      </c>
      <c r="S2" s="127" t="s">
        <v>118</v>
      </c>
    </row>
    <row r="3" spans="1:24">
      <c r="J3" s="13" t="s">
        <v>76</v>
      </c>
      <c r="K3" s="14">
        <v>1</v>
      </c>
      <c r="L3" s="15">
        <v>2</v>
      </c>
      <c r="M3" s="14">
        <v>3</v>
      </c>
      <c r="N3" s="15">
        <v>4</v>
      </c>
      <c r="O3" s="14">
        <v>5</v>
      </c>
      <c r="R3" s="127" t="s">
        <v>67</v>
      </c>
      <c r="S3" s="123">
        <v>1</v>
      </c>
      <c r="T3" s="123">
        <v>2</v>
      </c>
      <c r="U3" s="123">
        <v>3</v>
      </c>
      <c r="V3" s="123">
        <v>4</v>
      </c>
      <c r="W3" s="123">
        <v>5</v>
      </c>
      <c r="X3" s="123" t="s">
        <v>108</v>
      </c>
    </row>
    <row r="4" spans="1:24">
      <c r="A4" s="10" t="s">
        <v>76</v>
      </c>
      <c r="B4" s="10" t="s">
        <v>53</v>
      </c>
      <c r="C4" s="10" t="s">
        <v>78</v>
      </c>
      <c r="D4" s="10" t="s">
        <v>77</v>
      </c>
      <c r="E4" s="10" t="s">
        <v>244</v>
      </c>
      <c r="F4" s="125" t="s">
        <v>701</v>
      </c>
      <c r="J4" s="13" t="s">
        <v>53</v>
      </c>
      <c r="K4" s="11">
        <v>100</v>
      </c>
      <c r="L4" s="12">
        <v>400</v>
      </c>
      <c r="M4" s="11">
        <v>600</v>
      </c>
      <c r="N4" s="12">
        <v>700</v>
      </c>
      <c r="O4" s="11">
        <v>1000</v>
      </c>
      <c r="R4" s="30" t="s">
        <v>232</v>
      </c>
      <c r="S4" s="137">
        <v>100</v>
      </c>
      <c r="T4" s="137">
        <v>400</v>
      </c>
      <c r="U4" s="137">
        <v>600</v>
      </c>
      <c r="V4" s="137">
        <v>700</v>
      </c>
      <c r="W4" s="137">
        <v>1000</v>
      </c>
      <c r="X4" s="137">
        <v>2800</v>
      </c>
    </row>
    <row r="5" spans="1:24">
      <c r="A5" s="34">
        <v>1</v>
      </c>
      <c r="B5" s="44">
        <v>100</v>
      </c>
      <c r="C5" s="45">
        <f>AVERAGE(Table3[vi])</f>
        <v>560</v>
      </c>
      <c r="D5" s="45">
        <f>Table3[[#This Row],[vi]]-Table3[[#This Row],[Mean A]]</f>
        <v>-460</v>
      </c>
      <c r="E5" s="45">
        <f>Table3[[#This Row],[vi-A]]*Table3[[#This Row],[vi-A]]</f>
        <v>211600</v>
      </c>
      <c r="F5" s="131">
        <f>(Table3[[#This Row],[vi]]-$T$18)/$T$17</f>
        <v>-1.5299372420468005</v>
      </c>
      <c r="J5" s="13" t="s">
        <v>78</v>
      </c>
      <c r="K5" s="11">
        <v>560</v>
      </c>
      <c r="L5" s="12">
        <v>560</v>
      </c>
      <c r="M5" s="11">
        <v>560</v>
      </c>
      <c r="N5" s="12">
        <v>560</v>
      </c>
      <c r="O5" s="11">
        <v>560</v>
      </c>
      <c r="R5" s="30" t="s">
        <v>233</v>
      </c>
      <c r="S5" s="137">
        <v>560</v>
      </c>
      <c r="T5" s="137">
        <v>560</v>
      </c>
      <c r="U5" s="137">
        <v>560</v>
      </c>
      <c r="V5" s="137">
        <v>560</v>
      </c>
      <c r="W5" s="137">
        <v>560</v>
      </c>
      <c r="X5" s="137">
        <v>2800</v>
      </c>
    </row>
    <row r="6" spans="1:24">
      <c r="A6" s="34">
        <v>2</v>
      </c>
      <c r="B6" s="44">
        <v>400</v>
      </c>
      <c r="C6" s="45">
        <f>AVERAGE(Table3[vi])</f>
        <v>560</v>
      </c>
      <c r="D6" s="45">
        <f>Table3[[#This Row],[vi]]-Table3[[#This Row],[Mean A]]</f>
        <v>-160</v>
      </c>
      <c r="E6" s="45">
        <f>Table3[[#This Row],[vi-A]]*Table3[[#This Row],[vi-A]]</f>
        <v>25600</v>
      </c>
      <c r="F6" s="131">
        <f>(Table3[[#This Row],[vi]]-$T$18)/$T$17</f>
        <v>-0.53215208419019144</v>
      </c>
      <c r="J6" s="13" t="s">
        <v>77</v>
      </c>
      <c r="K6" s="11">
        <v>-460</v>
      </c>
      <c r="L6" s="12">
        <v>-160</v>
      </c>
      <c r="M6" s="11">
        <v>40</v>
      </c>
      <c r="N6" s="12">
        <v>140</v>
      </c>
      <c r="O6" s="11">
        <v>440</v>
      </c>
      <c r="R6" s="30" t="s">
        <v>234</v>
      </c>
      <c r="S6" s="137">
        <v>-460</v>
      </c>
      <c r="T6" s="137">
        <v>-160</v>
      </c>
      <c r="U6" s="137">
        <v>40</v>
      </c>
      <c r="V6" s="137">
        <v>140</v>
      </c>
      <c r="W6" s="137">
        <v>440</v>
      </c>
      <c r="X6" s="137">
        <v>0</v>
      </c>
    </row>
    <row r="7" spans="1:24">
      <c r="A7" s="34">
        <v>3</v>
      </c>
      <c r="B7" s="44">
        <v>600</v>
      </c>
      <c r="C7" s="45">
        <f>AVERAGE(Table3[vi])</f>
        <v>560</v>
      </c>
      <c r="D7" s="45">
        <f>Table3[[#This Row],[vi]]-Table3[[#This Row],[Mean A]]</f>
        <v>40</v>
      </c>
      <c r="E7" s="45">
        <f>Table3[[#This Row],[vi-A]]*Table3[[#This Row],[vi-A]]</f>
        <v>1600</v>
      </c>
      <c r="F7" s="131">
        <f>(Table3[[#This Row],[vi]]-$T$18)/$T$17</f>
        <v>0.13303802104754786</v>
      </c>
      <c r="J7" s="13" t="s">
        <v>79</v>
      </c>
      <c r="K7" s="11">
        <v>211600</v>
      </c>
      <c r="L7" s="12">
        <v>25600</v>
      </c>
      <c r="M7" s="11">
        <v>1600</v>
      </c>
      <c r="N7" s="12">
        <v>19600</v>
      </c>
      <c r="O7" s="11">
        <v>193600</v>
      </c>
      <c r="R7" s="30" t="s">
        <v>261</v>
      </c>
      <c r="S7" s="137">
        <v>211600</v>
      </c>
      <c r="T7" s="137">
        <v>25600</v>
      </c>
      <c r="U7" s="137">
        <v>1600</v>
      </c>
      <c r="V7" s="137">
        <v>19600</v>
      </c>
      <c r="W7" s="137">
        <v>193600</v>
      </c>
      <c r="X7" s="137">
        <v>452000</v>
      </c>
    </row>
    <row r="8" spans="1:24">
      <c r="A8" s="34">
        <v>4</v>
      </c>
      <c r="B8" s="44">
        <v>700</v>
      </c>
      <c r="C8" s="45">
        <f>AVERAGE(Table3[vi])</f>
        <v>560</v>
      </c>
      <c r="D8" s="45">
        <f>Table3[[#This Row],[vi]]-Table3[[#This Row],[Mean A]]</f>
        <v>140</v>
      </c>
      <c r="E8" s="45">
        <f>Table3[[#This Row],[vi-A]]*Table3[[#This Row],[vi-A]]</f>
        <v>19600</v>
      </c>
      <c r="F8" s="131">
        <f>(Table3[[#This Row],[vi]]-$T$18)/$T$17</f>
        <v>0.46563307366641754</v>
      </c>
    </row>
    <row r="9" spans="1:24">
      <c r="A9" s="34">
        <v>5</v>
      </c>
      <c r="B9" s="44">
        <v>1000</v>
      </c>
      <c r="C9" s="45">
        <f>AVERAGE(Table3[vi])</f>
        <v>560</v>
      </c>
      <c r="D9" s="45">
        <f>Table3[[#This Row],[vi]]-Table3[[#This Row],[Mean A]]</f>
        <v>440</v>
      </c>
      <c r="E9" s="45">
        <f>Table3[[#This Row],[vi-A]]*Table3[[#This Row],[vi-A]]</f>
        <v>193600</v>
      </c>
      <c r="F9" s="131">
        <f>(Table3[[#This Row],[vi]]-$T$18)/$T$17</f>
        <v>1.4634182315230266</v>
      </c>
    </row>
    <row r="11" spans="1:24">
      <c r="S11" s="83" t="s">
        <v>246</v>
      </c>
      <c r="T11" s="58">
        <f>COUNT(Table3[vi])</f>
        <v>5</v>
      </c>
    </row>
    <row r="12" spans="1:24">
      <c r="S12" s="58"/>
      <c r="T12" s="58"/>
    </row>
    <row r="13" spans="1:24">
      <c r="S13" s="83" t="s">
        <v>247</v>
      </c>
      <c r="T13" s="82">
        <f>X7</f>
        <v>452000</v>
      </c>
    </row>
    <row r="14" spans="1:24">
      <c r="S14" s="58"/>
      <c r="T14" s="58"/>
    </row>
    <row r="15" spans="1:24">
      <c r="E15" s="48" t="s">
        <v>260</v>
      </c>
      <c r="S15" s="83" t="s">
        <v>248</v>
      </c>
      <c r="T15" s="82">
        <f>C2</f>
        <v>90400</v>
      </c>
    </row>
    <row r="17" spans="19:20">
      <c r="S17" s="83" t="s">
        <v>249</v>
      </c>
      <c r="T17" s="84">
        <f>D2</f>
        <v>300.66592756745814</v>
      </c>
    </row>
    <row r="18" spans="19:20">
      <c r="S18" s="83" t="s">
        <v>251</v>
      </c>
      <c r="T18" s="58">
        <f>A2</f>
        <v>560</v>
      </c>
    </row>
  </sheetData>
  <pageMargins left="0.7" right="0.7" top="0.75" bottom="0.75" header="0.3" footer="0.3"/>
  <pageSetup orientation="portrait" horizontalDpi="4294967293" verticalDpi="0" r:id="rId2"/>
  <drawing r:id="rId3"/>
  <tableParts count="2">
    <tablePart r:id="rId4"/>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Q26"/>
  <sheetViews>
    <sheetView showGridLines="0" tabSelected="1" zoomScaleNormal="100" workbookViewId="0">
      <selection sqref="A1:F1"/>
    </sheetView>
  </sheetViews>
  <sheetFormatPr defaultRowHeight="15"/>
  <cols>
    <col min="1" max="1" width="22.7109375" bestFit="1" customWidth="1"/>
    <col min="2" max="2" width="10.5703125" customWidth="1"/>
    <col min="3" max="3" width="12.7109375" customWidth="1"/>
    <col min="4" max="5" width="13" customWidth="1"/>
    <col min="6" max="6" width="11" customWidth="1"/>
    <col min="7" max="7" width="11.5703125" bestFit="1" customWidth="1"/>
    <col min="8" max="9" width="14.5703125" customWidth="1"/>
    <col min="10" max="10" width="15.7109375" bestFit="1" customWidth="1"/>
    <col min="11" max="11" width="20" customWidth="1"/>
    <col min="12" max="12" width="10.5703125" bestFit="1" customWidth="1"/>
    <col min="13" max="13" width="15.42578125" customWidth="1"/>
  </cols>
  <sheetData>
    <row r="1" spans="1:17">
      <c r="A1" s="242" t="s">
        <v>99</v>
      </c>
      <c r="B1" s="242"/>
      <c r="C1" s="242"/>
      <c r="D1" s="242"/>
      <c r="E1" s="242"/>
      <c r="F1" s="242"/>
      <c r="N1" s="242" t="s">
        <v>100</v>
      </c>
      <c r="O1" s="242"/>
      <c r="P1" s="242"/>
      <c r="Q1" s="242"/>
    </row>
    <row r="2" spans="1:17">
      <c r="A2" t="s">
        <v>208</v>
      </c>
      <c r="B2" t="s">
        <v>348</v>
      </c>
      <c r="C2" t="s">
        <v>49</v>
      </c>
      <c r="D2" t="s">
        <v>50</v>
      </c>
      <c r="E2" t="s">
        <v>51</v>
      </c>
      <c r="F2" t="s">
        <v>52</v>
      </c>
      <c r="G2" t="s">
        <v>353</v>
      </c>
      <c r="H2" t="s">
        <v>354</v>
      </c>
      <c r="I2" t="s">
        <v>355</v>
      </c>
      <c r="J2" t="s">
        <v>54</v>
      </c>
      <c r="L2" t="s">
        <v>55</v>
      </c>
      <c r="M2" t="s">
        <v>56</v>
      </c>
      <c r="N2" t="s">
        <v>53</v>
      </c>
      <c r="O2" t="s">
        <v>54</v>
      </c>
    </row>
    <row r="3" spans="1:17">
      <c r="A3" s="44" t="s">
        <v>338</v>
      </c>
      <c r="B3">
        <v>3</v>
      </c>
      <c r="C3" s="44">
        <f>MIN(Table5[Marks])</f>
        <v>3</v>
      </c>
      <c r="D3" s="44">
        <f>MAX(Table5[Marks])</f>
        <v>70</v>
      </c>
      <c r="E3" s="44">
        <v>1</v>
      </c>
      <c r="F3" s="44">
        <v>2</v>
      </c>
      <c r="G3" s="44">
        <f>Table5[[#This Row],[Marks]]-Table5[[#This Row],[minA]]</f>
        <v>0</v>
      </c>
      <c r="H3" s="44">
        <f>Table5[[#This Row],[maxA]]-Table5[[#This Row],[minA]]</f>
        <v>67</v>
      </c>
      <c r="I3" s="44">
        <f>Table5[[#This Row],[new_maxA]]-Table5[[#This Row],[new_minA]]</f>
        <v>1</v>
      </c>
      <c r="J3" s="47">
        <f>(Table5[[#This Row],[Marks]]-Table5[[#This Row],[minA]])/(Table5[[#This Row],[maxA]]-Table5[[#This Row],[minA]])*(Table5[[#This Row],[new_maxA]]-Table5[[#This Row],[new_minA]])+Table5[[#This Row],[new_minA]]</f>
        <v>1</v>
      </c>
      <c r="L3" s="44">
        <v>54000</v>
      </c>
      <c r="M3" s="44">
        <v>16000</v>
      </c>
      <c r="N3" s="44">
        <v>73600</v>
      </c>
      <c r="O3" s="18">
        <f>(Table6[[#This Row],[vi]]-Table6[[#This Row],[Mean]])/Table6[[#This Row],[Standard Deviation]]</f>
        <v>1.2250000000000001</v>
      </c>
    </row>
    <row r="4" spans="1:17">
      <c r="A4" s="94" t="s">
        <v>339</v>
      </c>
      <c r="B4">
        <v>4</v>
      </c>
      <c r="C4" s="94">
        <f>MIN(Table5[Marks])</f>
        <v>3</v>
      </c>
      <c r="D4" s="94">
        <f>MAX(Table5[Marks])</f>
        <v>70</v>
      </c>
      <c r="E4" s="44">
        <v>1</v>
      </c>
      <c r="F4" s="44">
        <v>2</v>
      </c>
      <c r="G4" s="94">
        <f>Table5[[#This Row],[Marks]]-Table5[[#This Row],[minA]]</f>
        <v>1</v>
      </c>
      <c r="H4" s="94">
        <f>Table5[[#This Row],[maxA]]-Table5[[#This Row],[minA]]</f>
        <v>67</v>
      </c>
      <c r="I4" s="94">
        <f>Table5[[#This Row],[new_maxA]]-Table5[[#This Row],[new_minA]]</f>
        <v>1</v>
      </c>
      <c r="J4" s="54">
        <f>(Table5[[#This Row],[Marks]]-Table5[[#This Row],[minA]])/(Table5[[#This Row],[maxA]]-Table5[[#This Row],[minA]])*(Table5[[#This Row],[new_maxA]]-Table5[[#This Row],[new_minA]])+Table5[[#This Row],[new_minA]]</f>
        <v>1.0149253731343284</v>
      </c>
    </row>
    <row r="5" spans="1:17">
      <c r="A5" s="94" t="s">
        <v>340</v>
      </c>
      <c r="B5">
        <v>4</v>
      </c>
      <c r="C5" s="94">
        <f>MIN(Table5[Marks])</f>
        <v>3</v>
      </c>
      <c r="D5" s="94">
        <f>MAX(Table5[Marks])</f>
        <v>70</v>
      </c>
      <c r="E5" s="44">
        <v>1</v>
      </c>
      <c r="F5" s="44">
        <v>2</v>
      </c>
      <c r="G5" s="94">
        <f>Table5[[#This Row],[Marks]]-Table5[[#This Row],[minA]]</f>
        <v>1</v>
      </c>
      <c r="H5" s="94">
        <f>Table5[[#This Row],[maxA]]-Table5[[#This Row],[minA]]</f>
        <v>67</v>
      </c>
      <c r="I5" s="94">
        <f>Table5[[#This Row],[new_maxA]]-Table5[[#This Row],[new_minA]]</f>
        <v>1</v>
      </c>
      <c r="J5" s="54">
        <f>(Table5[[#This Row],[Marks]]-Table5[[#This Row],[minA]])/(Table5[[#This Row],[maxA]]-Table5[[#This Row],[minA]])*(Table5[[#This Row],[new_maxA]]-Table5[[#This Row],[new_minA]])+Table5[[#This Row],[new_minA]]</f>
        <v>1.0149253731343284</v>
      </c>
    </row>
    <row r="6" spans="1:17">
      <c r="A6" s="94" t="s">
        <v>341</v>
      </c>
      <c r="B6">
        <v>7</v>
      </c>
      <c r="C6" s="94">
        <f>MIN(Table5[Marks])</f>
        <v>3</v>
      </c>
      <c r="D6" s="94">
        <f>MAX(Table5[Marks])</f>
        <v>70</v>
      </c>
      <c r="E6" s="44">
        <v>1</v>
      </c>
      <c r="F6" s="44">
        <v>2</v>
      </c>
      <c r="G6" s="94">
        <f>Table5[[#This Row],[Marks]]-Table5[[#This Row],[minA]]</f>
        <v>4</v>
      </c>
      <c r="H6" s="94">
        <f>Table5[[#This Row],[maxA]]-Table5[[#This Row],[minA]]</f>
        <v>67</v>
      </c>
      <c r="I6" s="94">
        <f>Table5[[#This Row],[new_maxA]]-Table5[[#This Row],[new_minA]]</f>
        <v>1</v>
      </c>
      <c r="J6" s="54">
        <f>(Table5[[#This Row],[Marks]]-Table5[[#This Row],[minA]])/(Table5[[#This Row],[maxA]]-Table5[[#This Row],[minA]])*(Table5[[#This Row],[new_maxA]]-Table5[[#This Row],[new_minA]])+Table5[[#This Row],[new_minA]]</f>
        <v>1.0597014925373134</v>
      </c>
      <c r="L6" t="s">
        <v>511</v>
      </c>
    </row>
    <row r="7" spans="1:17">
      <c r="A7" s="94" t="s">
        <v>342</v>
      </c>
      <c r="B7">
        <v>10</v>
      </c>
      <c r="C7" s="94">
        <f>MIN(Table5[Marks])</f>
        <v>3</v>
      </c>
      <c r="D7" s="94">
        <f>MAX(Table5[Marks])</f>
        <v>70</v>
      </c>
      <c r="E7" s="44">
        <v>1</v>
      </c>
      <c r="F7" s="44">
        <v>2</v>
      </c>
      <c r="G7" s="94">
        <f>Table5[[#This Row],[Marks]]-Table5[[#This Row],[minA]]</f>
        <v>7</v>
      </c>
      <c r="H7" s="94">
        <f>Table5[[#This Row],[maxA]]-Table5[[#This Row],[minA]]</f>
        <v>67</v>
      </c>
      <c r="I7" s="94">
        <f>Table5[[#This Row],[new_maxA]]-Table5[[#This Row],[new_minA]]</f>
        <v>1</v>
      </c>
      <c r="J7" s="54">
        <f>(Table5[[#This Row],[Marks]]-Table5[[#This Row],[minA]])/(Table5[[#This Row],[maxA]]-Table5[[#This Row],[minA]])*(Table5[[#This Row],[new_maxA]]-Table5[[#This Row],[new_minA]])+Table5[[#This Row],[new_minA]]</f>
        <v>1.1044776119402986</v>
      </c>
      <c r="L7" t="s">
        <v>250</v>
      </c>
    </row>
    <row r="8" spans="1:17">
      <c r="A8" s="94" t="s">
        <v>343</v>
      </c>
      <c r="B8">
        <v>12</v>
      </c>
      <c r="C8" s="94">
        <f>MIN(Table5[Marks])</f>
        <v>3</v>
      </c>
      <c r="D8" s="94">
        <f>MAX(Table5[Marks])</f>
        <v>70</v>
      </c>
      <c r="E8" s="44">
        <v>1</v>
      </c>
      <c r="F8" s="44">
        <v>2</v>
      </c>
      <c r="G8" s="94">
        <f>Table5[[#This Row],[Marks]]-Table5[[#This Row],[minA]]</f>
        <v>9</v>
      </c>
      <c r="H8" s="94">
        <f>Table5[[#This Row],[maxA]]-Table5[[#This Row],[minA]]</f>
        <v>67</v>
      </c>
      <c r="I8" s="94">
        <f>Table5[[#This Row],[new_maxA]]-Table5[[#This Row],[new_minA]]</f>
        <v>1</v>
      </c>
      <c r="J8" s="54">
        <f>(Table5[[#This Row],[Marks]]-Table5[[#This Row],[minA]])/(Table5[[#This Row],[maxA]]-Table5[[#This Row],[minA]])*(Table5[[#This Row],[new_maxA]]-Table5[[#This Row],[new_minA]])+Table5[[#This Row],[new_minA]]</f>
        <v>1.1343283582089552</v>
      </c>
      <c r="L8" s="110" t="s">
        <v>454</v>
      </c>
    </row>
    <row r="9" spans="1:17">
      <c r="A9" s="94" t="s">
        <v>344</v>
      </c>
      <c r="B9">
        <v>15</v>
      </c>
      <c r="C9" s="94">
        <f>MIN(Table5[Marks])</f>
        <v>3</v>
      </c>
      <c r="D9" s="94">
        <f>MAX(Table5[Marks])</f>
        <v>70</v>
      </c>
      <c r="E9" s="44">
        <v>1</v>
      </c>
      <c r="F9" s="44">
        <v>2</v>
      </c>
      <c r="G9" s="94">
        <f>Table5[[#This Row],[Marks]]-Table5[[#This Row],[minA]]</f>
        <v>12</v>
      </c>
      <c r="H9" s="94">
        <f>Table5[[#This Row],[maxA]]-Table5[[#This Row],[minA]]</f>
        <v>67</v>
      </c>
      <c r="I9" s="94">
        <f>Table5[[#This Row],[new_maxA]]-Table5[[#This Row],[new_minA]]</f>
        <v>1</v>
      </c>
      <c r="J9" s="108">
        <f>(Table5[[#This Row],[Marks]]-Table5[[#This Row],[minA]])/(Table5[[#This Row],[maxA]]-Table5[[#This Row],[minA]])*(Table5[[#This Row],[new_maxA]]-Table5[[#This Row],[new_minA]])+Table5[[#This Row],[new_minA]]</f>
        <v>1.1791044776119404</v>
      </c>
    </row>
    <row r="10" spans="1:17">
      <c r="A10" s="94" t="s">
        <v>345</v>
      </c>
      <c r="B10">
        <v>21</v>
      </c>
      <c r="C10" s="94">
        <f>MIN(Table5[Marks])</f>
        <v>3</v>
      </c>
      <c r="D10" s="94">
        <f>MAX(Table5[Marks])</f>
        <v>70</v>
      </c>
      <c r="E10" s="44">
        <v>1</v>
      </c>
      <c r="F10" s="44">
        <v>2</v>
      </c>
      <c r="G10" s="94">
        <f>Table5[[#This Row],[Marks]]-Table5[[#This Row],[minA]]</f>
        <v>18</v>
      </c>
      <c r="H10" s="94">
        <f>Table5[[#This Row],[maxA]]-Table5[[#This Row],[minA]]</f>
        <v>67</v>
      </c>
      <c r="I10" s="94">
        <f>Table5[[#This Row],[new_maxA]]-Table5[[#This Row],[new_minA]]</f>
        <v>1</v>
      </c>
      <c r="J10" s="54">
        <f>(Table5[[#This Row],[Marks]]-Table5[[#This Row],[minA]])/(Table5[[#This Row],[maxA]]-Table5[[#This Row],[minA]])*(Table5[[#This Row],[new_maxA]]-Table5[[#This Row],[new_minA]])+Table5[[#This Row],[new_minA]]</f>
        <v>1.2686567164179103</v>
      </c>
    </row>
    <row r="11" spans="1:17">
      <c r="A11" s="94" t="s">
        <v>346</v>
      </c>
      <c r="B11">
        <v>25</v>
      </c>
      <c r="C11" s="94">
        <f>MIN(Table5[Marks])</f>
        <v>3</v>
      </c>
      <c r="D11" s="94">
        <f>MAX(Table5[Marks])</f>
        <v>70</v>
      </c>
      <c r="E11" s="44">
        <v>1</v>
      </c>
      <c r="F11" s="44">
        <v>2</v>
      </c>
      <c r="G11" s="94">
        <f>Table5[[#This Row],[Marks]]-Table5[[#This Row],[minA]]</f>
        <v>22</v>
      </c>
      <c r="H11" s="94">
        <f>Table5[[#This Row],[maxA]]-Table5[[#This Row],[minA]]</f>
        <v>67</v>
      </c>
      <c r="I11" s="94">
        <f>Table5[[#This Row],[new_maxA]]-Table5[[#This Row],[new_minA]]</f>
        <v>1</v>
      </c>
      <c r="J11" s="54">
        <f>(Table5[[#This Row],[Marks]]-Table5[[#This Row],[minA]])/(Table5[[#This Row],[maxA]]-Table5[[#This Row],[minA]])*(Table5[[#This Row],[new_maxA]]-Table5[[#This Row],[new_minA]])+Table5[[#This Row],[new_minA]]</f>
        <v>1.3283582089552239</v>
      </c>
    </row>
    <row r="12" spans="1:17">
      <c r="A12" s="94" t="s">
        <v>347</v>
      </c>
      <c r="B12">
        <v>33</v>
      </c>
      <c r="C12" s="94">
        <f>MIN(Table5[Marks])</f>
        <v>3</v>
      </c>
      <c r="D12" s="94">
        <f>MAX(Table5[Marks])</f>
        <v>70</v>
      </c>
      <c r="E12" s="44">
        <v>1</v>
      </c>
      <c r="F12" s="44">
        <v>2</v>
      </c>
      <c r="G12" s="94">
        <f>Table5[[#This Row],[Marks]]-Table5[[#This Row],[minA]]</f>
        <v>30</v>
      </c>
      <c r="H12" s="94">
        <f>Table5[[#This Row],[maxA]]-Table5[[#This Row],[minA]]</f>
        <v>67</v>
      </c>
      <c r="I12" s="94">
        <f>Table5[[#This Row],[new_maxA]]-Table5[[#This Row],[new_minA]]</f>
        <v>1</v>
      </c>
      <c r="J12" s="54">
        <f>(Table5[[#This Row],[Marks]]-Table5[[#This Row],[minA]])/(Table5[[#This Row],[maxA]]-Table5[[#This Row],[minA]])*(Table5[[#This Row],[new_maxA]]-Table5[[#This Row],[new_minA]])+Table5[[#This Row],[new_minA]]</f>
        <v>1.4477611940298507</v>
      </c>
    </row>
    <row r="13" spans="1:17">
      <c r="A13" s="94" t="s">
        <v>513</v>
      </c>
      <c r="B13">
        <v>45</v>
      </c>
      <c r="C13" s="94">
        <f>MIN(Table5[Marks])</f>
        <v>3</v>
      </c>
      <c r="D13" s="94">
        <f>MAX(Table5[Marks])</f>
        <v>70</v>
      </c>
      <c r="E13" s="44">
        <v>1</v>
      </c>
      <c r="F13" s="44">
        <v>2</v>
      </c>
      <c r="G13" s="94">
        <f>Table5[[#This Row],[Marks]]-Table5[[#This Row],[minA]]</f>
        <v>42</v>
      </c>
      <c r="H13" s="94">
        <f>Table5[[#This Row],[maxA]]-Table5[[#This Row],[minA]]</f>
        <v>67</v>
      </c>
      <c r="I13" s="94">
        <f>Table5[[#This Row],[new_maxA]]-Table5[[#This Row],[new_minA]]</f>
        <v>1</v>
      </c>
      <c r="J13" s="47">
        <f>(Table5[[#This Row],[Marks]]-Table5[[#This Row],[minA]])/(Table5[[#This Row],[maxA]]-Table5[[#This Row],[minA]])*(Table5[[#This Row],[new_maxA]]-Table5[[#This Row],[new_minA]])+Table5[[#This Row],[new_minA]]</f>
        <v>1.6268656716417911</v>
      </c>
    </row>
    <row r="14" spans="1:17">
      <c r="A14" s="94" t="s">
        <v>514</v>
      </c>
      <c r="B14">
        <v>48</v>
      </c>
      <c r="C14" s="94">
        <f>MIN(Table5[Marks])</f>
        <v>3</v>
      </c>
      <c r="D14" s="94">
        <f>MAX(Table5[Marks])</f>
        <v>70</v>
      </c>
      <c r="E14" s="44">
        <v>1</v>
      </c>
      <c r="F14" s="44">
        <v>2</v>
      </c>
      <c r="G14" s="94">
        <f>Table5[[#This Row],[Marks]]-Table5[[#This Row],[minA]]</f>
        <v>45</v>
      </c>
      <c r="H14" s="94">
        <f>Table5[[#This Row],[maxA]]-Table5[[#This Row],[minA]]</f>
        <v>67</v>
      </c>
      <c r="I14" s="94">
        <f>Table5[[#This Row],[new_maxA]]-Table5[[#This Row],[new_minA]]</f>
        <v>1</v>
      </c>
      <c r="J14" s="47">
        <f>(Table5[[#This Row],[Marks]]-Table5[[#This Row],[minA]])/(Table5[[#This Row],[maxA]]-Table5[[#This Row],[minA]])*(Table5[[#This Row],[new_maxA]]-Table5[[#This Row],[new_minA]])+Table5[[#This Row],[new_minA]]</f>
        <v>1.6716417910447761</v>
      </c>
    </row>
    <row r="15" spans="1:17">
      <c r="A15" s="44" t="s">
        <v>512</v>
      </c>
      <c r="B15">
        <v>70</v>
      </c>
      <c r="C15" s="44">
        <f>MIN(Table5[Marks])</f>
        <v>3</v>
      </c>
      <c r="D15" s="44">
        <f>MAX(Table5[Marks])</f>
        <v>70</v>
      </c>
      <c r="E15" s="44">
        <v>1</v>
      </c>
      <c r="F15" s="44">
        <v>2</v>
      </c>
      <c r="G15" s="44">
        <f>Table5[[#This Row],[Marks]]-Table5[[#This Row],[minA]]</f>
        <v>67</v>
      </c>
      <c r="H15" s="44">
        <f>Table5[[#This Row],[maxA]]-Table5[[#This Row],[minA]]</f>
        <v>67</v>
      </c>
      <c r="I15" s="44">
        <f>Table5[[#This Row],[new_maxA]]-Table5[[#This Row],[new_minA]]</f>
        <v>1</v>
      </c>
      <c r="J15" s="47">
        <f>(Table5[[#This Row],[Marks]]-Table5[[#This Row],[minA]])/(Table5[[#This Row],[maxA]]-Table5[[#This Row],[minA]])*(Table5[[#This Row],[new_maxA]]-Table5[[#This Row],[new_minA]])+Table5[[#This Row],[new_minA]]</f>
        <v>2</v>
      </c>
    </row>
    <row r="17" spans="1:2" s="123" customFormat="1"/>
    <row r="19" spans="1:2">
      <c r="A19" t="s">
        <v>349</v>
      </c>
      <c r="B19">
        <f xml:space="preserve"> 20</f>
        <v>20</v>
      </c>
    </row>
    <row r="20" spans="1:2">
      <c r="A20" t="s">
        <v>350</v>
      </c>
      <c r="B20">
        <v>95</v>
      </c>
    </row>
    <row r="22" spans="1:2">
      <c r="A22" t="s">
        <v>351</v>
      </c>
      <c r="B22">
        <v>50</v>
      </c>
    </row>
    <row r="23" spans="1:2">
      <c r="A23" t="s">
        <v>352</v>
      </c>
      <c r="B23">
        <v>70</v>
      </c>
    </row>
    <row r="25" spans="1:2">
      <c r="A25" t="s">
        <v>356</v>
      </c>
      <c r="B25">
        <v>75</v>
      </c>
    </row>
    <row r="26" spans="1:2">
      <c r="A26" t="s">
        <v>355</v>
      </c>
      <c r="B26">
        <v>20</v>
      </c>
    </row>
  </sheetData>
  <mergeCells count="2">
    <mergeCell ref="A1:F1"/>
    <mergeCell ref="N1:Q1"/>
  </mergeCells>
  <phoneticPr fontId="9" type="noConversion"/>
  <hyperlinks>
    <hyperlink ref="L8" location="'ZScore v2'!A1" display="'ZScore v2'!A1"/>
  </hyperlinks>
  <pageMargins left="0.7" right="0.7" top="0.75" bottom="0.75" header="0.3" footer="0.3"/>
  <pageSetup orientation="portrait" horizontalDpi="4294967293" verticalDpi="0" r:id="rId1"/>
  <drawing r:id="rId2"/>
  <tableParts count="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G21"/>
  <sheetViews>
    <sheetView showGridLines="0" topLeftCell="F1" zoomScale="85" zoomScaleNormal="85" workbookViewId="0">
      <selection activeCell="F21" sqref="F21"/>
    </sheetView>
  </sheetViews>
  <sheetFormatPr defaultRowHeight="15"/>
  <cols>
    <col min="2" max="2" width="10.140625" bestFit="1" customWidth="1"/>
    <col min="3" max="3" width="12.85546875" bestFit="1" customWidth="1"/>
    <col min="4" max="4" width="12.42578125" bestFit="1" customWidth="1"/>
    <col min="5" max="5" width="13.5703125" bestFit="1" customWidth="1"/>
    <col min="6" max="6" width="25.28515625" customWidth="1"/>
  </cols>
  <sheetData>
    <row r="1" spans="1:7">
      <c r="A1" t="s">
        <v>71</v>
      </c>
      <c r="B1" t="s">
        <v>69</v>
      </c>
      <c r="C1" t="s">
        <v>68</v>
      </c>
      <c r="D1" t="s">
        <v>70</v>
      </c>
      <c r="E1" t="s">
        <v>72</v>
      </c>
      <c r="F1" t="s">
        <v>73</v>
      </c>
      <c r="G1" t="s">
        <v>74</v>
      </c>
    </row>
    <row r="2" spans="1:7">
      <c r="A2" s="18">
        <f>MIN(tblData[Batting])</f>
        <v>14</v>
      </c>
      <c r="B2" s="18">
        <f>QUARTILE(tblData[Batting],1)</f>
        <v>33</v>
      </c>
      <c r="C2" s="18">
        <f>MEDIAN(tblData[Batting])</f>
        <v>35</v>
      </c>
      <c r="D2" s="18">
        <f>QUARTILE(tblData[Batting],3)</f>
        <v>40.5</v>
      </c>
      <c r="E2" s="18">
        <f>MAX(tblData[Batting])</f>
        <v>99</v>
      </c>
      <c r="F2" s="18">
        <f>D2-B2</f>
        <v>7.5</v>
      </c>
      <c r="G2" s="18">
        <f>E2-A2</f>
        <v>85</v>
      </c>
    </row>
    <row r="6" spans="1:7">
      <c r="A6" t="s">
        <v>214</v>
      </c>
      <c r="B6" t="s">
        <v>215</v>
      </c>
      <c r="C6" t="s">
        <v>218</v>
      </c>
      <c r="D6" t="s">
        <v>219</v>
      </c>
      <c r="E6" t="s">
        <v>216</v>
      </c>
      <c r="F6" t="s">
        <v>217</v>
      </c>
    </row>
    <row r="7" spans="1:7">
      <c r="A7" s="34">
        <v>1</v>
      </c>
      <c r="B7" s="34">
        <v>14</v>
      </c>
      <c r="C7" s="18">
        <f>Table1551[Q1]-1.5*Table1551[IQR (Interquartile Range)]</f>
        <v>21.75</v>
      </c>
      <c r="D7" s="18">
        <f>Table1551[Q3]+1.5*Table1551[IQR (Interquartile Range)]</f>
        <v>51.75</v>
      </c>
      <c r="E7" s="18" t="b">
        <f>tblData[[#This Row],[Batting]]&lt;tblData[[#This Row],[Q1-1.5IQR)]]</f>
        <v>1</v>
      </c>
      <c r="F7" s="18" t="b">
        <f>tblData[[#This Row],[Batting]]&gt;tblData[[#This Row],[Q3+1.5IQR]]</f>
        <v>0</v>
      </c>
    </row>
    <row r="8" spans="1:7">
      <c r="A8" s="34">
        <f>A7+1</f>
        <v>2</v>
      </c>
      <c r="B8" s="34">
        <v>25</v>
      </c>
      <c r="C8" s="18">
        <f>Table1551[Q1]-1.5*Table1551[IQR (Interquartile Range)]</f>
        <v>21.75</v>
      </c>
      <c r="D8" s="18">
        <f>Table1551[Q3]+1.5*Table1551[IQR (Interquartile Range)]</f>
        <v>51.75</v>
      </c>
      <c r="E8" s="18" t="b">
        <f>tblData[[#This Row],[Batting]]&lt;tblData[[#This Row],[Q1-1.5IQR)]]</f>
        <v>0</v>
      </c>
      <c r="F8" s="18" t="b">
        <f>tblData[[#This Row],[Batting]]&gt;tblData[[#This Row],[Q3+1.5IQR]]</f>
        <v>0</v>
      </c>
    </row>
    <row r="9" spans="1:7">
      <c r="A9" s="34">
        <f t="shared" ref="A9:A21" si="0">A8+1</f>
        <v>3</v>
      </c>
      <c r="B9" s="34">
        <v>30</v>
      </c>
      <c r="C9" s="18">
        <f>Table1551[Q1]-1.5*Table1551[IQR (Interquartile Range)]</f>
        <v>21.75</v>
      </c>
      <c r="D9" s="18">
        <f>Table1551[Q3]+1.5*Table1551[IQR (Interquartile Range)]</f>
        <v>51.75</v>
      </c>
      <c r="E9" s="18" t="b">
        <f>tblData[[#This Row],[Batting]]&lt;tblData[[#This Row],[Q1-1.5IQR)]]</f>
        <v>0</v>
      </c>
      <c r="F9" s="18" t="b">
        <f>tblData[[#This Row],[Batting]]&gt;tblData[[#This Row],[Q3+1.5IQR]]</f>
        <v>0</v>
      </c>
    </row>
    <row r="10" spans="1:7">
      <c r="A10" s="34">
        <f t="shared" si="0"/>
        <v>4</v>
      </c>
      <c r="B10" s="34">
        <v>33</v>
      </c>
      <c r="C10" s="23">
        <f>Table1551[Q1]-1.5*Table1551[IQR (Interquartile Range)]</f>
        <v>21.75</v>
      </c>
      <c r="D10" s="23">
        <f>Table1551[Q3]+1.5*Table1551[IQR (Interquartile Range)]</f>
        <v>51.75</v>
      </c>
      <c r="E10" s="23" t="b">
        <f>tblData[[#This Row],[Batting]]&lt;tblData[[#This Row],[Q1-1.5IQR)]]</f>
        <v>0</v>
      </c>
      <c r="F10" s="23" t="b">
        <f>tblData[[#This Row],[Batting]]&gt;tblData[[#This Row],[Q3+1.5IQR]]</f>
        <v>0</v>
      </c>
    </row>
    <row r="11" spans="1:7">
      <c r="A11" s="34">
        <f t="shared" si="0"/>
        <v>5</v>
      </c>
      <c r="B11" s="34">
        <v>33</v>
      </c>
      <c r="C11" s="23">
        <f>Table1551[Q1]-1.5*Table1551[IQR (Interquartile Range)]</f>
        <v>21.75</v>
      </c>
      <c r="D11" s="23">
        <f>Table1551[Q3]+1.5*Table1551[IQR (Interquartile Range)]</f>
        <v>51.75</v>
      </c>
      <c r="E11" s="23" t="b">
        <f>tblData[[#This Row],[Batting]]&lt;tblData[[#This Row],[Q1-1.5IQR)]]</f>
        <v>0</v>
      </c>
      <c r="F11" s="23" t="b">
        <f>tblData[[#This Row],[Batting]]&gt;tblData[[#This Row],[Q3+1.5IQR]]</f>
        <v>0</v>
      </c>
    </row>
    <row r="12" spans="1:7">
      <c r="A12" s="34">
        <f t="shared" si="0"/>
        <v>6</v>
      </c>
      <c r="B12" s="34">
        <v>35</v>
      </c>
      <c r="C12" s="23">
        <f>Table1551[Q1]-1.5*Table1551[IQR (Interquartile Range)]</f>
        <v>21.75</v>
      </c>
      <c r="D12" s="23">
        <f>Table1551[Q3]+1.5*Table1551[IQR (Interquartile Range)]</f>
        <v>51.75</v>
      </c>
      <c r="E12" s="23" t="b">
        <f>tblData[[#This Row],[Batting]]&lt;tblData[[#This Row],[Q1-1.5IQR)]]</f>
        <v>0</v>
      </c>
      <c r="F12" s="23" t="b">
        <f>tblData[[#This Row],[Batting]]&gt;tblData[[#This Row],[Q3+1.5IQR]]</f>
        <v>0</v>
      </c>
    </row>
    <row r="13" spans="1:7">
      <c r="A13" s="34">
        <f t="shared" si="0"/>
        <v>7</v>
      </c>
      <c r="B13" s="34">
        <v>35</v>
      </c>
      <c r="C13" s="23">
        <f>Table1551[Q1]-1.5*Table1551[IQR (Interquartile Range)]</f>
        <v>21.75</v>
      </c>
      <c r="D13" s="23">
        <f>Table1551[Q3]+1.5*Table1551[IQR (Interquartile Range)]</f>
        <v>51.75</v>
      </c>
      <c r="E13" s="23" t="b">
        <f>tblData[[#This Row],[Batting]]&lt;tblData[[#This Row],[Q1-1.5IQR)]]</f>
        <v>0</v>
      </c>
      <c r="F13" s="23" t="b">
        <f>tblData[[#This Row],[Batting]]&gt;tblData[[#This Row],[Q3+1.5IQR]]</f>
        <v>0</v>
      </c>
    </row>
    <row r="14" spans="1:7">
      <c r="A14" s="34">
        <f t="shared" si="0"/>
        <v>8</v>
      </c>
      <c r="B14" s="34">
        <v>35</v>
      </c>
      <c r="C14" s="23">
        <f>Table1551[Q1]-1.5*Table1551[IQR (Interquartile Range)]</f>
        <v>21.75</v>
      </c>
      <c r="D14" s="23">
        <f>Table1551[Q3]+1.5*Table1551[IQR (Interquartile Range)]</f>
        <v>51.75</v>
      </c>
      <c r="E14" s="23" t="b">
        <f>tblData[[#This Row],[Batting]]&lt;tblData[[#This Row],[Q1-1.5IQR)]]</f>
        <v>0</v>
      </c>
      <c r="F14" s="23" t="b">
        <f>tblData[[#This Row],[Batting]]&gt;tblData[[#This Row],[Q3+1.5IQR]]</f>
        <v>0</v>
      </c>
    </row>
    <row r="15" spans="1:7">
      <c r="A15" s="34">
        <f t="shared" si="0"/>
        <v>9</v>
      </c>
      <c r="B15" s="34">
        <v>35</v>
      </c>
      <c r="C15" s="23">
        <f>Table1551[Q1]-1.5*Table1551[IQR (Interquartile Range)]</f>
        <v>21.75</v>
      </c>
      <c r="D15" s="23">
        <f>Table1551[Q3]+1.5*Table1551[IQR (Interquartile Range)]</f>
        <v>51.75</v>
      </c>
      <c r="E15" s="23" t="b">
        <f>tblData[[#This Row],[Batting]]&lt;tblData[[#This Row],[Q1-1.5IQR)]]</f>
        <v>0</v>
      </c>
      <c r="F15" s="23" t="b">
        <f>tblData[[#This Row],[Batting]]&gt;tblData[[#This Row],[Q3+1.5IQR]]</f>
        <v>0</v>
      </c>
    </row>
    <row r="16" spans="1:7">
      <c r="A16" s="34">
        <f t="shared" si="0"/>
        <v>10</v>
      </c>
      <c r="B16" s="34">
        <v>36</v>
      </c>
      <c r="C16" s="23">
        <f>Table1551[Q1]-1.5*Table1551[IQR (Interquartile Range)]</f>
        <v>21.75</v>
      </c>
      <c r="D16" s="23">
        <f>Table1551[Q3]+1.5*Table1551[IQR (Interquartile Range)]</f>
        <v>51.75</v>
      </c>
      <c r="E16" s="23" t="b">
        <f>tblData[[#This Row],[Batting]]&lt;tblData[[#This Row],[Q1-1.5IQR)]]</f>
        <v>0</v>
      </c>
      <c r="F16" s="23" t="b">
        <f>tblData[[#This Row],[Batting]]&gt;tblData[[#This Row],[Q3+1.5IQR]]</f>
        <v>0</v>
      </c>
    </row>
    <row r="17" spans="1:6">
      <c r="A17" s="34">
        <f t="shared" si="0"/>
        <v>11</v>
      </c>
      <c r="B17" s="34">
        <v>40</v>
      </c>
      <c r="C17" s="23">
        <f>Table1551[Q1]-1.5*Table1551[IQR (Interquartile Range)]</f>
        <v>21.75</v>
      </c>
      <c r="D17" s="23">
        <f>Table1551[Q3]+1.5*Table1551[IQR (Interquartile Range)]</f>
        <v>51.75</v>
      </c>
      <c r="E17" s="23" t="b">
        <f>tblData[[#This Row],[Batting]]&lt;tblData[[#This Row],[Q1-1.5IQR)]]</f>
        <v>0</v>
      </c>
      <c r="F17" s="23" t="b">
        <f>tblData[[#This Row],[Batting]]&gt;tblData[[#This Row],[Q3+1.5IQR]]</f>
        <v>0</v>
      </c>
    </row>
    <row r="18" spans="1:6">
      <c r="A18" s="34">
        <f t="shared" si="0"/>
        <v>12</v>
      </c>
      <c r="B18" s="34">
        <v>41</v>
      </c>
      <c r="C18" s="23">
        <f>Table1551[Q1]-1.5*Table1551[IQR (Interquartile Range)]</f>
        <v>21.75</v>
      </c>
      <c r="D18" s="23">
        <f>Table1551[Q3]+1.5*Table1551[IQR (Interquartile Range)]</f>
        <v>51.75</v>
      </c>
      <c r="E18" s="23" t="b">
        <f>tblData[[#This Row],[Batting]]&lt;tblData[[#This Row],[Q1-1.5IQR)]]</f>
        <v>0</v>
      </c>
      <c r="F18" s="23" t="b">
        <f>tblData[[#This Row],[Batting]]&gt;tblData[[#This Row],[Q3+1.5IQR]]</f>
        <v>0</v>
      </c>
    </row>
    <row r="19" spans="1:6">
      <c r="A19" s="34">
        <f t="shared" si="0"/>
        <v>13</v>
      </c>
      <c r="B19" s="34">
        <v>42</v>
      </c>
      <c r="C19" s="23">
        <f>Table1551[Q1]-1.5*Table1551[IQR (Interquartile Range)]</f>
        <v>21.75</v>
      </c>
      <c r="D19" s="23">
        <f>Table1551[Q3]+1.5*Table1551[IQR (Interquartile Range)]</f>
        <v>51.75</v>
      </c>
      <c r="E19" s="23" t="b">
        <f>tblData[[#This Row],[Batting]]&lt;tblData[[#This Row],[Q1-1.5IQR)]]</f>
        <v>0</v>
      </c>
      <c r="F19" s="23" t="b">
        <f>tblData[[#This Row],[Batting]]&gt;tblData[[#This Row],[Q3+1.5IQR]]</f>
        <v>0</v>
      </c>
    </row>
    <row r="20" spans="1:6">
      <c r="A20" s="34">
        <f t="shared" si="0"/>
        <v>14</v>
      </c>
      <c r="B20" s="34">
        <v>42</v>
      </c>
      <c r="C20" s="23">
        <f>Table1551[Q1]-1.5*Table1551[IQR (Interquartile Range)]</f>
        <v>21.75</v>
      </c>
      <c r="D20" s="23">
        <f>Table1551[Q3]+1.5*Table1551[IQR (Interquartile Range)]</f>
        <v>51.75</v>
      </c>
      <c r="E20" s="23" t="b">
        <f>tblData[[#This Row],[Batting]]&lt;tblData[[#This Row],[Q1-1.5IQR)]]</f>
        <v>0</v>
      </c>
      <c r="F20" s="23" t="b">
        <f>tblData[[#This Row],[Batting]]&gt;tblData[[#This Row],[Q3+1.5IQR]]</f>
        <v>0</v>
      </c>
    </row>
    <row r="21" spans="1:6">
      <c r="A21" s="34">
        <f t="shared" si="0"/>
        <v>15</v>
      </c>
      <c r="B21" s="34">
        <v>99</v>
      </c>
      <c r="C21" s="23">
        <f>Table1551[Q1]-1.5*Table1551[IQR (Interquartile Range)]</f>
        <v>21.75</v>
      </c>
      <c r="D21" s="23">
        <f>Table1551[Q3]+1.5*Table1551[IQR (Interquartile Range)]</f>
        <v>51.75</v>
      </c>
      <c r="E21" s="23" t="b">
        <f>tblData[[#This Row],[Batting]]&lt;tblData[[#This Row],[Q1-1.5IQR)]]</f>
        <v>0</v>
      </c>
      <c r="F21" s="23" t="b">
        <f>tblData[[#This Row],[Batting]]&gt;tblData[[#This Row],[Q3+1.5IQR]]</f>
        <v>1</v>
      </c>
    </row>
  </sheetData>
  <conditionalFormatting sqref="E7:F21">
    <cfRule type="cellIs" dxfId="238" priority="1" operator="equal">
      <formula>FALSE</formula>
    </cfRule>
    <cfRule type="cellIs" dxfId="237" priority="2" operator="equal">
      <formula>TRUE</formula>
    </cfRule>
  </conditionalFormatting>
  <pageMargins left="0.7" right="0.7" top="0.75" bottom="0.75" header="0.3" footer="0.3"/>
  <pageSetup orientation="portrait" horizontalDpi="4294967293" verticalDpi="0" r:id="rId1"/>
  <drawing r:id="rId2"/>
  <tableParts count="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
  <sheetViews>
    <sheetView workbookViewId="0"/>
  </sheetViews>
  <sheetFormatPr defaultRowHeight="15"/>
  <cols>
    <col min="1" max="1" width="10" customWidth="1"/>
    <col min="2" max="2" width="16" bestFit="1" customWidth="1"/>
    <col min="3" max="3" width="16.28515625" bestFit="1" customWidth="1"/>
    <col min="4" max="4" width="8.140625" bestFit="1" customWidth="1"/>
    <col min="5" max="5" width="11.28515625" bestFit="1" customWidth="1"/>
    <col min="9" max="9" width="16" bestFit="1" customWidth="1"/>
    <col min="10" max="10" width="16.28515625" bestFit="1" customWidth="1"/>
    <col min="11" max="11" width="4.140625" bestFit="1" customWidth="1"/>
    <col min="12" max="12" width="11.85546875" bestFit="1" customWidth="1"/>
    <col min="13" max="13" width="16.28515625" bestFit="1" customWidth="1"/>
    <col min="14" max="15" width="11.28515625" bestFit="1" customWidth="1"/>
    <col min="16" max="16" width="20.7109375" customWidth="1"/>
  </cols>
  <sheetData>
    <row r="1" spans="1:16">
      <c r="A1" t="s">
        <v>129</v>
      </c>
      <c r="B1" t="s">
        <v>142</v>
      </c>
      <c r="C1" t="s">
        <v>133</v>
      </c>
      <c r="D1" t="s">
        <v>136</v>
      </c>
      <c r="E1" t="s">
        <v>139</v>
      </c>
      <c r="F1" t="s">
        <v>144</v>
      </c>
      <c r="G1" t="s">
        <v>145</v>
      </c>
      <c r="L1" t="s">
        <v>146</v>
      </c>
      <c r="M1" t="s">
        <v>147</v>
      </c>
      <c r="N1" t="s">
        <v>148</v>
      </c>
      <c r="O1" t="s">
        <v>149</v>
      </c>
      <c r="P1" t="s">
        <v>150</v>
      </c>
    </row>
    <row r="2" spans="1:16">
      <c r="A2" s="25">
        <v>1</v>
      </c>
      <c r="B2" s="25" t="s">
        <v>130</v>
      </c>
      <c r="C2" s="25" t="s">
        <v>134</v>
      </c>
      <c r="D2" s="25" t="s">
        <v>137</v>
      </c>
      <c r="E2" s="25" t="s">
        <v>140</v>
      </c>
      <c r="F2" s="25">
        <f>IF(Table23[[#This Row],[Play]]="No",1,0)</f>
        <v>1</v>
      </c>
      <c r="G2" s="25">
        <f>ABS(Table23[[#This Row],[Play Yes]]-1)</f>
        <v>0</v>
      </c>
      <c r="L2">
        <v>1</v>
      </c>
      <c r="M2" t="s">
        <v>141</v>
      </c>
      <c r="N2" t="s">
        <v>151</v>
      </c>
      <c r="O2" t="s">
        <v>154</v>
      </c>
      <c r="P2" t="s">
        <v>140</v>
      </c>
    </row>
    <row r="3" spans="1:16">
      <c r="A3" s="25">
        <f>A2+1</f>
        <v>2</v>
      </c>
      <c r="B3" s="25" t="s">
        <v>130</v>
      </c>
      <c r="C3" s="25" t="s">
        <v>134</v>
      </c>
      <c r="D3" s="25" t="s">
        <v>138</v>
      </c>
      <c r="E3" s="25" t="s">
        <v>140</v>
      </c>
      <c r="F3" s="25">
        <f>IF(Table23[[#This Row],[Play]]="No",1,0)</f>
        <v>1</v>
      </c>
      <c r="G3" s="25">
        <f>ABS(Table23[[#This Row],[Play Yes]]-1)</f>
        <v>0</v>
      </c>
      <c r="L3">
        <f t="shared" ref="L3:L11" si="0">L2+1</f>
        <v>2</v>
      </c>
      <c r="M3" t="s">
        <v>140</v>
      </c>
      <c r="N3" t="s">
        <v>152</v>
      </c>
      <c r="O3" t="s">
        <v>155</v>
      </c>
      <c r="P3" t="s">
        <v>140</v>
      </c>
    </row>
    <row r="4" spans="1:16">
      <c r="A4" s="24">
        <f t="shared" ref="A4:A15" si="1">A3+1</f>
        <v>3</v>
      </c>
      <c r="B4" s="24" t="s">
        <v>131</v>
      </c>
      <c r="C4" s="24" t="s">
        <v>134</v>
      </c>
      <c r="D4" s="24" t="s">
        <v>137</v>
      </c>
      <c r="E4" s="24" t="s">
        <v>141</v>
      </c>
      <c r="F4" s="24">
        <f>IF(Table23[[#This Row],[Play]]="No",1,0)</f>
        <v>0</v>
      </c>
      <c r="G4" s="24">
        <f>ABS(Table23[[#This Row],[Play Yes]]-1)</f>
        <v>1</v>
      </c>
      <c r="L4">
        <f t="shared" si="0"/>
        <v>3</v>
      </c>
      <c r="M4" t="s">
        <v>140</v>
      </c>
      <c r="N4" t="s">
        <v>151</v>
      </c>
      <c r="O4" t="s">
        <v>156</v>
      </c>
      <c r="P4" t="s">
        <v>140</v>
      </c>
    </row>
    <row r="5" spans="1:16">
      <c r="A5" s="24">
        <f t="shared" si="1"/>
        <v>4</v>
      </c>
      <c r="B5" s="24" t="s">
        <v>132</v>
      </c>
      <c r="C5" s="24" t="s">
        <v>134</v>
      </c>
      <c r="D5" s="24" t="s">
        <v>137</v>
      </c>
      <c r="E5" s="24" t="s">
        <v>141</v>
      </c>
      <c r="F5" s="24">
        <f>IF(Table23[[#This Row],[Play]]="No",1,0)</f>
        <v>0</v>
      </c>
      <c r="G5" s="24">
        <f>ABS(Table23[[#This Row],[Play Yes]]-1)</f>
        <v>1</v>
      </c>
      <c r="L5">
        <f t="shared" si="0"/>
        <v>4</v>
      </c>
      <c r="M5" t="s">
        <v>141</v>
      </c>
      <c r="N5" t="s">
        <v>152</v>
      </c>
      <c r="O5" t="s">
        <v>157</v>
      </c>
      <c r="P5" t="s">
        <v>140</v>
      </c>
    </row>
    <row r="6" spans="1:16">
      <c r="A6" s="24">
        <f t="shared" si="1"/>
        <v>5</v>
      </c>
      <c r="B6" s="24" t="s">
        <v>132</v>
      </c>
      <c r="C6" s="24" t="s">
        <v>135</v>
      </c>
      <c r="D6" s="24" t="s">
        <v>137</v>
      </c>
      <c r="E6" s="24" t="s">
        <v>141</v>
      </c>
      <c r="F6" s="24">
        <f>IF(Table23[[#This Row],[Play]]="No",1,0)</f>
        <v>0</v>
      </c>
      <c r="G6" s="24">
        <f>ABS(Table23[[#This Row],[Play Yes]]-1)</f>
        <v>1</v>
      </c>
      <c r="L6">
        <f t="shared" si="0"/>
        <v>5</v>
      </c>
      <c r="M6" t="s">
        <v>140</v>
      </c>
      <c r="N6" t="s">
        <v>153</v>
      </c>
      <c r="O6" t="s">
        <v>158</v>
      </c>
      <c r="P6" t="s">
        <v>141</v>
      </c>
    </row>
    <row r="7" spans="1:16">
      <c r="A7" s="25">
        <f t="shared" si="1"/>
        <v>6</v>
      </c>
      <c r="B7" s="25" t="s">
        <v>132</v>
      </c>
      <c r="C7" s="25" t="s">
        <v>135</v>
      </c>
      <c r="D7" s="25" t="s">
        <v>138</v>
      </c>
      <c r="E7" s="25" t="s">
        <v>140</v>
      </c>
      <c r="F7" s="25">
        <f>IF(Table23[[#This Row],[Play]]="No",1,0)</f>
        <v>1</v>
      </c>
      <c r="G7" s="25">
        <f>ABS(Table23[[#This Row],[Play Yes]]-1)</f>
        <v>0</v>
      </c>
      <c r="L7">
        <f t="shared" si="0"/>
        <v>6</v>
      </c>
      <c r="M7" t="s">
        <v>140</v>
      </c>
      <c r="N7" t="s">
        <v>152</v>
      </c>
      <c r="O7" t="s">
        <v>159</v>
      </c>
      <c r="P7" t="s">
        <v>140</v>
      </c>
    </row>
    <row r="8" spans="1:16">
      <c r="A8" s="24">
        <f t="shared" si="1"/>
        <v>7</v>
      </c>
      <c r="B8" s="24" t="s">
        <v>131</v>
      </c>
      <c r="C8" s="24" t="s">
        <v>135</v>
      </c>
      <c r="D8" s="24" t="s">
        <v>138</v>
      </c>
      <c r="E8" s="24" t="s">
        <v>141</v>
      </c>
      <c r="F8" s="24">
        <f>IF(Table23[[#This Row],[Play]]="No",1,0)</f>
        <v>0</v>
      </c>
      <c r="G8" s="24">
        <f>ABS(Table23[[#This Row],[Play Yes]]-1)</f>
        <v>1</v>
      </c>
      <c r="L8">
        <f t="shared" si="0"/>
        <v>7</v>
      </c>
      <c r="M8" t="s">
        <v>141</v>
      </c>
      <c r="N8" t="s">
        <v>153</v>
      </c>
      <c r="O8" t="s">
        <v>160</v>
      </c>
      <c r="P8" t="s">
        <v>140</v>
      </c>
    </row>
    <row r="9" spans="1:16">
      <c r="A9" s="25">
        <f t="shared" si="1"/>
        <v>8</v>
      </c>
      <c r="B9" s="25" t="s">
        <v>130</v>
      </c>
      <c r="C9" s="25" t="s">
        <v>134</v>
      </c>
      <c r="D9" s="25" t="s">
        <v>137</v>
      </c>
      <c r="E9" s="25" t="s">
        <v>140</v>
      </c>
      <c r="F9" s="25">
        <f>IF(Table23[[#This Row],[Play]]="No",1,0)</f>
        <v>1</v>
      </c>
      <c r="G9" s="25">
        <f>ABS(Table23[[#This Row],[Play Yes]]-1)</f>
        <v>0</v>
      </c>
      <c r="L9">
        <f t="shared" si="0"/>
        <v>8</v>
      </c>
      <c r="M9" t="s">
        <v>140</v>
      </c>
      <c r="N9" t="s">
        <v>151</v>
      </c>
      <c r="O9" t="s">
        <v>161</v>
      </c>
      <c r="P9" t="s">
        <v>141</v>
      </c>
    </row>
    <row r="10" spans="1:16">
      <c r="A10" s="24">
        <f t="shared" si="1"/>
        <v>9</v>
      </c>
      <c r="B10" s="24" t="s">
        <v>130</v>
      </c>
      <c r="C10" s="24" t="s">
        <v>135</v>
      </c>
      <c r="D10" s="24" t="s">
        <v>137</v>
      </c>
      <c r="E10" s="24" t="s">
        <v>141</v>
      </c>
      <c r="F10" s="24">
        <f>IF(Table23[[#This Row],[Play]]="No",1,0)</f>
        <v>0</v>
      </c>
      <c r="G10" s="24">
        <f>ABS(Table23[[#This Row],[Play Yes]]-1)</f>
        <v>1</v>
      </c>
      <c r="L10">
        <f t="shared" si="0"/>
        <v>9</v>
      </c>
      <c r="M10" t="s">
        <v>140</v>
      </c>
      <c r="N10" t="s">
        <v>152</v>
      </c>
      <c r="O10" t="s">
        <v>162</v>
      </c>
      <c r="P10" t="s">
        <v>140</v>
      </c>
    </row>
    <row r="11" spans="1:16">
      <c r="A11" s="24">
        <f t="shared" si="1"/>
        <v>10</v>
      </c>
      <c r="B11" s="24" t="s">
        <v>132</v>
      </c>
      <c r="C11" s="24" t="s">
        <v>135</v>
      </c>
      <c r="D11" s="24" t="s">
        <v>137</v>
      </c>
      <c r="E11" s="24" t="s">
        <v>141</v>
      </c>
      <c r="F11" s="24">
        <f>IF(Table23[[#This Row],[Play]]="No",1,0)</f>
        <v>0</v>
      </c>
      <c r="G11" s="24">
        <f>ABS(Table23[[#This Row],[Play Yes]]-1)</f>
        <v>1</v>
      </c>
      <c r="L11">
        <f t="shared" si="0"/>
        <v>10</v>
      </c>
      <c r="M11" t="s">
        <v>140</v>
      </c>
      <c r="N11" t="s">
        <v>151</v>
      </c>
      <c r="O11" t="s">
        <v>163</v>
      </c>
      <c r="P11" t="s">
        <v>141</v>
      </c>
    </row>
    <row r="12" spans="1:16">
      <c r="A12" s="24">
        <f t="shared" si="1"/>
        <v>11</v>
      </c>
      <c r="B12" s="24" t="s">
        <v>130</v>
      </c>
      <c r="C12" s="24" t="s">
        <v>135</v>
      </c>
      <c r="D12" s="24" t="s">
        <v>138</v>
      </c>
      <c r="E12" s="24" t="s">
        <v>141</v>
      </c>
      <c r="F12" s="24">
        <f>IF(Table23[[#This Row],[Play]]="No",1,0)</f>
        <v>0</v>
      </c>
      <c r="G12" s="24">
        <f>ABS(Table23[[#This Row],[Play Yes]]-1)</f>
        <v>1</v>
      </c>
    </row>
    <row r="13" spans="1:16">
      <c r="A13" s="24">
        <f t="shared" si="1"/>
        <v>12</v>
      </c>
      <c r="B13" s="24" t="s">
        <v>131</v>
      </c>
      <c r="C13" s="24" t="s">
        <v>134</v>
      </c>
      <c r="D13" s="24" t="s">
        <v>138</v>
      </c>
      <c r="E13" s="24" t="s">
        <v>141</v>
      </c>
      <c r="F13" s="24">
        <f>IF(Table23[[#This Row],[Play]]="No",1,0)</f>
        <v>0</v>
      </c>
      <c r="G13" s="24">
        <f>ABS(Table23[[#This Row],[Play Yes]]-1)</f>
        <v>1</v>
      </c>
    </row>
    <row r="14" spans="1:16">
      <c r="A14" s="24">
        <f t="shared" si="1"/>
        <v>13</v>
      </c>
      <c r="B14" s="24" t="s">
        <v>131</v>
      </c>
      <c r="C14" s="24" t="s">
        <v>135</v>
      </c>
      <c r="D14" s="24" t="s">
        <v>137</v>
      </c>
      <c r="E14" s="24" t="s">
        <v>141</v>
      </c>
      <c r="F14" s="24">
        <f>IF(Table23[[#This Row],[Play]]="No",1,0)</f>
        <v>0</v>
      </c>
      <c r="G14" s="24">
        <f>ABS(Table23[[#This Row],[Play Yes]]-1)</f>
        <v>1</v>
      </c>
    </row>
    <row r="15" spans="1:16">
      <c r="A15" s="25">
        <f t="shared" si="1"/>
        <v>14</v>
      </c>
      <c r="B15" s="25" t="s">
        <v>132</v>
      </c>
      <c r="C15" s="25" t="s">
        <v>134</v>
      </c>
      <c r="D15" s="25" t="s">
        <v>138</v>
      </c>
      <c r="E15" s="25" t="s">
        <v>140</v>
      </c>
      <c r="F15" s="25">
        <f>IF(Table23[[#This Row],[Play]]="No",1,0)</f>
        <v>1</v>
      </c>
      <c r="G15" s="25">
        <f>ABS(Table23[[#This Row],[Play Yes]]-1)</f>
        <v>0</v>
      </c>
    </row>
    <row r="18" spans="2:14">
      <c r="M18" s="17" t="s">
        <v>118</v>
      </c>
    </row>
    <row r="19" spans="2:14">
      <c r="M19" t="s">
        <v>140</v>
      </c>
      <c r="N19" t="s">
        <v>108</v>
      </c>
    </row>
    <row r="20" spans="2:14">
      <c r="L20" t="s">
        <v>164</v>
      </c>
      <c r="M20" s="16">
        <v>1</v>
      </c>
      <c r="N20" s="16">
        <v>1</v>
      </c>
    </row>
    <row r="23" spans="2:14">
      <c r="C23" s="17" t="s">
        <v>118</v>
      </c>
    </row>
    <row r="24" spans="2:14">
      <c r="C24" t="s">
        <v>141</v>
      </c>
      <c r="D24" t="s">
        <v>140</v>
      </c>
      <c r="E24" t="s">
        <v>108</v>
      </c>
    </row>
    <row r="25" spans="2:14">
      <c r="B25" t="s">
        <v>143</v>
      </c>
      <c r="C25" s="16">
        <v>2</v>
      </c>
      <c r="D25" s="16">
        <v>3</v>
      </c>
      <c r="E25" s="16">
        <v>5</v>
      </c>
    </row>
  </sheetData>
  <pageMargins left="0.7" right="0.7" top="0.75" bottom="0.75" header="0.3" footer="0.3"/>
  <pageSetup orientation="portrait" horizontalDpi="4294967293" verticalDpi="0" r:id="rId3"/>
  <drawing r:id="rId4"/>
  <tableParts count="2">
    <tablePart r:id="rId5"/>
    <tablePart r:id="rId6"/>
  </tableParts>
  <extLst>
    <ext xmlns:x14="http://schemas.microsoft.com/office/spreadsheetml/2009/9/main" uri="{A8765BA9-456A-4dab-B4F3-ACF838C121DE}">
      <x14:slicerList>
        <x14:slicer r:id="rId7"/>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7"/>
  <sheetViews>
    <sheetView workbookViewId="0"/>
  </sheetViews>
  <sheetFormatPr defaultRowHeight="15"/>
  <cols>
    <col min="1" max="1" width="9.42578125" bestFit="1" customWidth="1"/>
    <col min="2" max="2" width="2" bestFit="1" customWidth="1"/>
    <col min="3" max="3" width="12" bestFit="1" customWidth="1"/>
    <col min="4" max="4" width="16.28515625" bestFit="1" customWidth="1"/>
    <col min="5" max="5" width="18.140625" bestFit="1" customWidth="1"/>
    <col min="6" max="6" width="19.85546875" bestFit="1" customWidth="1"/>
    <col min="13" max="13" width="4.42578125" bestFit="1" customWidth="1"/>
    <col min="15" max="15" width="12.7109375" bestFit="1" customWidth="1"/>
    <col min="16" max="16" width="16.7109375" bestFit="1" customWidth="1"/>
    <col min="17" max="17" width="10.140625" customWidth="1"/>
    <col min="18" max="19" width="3" bestFit="1" customWidth="1"/>
    <col min="20" max="20" width="6" bestFit="1" customWidth="1"/>
    <col min="21" max="21" width="2.7109375" bestFit="1" customWidth="1"/>
    <col min="22" max="22" width="3" bestFit="1" customWidth="1"/>
    <col min="23" max="23" width="2.7109375" bestFit="1" customWidth="1"/>
    <col min="24" max="25" width="3" bestFit="1" customWidth="1"/>
    <col min="26" max="26" width="6" bestFit="1" customWidth="1"/>
    <col min="27" max="27" width="2.7109375" bestFit="1" customWidth="1"/>
    <col min="28" max="28" width="3" bestFit="1" customWidth="1"/>
    <col min="29" max="29" width="2.7109375" bestFit="1" customWidth="1"/>
  </cols>
  <sheetData>
    <row r="1" spans="1:17">
      <c r="A1" t="s">
        <v>176</v>
      </c>
      <c r="B1" t="s">
        <v>177</v>
      </c>
      <c r="C1" t="s">
        <v>178</v>
      </c>
      <c r="D1" t="s">
        <v>179</v>
      </c>
      <c r="E1" t="s">
        <v>180</v>
      </c>
      <c r="F1" t="s">
        <v>181</v>
      </c>
      <c r="G1" t="s">
        <v>199</v>
      </c>
      <c r="H1" t="s">
        <v>200</v>
      </c>
    </row>
    <row r="2" spans="1:17">
      <c r="A2">
        <v>1</v>
      </c>
      <c r="B2" t="s">
        <v>182</v>
      </c>
      <c r="C2" t="s">
        <v>185</v>
      </c>
      <c r="D2" t="s">
        <v>188</v>
      </c>
      <c r="E2" t="s">
        <v>190</v>
      </c>
      <c r="F2" t="s">
        <v>188</v>
      </c>
      <c r="G2">
        <f>IF(Table32[[#This Row],[buys computer]]="yes",1,0)</f>
        <v>0</v>
      </c>
      <c r="H2">
        <f>ABS(1-Table32[[#This Row],[Positive]])</f>
        <v>1</v>
      </c>
    </row>
    <row r="3" spans="1:17">
      <c r="A3">
        <f t="shared" ref="A3:A15" si="0">A2+1</f>
        <v>2</v>
      </c>
      <c r="B3" t="s">
        <v>182</v>
      </c>
      <c r="C3" t="s">
        <v>185</v>
      </c>
      <c r="D3" t="s">
        <v>188</v>
      </c>
      <c r="E3" t="s">
        <v>191</v>
      </c>
      <c r="F3" t="s">
        <v>188</v>
      </c>
      <c r="G3">
        <f>IF(Table32[[#This Row],[buys computer]]="yes",1,0)</f>
        <v>0</v>
      </c>
      <c r="H3">
        <f>ABS(1-Table32[[#This Row],[Positive]])</f>
        <v>1</v>
      </c>
    </row>
    <row r="4" spans="1:17">
      <c r="A4">
        <f t="shared" si="0"/>
        <v>3</v>
      </c>
      <c r="B4" t="s">
        <v>183</v>
      </c>
      <c r="C4" t="s">
        <v>185</v>
      </c>
      <c r="D4" t="s">
        <v>188</v>
      </c>
      <c r="E4" t="s">
        <v>190</v>
      </c>
      <c r="F4" t="s">
        <v>189</v>
      </c>
      <c r="G4">
        <f>IF(Table32[[#This Row],[buys computer]]="yes",1,0)</f>
        <v>1</v>
      </c>
      <c r="H4">
        <f>ABS(1-Table32[[#This Row],[Positive]])</f>
        <v>0</v>
      </c>
    </row>
    <row r="5" spans="1:17">
      <c r="A5">
        <f t="shared" si="0"/>
        <v>4</v>
      </c>
      <c r="B5" t="s">
        <v>184</v>
      </c>
      <c r="C5" t="s">
        <v>186</v>
      </c>
      <c r="D5" t="s">
        <v>188</v>
      </c>
      <c r="E5" t="s">
        <v>190</v>
      </c>
      <c r="F5" t="s">
        <v>189</v>
      </c>
      <c r="G5">
        <f>IF(Table32[[#This Row],[buys computer]]="yes",1,0)</f>
        <v>1</v>
      </c>
      <c r="H5">
        <f>ABS(1-Table32[[#This Row],[Positive]])</f>
        <v>0</v>
      </c>
    </row>
    <row r="6" spans="1:17">
      <c r="A6">
        <f t="shared" si="0"/>
        <v>5</v>
      </c>
      <c r="B6" t="s">
        <v>184</v>
      </c>
      <c r="C6" t="s">
        <v>187</v>
      </c>
      <c r="D6" t="s">
        <v>189</v>
      </c>
      <c r="E6" t="s">
        <v>190</v>
      </c>
      <c r="F6" t="s">
        <v>189</v>
      </c>
      <c r="G6">
        <f>IF(Table32[[#This Row],[buys computer]]="yes",1,0)</f>
        <v>1</v>
      </c>
      <c r="H6">
        <f>ABS(1-Table32[[#This Row],[Positive]])</f>
        <v>0</v>
      </c>
    </row>
    <row r="7" spans="1:17">
      <c r="A7">
        <f t="shared" si="0"/>
        <v>6</v>
      </c>
      <c r="B7" t="s">
        <v>184</v>
      </c>
      <c r="C7" t="s">
        <v>187</v>
      </c>
      <c r="D7" t="s">
        <v>189</v>
      </c>
      <c r="E7" t="s">
        <v>191</v>
      </c>
      <c r="F7" t="s">
        <v>188</v>
      </c>
      <c r="G7">
        <f>IF(Table32[[#This Row],[buys computer]]="yes",1,0)</f>
        <v>0</v>
      </c>
      <c r="H7">
        <f>ABS(1-Table32[[#This Row],[Positive]])</f>
        <v>1</v>
      </c>
    </row>
    <row r="8" spans="1:17">
      <c r="A8">
        <f t="shared" si="0"/>
        <v>7</v>
      </c>
      <c r="B8" t="s">
        <v>183</v>
      </c>
      <c r="C8" t="s">
        <v>187</v>
      </c>
      <c r="D8" t="s">
        <v>189</v>
      </c>
      <c r="E8" t="s">
        <v>191</v>
      </c>
      <c r="F8" t="s">
        <v>189</v>
      </c>
      <c r="G8">
        <f>IF(Table32[[#This Row],[buys computer]]="yes",1,0)</f>
        <v>1</v>
      </c>
      <c r="H8">
        <f>ABS(1-Table32[[#This Row],[Positive]])</f>
        <v>0</v>
      </c>
    </row>
    <row r="9" spans="1:17">
      <c r="A9">
        <f t="shared" si="0"/>
        <v>8</v>
      </c>
      <c r="B9" t="s">
        <v>182</v>
      </c>
      <c r="C9" t="s">
        <v>186</v>
      </c>
      <c r="D9" t="s">
        <v>188</v>
      </c>
      <c r="E9" t="s">
        <v>190</v>
      </c>
      <c r="F9" t="s">
        <v>188</v>
      </c>
      <c r="G9">
        <f>IF(Table32[[#This Row],[buys computer]]="yes",1,0)</f>
        <v>0</v>
      </c>
      <c r="H9">
        <f>ABS(1-Table32[[#This Row],[Positive]])</f>
        <v>1</v>
      </c>
    </row>
    <row r="10" spans="1:17">
      <c r="A10">
        <f t="shared" si="0"/>
        <v>9</v>
      </c>
      <c r="B10" t="s">
        <v>182</v>
      </c>
      <c r="C10" t="s">
        <v>187</v>
      </c>
      <c r="D10" t="s">
        <v>189</v>
      </c>
      <c r="E10" t="s">
        <v>190</v>
      </c>
      <c r="F10" t="s">
        <v>189</v>
      </c>
      <c r="G10">
        <f>IF(Table32[[#This Row],[buys computer]]="yes",1,0)</f>
        <v>1</v>
      </c>
      <c r="H10">
        <f>ABS(1-Table32[[#This Row],[Positive]])</f>
        <v>0</v>
      </c>
    </row>
    <row r="11" spans="1:17">
      <c r="A11">
        <f t="shared" si="0"/>
        <v>10</v>
      </c>
      <c r="B11" t="s">
        <v>184</v>
      </c>
      <c r="C11" t="s">
        <v>186</v>
      </c>
      <c r="D11" t="s">
        <v>189</v>
      </c>
      <c r="E11" t="s">
        <v>190</v>
      </c>
      <c r="F11" t="s">
        <v>189</v>
      </c>
      <c r="G11">
        <f>IF(Table32[[#This Row],[buys computer]]="yes",1,0)</f>
        <v>1</v>
      </c>
      <c r="H11">
        <f>ABS(1-Table32[[#This Row],[Positive]])</f>
        <v>0</v>
      </c>
    </row>
    <row r="12" spans="1:17">
      <c r="A12">
        <f t="shared" si="0"/>
        <v>11</v>
      </c>
      <c r="B12" t="s">
        <v>182</v>
      </c>
      <c r="C12" t="s">
        <v>186</v>
      </c>
      <c r="D12" t="s">
        <v>189</v>
      </c>
      <c r="E12" t="s">
        <v>191</v>
      </c>
      <c r="F12" t="s">
        <v>189</v>
      </c>
      <c r="G12">
        <f>IF(Table32[[#This Row],[buys computer]]="yes",1,0)</f>
        <v>1</v>
      </c>
      <c r="H12">
        <f>ABS(1-Table32[[#This Row],[Positive]])</f>
        <v>0</v>
      </c>
      <c r="N12" t="str">
        <f>TEXT(N15,"00.000")</f>
        <v>00.643</v>
      </c>
    </row>
    <row r="13" spans="1:17">
      <c r="A13">
        <f t="shared" si="0"/>
        <v>12</v>
      </c>
      <c r="B13" t="s">
        <v>183</v>
      </c>
      <c r="C13" t="s">
        <v>186</v>
      </c>
      <c r="D13" t="s">
        <v>188</v>
      </c>
      <c r="E13" t="s">
        <v>191</v>
      </c>
      <c r="F13" t="s">
        <v>189</v>
      </c>
      <c r="G13">
        <f>IF(Table32[[#This Row],[buys computer]]="yes",1,0)</f>
        <v>1</v>
      </c>
      <c r="H13">
        <f>ABS(1-Table32[[#This Row],[Positive]])</f>
        <v>0</v>
      </c>
    </row>
    <row r="14" spans="1:17">
      <c r="A14">
        <f t="shared" si="0"/>
        <v>13</v>
      </c>
      <c r="B14" t="s">
        <v>183</v>
      </c>
      <c r="C14" t="s">
        <v>185</v>
      </c>
      <c r="D14" t="s">
        <v>189</v>
      </c>
      <c r="E14" t="s">
        <v>190</v>
      </c>
      <c r="F14" t="s">
        <v>189</v>
      </c>
      <c r="G14">
        <f>IF(Table32[[#This Row],[buys computer]]="yes",1,0)</f>
        <v>1</v>
      </c>
      <c r="H14">
        <f>ABS(1-Table32[[#This Row],[Positive]])</f>
        <v>0</v>
      </c>
      <c r="J14" t="s">
        <v>192</v>
      </c>
      <c r="K14" t="s">
        <v>169</v>
      </c>
      <c r="L14" t="s">
        <v>167</v>
      </c>
      <c r="M14" t="s">
        <v>168</v>
      </c>
      <c r="N14" t="s">
        <v>165</v>
      </c>
      <c r="O14" t="s">
        <v>166</v>
      </c>
      <c r="P14" t="s">
        <v>170</v>
      </c>
      <c r="Q14" t="s">
        <v>173</v>
      </c>
    </row>
    <row r="15" spans="1:17">
      <c r="A15">
        <f t="shared" si="0"/>
        <v>14</v>
      </c>
      <c r="B15" t="s">
        <v>184</v>
      </c>
      <c r="C15" t="s">
        <v>186</v>
      </c>
      <c r="D15" t="s">
        <v>188</v>
      </c>
      <c r="E15" t="s">
        <v>191</v>
      </c>
      <c r="F15" t="s">
        <v>188</v>
      </c>
      <c r="G15">
        <f>IF(Table32[[#This Row],[buys computer]]="yes",1,0)</f>
        <v>0</v>
      </c>
      <c r="H15">
        <f>ABS(1-Table32[[#This Row],[Positive]])</f>
        <v>1</v>
      </c>
      <c r="J15" s="23" t="str">
        <f>A23</f>
        <v xml:space="preserve">Positive </v>
      </c>
      <c r="K15" s="26">
        <f>B23</f>
        <v>9</v>
      </c>
      <c r="L15" s="18">
        <v>0</v>
      </c>
      <c r="M15" s="18" t="str">
        <f>"p"&amp;Table2534[[#This Row],[ID]]</f>
        <v>p0</v>
      </c>
      <c r="N15" s="18">
        <f>IFERROR(Table2534[[#This Row],[Ci]]/SUM(Table2534[Ci]),0)</f>
        <v>0.6428571428571429</v>
      </c>
      <c r="O15" s="18">
        <f>IFERROR(LOG(Table2534[[#This Row],[Ci]]/SUM(Table2534[Ci]),2),0)</f>
        <v>-0.63742992061529169</v>
      </c>
      <c r="P15" s="23">
        <f>Table2534[[#This Row],[p(i|t)]]*Table2534[[#This Row],[log2 p(i|t)]]</f>
        <v>-0.40977637753840185</v>
      </c>
      <c r="Q15" s="23">
        <f>Table2534[[#This Row],[p(i|t)]]^2</f>
        <v>0.41326530612244905</v>
      </c>
    </row>
    <row r="16" spans="1:17">
      <c r="J16" s="23" t="str">
        <f>A24</f>
        <v xml:space="preserve">Negative </v>
      </c>
      <c r="K16" s="26">
        <f>B24</f>
        <v>5</v>
      </c>
      <c r="L16" s="18">
        <f>L15+1</f>
        <v>1</v>
      </c>
      <c r="M16" s="18" t="str">
        <f>"p"&amp;Table2534[[#This Row],[ID]]</f>
        <v>p1</v>
      </c>
      <c r="N16" s="18">
        <f>IFERROR(Table2534[[#This Row],[Ci]]/SUM(Table2534[Ci]),0)</f>
        <v>0.35714285714285715</v>
      </c>
      <c r="O16" s="18">
        <f>IFERROR(LOG(Table2534[[#This Row],[Ci]]/SUM(Table2534[Ci]),2),0)</f>
        <v>-1.4854268271702415</v>
      </c>
      <c r="P16" s="23">
        <f>Table2534[[#This Row],[p(i|t)]]*Table2534[[#This Row],[log2 p(i|t)]]</f>
        <v>-0.53050958113222912</v>
      </c>
      <c r="Q16" s="23">
        <f>Table2534[[#This Row],[p(i|t)]]^2</f>
        <v>0.12755102040816327</v>
      </c>
    </row>
    <row r="19" spans="1:34">
      <c r="J19" t="s">
        <v>171</v>
      </c>
      <c r="K19" t="s">
        <v>172</v>
      </c>
      <c r="L19" t="s">
        <v>174</v>
      </c>
      <c r="P19">
        <f>ABS(P15)</f>
        <v>0.40977637753840185</v>
      </c>
    </row>
    <row r="20" spans="1:34" ht="18.75" customHeight="1">
      <c r="J20" s="18">
        <f>-1*(SUM(Table2534[p(i|t)*log2(i|t)]))</f>
        <v>0.94028595867063092</v>
      </c>
      <c r="K20" s="18">
        <f>1-SUM(Table2534[p(i|t)^2])</f>
        <v>0.45918367346938771</v>
      </c>
      <c r="L20" s="18">
        <f>1-MAX(Table2534[p(i|t)])</f>
        <v>0.3571428571428571</v>
      </c>
      <c r="P20" t="str">
        <f>TEXT(P19,"00.00")</f>
        <v>00.41</v>
      </c>
    </row>
    <row r="22" spans="1:34">
      <c r="A22" s="17" t="s">
        <v>67</v>
      </c>
    </row>
    <row r="23" spans="1:34" ht="15.75" customHeight="1" thickBot="1">
      <c r="A23" s="30" t="s">
        <v>201</v>
      </c>
      <c r="B23" s="16">
        <v>9</v>
      </c>
      <c r="Q23" s="252" t="s">
        <v>198</v>
      </c>
      <c r="R23" s="253" t="s">
        <v>194</v>
      </c>
      <c r="S23" s="27">
        <f>K15</f>
        <v>9</v>
      </c>
      <c r="T23" s="254" t="s">
        <v>196</v>
      </c>
      <c r="U23" s="255" t="s">
        <v>193</v>
      </c>
      <c r="V23" s="27">
        <f>K15</f>
        <v>9</v>
      </c>
      <c r="W23" s="255" t="s">
        <v>195</v>
      </c>
      <c r="X23" s="253" t="s">
        <v>194</v>
      </c>
      <c r="Y23" s="27">
        <f>K16</f>
        <v>5</v>
      </c>
      <c r="Z23" s="254" t="s">
        <v>196</v>
      </c>
      <c r="AA23" s="255" t="s">
        <v>193</v>
      </c>
      <c r="AB23" s="27">
        <f>K16</f>
        <v>5</v>
      </c>
      <c r="AC23" s="255" t="s">
        <v>195</v>
      </c>
    </row>
    <row r="24" spans="1:34">
      <c r="A24" s="30" t="s">
        <v>202</v>
      </c>
      <c r="B24" s="16">
        <v>5</v>
      </c>
      <c r="Q24" s="252"/>
      <c r="R24" s="253"/>
      <c r="S24" s="28">
        <f>SUM(Table2534[Ci])</f>
        <v>14</v>
      </c>
      <c r="T24" s="254"/>
      <c r="U24" s="255"/>
      <c r="V24" s="28">
        <f>SUM(Table2534[Ci])</f>
        <v>14</v>
      </c>
      <c r="W24" s="255"/>
      <c r="X24" s="253"/>
      <c r="Y24" s="28">
        <f>SUM(Table2534[Ci])</f>
        <v>14</v>
      </c>
      <c r="Z24" s="254"/>
      <c r="AA24" s="255"/>
      <c r="AB24" s="28">
        <f>SUM(Table2534[Ci])</f>
        <v>14</v>
      </c>
      <c r="AC24" s="255"/>
    </row>
    <row r="25" spans="1:34" ht="18.75">
      <c r="Q25" s="29" t="s">
        <v>197</v>
      </c>
      <c r="R25" s="256" t="str">
        <f>"-("&amp;TEXT(N15,"00.000")&amp;")*("&amp;TEXT(O15,"00.000")&amp;") - ("&amp;TEXT(N16,"00.000")&amp;")*("&amp;TEXT(O16,"00.000")&amp;")"</f>
        <v>-(00.643)*(-00.637) - (00.357)*(-01.485)</v>
      </c>
      <c r="S25" s="256"/>
      <c r="T25" s="256"/>
      <c r="U25" s="256"/>
      <c r="V25" s="256"/>
      <c r="W25" s="256"/>
      <c r="X25" s="256"/>
      <c r="Y25" s="256"/>
      <c r="Z25" s="256"/>
      <c r="AA25" s="256"/>
      <c r="AB25" s="256"/>
      <c r="AC25" s="256"/>
      <c r="AD25" s="256"/>
      <c r="AE25" s="256"/>
      <c r="AF25" s="256"/>
      <c r="AG25" s="256"/>
      <c r="AH25" s="256"/>
    </row>
    <row r="26" spans="1:34" ht="15.75">
      <c r="Q26" s="29" t="s">
        <v>197</v>
      </c>
      <c r="R26" s="251" t="str">
        <f>TEXT(ABS(P15),"00.000")&amp;" + "&amp;TEXT(ABS(P16),"00.000")</f>
        <v>00.410 + 00.531</v>
      </c>
      <c r="S26" s="251"/>
      <c r="T26" s="251"/>
      <c r="U26" s="251"/>
      <c r="V26" s="251"/>
      <c r="W26" s="251"/>
      <c r="X26" s="251"/>
      <c r="Y26" s="251"/>
      <c r="Z26" s="251"/>
      <c r="AA26" s="251"/>
      <c r="AB26" s="251"/>
      <c r="AC26" s="251"/>
    </row>
    <row r="27" spans="1:34" ht="15.75">
      <c r="Q27" s="29" t="s">
        <v>197</v>
      </c>
      <c r="R27" s="250" t="str">
        <f>TEXT(J20,"00.000")</f>
        <v>00.940</v>
      </c>
      <c r="S27" s="250"/>
      <c r="T27" s="250"/>
      <c r="U27" s="250"/>
      <c r="V27" s="250"/>
      <c r="W27" s="250"/>
      <c r="X27" s="250"/>
      <c r="Y27" s="250"/>
      <c r="Z27" s="250"/>
      <c r="AA27" s="250"/>
      <c r="AB27" s="250"/>
      <c r="AC27" s="250"/>
    </row>
  </sheetData>
  <mergeCells count="12">
    <mergeCell ref="R27:AC27"/>
    <mergeCell ref="R26:AC26"/>
    <mergeCell ref="Q23:Q24"/>
    <mergeCell ref="X23:X24"/>
    <mergeCell ref="Z23:Z24"/>
    <mergeCell ref="AA23:AA24"/>
    <mergeCell ref="AC23:AC24"/>
    <mergeCell ref="R25:AH25"/>
    <mergeCell ref="T23:T24"/>
    <mergeCell ref="W23:W24"/>
    <mergeCell ref="R23:R24"/>
    <mergeCell ref="U23:U24"/>
  </mergeCells>
  <pageMargins left="0.7" right="0.7" top="0.75" bottom="0.75" header="0.3" footer="0.3"/>
  <pageSetup paperSize="9" orientation="portrait" horizontalDpi="4294967292" verticalDpi="0" r:id="rId2"/>
  <drawing r:id="rId3"/>
  <tableParts count="3">
    <tablePart r:id="rId4"/>
    <tablePart r:id="rId5"/>
    <tablePart r:id="rId6"/>
  </tableParts>
  <extLst>
    <ext xmlns:x14="http://schemas.microsoft.com/office/spreadsheetml/2009/9/main" uri="{A8765BA9-456A-4dab-B4F3-ACF838C121DE}">
      <x14:slicerList>
        <x14:slicer r:id="rId7"/>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X33"/>
  <sheetViews>
    <sheetView showGridLines="0" topLeftCell="G1" workbookViewId="0">
      <selection activeCell="V8" sqref="V8"/>
    </sheetView>
  </sheetViews>
  <sheetFormatPr defaultRowHeight="15"/>
  <cols>
    <col min="1" max="1" width="12.7109375" customWidth="1"/>
    <col min="7" max="7" width="4.5703125" customWidth="1"/>
    <col min="11" max="11" width="10.140625" bestFit="1" customWidth="1"/>
    <col min="17" max="17" width="4" customWidth="1"/>
    <col min="18" max="18" width="14.5703125" bestFit="1" customWidth="1"/>
    <col min="19" max="19" width="16.28515625" bestFit="1" customWidth="1"/>
    <col min="20" max="23" width="6.5703125" bestFit="1" customWidth="1"/>
    <col min="24" max="24" width="11.28515625" bestFit="1" customWidth="1"/>
    <col min="25" max="27" width="2" bestFit="1" customWidth="1"/>
    <col min="28" max="28" width="3" bestFit="1" customWidth="1"/>
    <col min="29" max="29" width="11.28515625" bestFit="1" customWidth="1"/>
    <col min="31" max="31" width="13.5703125" bestFit="1" customWidth="1"/>
    <col min="32" max="32" width="16.28515625" bestFit="1" customWidth="1"/>
    <col min="33" max="40" width="2" bestFit="1" customWidth="1"/>
    <col min="41" max="41" width="3" bestFit="1" customWidth="1"/>
    <col min="42" max="42" width="11.28515625" bestFit="1" customWidth="1"/>
  </cols>
  <sheetData>
    <row r="1" spans="1:24">
      <c r="A1" t="s">
        <v>87</v>
      </c>
      <c r="B1" t="s">
        <v>282</v>
      </c>
      <c r="C1" t="s">
        <v>283</v>
      </c>
      <c r="D1" t="s">
        <v>93</v>
      </c>
      <c r="E1" t="s">
        <v>95</v>
      </c>
      <c r="F1" t="s">
        <v>96</v>
      </c>
      <c r="H1" t="s">
        <v>222</v>
      </c>
      <c r="I1" t="s">
        <v>17</v>
      </c>
      <c r="J1" t="s">
        <v>223</v>
      </c>
      <c r="K1" t="s">
        <v>224</v>
      </c>
      <c r="L1" t="s">
        <v>225</v>
      </c>
      <c r="M1" t="s">
        <v>226</v>
      </c>
      <c r="N1" t="s">
        <v>276</v>
      </c>
      <c r="O1" t="s">
        <v>277</v>
      </c>
    </row>
    <row r="2" spans="1:24">
      <c r="A2" s="18">
        <v>1</v>
      </c>
      <c r="B2" s="34">
        <v>172</v>
      </c>
      <c r="C2" s="34">
        <v>42</v>
      </c>
      <c r="D2" s="18">
        <f>tbdData[[#This Row],[Area]]*tbdData[[#This Row],[Rent]]</f>
        <v>7224</v>
      </c>
      <c r="E2" s="23">
        <f>tbdData[[#This Row],[Area]]*tbdData[[#This Row],[Area]]</f>
        <v>29584</v>
      </c>
      <c r="F2" s="23">
        <f>tbdData[[#This Row],[Rent]]*tbdData[[#This Row],[Rent]]</f>
        <v>1764</v>
      </c>
      <c r="H2" s="97">
        <f>SUM(tbdData[Area])</f>
        <v>871</v>
      </c>
      <c r="I2" s="97">
        <f>SUM(tbdData[Rent])</f>
        <v>213</v>
      </c>
      <c r="J2" s="97">
        <f>SUM(tbdData[x.y])</f>
        <v>37460</v>
      </c>
      <c r="K2" s="97">
        <f>SUM(tbdData[x^2])</f>
        <v>152757</v>
      </c>
      <c r="L2" s="97">
        <f>SUM(tbdData[y^2])</f>
        <v>9205</v>
      </c>
      <c r="M2" s="97">
        <f>COUNTA(tbdData[Area])</f>
        <v>5</v>
      </c>
      <c r="N2" s="97">
        <f>(tblCalc[[#This Row],[∑y]]*tblCalc[[#This Row],[∑𝑥^2]]-tblCalc[[#This Row],[∑𝑥]]*tblCalc[[#This Row],[∑𝑥y]])/(tblCalc[[#This Row],[n]]*tblCalc[[#This Row],[∑𝑥^2]]-tblCalc[[#This Row],[∑𝑥]]*tblCalc[[#This Row],[∑𝑥]])</f>
        <v>-17.577566096423016</v>
      </c>
      <c r="O2" s="42">
        <f>(tblCalc[[#This Row],[n]]*tblCalc[[#This Row],[∑𝑥y]]-tblCalc[[#This Row],[∑𝑥]]*tblCalc[[#This Row],[∑y]])/(tblCalc[[#This Row],[n]]*tblCalc[[#This Row],[∑𝑥^2]]-tblCalc[[#This Row],[∑𝑥]]*tblCalc[[#This Row],[∑𝑥]])</f>
        <v>0.34545101088646968</v>
      </c>
      <c r="P2" s="57"/>
      <c r="Q2" s="57"/>
    </row>
    <row r="3" spans="1:24">
      <c r="A3" s="18">
        <f t="shared" ref="A3:A11" si="0">A2+1</f>
        <v>2</v>
      </c>
      <c r="B3" s="34">
        <v>150</v>
      </c>
      <c r="C3" s="34">
        <v>35</v>
      </c>
      <c r="D3" s="18">
        <f>tbdData[[#This Row],[Area]]*tbdData[[#This Row],[Rent]]</f>
        <v>5250</v>
      </c>
      <c r="E3" s="23">
        <f>tbdData[[#This Row],[Area]]*tbdData[[#This Row],[Area]]</f>
        <v>22500</v>
      </c>
      <c r="F3" s="23">
        <f>tbdData[[#This Row],[Rent]]*tbdData[[#This Row],[Rent]]</f>
        <v>1225</v>
      </c>
    </row>
    <row r="4" spans="1:24">
      <c r="A4" s="18">
        <f t="shared" si="0"/>
        <v>3</v>
      </c>
      <c r="B4" s="34">
        <v>181</v>
      </c>
      <c r="C4" s="34">
        <v>46</v>
      </c>
      <c r="D4" s="18">
        <f>tbdData[[#This Row],[Area]]*tbdData[[#This Row],[Rent]]</f>
        <v>8326</v>
      </c>
      <c r="E4" s="23">
        <f>tbdData[[#This Row],[Area]]*tbdData[[#This Row],[Area]]</f>
        <v>32761</v>
      </c>
      <c r="F4" s="23">
        <f>tbdData[[#This Row],[Rent]]*tbdData[[#This Row],[Rent]]</f>
        <v>2116</v>
      </c>
      <c r="H4" t="s">
        <v>278</v>
      </c>
      <c r="I4" t="s">
        <v>279</v>
      </c>
      <c r="K4" t="s">
        <v>279</v>
      </c>
      <c r="L4" t="s">
        <v>278</v>
      </c>
    </row>
    <row r="5" spans="1:24">
      <c r="A5" s="18">
        <f t="shared" si="0"/>
        <v>4</v>
      </c>
      <c r="B5" s="34">
        <v>174</v>
      </c>
      <c r="C5" s="34">
        <v>40</v>
      </c>
      <c r="D5" s="18">
        <f>tbdData[[#This Row],[Area]]*tbdData[[#This Row],[Rent]]</f>
        <v>6960</v>
      </c>
      <c r="E5" s="23">
        <f>tbdData[[#This Row],[Area]]*tbdData[[#This Row],[Area]]</f>
        <v>30276</v>
      </c>
      <c r="F5" s="23">
        <f>tbdData[[#This Row],[Rent]]*tbdData[[#This Row],[Rent]]</f>
        <v>1600</v>
      </c>
      <c r="H5" t="s">
        <v>12</v>
      </c>
      <c r="I5" t="s">
        <v>13</v>
      </c>
      <c r="K5" t="s">
        <v>12</v>
      </c>
      <c r="L5" t="s">
        <v>13</v>
      </c>
    </row>
    <row r="6" spans="1:24">
      <c r="A6" s="18">
        <f t="shared" si="0"/>
        <v>5</v>
      </c>
      <c r="B6" s="34">
        <v>194</v>
      </c>
      <c r="C6" s="34">
        <v>50</v>
      </c>
      <c r="D6" s="18">
        <f>tbdData[[#This Row],[Area]]*tbdData[[#This Row],[Rent]]</f>
        <v>9700</v>
      </c>
      <c r="E6" s="23">
        <f>tbdData[[#This Row],[Area]]*tbdData[[#This Row],[Area]]</f>
        <v>37636</v>
      </c>
      <c r="F6" s="23">
        <f>tbdData[[#This Row],[Rent]]*tbdData[[#This Row],[Rent]]</f>
        <v>2500</v>
      </c>
      <c r="H6" s="34">
        <v>180</v>
      </c>
      <c r="I6" s="47">
        <f>tblCalc[a]+tblCalc[b]*H6</f>
        <v>44.603615863141528</v>
      </c>
      <c r="K6" s="18">
        <f>(Table6769[[#This Row],[y]]-tblCalc[a])/tblCalc[b]</f>
        <v>206.04243106359033</v>
      </c>
      <c r="L6" s="99">
        <v>53.6</v>
      </c>
    </row>
    <row r="7" spans="1:24">
      <c r="A7" s="18">
        <f t="shared" si="0"/>
        <v>6</v>
      </c>
      <c r="B7" s="34"/>
      <c r="C7" s="34"/>
      <c r="D7" s="23" t="e">
        <f>tbdData[[#This Row],[Area]]*tbdData[[#This Row],[Rent]]</f>
        <v>#VALUE!</v>
      </c>
      <c r="E7" s="23" t="e">
        <f>tbdData[[#This Row],[Area]]*tbdData[[#This Row],[Area]]</f>
        <v>#VALUE!</v>
      </c>
      <c r="F7" s="23" t="e">
        <f>tbdData[[#This Row],[Rent]]*tbdData[[#This Row],[Rent]]</f>
        <v>#VALUE!</v>
      </c>
      <c r="H7" s="52">
        <v>52</v>
      </c>
      <c r="I7" s="54">
        <f>tblCalc[a]+tblCalc[b]*H7</f>
        <v>0.38588646967340523</v>
      </c>
      <c r="K7" s="18">
        <f>(Table6769[[#This Row],[y]]-tblCalc[a])/tblCalc[b]</f>
        <v>230.35846933033201</v>
      </c>
      <c r="L7" s="100">
        <v>62</v>
      </c>
      <c r="S7" s="17" t="s">
        <v>118</v>
      </c>
    </row>
    <row r="8" spans="1:24">
      <c r="A8" s="18">
        <f t="shared" si="0"/>
        <v>7</v>
      </c>
      <c r="B8" s="34"/>
      <c r="C8" s="34"/>
      <c r="D8" s="23" t="e">
        <f>tbdData[[#This Row],[Area]]*tbdData[[#This Row],[Rent]]</f>
        <v>#VALUE!</v>
      </c>
      <c r="E8" s="23" t="e">
        <f>tbdData[[#This Row],[Area]]*tbdData[[#This Row],[Area]]</f>
        <v>#VALUE!</v>
      </c>
      <c r="F8" s="23" t="e">
        <f>tbdData[[#This Row],[Rent]]*tbdData[[#This Row],[Rent]]</f>
        <v>#VALUE!</v>
      </c>
      <c r="K8" s="18">
        <f>(Table6769[[#This Row],[y]]-tblCalc[a])/tblCalc[b]</f>
        <v>239.04276871131117</v>
      </c>
      <c r="L8" s="101">
        <v>65</v>
      </c>
      <c r="R8" s="19" t="s">
        <v>229</v>
      </c>
      <c r="S8" s="20">
        <v>1</v>
      </c>
      <c r="T8" s="20">
        <v>2</v>
      </c>
      <c r="U8" s="20">
        <v>3</v>
      </c>
      <c r="V8" s="20">
        <v>4</v>
      </c>
      <c r="W8" s="20">
        <v>5</v>
      </c>
      <c r="X8" s="20" t="s">
        <v>108</v>
      </c>
    </row>
    <row r="9" spans="1:24">
      <c r="A9" s="18">
        <f t="shared" si="0"/>
        <v>8</v>
      </c>
      <c r="B9" s="34"/>
      <c r="C9" s="34"/>
      <c r="D9" s="23" t="e">
        <f>tbdData[[#This Row],[Area]]*tbdData[[#This Row],[Rent]]</f>
        <v>#VALUE!</v>
      </c>
      <c r="E9" s="23" t="e">
        <f>tbdData[[#This Row],[Area]]*tbdData[[#This Row],[Area]]</f>
        <v>#VALUE!</v>
      </c>
      <c r="F9" s="23" t="e">
        <f>tbdData[[#This Row],[Rent]]*tbdData[[#This Row],[Rent]]</f>
        <v>#VALUE!</v>
      </c>
      <c r="K9" s="51">
        <f>(Table6769[[#This Row],[y]]-tblCalc[a])/tblCalc[b]</f>
        <v>198.51603826674167</v>
      </c>
      <c r="L9" s="101">
        <v>51</v>
      </c>
      <c r="R9" s="55" t="s">
        <v>123</v>
      </c>
      <c r="S9" s="56">
        <v>7224</v>
      </c>
      <c r="T9" s="56">
        <v>5250</v>
      </c>
      <c r="U9" s="56">
        <v>8326</v>
      </c>
      <c r="V9" s="56">
        <v>6960</v>
      </c>
      <c r="W9" s="56">
        <v>9700</v>
      </c>
      <c r="X9" s="56">
        <v>37460</v>
      </c>
    </row>
    <row r="10" spans="1:24">
      <c r="A10" s="18">
        <f t="shared" si="0"/>
        <v>9</v>
      </c>
      <c r="B10" s="34"/>
      <c r="C10" s="34"/>
      <c r="D10" s="23" t="e">
        <f>tbdData[[#This Row],[Area]]*tbdData[[#This Row],[Rent]]</f>
        <v>#VALUE!</v>
      </c>
      <c r="E10" s="23" t="e">
        <f>tbdData[[#This Row],[Area]]*tbdData[[#This Row],[Area]]</f>
        <v>#VALUE!</v>
      </c>
      <c r="F10" s="23" t="e">
        <f>tbdData[[#This Row],[Rent]]*tbdData[[#This Row],[Rent]]</f>
        <v>#VALUE!</v>
      </c>
      <c r="R10" s="55" t="s">
        <v>124</v>
      </c>
      <c r="S10" s="56">
        <v>29584</v>
      </c>
      <c r="T10" s="56">
        <v>22500</v>
      </c>
      <c r="U10" s="56">
        <v>32761</v>
      </c>
      <c r="V10" s="56">
        <v>30276</v>
      </c>
      <c r="W10" s="56">
        <v>37636</v>
      </c>
      <c r="X10" s="56">
        <v>152757</v>
      </c>
    </row>
    <row r="11" spans="1:24">
      <c r="A11" s="18">
        <f t="shared" si="0"/>
        <v>10</v>
      </c>
      <c r="B11" s="34"/>
      <c r="C11" s="34"/>
      <c r="D11" s="23" t="e">
        <f>tbdData[[#This Row],[Area]]*tbdData[[#This Row],[Rent]]</f>
        <v>#VALUE!</v>
      </c>
      <c r="E11" s="23" t="e">
        <f>tbdData[[#This Row],[Area]]*tbdData[[#This Row],[Area]]</f>
        <v>#VALUE!</v>
      </c>
      <c r="F11" s="23" t="e">
        <f>tbdData[[#This Row],[Rent]]*tbdData[[#This Row],[Rent]]</f>
        <v>#VALUE!</v>
      </c>
      <c r="R11" s="55" t="s">
        <v>125</v>
      </c>
      <c r="S11" s="56">
        <v>1764</v>
      </c>
      <c r="T11" s="56">
        <v>1225</v>
      </c>
      <c r="U11" s="56">
        <v>2116</v>
      </c>
      <c r="V11" s="56">
        <v>1600</v>
      </c>
      <c r="W11" s="56">
        <v>2500</v>
      </c>
      <c r="X11" s="56">
        <v>9205</v>
      </c>
    </row>
    <row r="15" spans="1:24">
      <c r="A15" t="s">
        <v>281</v>
      </c>
      <c r="B15" s="102" t="s">
        <v>280</v>
      </c>
    </row>
    <row r="16" spans="1:24">
      <c r="R16" s="257" t="s">
        <v>227</v>
      </c>
      <c r="S16" s="258" t="str">
        <f>"("&amp;tblCalc[∑y]&amp;")*("&amp;tblCalc[∑𝑥^2]&amp;") - ("&amp;tblCalc[∑𝑥]&amp;")*("&amp;tblCalc[∑𝑥y]&amp;")"</f>
        <v>(213)*(152757) - (871)*(37460)</v>
      </c>
      <c r="T16" s="258"/>
      <c r="U16" s="258"/>
      <c r="V16" s="258"/>
    </row>
    <row r="17" spans="2:22">
      <c r="R17" s="257"/>
      <c r="S17" s="259" t="str">
        <f>tblCalc[n]&amp;"*("&amp;tblCalc[∑𝑥^2]&amp;") - ("&amp;tblCalc[∑𝑥]&amp;")^2"</f>
        <v>5*(152757) - (871)^2</v>
      </c>
      <c r="T17" s="259"/>
      <c r="U17" s="259"/>
      <c r="V17" s="259"/>
    </row>
    <row r="18" spans="2:22">
      <c r="R18" s="58"/>
      <c r="S18" s="58"/>
      <c r="T18" s="58"/>
      <c r="U18" s="58"/>
      <c r="V18" s="58"/>
    </row>
    <row r="19" spans="2:22">
      <c r="R19" s="260" t="s">
        <v>197</v>
      </c>
      <c r="S19" s="67">
        <f>(tblCalc[∑y]*tblCalc[∑𝑥^2])-tblCalc[∑𝑥]*tblCalc[∑𝑥y]</f>
        <v>-90419</v>
      </c>
      <c r="T19" s="58"/>
      <c r="U19" s="58"/>
      <c r="V19" s="58"/>
    </row>
    <row r="20" spans="2:22">
      <c r="R20" s="261"/>
      <c r="S20" s="68">
        <f>(tblCalc[n]*tblCalc[∑𝑥^2])-tblCalc[∑𝑥]^2</f>
        <v>5144</v>
      </c>
      <c r="T20" s="58"/>
      <c r="U20" s="58"/>
      <c r="V20" s="58"/>
    </row>
    <row r="21" spans="2:22">
      <c r="R21" s="69"/>
      <c r="S21" s="58"/>
      <c r="T21" s="58"/>
      <c r="U21" s="58"/>
      <c r="V21" s="58"/>
    </row>
    <row r="22" spans="2:22">
      <c r="R22" s="70" t="s">
        <v>197</v>
      </c>
      <c r="S22" s="58">
        <f>S19/S20</f>
        <v>-17.577566096423016</v>
      </c>
      <c r="T22" s="58"/>
      <c r="U22" s="58"/>
      <c r="V22" s="58"/>
    </row>
    <row r="23" spans="2:22">
      <c r="R23" s="70"/>
      <c r="S23" s="58"/>
      <c r="T23" s="58"/>
      <c r="U23" s="58"/>
      <c r="V23" s="58"/>
    </row>
    <row r="24" spans="2:22">
      <c r="B24">
        <v>2011</v>
      </c>
      <c r="C24">
        <f>1687-0.8*2011</f>
        <v>78.199999999999818</v>
      </c>
      <c r="R24" s="58"/>
      <c r="S24" s="58"/>
      <c r="T24" s="58"/>
      <c r="U24" s="58"/>
      <c r="V24" s="58"/>
    </row>
    <row r="25" spans="2:22">
      <c r="R25" s="257" t="s">
        <v>228</v>
      </c>
      <c r="S25" s="258" t="str">
        <f>"("&amp;tblCalc[n]&amp;")*("&amp;tblCalc[∑𝑥y]&amp;")-("&amp;tblCalc[∑𝑥]&amp;"*"&amp;tblCalc[∑y]&amp;")"</f>
        <v>(5)*(37460)-(871*213)</v>
      </c>
      <c r="T25" s="258"/>
      <c r="U25" s="258"/>
      <c r="V25" s="258"/>
    </row>
    <row r="26" spans="2:22">
      <c r="R26" s="257"/>
      <c r="S26" s="259" t="str">
        <f>tblCalc[n]&amp;"*("&amp;tblCalc[∑𝑥^2]&amp;") - ("&amp;tblCalc[∑𝑥]&amp;")^2"</f>
        <v>5*(152757) - (871)^2</v>
      </c>
      <c r="T26" s="259"/>
      <c r="U26" s="259"/>
      <c r="V26" s="259"/>
    </row>
    <row r="27" spans="2:22">
      <c r="R27" s="58"/>
      <c r="S27" s="58"/>
      <c r="T27" s="58"/>
      <c r="U27" s="58"/>
      <c r="V27" s="58"/>
    </row>
    <row r="28" spans="2:22">
      <c r="R28" s="260" t="s">
        <v>197</v>
      </c>
      <c r="S28" s="71">
        <f>(tblCalc[n]*tblCalc[∑𝑥y])-(tblCalc[∑𝑥]*tblCalc[∑y])</f>
        <v>1777</v>
      </c>
      <c r="T28" s="58"/>
      <c r="U28" s="58"/>
      <c r="V28" s="58"/>
    </row>
    <row r="29" spans="2:22">
      <c r="R29" s="261"/>
      <c r="S29" s="72">
        <f>(tblCalc[n]*tblCalc[∑𝑥^2])-tblCalc[∑𝑥]^2</f>
        <v>5144</v>
      </c>
      <c r="T29" s="58"/>
      <c r="U29" s="58"/>
      <c r="V29" s="58"/>
    </row>
    <row r="30" spans="2:22">
      <c r="R30" s="69"/>
      <c r="S30" s="58"/>
      <c r="T30" s="58"/>
      <c r="U30" s="58"/>
      <c r="V30" s="58"/>
    </row>
    <row r="31" spans="2:22">
      <c r="R31" s="70" t="s">
        <v>197</v>
      </c>
      <c r="S31" s="58">
        <f>S28/S29</f>
        <v>0.34545101088646968</v>
      </c>
      <c r="T31" s="58"/>
      <c r="U31" s="58"/>
      <c r="V31" s="58"/>
    </row>
    <row r="32" spans="2:22">
      <c r="R32" s="58"/>
      <c r="S32" s="58"/>
      <c r="T32" s="58"/>
      <c r="U32" s="58"/>
      <c r="V32" s="58"/>
    </row>
    <row r="33" spans="18:22">
      <c r="R33" s="73" t="str">
        <f>"y = "&amp;TEXT(S22,"#,##0.000")&amp;" + "&amp;TEXT(S31,"#,##0.000")&amp;" x"</f>
        <v>y = -17.578 + 0.345 x</v>
      </c>
      <c r="S33" s="73"/>
      <c r="T33" s="58"/>
      <c r="U33" s="58"/>
      <c r="V33" s="58"/>
    </row>
  </sheetData>
  <mergeCells count="8">
    <mergeCell ref="R25:R26"/>
    <mergeCell ref="S25:V25"/>
    <mergeCell ref="S26:V26"/>
    <mergeCell ref="R28:R29"/>
    <mergeCell ref="S16:V16"/>
    <mergeCell ref="S17:V17"/>
    <mergeCell ref="R16:R17"/>
    <mergeCell ref="R19:R20"/>
  </mergeCells>
  <hyperlinks>
    <hyperlink ref="B15" r:id="rId2"/>
  </hyperlinks>
  <pageMargins left="0.7" right="0.7" top="0.75" bottom="0.75" header="0.3" footer="0.3"/>
  <pageSetup orientation="portrait" horizontalDpi="4294967293" verticalDpi="0" r:id="rId3"/>
  <drawing r:id="rId4"/>
  <tableParts count="4">
    <tablePart r:id="rId5"/>
    <tablePart r:id="rId6"/>
    <tablePart r:id="rId7"/>
    <tablePart r:id="rId8"/>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L20"/>
  <sheetViews>
    <sheetView showGridLines="0" workbookViewId="0">
      <selection activeCell="L18" sqref="L18"/>
    </sheetView>
  </sheetViews>
  <sheetFormatPr defaultRowHeight="15"/>
  <cols>
    <col min="2" max="2" width="12.140625" customWidth="1"/>
    <col min="3" max="3" width="11.28515625" customWidth="1"/>
    <col min="4" max="4" width="12.140625" customWidth="1"/>
    <col min="5" max="5" width="8.140625" bestFit="1" customWidth="1"/>
    <col min="6" max="6" width="12.28515625" bestFit="1" customWidth="1"/>
    <col min="7" max="7" width="17" customWidth="1"/>
    <col min="8" max="8" width="29.85546875" customWidth="1"/>
    <col min="10" max="11" width="12" bestFit="1" customWidth="1"/>
    <col min="12" max="12" width="20" bestFit="1" customWidth="1"/>
  </cols>
  <sheetData>
    <row r="1" spans="2:12">
      <c r="B1" t="s">
        <v>169</v>
      </c>
      <c r="C1" t="s">
        <v>167</v>
      </c>
      <c r="D1" t="s">
        <v>168</v>
      </c>
      <c r="E1" t="s">
        <v>165</v>
      </c>
      <c r="F1" t="s">
        <v>166</v>
      </c>
      <c r="G1" t="s">
        <v>170</v>
      </c>
      <c r="H1" t="s">
        <v>173</v>
      </c>
      <c r="J1" t="s">
        <v>171</v>
      </c>
      <c r="K1" t="s">
        <v>172</v>
      </c>
      <c r="L1" t="s">
        <v>174</v>
      </c>
    </row>
    <row r="2" spans="2:12">
      <c r="B2" s="34">
        <v>9</v>
      </c>
      <c r="C2" s="18">
        <v>0</v>
      </c>
      <c r="D2" s="18" t="str">
        <f>"p"&amp;Table25[[#This Row],[ID]]</f>
        <v>p0</v>
      </c>
      <c r="E2" s="18">
        <f>IFERROR(Table25[[#This Row],[Ci]]/SUM(Table25[Ci]),0)</f>
        <v>0.9</v>
      </c>
      <c r="F2" s="18">
        <f>IFERROR(LOG(Table25[[#This Row],[Ci]]/SUM(Table25[Ci]),2),0)</f>
        <v>-0.15200309344504997</v>
      </c>
      <c r="G2" s="23">
        <f>Table25[[#This Row],[p(i|t)]]*Table25[[#This Row],[log2 p(i|t)]]</f>
        <v>-0.13680278410054497</v>
      </c>
      <c r="H2" s="23">
        <f>Table25[[#This Row],[p(i|t)]]^2</f>
        <v>0.81</v>
      </c>
      <c r="J2" s="18">
        <f>-1*(SUM(Table25[p(i|t)*log2(i|t)]))</f>
        <v>0.46899559358928122</v>
      </c>
      <c r="K2" s="18">
        <f>1-SUM(Table25[p(i|t)^2])</f>
        <v>0.17999999999999994</v>
      </c>
      <c r="L2" s="18">
        <f>1-MAX(Table25[p(i|t)])</f>
        <v>9.9999999999999978E-2</v>
      </c>
    </row>
    <row r="3" spans="2:12">
      <c r="B3" s="34">
        <v>1</v>
      </c>
      <c r="C3" s="18">
        <f>C2+1</f>
        <v>1</v>
      </c>
      <c r="D3" s="18" t="str">
        <f>"p"&amp;Table25[[#This Row],[ID]]</f>
        <v>p1</v>
      </c>
      <c r="E3" s="18">
        <f>IFERROR(Table25[[#This Row],[Ci]]/SUM(Table25[Ci]),0)</f>
        <v>0.1</v>
      </c>
      <c r="F3" s="18">
        <f>IFERROR(LOG(Table25[[#This Row],[Ci]]/SUM(Table25[Ci]),2),0)</f>
        <v>-3.3219280948873622</v>
      </c>
      <c r="G3" s="23">
        <f>Table25[[#This Row],[p(i|t)]]*Table25[[#This Row],[log2 p(i|t)]]</f>
        <v>-0.33219280948873625</v>
      </c>
      <c r="H3" s="23">
        <f>Table25[[#This Row],[p(i|t)]]^2</f>
        <v>1.0000000000000002E-2</v>
      </c>
    </row>
    <row r="4" spans="2:12">
      <c r="B4">
        <v>5</v>
      </c>
    </row>
    <row r="7" spans="2:12">
      <c r="B7" t="s">
        <v>169</v>
      </c>
      <c r="C7" t="s">
        <v>167</v>
      </c>
      <c r="D7" t="s">
        <v>168</v>
      </c>
      <c r="E7" t="s">
        <v>165</v>
      </c>
      <c r="F7" t="s">
        <v>166</v>
      </c>
      <c r="G7" t="s">
        <v>170</v>
      </c>
      <c r="H7" t="s">
        <v>173</v>
      </c>
      <c r="J7" t="s">
        <v>171</v>
      </c>
      <c r="K7" t="s">
        <v>172</v>
      </c>
      <c r="L7" t="s">
        <v>174</v>
      </c>
    </row>
    <row r="8" spans="2:12">
      <c r="B8" s="34">
        <v>2</v>
      </c>
      <c r="C8" s="18">
        <v>0</v>
      </c>
      <c r="D8" s="18" t="str">
        <f>"p"&amp;Table2528[[#This Row],[ID]]</f>
        <v>p0</v>
      </c>
      <c r="E8" s="18">
        <f>IFERROR(Table2528[[#This Row],[Ci]]/SUM(Table2528[Ci]),0)</f>
        <v>0.2857142857142857</v>
      </c>
      <c r="F8" s="18">
        <f>IFERROR(LOG(Table2528[[#This Row],[Ci]]/SUM(Table2528[Ci]),2),0)</f>
        <v>-1.8073549220576042</v>
      </c>
      <c r="G8" s="23">
        <f>Table2528[[#This Row],[p(i|t)]]*Table2528[[#This Row],[log2 p(i|t)]]</f>
        <v>-0.51638712058788683</v>
      </c>
      <c r="H8" s="23">
        <f>Table2528[[#This Row],[p(i|t)]]^2</f>
        <v>8.1632653061224483E-2</v>
      </c>
      <c r="J8" s="18">
        <f>-1*(SUM(Table2528[p(i|t)*log2(i|t)]))</f>
        <v>0.863120568566631</v>
      </c>
      <c r="K8" s="18">
        <f>1-SUM(Table2528[p(i|t)^2])</f>
        <v>0.40816326530612246</v>
      </c>
      <c r="L8" s="18">
        <f>1-MAX(Table2528[p(i|t)])</f>
        <v>0.2857142857142857</v>
      </c>
    </row>
    <row r="9" spans="2:12">
      <c r="B9" s="34">
        <v>5</v>
      </c>
      <c r="C9" s="18">
        <f>C8+1</f>
        <v>1</v>
      </c>
      <c r="D9" s="18" t="str">
        <f>"p"&amp;Table2528[[#This Row],[ID]]</f>
        <v>p1</v>
      </c>
      <c r="E9" s="18">
        <f>IFERROR(Table2528[[#This Row],[Ci]]/SUM(Table2528[Ci]),0)</f>
        <v>0.7142857142857143</v>
      </c>
      <c r="F9" s="18">
        <f>IFERROR(LOG(Table2528[[#This Row],[Ci]]/SUM(Table2528[Ci]),2),0)</f>
        <v>-0.48542682717024171</v>
      </c>
      <c r="G9" s="23">
        <f>Table2528[[#This Row],[p(i|t)]]*Table2528[[#This Row],[log2 p(i|t)]]</f>
        <v>-0.34673344797874411</v>
      </c>
      <c r="H9" s="23">
        <f>Table2528[[#This Row],[p(i|t)]]^2</f>
        <v>0.51020408163265307</v>
      </c>
    </row>
    <row r="14" spans="2:12">
      <c r="B14" t="s">
        <v>169</v>
      </c>
      <c r="C14" t="s">
        <v>167</v>
      </c>
      <c r="D14" t="s">
        <v>168</v>
      </c>
      <c r="E14" t="s">
        <v>165</v>
      </c>
      <c r="F14" t="s">
        <v>166</v>
      </c>
      <c r="G14" t="s">
        <v>170</v>
      </c>
      <c r="H14" t="s">
        <v>173</v>
      </c>
      <c r="J14" t="s">
        <v>171</v>
      </c>
      <c r="K14" t="s">
        <v>172</v>
      </c>
      <c r="L14" t="s">
        <v>174</v>
      </c>
    </row>
    <row r="15" spans="2:12">
      <c r="B15" s="34">
        <v>3</v>
      </c>
      <c r="C15" s="18">
        <v>0</v>
      </c>
      <c r="D15" s="18" t="str">
        <f>"p"&amp;Table252830[[#This Row],[ID]]</f>
        <v>p0</v>
      </c>
      <c r="E15" s="18">
        <f>IFERROR(Table252830[[#This Row],[Ci]]/SUM(Table252830[Ci]),0)</f>
        <v>0.42857142857142855</v>
      </c>
      <c r="F15" s="18">
        <f>IFERROR(LOG(Table252830[[#This Row],[Ci]]/SUM(Table252830[Ci]),2),0)</f>
        <v>-1.2223924213364481</v>
      </c>
      <c r="G15" s="23">
        <f>Table252830[[#This Row],[p(i|t)]]*Table252830[[#This Row],[log2 p(i|t)]]</f>
        <v>-0.52388246628704915</v>
      </c>
      <c r="H15" s="23">
        <f>Table252830[[#This Row],[p(i|t)]]^2</f>
        <v>0.18367346938775508</v>
      </c>
      <c r="J15" s="18">
        <f>-1*(SUM(Table252830[p(i|t)*log2(i|t)]))</f>
        <v>0.98522813603425163</v>
      </c>
      <c r="K15" s="18">
        <f>1-SUM(Table252830[p(i|t)^2])</f>
        <v>0.48979591836734704</v>
      </c>
      <c r="L15" s="18">
        <f>1-MAX(Table252830[p(i|t)])</f>
        <v>0.4285714285714286</v>
      </c>
    </row>
    <row r="16" spans="2:12">
      <c r="B16" s="34">
        <v>4</v>
      </c>
      <c r="C16" s="18">
        <f>C15+1</f>
        <v>1</v>
      </c>
      <c r="D16" s="18" t="str">
        <f>"p"&amp;Table252830[[#This Row],[ID]]</f>
        <v>p1</v>
      </c>
      <c r="E16" s="18">
        <f>IFERROR(Table252830[[#This Row],[Ci]]/SUM(Table252830[Ci]),0)</f>
        <v>0.5714285714285714</v>
      </c>
      <c r="F16" s="18">
        <f>IFERROR(LOG(Table252830[[#This Row],[Ci]]/SUM(Table252830[Ci]),2),0)</f>
        <v>-0.80735492205760429</v>
      </c>
      <c r="G16" s="23">
        <f>Table252830[[#This Row],[p(i|t)]]*Table252830[[#This Row],[log2 p(i|t)]]</f>
        <v>-0.46134566974720242</v>
      </c>
      <c r="H16" s="23">
        <f>Table252830[[#This Row],[p(i|t)]]^2</f>
        <v>0.32653061224489793</v>
      </c>
    </row>
    <row r="19" spans="11:11">
      <c r="K19" t="s">
        <v>175</v>
      </c>
    </row>
    <row r="20" spans="11:11">
      <c r="K20" s="18">
        <f>(SUM(Table25[Ci])*Table26[Gini]+SUM(Table2528[Ci])*Table2629[Gini]+SUM(Table252830[Ci])*Table262931[Gini])/(SUM(Table25[Ci])+SUM(Table2528[Ci])+SUM(Table252830[Ci]))</f>
        <v>0.33690476190476187</v>
      </c>
    </row>
  </sheetData>
  <phoneticPr fontId="9" type="noConversion"/>
  <pageMargins left="0.7" right="0.7" top="0.75" bottom="0.75" header="0.3" footer="0.3"/>
  <pageSetup orientation="portrait" horizontalDpi="4294967293" verticalDpi="0" r:id="rId1"/>
  <drawing r:id="rId2"/>
  <tableParts count="7">
    <tablePart r:id="rId3"/>
    <tablePart r:id="rId4"/>
    <tablePart r:id="rId5"/>
    <tablePart r:id="rId6"/>
    <tablePart r:id="rId7"/>
    <tablePart r:id="rId8"/>
    <tablePart r:id="rId9"/>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J52"/>
  <sheetViews>
    <sheetView showGridLines="0" topLeftCell="G1" zoomScale="90" zoomScaleNormal="90" workbookViewId="0">
      <selection activeCell="S4" sqref="S4"/>
    </sheetView>
  </sheetViews>
  <sheetFormatPr defaultRowHeight="15"/>
  <cols>
    <col min="1" max="2" width="12.5703125" bestFit="1" customWidth="1"/>
    <col min="3" max="3" width="15.85546875" bestFit="1" customWidth="1"/>
    <col min="4" max="4" width="17.42578125" bestFit="1" customWidth="1"/>
    <col min="5" max="5" width="18.140625" bestFit="1" customWidth="1"/>
    <col min="6" max="6" width="19.85546875" bestFit="1" customWidth="1"/>
    <col min="7" max="7" width="16.7109375" bestFit="1" customWidth="1"/>
    <col min="11" max="11" width="12.7109375" bestFit="1" customWidth="1"/>
    <col min="15" max="15" width="9.42578125" bestFit="1" customWidth="1"/>
    <col min="16" max="16" width="5.42578125" bestFit="1" customWidth="1"/>
    <col min="18" max="19" width="9.42578125" bestFit="1" customWidth="1"/>
    <col min="20" max="20" width="5.42578125" bestFit="1" customWidth="1"/>
    <col min="21" max="21" width="10.140625" customWidth="1"/>
    <col min="22" max="23" width="3" bestFit="1" customWidth="1"/>
    <col min="24" max="24" width="6" bestFit="1" customWidth="1"/>
    <col min="25" max="25" width="2.7109375" bestFit="1" customWidth="1"/>
    <col min="26" max="26" width="3" bestFit="1" customWidth="1"/>
    <col min="27" max="27" width="2.7109375" bestFit="1" customWidth="1"/>
    <col min="28" max="29" width="3" bestFit="1" customWidth="1"/>
    <col min="30" max="30" width="6" bestFit="1" customWidth="1"/>
    <col min="31" max="31" width="2.7109375" bestFit="1" customWidth="1"/>
    <col min="32" max="32" width="3" bestFit="1" customWidth="1"/>
    <col min="33" max="33" width="2.7109375" bestFit="1" customWidth="1"/>
  </cols>
  <sheetData>
    <row r="1" spans="1:21">
      <c r="A1" t="s">
        <v>176</v>
      </c>
      <c r="B1" t="s">
        <v>235</v>
      </c>
      <c r="C1" t="s">
        <v>236</v>
      </c>
      <c r="D1" t="s">
        <v>237</v>
      </c>
      <c r="E1" t="s">
        <v>243</v>
      </c>
      <c r="F1" s="77" t="s">
        <v>238</v>
      </c>
      <c r="G1" t="s">
        <v>199</v>
      </c>
      <c r="H1" t="s">
        <v>200</v>
      </c>
      <c r="O1" s="17" t="s">
        <v>67</v>
      </c>
      <c r="P1" t="s">
        <v>2</v>
      </c>
      <c r="R1" s="17" t="s">
        <v>237</v>
      </c>
      <c r="S1" s="17" t="s">
        <v>67</v>
      </c>
      <c r="T1" t="s">
        <v>2</v>
      </c>
    </row>
    <row r="2" spans="1:21">
      <c r="A2" s="18">
        <v>1</v>
      </c>
      <c r="B2" s="34" t="s">
        <v>199</v>
      </c>
      <c r="C2" s="34" t="s">
        <v>239</v>
      </c>
      <c r="D2" s="34" t="s">
        <v>134</v>
      </c>
      <c r="E2" s="34"/>
      <c r="F2" s="34" t="s">
        <v>240</v>
      </c>
      <c r="G2" s="95">
        <f>IF(Table3236[[#This Row],[Return]]="Up",1,0)</f>
        <v>1</v>
      </c>
      <c r="H2" s="18">
        <f>ABS(1-Table3236[[#This Row],[Positive]])</f>
        <v>0</v>
      </c>
      <c r="I2" s="18"/>
      <c r="O2" t="s">
        <v>201</v>
      </c>
      <c r="P2" s="16">
        <v>4</v>
      </c>
      <c r="R2" t="s">
        <v>134</v>
      </c>
      <c r="S2" t="s">
        <v>201</v>
      </c>
      <c r="T2" s="16">
        <v>4</v>
      </c>
    </row>
    <row r="3" spans="1:21">
      <c r="A3" s="18">
        <f t="shared" ref="A3:A11" si="0">A2+1</f>
        <v>2</v>
      </c>
      <c r="B3" s="34" t="s">
        <v>200</v>
      </c>
      <c r="C3" s="34" t="s">
        <v>134</v>
      </c>
      <c r="D3" s="34" t="s">
        <v>187</v>
      </c>
      <c r="E3" s="34"/>
      <c r="F3" s="34" t="s">
        <v>241</v>
      </c>
      <c r="G3" s="95">
        <f>IF(Table3236[[#This Row],[Return]]="Up",1,0)</f>
        <v>0</v>
      </c>
      <c r="H3" s="18">
        <f>ABS(1-Table3236[[#This Row],[Positive]])</f>
        <v>1</v>
      </c>
      <c r="I3" s="18"/>
      <c r="O3" t="s">
        <v>202</v>
      </c>
      <c r="P3" s="16">
        <v>6</v>
      </c>
      <c r="S3" t="s">
        <v>202</v>
      </c>
      <c r="T3" s="16">
        <v>2</v>
      </c>
    </row>
    <row r="4" spans="1:21">
      <c r="A4" s="18">
        <f t="shared" si="0"/>
        <v>3</v>
      </c>
      <c r="B4" s="34" t="s">
        <v>199</v>
      </c>
      <c r="C4" s="34" t="s">
        <v>239</v>
      </c>
      <c r="D4" s="34" t="s">
        <v>134</v>
      </c>
      <c r="E4" s="34"/>
      <c r="F4" s="34" t="s">
        <v>240</v>
      </c>
      <c r="G4" s="95">
        <f>IF(Table3236[[#This Row],[Return]]="Up",1,0)</f>
        <v>1</v>
      </c>
      <c r="H4" s="18">
        <f>ABS(1-Table3236[[#This Row],[Positive]])</f>
        <v>0</v>
      </c>
      <c r="I4" s="18"/>
      <c r="R4" t="s">
        <v>187</v>
      </c>
      <c r="S4" t="s">
        <v>201</v>
      </c>
      <c r="T4" s="16">
        <v>0</v>
      </c>
    </row>
    <row r="5" spans="1:21">
      <c r="A5" s="18">
        <f t="shared" si="0"/>
        <v>4</v>
      </c>
      <c r="B5" s="34" t="s">
        <v>199</v>
      </c>
      <c r="C5" s="34" t="s">
        <v>274</v>
      </c>
      <c r="D5" s="34" t="s">
        <v>134</v>
      </c>
      <c r="E5" s="34"/>
      <c r="F5" s="34" t="s">
        <v>240</v>
      </c>
      <c r="G5" s="95">
        <f>IF(Table3236[[#This Row],[Return]]="Up",1,0)</f>
        <v>1</v>
      </c>
      <c r="H5" s="18">
        <f>ABS(1-Table3236[[#This Row],[Positive]])</f>
        <v>0</v>
      </c>
      <c r="I5" s="18"/>
      <c r="S5" t="s">
        <v>202</v>
      </c>
      <c r="T5" s="16">
        <v>4</v>
      </c>
    </row>
    <row r="6" spans="1:21">
      <c r="A6" s="18">
        <f t="shared" si="0"/>
        <v>5</v>
      </c>
      <c r="B6" s="34" t="s">
        <v>200</v>
      </c>
      <c r="C6" s="34" t="s">
        <v>239</v>
      </c>
      <c r="D6" s="34" t="s">
        <v>134</v>
      </c>
      <c r="E6" s="34"/>
      <c r="F6" s="34" t="s">
        <v>241</v>
      </c>
      <c r="G6" s="95">
        <f>IF(Table3236[[#This Row],[Return]]="Up",1,0)</f>
        <v>0</v>
      </c>
      <c r="H6" s="18">
        <f>ABS(1-Table3236[[#This Row],[Positive]])</f>
        <v>1</v>
      </c>
      <c r="I6" s="18"/>
    </row>
    <row r="7" spans="1:21">
      <c r="A7" s="18">
        <f t="shared" si="0"/>
        <v>6</v>
      </c>
      <c r="B7" s="34" t="s">
        <v>199</v>
      </c>
      <c r="C7" s="34" t="s">
        <v>239</v>
      </c>
      <c r="D7" s="34" t="s">
        <v>187</v>
      </c>
      <c r="E7" s="34"/>
      <c r="F7" s="34" t="s">
        <v>241</v>
      </c>
      <c r="G7" s="95">
        <f>IF(Table3236[[#This Row],[Return]]="Up",1,0)</f>
        <v>0</v>
      </c>
      <c r="H7" s="18">
        <f>ABS(1-Table3236[[#This Row],[Positive]])</f>
        <v>1</v>
      </c>
      <c r="I7" s="18"/>
    </row>
    <row r="8" spans="1:21">
      <c r="A8" s="18">
        <f t="shared" si="0"/>
        <v>7</v>
      </c>
      <c r="B8" s="34" t="s">
        <v>200</v>
      </c>
      <c r="C8" s="34" t="s">
        <v>134</v>
      </c>
      <c r="D8" s="34" t="s">
        <v>187</v>
      </c>
      <c r="E8" s="34"/>
      <c r="F8" s="34" t="s">
        <v>241</v>
      </c>
      <c r="G8" s="95">
        <f>IF(Table3236[[#This Row],[Return]]="Up",1,0)</f>
        <v>0</v>
      </c>
      <c r="H8" s="18">
        <f>ABS(1-Table3236[[#This Row],[Positive]])</f>
        <v>1</v>
      </c>
      <c r="I8" s="18"/>
    </row>
    <row r="9" spans="1:21">
      <c r="A9" s="18">
        <f t="shared" si="0"/>
        <v>8</v>
      </c>
      <c r="B9" s="34" t="s">
        <v>200</v>
      </c>
      <c r="C9" s="34" t="s">
        <v>239</v>
      </c>
      <c r="D9" s="34" t="s">
        <v>134</v>
      </c>
      <c r="E9" s="34"/>
      <c r="F9" s="34" t="s">
        <v>241</v>
      </c>
      <c r="G9" s="95">
        <f>IF(Table3236[[#This Row],[Return]]="Up",1,0)</f>
        <v>0</v>
      </c>
      <c r="H9" s="18">
        <f>ABS(1-Table3236[[#This Row],[Positive]])</f>
        <v>1</v>
      </c>
      <c r="I9" s="18"/>
    </row>
    <row r="10" spans="1:21">
      <c r="A10" s="18">
        <f t="shared" si="0"/>
        <v>9</v>
      </c>
      <c r="B10" s="34" t="s">
        <v>199</v>
      </c>
      <c r="C10" s="34" t="s">
        <v>239</v>
      </c>
      <c r="D10" s="34" t="s">
        <v>187</v>
      </c>
      <c r="E10" s="34"/>
      <c r="F10" s="34" t="s">
        <v>241</v>
      </c>
      <c r="G10" s="95">
        <f>IF(Table3236[[#This Row],[Return]]="Up",1,0)</f>
        <v>0</v>
      </c>
      <c r="H10" s="18">
        <f>ABS(1-Table3236[[#This Row],[Positive]])</f>
        <v>1</v>
      </c>
      <c r="I10" s="18"/>
      <c r="R10" s="48" t="s">
        <v>273</v>
      </c>
    </row>
    <row r="11" spans="1:21">
      <c r="A11" s="18">
        <f t="shared" si="0"/>
        <v>10</v>
      </c>
      <c r="B11" s="34" t="s">
        <v>199</v>
      </c>
      <c r="C11" s="34" t="s">
        <v>134</v>
      </c>
      <c r="D11" s="34" t="s">
        <v>134</v>
      </c>
      <c r="E11" s="34"/>
      <c r="F11" s="34" t="s">
        <v>240</v>
      </c>
      <c r="G11" s="95">
        <f>IF(Table3236[[#This Row],[Return]]="Up",1,0)</f>
        <v>1</v>
      </c>
      <c r="H11" s="18">
        <f>ABS(1-Table3236[[#This Row],[Positive]])</f>
        <v>0</v>
      </c>
      <c r="I11" s="18"/>
    </row>
    <row r="14" spans="1:21">
      <c r="D14" s="48" t="s">
        <v>272</v>
      </c>
      <c r="L14" s="48"/>
      <c r="U14" t="s">
        <v>265</v>
      </c>
    </row>
    <row r="18" spans="1:36">
      <c r="A18" t="s">
        <v>192</v>
      </c>
      <c r="B18" t="s">
        <v>169</v>
      </c>
      <c r="C18" t="s">
        <v>167</v>
      </c>
      <c r="D18" t="s">
        <v>168</v>
      </c>
      <c r="E18" t="s">
        <v>165</v>
      </c>
      <c r="F18" t="s">
        <v>166</v>
      </c>
      <c r="G18" t="s">
        <v>170</v>
      </c>
      <c r="H18" t="s">
        <v>173</v>
      </c>
      <c r="I18" t="s">
        <v>275</v>
      </c>
      <c r="K18" t="s">
        <v>275</v>
      </c>
      <c r="L18" t="s">
        <v>171</v>
      </c>
      <c r="M18" t="s">
        <v>172</v>
      </c>
      <c r="N18" t="s">
        <v>174</v>
      </c>
      <c r="O18" t="s">
        <v>204</v>
      </c>
      <c r="Q18" s="58" t="str">
        <f>"Info(D)= - ("&amp;B19&amp;"/"&amp;SUM(Overall[Ci])&amp;") * log2("&amp;B19&amp;"/"&amp;SUM(Overall[Ci])&amp;") - ("&amp;B20&amp;"/"&amp;SUM(Overall[Ci])&amp;") * log2("&amp;B20&amp;"/"&amp;SUM(Overall[Ci])&amp;")"</f>
        <v>Info(D)= - (4/10) * log2(4/10) - (6/10) * log2(6/10)</v>
      </c>
      <c r="R18" s="58"/>
    </row>
    <row r="19" spans="1:36" ht="18.75">
      <c r="A19" s="18" t="s">
        <v>203</v>
      </c>
      <c r="B19" s="18">
        <f>P2</f>
        <v>4</v>
      </c>
      <c r="C19" s="18">
        <v>0</v>
      </c>
      <c r="D19" s="18" t="str">
        <f>"p"&amp;Overall[[#This Row],[ID]]</f>
        <v>p0</v>
      </c>
      <c r="E19" s="18">
        <f>IFERROR(Overall[[#This Row],[Ci]]/SUM(Overall[Ci]),0)</f>
        <v>0.4</v>
      </c>
      <c r="F19" s="18">
        <f>IFERROR(LOG(Overall[[#This Row],[Ci]]/SUM(Overall[Ci]),2),0)</f>
        <v>-1.3219280948873622</v>
      </c>
      <c r="G19" s="23">
        <f>Overall[[#This Row],[p(i|t)]]*Overall[[#This Row],[log2 p(i|t)]]</f>
        <v>-0.52877123795494485</v>
      </c>
      <c r="H19" s="23">
        <f>Overall[[#This Row],[p(i|t)]]^2</f>
        <v>0.16000000000000003</v>
      </c>
      <c r="I19" s="23"/>
      <c r="K19" s="18">
        <f>IF(SUM(Overall[Ci])&gt;0,1,0)</f>
        <v>1</v>
      </c>
      <c r="L19" s="18">
        <f>-1*(SUM(Overall[p(i|t)*log2(i|t)]))</f>
        <v>0.97095059445466858</v>
      </c>
      <c r="M19" s="18">
        <f>1-SUM(Overall[p(i|t)^2])</f>
        <v>0.48</v>
      </c>
      <c r="N19" s="18">
        <f>1-MAX(Overall[p(i|t)])</f>
        <v>0.4</v>
      </c>
      <c r="O19" s="18">
        <f>SUM(Overall[Ci])</f>
        <v>10</v>
      </c>
      <c r="Q19" s="59" t="s">
        <v>197</v>
      </c>
      <c r="R19" s="60" t="str">
        <f>"-("&amp;TEXT(E19,"00.000")&amp;")*("&amp;TEXT(F19,"00.000")&amp;") - ("&amp;TEXT(E20,"00.000")&amp;")*("&amp;TEXT(F20,"00.000")&amp;")"</f>
        <v>-(00.400)*(-01.322) - (00.600)*(-00.737)</v>
      </c>
      <c r="S19" s="31"/>
      <c r="T19" s="31"/>
      <c r="U19" s="31"/>
      <c r="V19" s="31"/>
      <c r="W19" s="31"/>
      <c r="X19" s="31"/>
      <c r="Y19" s="31"/>
      <c r="Z19" s="31"/>
      <c r="AA19" s="31"/>
      <c r="AB19" s="31"/>
      <c r="AC19" s="31"/>
    </row>
    <row r="20" spans="1:36" ht="18.75" customHeight="1">
      <c r="A20" s="18"/>
      <c r="B20" s="18">
        <f>P3</f>
        <v>6</v>
      </c>
      <c r="C20" s="18">
        <f>C19+1</f>
        <v>1</v>
      </c>
      <c r="D20" s="18" t="str">
        <f>"p"&amp;Overall[[#This Row],[ID]]</f>
        <v>p1</v>
      </c>
      <c r="E20" s="18">
        <f>IFERROR(Overall[[#This Row],[Ci]]/SUM(Overall[Ci]),0)</f>
        <v>0.6</v>
      </c>
      <c r="F20" s="18">
        <f>IFERROR(LOG(Overall[[#This Row],[Ci]]/SUM(Overall[Ci]),2),0)</f>
        <v>-0.73696559416620622</v>
      </c>
      <c r="G20" s="23">
        <f>Overall[[#This Row],[p(i|t)]]*Overall[[#This Row],[log2 p(i|t)]]</f>
        <v>-0.44217935649972373</v>
      </c>
      <c r="H20" s="23">
        <f>Overall[[#This Row],[p(i|t)]]^2</f>
        <v>0.36</v>
      </c>
      <c r="I20" s="23"/>
      <c r="Q20" s="59" t="s">
        <v>197</v>
      </c>
      <c r="R20" s="61" t="str">
        <f>TEXT(ABS(G19),"00.000")&amp;" + "&amp;TEXT(ABS(G20),"00.000")</f>
        <v>00.529 + 00.442</v>
      </c>
      <c r="S20" s="32"/>
      <c r="T20" s="32"/>
      <c r="U20" s="32"/>
      <c r="V20" s="32"/>
      <c r="W20" s="32"/>
      <c r="X20" s="32"/>
      <c r="Y20" s="32"/>
      <c r="Z20" s="32"/>
      <c r="AA20" s="32"/>
      <c r="AB20" s="32"/>
      <c r="AC20" s="32"/>
    </row>
    <row r="21" spans="1:36" ht="15.75">
      <c r="Q21" s="59" t="s">
        <v>197</v>
      </c>
      <c r="R21" s="62" t="str">
        <f>TEXT(L19,"00.000")</f>
        <v>00.971</v>
      </c>
      <c r="S21" s="33"/>
      <c r="T21" s="33"/>
      <c r="U21" s="33"/>
      <c r="V21" s="33"/>
      <c r="W21" s="33"/>
      <c r="X21" s="33"/>
      <c r="Y21" s="33"/>
      <c r="Z21" s="33"/>
      <c r="AA21" s="33"/>
      <c r="AB21" s="33"/>
      <c r="AC21" s="33"/>
    </row>
    <row r="23" spans="1:36" ht="15.75" customHeight="1"/>
    <row r="24" spans="1:36">
      <c r="A24" t="s">
        <v>87</v>
      </c>
      <c r="B24" t="str">
        <f>R1</f>
        <v>Trading Volume</v>
      </c>
      <c r="Q24" t="s">
        <v>207</v>
      </c>
      <c r="R24">
        <f>tblD1Calc[Sum]/OverallCalc[Sum]</f>
        <v>0.6</v>
      </c>
    </row>
    <row r="25" spans="1:36" ht="18.75">
      <c r="A25" t="s">
        <v>192</v>
      </c>
      <c r="B25" t="s">
        <v>169</v>
      </c>
      <c r="C25" t="s">
        <v>167</v>
      </c>
      <c r="D25" t="s">
        <v>168</v>
      </c>
      <c r="E25" t="s">
        <v>165</v>
      </c>
      <c r="F25" t="s">
        <v>166</v>
      </c>
      <c r="G25" t="s">
        <v>170</v>
      </c>
      <c r="H25" t="s">
        <v>173</v>
      </c>
      <c r="K25" s="49" t="s">
        <v>275</v>
      </c>
      <c r="L25" t="s">
        <v>171</v>
      </c>
      <c r="M25" t="s">
        <v>172</v>
      </c>
      <c r="N25" t="s">
        <v>174</v>
      </c>
      <c r="O25" t="s">
        <v>204</v>
      </c>
      <c r="Q25" s="58" t="str">
        <f>"Info ("&amp;B24&amp;")(D)= "</f>
        <v xml:space="preserve">Info (Trading Volume)(D)= </v>
      </c>
      <c r="R25" s="58"/>
      <c r="AI25" s="31"/>
      <c r="AJ25" s="31"/>
    </row>
    <row r="26" spans="1:36">
      <c r="A26" s="18" t="str">
        <f>R2</f>
        <v>High</v>
      </c>
      <c r="B26" s="18">
        <f>T2</f>
        <v>4</v>
      </c>
      <c r="C26" s="18">
        <v>0</v>
      </c>
      <c r="D26" s="18" t="str">
        <f>"p"&amp;tblD1[[#This Row],[ID]]</f>
        <v>p0</v>
      </c>
      <c r="E26" s="18">
        <f>IFERROR(tblD1[[#This Row],[Ci]]/SUM(tblD1[Ci]),0)</f>
        <v>0.66666666666666663</v>
      </c>
      <c r="F26" s="18">
        <f>IFERROR(LOG(tblD1[[#This Row],[Ci]]/SUM(tblD1[Ci]),2),0)</f>
        <v>-0.5849625007211563</v>
      </c>
      <c r="G26" s="23">
        <f>tblD1[[#This Row],[p(i|t)]]*tblD1[[#This Row],[log2 p(i|t)]]</f>
        <v>-0.38997500048077083</v>
      </c>
      <c r="H26" s="23">
        <f>tblD1[[#This Row],[p(i|t)]]^2</f>
        <v>0.44444444444444442</v>
      </c>
      <c r="I26" s="23"/>
      <c r="K26" s="18">
        <f>IF(SUM(tblD1[Ci])&gt;0,1,0)</f>
        <v>1</v>
      </c>
      <c r="L26" s="18">
        <f>-1*(SUM(tblD1[p(i|t)*log2(i|t)]))</f>
        <v>0.91829583405448956</v>
      </c>
      <c r="M26" s="18">
        <f>1-SUM(tblD1[p(i|t)^2])</f>
        <v>0.44444444444444442</v>
      </c>
      <c r="N26" s="18">
        <f>1-MAX(tblD1[p(i|t)])</f>
        <v>0.33333333333333337</v>
      </c>
      <c r="O26" s="18">
        <f>SUM(tblD1[Ci])</f>
        <v>6</v>
      </c>
      <c r="Q26" s="58"/>
      <c r="R26" s="58" t="str">
        <f>IF(tblD1Calc[[#This Row],[Applicable]],tblD1Calc[Sum]&amp;"/"&amp;OverallCalc[Sum]&amp;" * (- ("&amp;B26&amp;"/"&amp;SUM(tblD1[Ci])&amp;") * log2("&amp;B26&amp;"/"&amp;SUM(tblD1[Ci])&amp;") - ("&amp;B27&amp;"/"&amp;SUM(tblD1[Ci])&amp;") * log2("&amp;B27&amp;"/"&amp;SUM(tblD1[Ci])&amp;"))","")</f>
        <v>6/10 * (- (4/6) * log2(4/6) - (2/6) * log2(2/6))</v>
      </c>
    </row>
    <row r="27" spans="1:36">
      <c r="A27" s="18"/>
      <c r="B27" s="18">
        <f>T3</f>
        <v>2</v>
      </c>
      <c r="C27" s="18">
        <f>C26+1</f>
        <v>1</v>
      </c>
      <c r="D27" s="18" t="str">
        <f>"p"&amp;tblD1[[#This Row],[ID]]</f>
        <v>p1</v>
      </c>
      <c r="E27" s="18">
        <f>IFERROR(tblD1[[#This Row],[Ci]]/SUM(tblD1[Ci]),0)</f>
        <v>0.33333333333333331</v>
      </c>
      <c r="F27" s="18">
        <f>IFERROR(LOG(tblD1[[#This Row],[Ci]]/SUM(tblD1[Ci]),2),0)</f>
        <v>-1.5849625007211563</v>
      </c>
      <c r="G27" s="23">
        <f>tblD1[[#This Row],[p(i|t)]]*tblD1[[#This Row],[log2 p(i|t)]]</f>
        <v>-0.52832083357371873</v>
      </c>
      <c r="H27" s="23">
        <f>tblD1[[#This Row],[p(i|t)]]^2</f>
        <v>0.1111111111111111</v>
      </c>
      <c r="I27" s="23"/>
      <c r="Q27" s="58"/>
      <c r="R27" s="58" t="str">
        <f>R38</f>
        <v>+4/10 * (- (0/4) * log2(0/4) - (4/4) * log2(4/4))</v>
      </c>
    </row>
    <row r="28" spans="1:36">
      <c r="Q28" s="58"/>
      <c r="R28" s="58" t="str">
        <f>R44</f>
        <v/>
      </c>
    </row>
    <row r="29" spans="1:36">
      <c r="Q29" s="58"/>
      <c r="R29" s="58" t="str">
        <f>R50</f>
        <v/>
      </c>
    </row>
    <row r="30" spans="1:36" ht="18.75">
      <c r="Q30" s="59" t="s">
        <v>197</v>
      </c>
      <c r="R30" s="60" t="str">
        <f>IF(tblD1Calc[Applicable],TEXT(tblD1Calc[Sum]/OverallCalc[Sum],"00.000")&amp;" * ("&amp;TEXT(tblD1Calc[Entropy],"00.000")&amp;")","")</f>
        <v>00.600 * (00.918)</v>
      </c>
      <c r="S30" s="31"/>
      <c r="T30" s="31"/>
      <c r="U30" s="31"/>
      <c r="V30" s="31"/>
      <c r="W30" s="31"/>
      <c r="X30" s="31"/>
      <c r="Y30" s="31"/>
      <c r="Z30" s="31"/>
      <c r="AA30" s="31"/>
      <c r="AB30" s="31"/>
      <c r="AC30" s="31"/>
    </row>
    <row r="31" spans="1:36" ht="15.75">
      <c r="Q31" s="58"/>
      <c r="R31" s="60" t="str">
        <f>R39</f>
        <v>+ 00.400 * 00.000</v>
      </c>
      <c r="S31" s="32"/>
      <c r="T31" s="32"/>
      <c r="U31" s="32"/>
      <c r="V31" s="32"/>
      <c r="W31" s="32"/>
      <c r="X31" s="32"/>
      <c r="Y31" s="32"/>
      <c r="Z31" s="32"/>
      <c r="AA31" s="32"/>
      <c r="AB31" s="32"/>
      <c r="AC31" s="32"/>
    </row>
    <row r="32" spans="1:36" ht="15.75">
      <c r="Q32" s="58"/>
      <c r="R32" s="60" t="str">
        <f>R45</f>
        <v/>
      </c>
      <c r="S32" s="33"/>
      <c r="T32" s="33"/>
      <c r="U32" s="33"/>
      <c r="V32" s="33"/>
      <c r="W32" s="33"/>
      <c r="X32" s="33"/>
      <c r="Y32" s="33"/>
      <c r="Z32" s="33"/>
      <c r="AA32" s="33"/>
      <c r="AB32" s="33"/>
      <c r="AC32" s="33"/>
    </row>
    <row r="33" spans="1:18" ht="15.75">
      <c r="Q33" s="58"/>
      <c r="R33" s="60" t="str">
        <f>R50</f>
        <v/>
      </c>
    </row>
    <row r="34" spans="1:18">
      <c r="Q34" s="63" t="s">
        <v>197</v>
      </c>
      <c r="R34" s="64" t="str">
        <f>TEXT((R24*tblD1Calc[Entropy])+(R37*tblD2Calc[Entropy])+(R43*tblD3Calc[Entropy])+(R49*tblD4Calc[Entropy]),"00.000")</f>
        <v>00.551</v>
      </c>
    </row>
    <row r="35" spans="1:18" ht="15.75">
      <c r="Q35" s="65" t="str">
        <f>"Information Gain ("&amp;B24&amp;") = Info(D) - Info("&amp;B24&amp;")(D) = "</f>
        <v xml:space="preserve">Information Gain (Trading Volume) = Info(D) - Info(Trading Volume)(D) = </v>
      </c>
      <c r="R35" s="66">
        <f>R21-R34</f>
        <v>0.41999999999999993</v>
      </c>
    </row>
    <row r="37" spans="1:18">
      <c r="Q37" t="s">
        <v>207</v>
      </c>
      <c r="R37">
        <f>tblD2Calc[Sum]/OverallCalc[Sum]</f>
        <v>0.4</v>
      </c>
    </row>
    <row r="38" spans="1:18">
      <c r="A38" t="s">
        <v>192</v>
      </c>
      <c r="B38" t="s">
        <v>169</v>
      </c>
      <c r="C38" t="s">
        <v>167</v>
      </c>
      <c r="D38" t="s">
        <v>168</v>
      </c>
      <c r="E38" t="s">
        <v>165</v>
      </c>
      <c r="F38" t="s">
        <v>166</v>
      </c>
      <c r="G38" t="s">
        <v>170</v>
      </c>
      <c r="H38" t="s">
        <v>173</v>
      </c>
      <c r="K38" s="49" t="s">
        <v>275</v>
      </c>
      <c r="L38" t="s">
        <v>171</v>
      </c>
      <c r="M38" t="s">
        <v>172</v>
      </c>
      <c r="N38" t="s">
        <v>174</v>
      </c>
      <c r="O38" t="s">
        <v>204</v>
      </c>
      <c r="R38" t="str">
        <f>IF(tblD2Calc[Applicable],"+"&amp;tblD2Calc[Sum]&amp;"/"&amp;OverallCalc[Sum]&amp;" * (- ("&amp;B39&amp;"/"&amp;SUM(tblD2[Ci])&amp;") * log2("&amp;B39&amp;"/"&amp;SUM(tblD2[Ci])&amp;") - ("&amp;B40&amp;"/"&amp;SUM(tblD2[Ci])&amp;") * log2("&amp;B40&amp;"/"&amp;SUM(tblD2[Ci])&amp;"))","")</f>
        <v>+4/10 * (- (0/4) * log2(0/4) - (4/4) * log2(4/4))</v>
      </c>
    </row>
    <row r="39" spans="1:18">
      <c r="A39" s="18" t="str">
        <f>R4</f>
        <v>low</v>
      </c>
      <c r="B39" s="18">
        <f>T4</f>
        <v>0</v>
      </c>
      <c r="C39" s="18">
        <v>0</v>
      </c>
      <c r="D39" s="18" t="str">
        <f>"p"&amp;tblD2[[#This Row],[ID]]</f>
        <v>p0</v>
      </c>
      <c r="E39" s="18">
        <f>IFERROR(tblD2[[#This Row],[Ci]]/SUM(tblD2[Ci]),0)</f>
        <v>0</v>
      </c>
      <c r="F39" s="18">
        <f>IFERROR(LOG(tblD2[[#This Row],[Ci]]/SUM(tblD2[Ci]),2),0)</f>
        <v>0</v>
      </c>
      <c r="G39" s="23">
        <f>tblD2[[#This Row],[p(i|t)]]*tblD2[[#This Row],[log2 p(i|t)]]</f>
        <v>0</v>
      </c>
      <c r="H39" s="23">
        <f>tblD2[[#This Row],[p(i|t)]]^2</f>
        <v>0</v>
      </c>
      <c r="I39" s="23"/>
      <c r="K39" s="18">
        <f>IF(SUM(tblD2[Ci])&gt;0,1,0)</f>
        <v>1</v>
      </c>
      <c r="L39" s="18">
        <f>-1*(SUM(tblD2[p(i|t)*log2(i|t)]))</f>
        <v>0</v>
      </c>
      <c r="M39" s="18">
        <f>1-SUM(tblD2[p(i|t)^2])</f>
        <v>0</v>
      </c>
      <c r="N39" s="18">
        <f>1-MAX(tblD2[p(i|t)])</f>
        <v>0</v>
      </c>
      <c r="O39" s="18">
        <f>SUM(tblD2[Ci])</f>
        <v>4</v>
      </c>
      <c r="R39" t="str">
        <f>IF(tblD2Calc[[#This Row],[Applicable]],"+ "&amp;TEXT(R37,"00.000")&amp;" * "&amp;TEXT(tblD2Calc[Entropy],"00.000"),"")</f>
        <v>+ 00.400 * 00.000</v>
      </c>
    </row>
    <row r="40" spans="1:18">
      <c r="A40" s="18"/>
      <c r="B40" s="18">
        <f>T5</f>
        <v>4</v>
      </c>
      <c r="C40" s="18">
        <f>C39+1</f>
        <v>1</v>
      </c>
      <c r="D40" s="18" t="str">
        <f>"p"&amp;tblD2[[#This Row],[ID]]</f>
        <v>p1</v>
      </c>
      <c r="E40" s="18">
        <f>IFERROR(tblD2[[#This Row],[Ci]]/SUM(tblD2[Ci]),0)</f>
        <v>1</v>
      </c>
      <c r="F40" s="18">
        <f>IFERROR(LOG(tblD2[[#This Row],[Ci]]/SUM(tblD2[Ci]),2),0)</f>
        <v>0</v>
      </c>
      <c r="G40" s="23">
        <f>tblD2[[#This Row],[p(i|t)]]*tblD2[[#This Row],[log2 p(i|t)]]</f>
        <v>0</v>
      </c>
      <c r="H40" s="23">
        <f>tblD2[[#This Row],[p(i|t)]]^2</f>
        <v>1</v>
      </c>
      <c r="I40" s="23"/>
    </row>
    <row r="41" spans="1:18" ht="15.75" customHeight="1"/>
    <row r="42" spans="1:18" ht="15" customHeight="1"/>
    <row r="43" spans="1:18">
      <c r="Q43" t="s">
        <v>207</v>
      </c>
      <c r="R43">
        <f>tblD3Calc[Sum]/OverallCalc[Sum]</f>
        <v>0</v>
      </c>
    </row>
    <row r="44" spans="1:18">
      <c r="A44" t="s">
        <v>192</v>
      </c>
      <c r="B44" t="s">
        <v>169</v>
      </c>
      <c r="C44" t="s">
        <v>167</v>
      </c>
      <c r="D44" t="s">
        <v>168</v>
      </c>
      <c r="E44" t="s">
        <v>165</v>
      </c>
      <c r="F44" t="s">
        <v>166</v>
      </c>
      <c r="G44" t="s">
        <v>170</v>
      </c>
      <c r="H44" t="s">
        <v>173</v>
      </c>
      <c r="K44" s="49" t="s">
        <v>275</v>
      </c>
      <c r="L44" t="s">
        <v>171</v>
      </c>
      <c r="M44" t="s">
        <v>172</v>
      </c>
      <c r="N44" t="s">
        <v>174</v>
      </c>
      <c r="O44" t="s">
        <v>204</v>
      </c>
      <c r="R44" t="str">
        <f>IF(tblD3Calc[Applicable],"+"&amp;tblD3Calc[Sum]&amp;"/"&amp;OverallCalc[Sum]&amp;" * (- ("&amp;B45&amp;"/"&amp;SUM(tblD3[Ci])&amp;") * log2("&amp;B45&amp;"/"&amp;SUM(tblD3[Ci])&amp;") - ("&amp;B46&amp;"/"&amp;SUM(tblD3[Ci])&amp;") * log2("&amp;B46&amp;"/"&amp;SUM(tblD3[Ci])&amp;"))","")</f>
        <v/>
      </c>
    </row>
    <row r="45" spans="1:18">
      <c r="A45" s="18">
        <f>R6</f>
        <v>0</v>
      </c>
      <c r="B45" s="18">
        <f>T6</f>
        <v>0</v>
      </c>
      <c r="C45" s="18">
        <v>0</v>
      </c>
      <c r="D45" s="18" t="str">
        <f>"p"&amp;tblD3[[#This Row],[ID]]</f>
        <v>p0</v>
      </c>
      <c r="E45" s="18">
        <f>IFERROR(tblD3[[#This Row],[Ci]]/SUM(tblD3[Ci]),0)</f>
        <v>0</v>
      </c>
      <c r="F45" s="18">
        <f>IFERROR(LOG(tblD3[[#This Row],[Ci]]/SUM(tblD3[Ci]),2),0)</f>
        <v>0</v>
      </c>
      <c r="G45" s="23">
        <f>tblD3[[#This Row],[p(i|t)]]*tblD3[[#This Row],[log2 p(i|t)]]</f>
        <v>0</v>
      </c>
      <c r="H45" s="23">
        <f>tblD3[[#This Row],[p(i|t)]]^2</f>
        <v>0</v>
      </c>
      <c r="I45" s="23"/>
      <c r="K45" s="18">
        <f>IF(SUM(tblD3[Ci])&gt;0,1,0)</f>
        <v>0</v>
      </c>
      <c r="L45" s="18">
        <f>-1*(SUM(tblD3[p(i|t)*log2(i|t)]))</f>
        <v>0</v>
      </c>
      <c r="M45" s="18">
        <f>1-SUM(tblD3[p(i|t)^2])</f>
        <v>1</v>
      </c>
      <c r="N45" s="18">
        <f>1-MAX(tblD3[p(i|t)])</f>
        <v>1</v>
      </c>
      <c r="O45" s="18">
        <f>SUM(tblD3[Ci])</f>
        <v>0</v>
      </c>
      <c r="R45" t="str">
        <f>IF(tblD3Calc[[#This Row],[Applicable]],"+ "&amp;TEXT(R43,"00.000")&amp;" * "&amp;TEXT(tblD3Calc[Entropy],"00.000"),"")</f>
        <v/>
      </c>
    </row>
    <row r="46" spans="1:18">
      <c r="A46" s="18"/>
      <c r="B46" s="18">
        <f>T7</f>
        <v>0</v>
      </c>
      <c r="C46" s="18">
        <f>C45+1</f>
        <v>1</v>
      </c>
      <c r="D46" s="18" t="str">
        <f>"p"&amp;tblD3[[#This Row],[ID]]</f>
        <v>p1</v>
      </c>
      <c r="E46" s="18">
        <f>IFERROR(tblD3[[#This Row],[Ci]]/SUM(tblD3[Ci]),0)</f>
        <v>0</v>
      </c>
      <c r="F46" s="18">
        <f>IFERROR(LOG(tblD3[[#This Row],[Ci]]/SUM(tblD3[Ci]),2),0)</f>
        <v>0</v>
      </c>
      <c r="G46" s="23">
        <f>tblD3[[#This Row],[p(i|t)]]*tblD3[[#This Row],[log2 p(i|t)]]</f>
        <v>0</v>
      </c>
      <c r="H46" s="23">
        <f>tblD3[[#This Row],[p(i|t)]]^2</f>
        <v>0</v>
      </c>
      <c r="I46" s="23"/>
    </row>
    <row r="49" spans="1:33">
      <c r="Q49" t="s">
        <v>207</v>
      </c>
      <c r="R49">
        <f>tblD4Calc[Sum]/OverallCalc[Sum]</f>
        <v>0</v>
      </c>
    </row>
    <row r="50" spans="1:33" ht="18.75">
      <c r="A50" t="s">
        <v>192</v>
      </c>
      <c r="B50" t="s">
        <v>169</v>
      </c>
      <c r="C50" t="s">
        <v>167</v>
      </c>
      <c r="D50" t="s">
        <v>168</v>
      </c>
      <c r="E50" t="s">
        <v>165</v>
      </c>
      <c r="F50" t="s">
        <v>166</v>
      </c>
      <c r="G50" t="s">
        <v>170</v>
      </c>
      <c r="H50" t="s">
        <v>173</v>
      </c>
      <c r="K50" s="49" t="s">
        <v>275</v>
      </c>
      <c r="L50" t="s">
        <v>171</v>
      </c>
      <c r="M50" t="s">
        <v>172</v>
      </c>
      <c r="N50" t="s">
        <v>174</v>
      </c>
      <c r="O50" t="s">
        <v>204</v>
      </c>
      <c r="R50" t="str">
        <f>IF(tblD4Calc[Applicable],"+"&amp;tblD4Calc[Sum]&amp;"/"&amp;OverallCalc[Sum]&amp;" * (- ("&amp;B51&amp;"/"&amp;SUM(tblD4[Ci])&amp;") * log2("&amp;B51&amp;"/"&amp;SUM(tblD4[Ci])&amp;") - ("&amp;B52&amp;"/"&amp;SUM(tblD4[Ci])&amp;") * log2("&amp;B52&amp;"/"&amp;SUM(tblD4[Ci])&amp;"))","")</f>
        <v/>
      </c>
      <c r="AF50" s="31"/>
      <c r="AG50" s="31"/>
    </row>
    <row r="51" spans="1:33">
      <c r="A51" s="18">
        <f>R8</f>
        <v>0</v>
      </c>
      <c r="B51" s="18">
        <f>T8</f>
        <v>0</v>
      </c>
      <c r="C51" s="18">
        <v>0</v>
      </c>
      <c r="D51" s="18" t="str">
        <f>"p"&amp;tblD4[[#This Row],[ID]]</f>
        <v>p0</v>
      </c>
      <c r="E51" s="18">
        <f>IFERROR(tblD4[[#This Row],[Ci]]/SUM(tblD4[Ci]),0)</f>
        <v>0</v>
      </c>
      <c r="F51" s="18">
        <f>IFERROR(LOG(tblD4[[#This Row],[Ci]]/SUM(tblD4[Ci]),2),0)</f>
        <v>0</v>
      </c>
      <c r="G51" s="23">
        <f>tblD4[[#This Row],[p(i|t)]]*tblD4[[#This Row],[log2 p(i|t)]]</f>
        <v>0</v>
      </c>
      <c r="H51" s="23">
        <f>tblD4[[#This Row],[p(i|t)]]^2</f>
        <v>0</v>
      </c>
      <c r="I51" s="23"/>
      <c r="K51" s="18">
        <f>IF(SUM(tblD4[Ci])&gt;0,1,0)</f>
        <v>0</v>
      </c>
      <c r="L51" s="18">
        <f>-1*(SUM(tblD4[p(i|t)*log2(i|t)]))</f>
        <v>0</v>
      </c>
      <c r="M51" s="18">
        <f>1-SUM(tblD4[p(i|t)^2])</f>
        <v>1</v>
      </c>
      <c r="N51" s="18">
        <f>1-MAX(tblD4[p(i|t)])</f>
        <v>1</v>
      </c>
      <c r="O51" s="18">
        <f>SUM(tblD4[Ci])</f>
        <v>0</v>
      </c>
      <c r="R51" t="str">
        <f>IF(tblD4Calc[Applicable],"+ "&amp;TEXT(R49,"00.000")&amp;" * "&amp;TEXT(tblD4Calc[Entropy],"00.000"),"")</f>
        <v/>
      </c>
    </row>
    <row r="52" spans="1:33">
      <c r="A52" s="18"/>
      <c r="B52" s="18">
        <f>T9</f>
        <v>0</v>
      </c>
      <c r="C52" s="18">
        <f>C51+1</f>
        <v>1</v>
      </c>
      <c r="D52" s="18" t="str">
        <f>"p"&amp;tblD4[[#This Row],[ID]]</f>
        <v>p1</v>
      </c>
      <c r="E52" s="18">
        <f>IFERROR(tblD4[[#This Row],[Ci]]/SUM(tblD4[Ci]),0)</f>
        <v>0</v>
      </c>
      <c r="F52" s="18">
        <f>IFERROR(LOG(tblD4[[#This Row],[Ci]]/SUM(tblD4[Ci]),2),0)</f>
        <v>0</v>
      </c>
      <c r="G52" s="23">
        <f>tblD4[[#This Row],[p(i|t)]]*tblD4[[#This Row],[log2 p(i|t)]]</f>
        <v>0</v>
      </c>
      <c r="H52" s="23">
        <f>tblD4[[#This Row],[p(i|t)]]^2</f>
        <v>0</v>
      </c>
      <c r="I52" s="23"/>
    </row>
  </sheetData>
  <pageMargins left="0.7" right="0.7" top="0.75" bottom="0.75" header="0.3" footer="0.3"/>
  <pageSetup paperSize="9" orientation="portrait" horizontalDpi="4294967292" verticalDpi="0" r:id="rId3"/>
  <drawing r:id="rId4"/>
  <tableParts count="11">
    <tablePart r:id="rId5"/>
    <tablePart r:id="rId6"/>
    <tablePart r:id="rId7"/>
    <tablePart r:id="rId8"/>
    <tablePart r:id="rId9"/>
    <tablePart r:id="rId10"/>
    <tablePart r:id="rId11"/>
    <tablePart r:id="rId12"/>
    <tablePart r:id="rId13"/>
    <tablePart r:id="rId14"/>
    <tablePart r:id="rId15"/>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M13"/>
  <sheetViews>
    <sheetView showGridLines="0" topLeftCell="C1" workbookViewId="0">
      <selection activeCell="S10" sqref="S10"/>
    </sheetView>
  </sheetViews>
  <sheetFormatPr defaultRowHeight="15"/>
  <cols>
    <col min="1" max="1" width="11.42578125" bestFit="1" customWidth="1"/>
    <col min="2" max="2" width="13.28515625" bestFit="1" customWidth="1"/>
    <col min="3" max="3" width="12.7109375" bestFit="1" customWidth="1"/>
    <col min="4" max="4" width="14.28515625" bestFit="1" customWidth="1"/>
    <col min="5" max="5" width="10.5703125" bestFit="1" customWidth="1"/>
    <col min="6" max="6" width="32.5703125" bestFit="1" customWidth="1"/>
    <col min="7" max="7" width="23.28515625" bestFit="1" customWidth="1"/>
    <col min="8" max="8" width="32.5703125" bestFit="1" customWidth="1"/>
    <col min="9" max="9" width="32.85546875" bestFit="1" customWidth="1"/>
    <col min="10" max="10" width="36.7109375" bestFit="1" customWidth="1"/>
    <col min="11" max="11" width="30.85546875" bestFit="1" customWidth="1"/>
    <col min="12" max="12" width="11.42578125" bestFit="1" customWidth="1"/>
    <col min="13" max="13" width="14.85546875" bestFit="1" customWidth="1"/>
  </cols>
  <sheetData>
    <row r="1" spans="1:13">
      <c r="C1" s="242" t="s">
        <v>358</v>
      </c>
      <c r="D1" s="242"/>
    </row>
    <row r="2" spans="1:13">
      <c r="C2" s="96" t="s">
        <v>141</v>
      </c>
      <c r="D2" s="96" t="s">
        <v>140</v>
      </c>
    </row>
    <row r="3" spans="1:13">
      <c r="A3" s="262" t="s">
        <v>357</v>
      </c>
      <c r="B3" s="96" t="s">
        <v>141</v>
      </c>
      <c r="C3" s="44">
        <v>6954</v>
      </c>
      <c r="D3" s="107">
        <v>46</v>
      </c>
      <c r="E3" s="104">
        <f>SUM(C3:D3)</f>
        <v>7000</v>
      </c>
      <c r="F3" s="105"/>
    </row>
    <row r="4" spans="1:13">
      <c r="A4" s="262"/>
      <c r="B4" s="96" t="s">
        <v>140</v>
      </c>
      <c r="C4" s="107">
        <v>412</v>
      </c>
      <c r="D4" s="44">
        <v>2588</v>
      </c>
      <c r="E4" s="104">
        <f>SUM(C4:D4)</f>
        <v>3000</v>
      </c>
      <c r="F4" s="105"/>
    </row>
    <row r="5" spans="1:13">
      <c r="B5" t="s">
        <v>2</v>
      </c>
      <c r="C5" s="104">
        <f>SUM(C3:C4)</f>
        <v>7366</v>
      </c>
      <c r="D5" s="104">
        <f>SUM(D3:D4)</f>
        <v>2634</v>
      </c>
      <c r="E5" s="104">
        <f>SUM(E3:E4)</f>
        <v>10000</v>
      </c>
      <c r="F5" s="106"/>
    </row>
    <row r="8" spans="1:13">
      <c r="A8" t="s">
        <v>359</v>
      </c>
      <c r="B8" t="s">
        <v>360</v>
      </c>
      <c r="C8" t="s">
        <v>361</v>
      </c>
      <c r="D8" t="s">
        <v>362</v>
      </c>
      <c r="E8" t="s">
        <v>363</v>
      </c>
      <c r="F8" s="123" t="s">
        <v>479</v>
      </c>
      <c r="G8" s="123" t="s">
        <v>14</v>
      </c>
      <c r="H8" t="s">
        <v>364</v>
      </c>
      <c r="I8" t="s">
        <v>480</v>
      </c>
      <c r="J8" s="123" t="s">
        <v>482</v>
      </c>
      <c r="K8" s="123" t="s">
        <v>483</v>
      </c>
      <c r="L8" t="s">
        <v>481</v>
      </c>
      <c r="M8" t="s">
        <v>484</v>
      </c>
    </row>
    <row r="9" spans="1:13">
      <c r="A9" s="74">
        <f>C3</f>
        <v>6954</v>
      </c>
      <c r="B9" s="74">
        <f>C4</f>
        <v>412</v>
      </c>
      <c r="C9" s="74">
        <f>D4</f>
        <v>2588</v>
      </c>
      <c r="D9" s="74">
        <f>D3</f>
        <v>46</v>
      </c>
      <c r="E9" s="74">
        <f>SUM(Table71[[#This Row],[TP]:[FN]])</f>
        <v>10000</v>
      </c>
      <c r="F9" s="137">
        <f>C3+D3</f>
        <v>7000</v>
      </c>
      <c r="G9" s="137">
        <f>C4+D4</f>
        <v>3000</v>
      </c>
      <c r="H9" s="105">
        <f>(Table71[[#This Row],[TP]]+Table71[[#This Row],[TN]])/Table71[[#This Row],[P+N]]</f>
        <v>0.95420000000000005</v>
      </c>
      <c r="I9" s="153">
        <f>(Table71[[#This Row],[FP]]+Table71[[#This Row],[FN]])/(Table71[[#This Row],[P]]+Table71[[#This Row],[N]])</f>
        <v>4.58E-2</v>
      </c>
      <c r="J9" s="153">
        <f>Table71[[#This Row],[TP]]/Table71[[#This Row],[P]]</f>
        <v>0.99342857142857144</v>
      </c>
      <c r="K9" s="153">
        <f>Table71[[#This Row],[TN]]/Table71[[#This Row],[N]]</f>
        <v>0.86266666666666669</v>
      </c>
      <c r="L9" s="105">
        <f>Table71[[#This Row],[TP]]/(Table71[[#This Row],[TP]]+Table71[[#This Row],[FP]])</f>
        <v>0.94406733641053486</v>
      </c>
      <c r="M9" s="153">
        <f>(2*Table71[[#This Row],[Precision]]*Table71[[#This Row],[Sensitivity, True Positive Rate, Recall]])/(Table71[[#This Row],[Precision]]+Table71[[#This Row],[Sensitivity, True Positive Rate, Recall]])</f>
        <v>0.96811917026312133</v>
      </c>
    </row>
    <row r="13" spans="1:13">
      <c r="K13" t="s">
        <v>707</v>
      </c>
    </row>
  </sheetData>
  <mergeCells count="2">
    <mergeCell ref="A3:A4"/>
    <mergeCell ref="C1:D1"/>
  </mergeCells>
  <pageMargins left="0.7" right="0.7" top="0.75" bottom="0.75" header="0.3" footer="0.3"/>
  <pageSetup orientation="portrait" r:id="rId1"/>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M23"/>
  <sheetViews>
    <sheetView showGridLines="0" topLeftCell="A8" workbookViewId="0">
      <selection activeCell="B22" sqref="B22:D22"/>
    </sheetView>
  </sheetViews>
  <sheetFormatPr defaultRowHeight="15"/>
  <cols>
    <col min="1" max="2" width="12.7109375" customWidth="1"/>
    <col min="3" max="3" width="15.42578125" bestFit="1" customWidth="1"/>
    <col min="4" max="4" width="19.7109375" bestFit="1" customWidth="1"/>
    <col min="6" max="6" width="19.7109375" bestFit="1" customWidth="1"/>
    <col min="7" max="7" width="11" bestFit="1" customWidth="1"/>
    <col min="8" max="8" width="12.42578125" bestFit="1" customWidth="1"/>
    <col min="9" max="9" width="12" bestFit="1" customWidth="1"/>
    <col min="10" max="10" width="11.85546875" customWidth="1"/>
    <col min="11" max="11" width="0.42578125" hidden="1" customWidth="1"/>
    <col min="12" max="13" width="9.140625" hidden="1" customWidth="1"/>
  </cols>
  <sheetData>
    <row r="1" spans="1:10">
      <c r="A1" t="s">
        <v>57</v>
      </c>
      <c r="B1" t="s">
        <v>14</v>
      </c>
      <c r="C1" t="s">
        <v>366</v>
      </c>
      <c r="D1" t="s">
        <v>367</v>
      </c>
      <c r="E1" t="s">
        <v>368</v>
      </c>
      <c r="F1" t="s">
        <v>375</v>
      </c>
      <c r="G1" t="s">
        <v>371</v>
      </c>
      <c r="H1" t="s">
        <v>372</v>
      </c>
      <c r="I1" t="s">
        <v>373</v>
      </c>
      <c r="J1" t="s">
        <v>374</v>
      </c>
    </row>
    <row r="2" spans="1:10">
      <c r="A2" t="s">
        <v>365</v>
      </c>
      <c r="B2">
        <f>COUNT(Table72[Attribute 1])</f>
        <v>5</v>
      </c>
      <c r="C2">
        <f>SUM(Table72[Attribute 1])</f>
        <v>16</v>
      </c>
      <c r="D2">
        <f>SUM(Table72[Attribute 2])</f>
        <v>30</v>
      </c>
      <c r="E2">
        <f>SUM(Table72[Attribute1 SQ])</f>
        <v>54</v>
      </c>
      <c r="F2">
        <f>SUM(Table72[Attribute 2 Square])</f>
        <v>190</v>
      </c>
      <c r="G2">
        <f>Table73[[#This Row],[LS 1]]*Table73[[#This Row],[SS 1]]/Table73[[#This Row],[N]]</f>
        <v>172.8</v>
      </c>
      <c r="H2">
        <f>Table73[[#This Row],[LS 2]]*Table73[[#This Row],[SS 2]]/Table73[[#This Row],[N]]</f>
        <v>1140</v>
      </c>
      <c r="I2">
        <f>SQRT((Table73[[#This Row],[N]]*Table73[[#This Row],[SS 1]]*Table73[[#This Row],[SS 1]])-2*Table73[[#This Row],[LS 1]]*Table73[[#This Row],[LS 1]]+Table73[[#This Row],[N]]*Table73[[#This Row],[LS 1]]*Table73[[#This Row],[SS 1]])</f>
        <v>135.60235986147143</v>
      </c>
      <c r="J2">
        <f>SQRT((Table73[[#This Row],[N]]*Table73[[#This Row],[SS 2]]*Table73[[#This Row],[SS 2]])-2*Table73[[#This Row],[LS 2]]*Table73[[#This Row],[LS 2]]+Table73[[#This Row],[N]]*Table73[[#This Row],[LS 2]]*Table73[[#This Row],[SS 2]])</f>
        <v>455.19226706964167</v>
      </c>
    </row>
    <row r="7" spans="1:10">
      <c r="C7" t="s">
        <v>555</v>
      </c>
      <c r="D7" t="s">
        <v>556</v>
      </c>
      <c r="E7" t="s">
        <v>369</v>
      </c>
      <c r="F7" t="s">
        <v>370</v>
      </c>
    </row>
    <row r="8" spans="1:10">
      <c r="C8">
        <v>3</v>
      </c>
      <c r="D8">
        <v>4</v>
      </c>
      <c r="E8">
        <f>POWER(Table72[[#This Row],[Attribute 1]],2)</f>
        <v>9</v>
      </c>
      <c r="F8">
        <f>POWER(Table72[[#This Row],[Attribute 2]],2)</f>
        <v>16</v>
      </c>
    </row>
    <row r="9" spans="1:10">
      <c r="C9">
        <v>2</v>
      </c>
      <c r="D9">
        <v>6</v>
      </c>
      <c r="E9">
        <f>POWER(Table72[[#This Row],[Attribute 1]],2)</f>
        <v>4</v>
      </c>
      <c r="F9">
        <f>POWER(Table72[[#This Row],[Attribute 2]],2)</f>
        <v>36</v>
      </c>
    </row>
    <row r="10" spans="1:10">
      <c r="C10">
        <v>4</v>
      </c>
      <c r="D10">
        <v>5</v>
      </c>
      <c r="E10">
        <f>POWER(Table72[[#This Row],[Attribute 1]],2)</f>
        <v>16</v>
      </c>
      <c r="F10">
        <f>POWER(Table72[[#This Row],[Attribute 2]],2)</f>
        <v>25</v>
      </c>
    </row>
    <row r="11" spans="1:10">
      <c r="C11">
        <v>4</v>
      </c>
      <c r="D11">
        <v>7</v>
      </c>
      <c r="E11">
        <f>POWER(Table72[[#This Row],[Attribute 1]],2)</f>
        <v>16</v>
      </c>
      <c r="F11">
        <f>POWER(Table72[[#This Row],[Attribute 2]],2)</f>
        <v>49</v>
      </c>
    </row>
    <row r="12" spans="1:10">
      <c r="C12">
        <v>3</v>
      </c>
      <c r="D12">
        <v>8</v>
      </c>
      <c r="E12">
        <f>POWER(Table72[[#This Row],[Attribute 1]],2)</f>
        <v>9</v>
      </c>
      <c r="F12">
        <f>POWER(Table72[[#This Row],[Attribute 2]],2)</f>
        <v>64</v>
      </c>
    </row>
    <row r="17" spans="1:13">
      <c r="D17" s="115" t="s">
        <v>230</v>
      </c>
    </row>
    <row r="21" spans="1:13" ht="30">
      <c r="A21" s="143" t="s">
        <v>545</v>
      </c>
      <c r="B21" s="143" t="s">
        <v>226</v>
      </c>
      <c r="C21" s="143" t="s">
        <v>546</v>
      </c>
      <c r="D21" s="143" t="s">
        <v>547</v>
      </c>
      <c r="E21" s="163" t="s">
        <v>548</v>
      </c>
      <c r="F21" s="263" t="s">
        <v>554</v>
      </c>
      <c r="G21" s="263"/>
      <c r="H21" s="263"/>
      <c r="I21" s="164" t="s">
        <v>549</v>
      </c>
      <c r="J21" s="165" t="s">
        <v>557</v>
      </c>
      <c r="K21" s="166">
        <v>3</v>
      </c>
      <c r="L21" s="143" t="s">
        <v>550</v>
      </c>
      <c r="M21" s="166">
        <v>5</v>
      </c>
    </row>
    <row r="22" spans="1:13">
      <c r="A22" s="143">
        <v>2</v>
      </c>
      <c r="B22" s="166">
        <v>2</v>
      </c>
      <c r="C22" s="166">
        <v>22</v>
      </c>
      <c r="D22" s="166">
        <v>244</v>
      </c>
      <c r="E22" s="143">
        <f>C22/B22</f>
        <v>11</v>
      </c>
      <c r="F22" s="143" t="s">
        <v>551</v>
      </c>
      <c r="G22" s="143" t="s">
        <v>552</v>
      </c>
      <c r="H22" s="143" t="s">
        <v>553</v>
      </c>
      <c r="I22" s="143"/>
      <c r="J22" s="143"/>
      <c r="K22" s="143"/>
      <c r="L22" s="143"/>
      <c r="M22" s="143"/>
    </row>
    <row r="23" spans="1:13">
      <c r="A23" s="166">
        <v>11</v>
      </c>
      <c r="B23" s="143">
        <f>B22+1</f>
        <v>3</v>
      </c>
      <c r="C23" s="143">
        <f>A23+C22</f>
        <v>33</v>
      </c>
      <c r="D23" s="143">
        <f>POWER(A23,2)+D22</f>
        <v>365</v>
      </c>
      <c r="E23" s="143">
        <f>C23/B23</f>
        <v>11</v>
      </c>
      <c r="F23" s="143">
        <f>(2*B23*D23)</f>
        <v>2190</v>
      </c>
      <c r="G23" s="143">
        <f>2*POWER(C23,2)</f>
        <v>2178</v>
      </c>
      <c r="H23" s="143">
        <f>SQRT((F23-G23)/(B23*(B23-1)))</f>
        <v>1.4142135623730951</v>
      </c>
      <c r="I23" s="143" t="str">
        <f>IF(H23&gt;M21,"Divide","Merge")</f>
        <v>Merge</v>
      </c>
      <c r="J23" s="143"/>
      <c r="K23" s="143"/>
      <c r="L23" s="143"/>
      <c r="M23" s="143"/>
    </row>
  </sheetData>
  <mergeCells count="1">
    <mergeCell ref="F21:H21"/>
  </mergeCells>
  <phoneticPr fontId="9" type="noConversion"/>
  <pageMargins left="0.7" right="0.7" top="0.75" bottom="0.75" header="0.3" footer="0.3"/>
  <pageSetup orientation="portrait" r:id="rId1"/>
  <drawing r:id="rId2"/>
  <tableParts count="2">
    <tablePart r:id="rId3"/>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E5"/>
  <sheetViews>
    <sheetView showGridLines="0" workbookViewId="0">
      <selection activeCell="C19" sqref="C19"/>
    </sheetView>
  </sheetViews>
  <sheetFormatPr defaultRowHeight="15"/>
  <cols>
    <col min="1" max="1" width="22.28515625" bestFit="1" customWidth="1"/>
    <col min="3" max="3" width="32.42578125" customWidth="1"/>
    <col min="4" max="4" width="39.5703125" customWidth="1"/>
    <col min="5" max="5" width="44.140625" bestFit="1" customWidth="1"/>
  </cols>
  <sheetData>
    <row r="1" spans="1:5">
      <c r="A1" s="265" t="s">
        <v>32</v>
      </c>
      <c r="B1" s="265"/>
      <c r="C1" s="8" t="s">
        <v>33</v>
      </c>
      <c r="D1" s="8" t="s">
        <v>34</v>
      </c>
      <c r="E1" s="8" t="s">
        <v>35</v>
      </c>
    </row>
    <row r="2" spans="1:5" ht="30">
      <c r="A2" s="264" t="s">
        <v>48</v>
      </c>
      <c r="B2" s="6" t="s">
        <v>27</v>
      </c>
      <c r="C2" s="7" t="s">
        <v>38</v>
      </c>
      <c r="D2" s="7" t="s">
        <v>36</v>
      </c>
      <c r="E2" s="7" t="s">
        <v>37</v>
      </c>
    </row>
    <row r="3" spans="1:5" ht="30">
      <c r="A3" s="264"/>
      <c r="B3" s="6" t="s">
        <v>28</v>
      </c>
      <c r="C3" s="7" t="s">
        <v>40</v>
      </c>
      <c r="D3" s="7" t="s">
        <v>39</v>
      </c>
      <c r="E3" s="7" t="s">
        <v>41</v>
      </c>
    </row>
    <row r="4" spans="1:5" ht="45">
      <c r="A4" s="264" t="s">
        <v>31</v>
      </c>
      <c r="B4" s="6" t="s">
        <v>29</v>
      </c>
      <c r="C4" s="7" t="s">
        <v>43</v>
      </c>
      <c r="D4" s="7" t="s">
        <v>42</v>
      </c>
      <c r="E4" s="7" t="s">
        <v>47</v>
      </c>
    </row>
    <row r="5" spans="1:5" ht="45">
      <c r="A5" s="264"/>
      <c r="B5" s="6" t="s">
        <v>30</v>
      </c>
      <c r="C5" s="7" t="s">
        <v>44</v>
      </c>
      <c r="D5" s="7" t="s">
        <v>45</v>
      </c>
      <c r="E5" s="7" t="s">
        <v>46</v>
      </c>
    </row>
  </sheetData>
  <mergeCells count="3">
    <mergeCell ref="A4:A5"/>
    <mergeCell ref="A2:A3"/>
    <mergeCell ref="A1:B1"/>
  </mergeCells>
  <pageMargins left="0.7" right="0.7" top="0.75" bottom="0.75" header="0.3" footer="0.3"/>
  <pageSetup orientation="portrait" horizontalDpi="4294967293"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2"/>
  <sheetViews>
    <sheetView topLeftCell="A55" workbookViewId="0">
      <selection activeCell="L32" sqref="L32"/>
    </sheetView>
  </sheetViews>
  <sheetFormatPr defaultColWidth="9.140625" defaultRowHeight="15"/>
  <cols>
    <col min="1" max="1" width="9.140625" style="123"/>
    <col min="2" max="2" width="25.42578125" style="123" customWidth="1"/>
    <col min="3" max="3" width="15.5703125" style="123" customWidth="1"/>
    <col min="4" max="4" width="18.140625" style="123" customWidth="1"/>
    <col min="5" max="16384" width="9.140625" style="123"/>
  </cols>
  <sheetData>
    <row r="1" spans="1:4">
      <c r="A1" s="123" t="s">
        <v>517</v>
      </c>
      <c r="B1" s="123" t="s">
        <v>518</v>
      </c>
      <c r="C1" s="123" t="s">
        <v>12</v>
      </c>
      <c r="D1" s="123" t="s">
        <v>13</v>
      </c>
    </row>
    <row r="2" spans="1:4">
      <c r="A2" s="123">
        <v>10</v>
      </c>
      <c r="B2" s="123">
        <v>1.0455100000399301E-2</v>
      </c>
      <c r="C2" s="123">
        <f>LOG10(A2)</f>
        <v>1</v>
      </c>
      <c r="D2" s="123">
        <f>LOG10(B2)</f>
        <v>-1.9806718089090634</v>
      </c>
    </row>
    <row r="3" spans="1:4">
      <c r="A3" s="123">
        <v>11</v>
      </c>
      <c r="B3" s="123">
        <v>1.58042000002751E-2</v>
      </c>
      <c r="C3" s="123">
        <f t="shared" ref="C3:D66" si="0">LOG10(A3)</f>
        <v>1.0413926851582251</v>
      </c>
      <c r="D3" s="123">
        <f t="shared" si="0"/>
        <v>-1.8012274830106965</v>
      </c>
    </row>
    <row r="4" spans="1:4">
      <c r="A4" s="123">
        <v>12</v>
      </c>
      <c r="B4" s="123">
        <v>2.0208300000376701E-2</v>
      </c>
      <c r="C4" s="123">
        <f t="shared" si="0"/>
        <v>1.0791812460476249</v>
      </c>
      <c r="D4" s="123">
        <f t="shared" si="0"/>
        <v>-1.6944702194638694</v>
      </c>
    </row>
    <row r="5" spans="1:4">
      <c r="A5" s="123">
        <v>13</v>
      </c>
      <c r="B5" s="123">
        <v>2.93187999996007E-2</v>
      </c>
      <c r="C5" s="123">
        <f t="shared" si="0"/>
        <v>1.1139433523068367</v>
      </c>
      <c r="D5" s="123">
        <f t="shared" si="0"/>
        <v>-1.5328538090724102</v>
      </c>
    </row>
    <row r="6" spans="1:4">
      <c r="A6" s="123">
        <v>14</v>
      </c>
      <c r="B6" s="123">
        <v>3.6358600000312401E-2</v>
      </c>
      <c r="C6" s="123">
        <f t="shared" si="0"/>
        <v>1.146128035678238</v>
      </c>
      <c r="D6" s="123">
        <f t="shared" si="0"/>
        <v>-1.439392847778032</v>
      </c>
    </row>
    <row r="7" spans="1:4">
      <c r="A7" s="123">
        <v>15</v>
      </c>
      <c r="B7" s="123">
        <v>5.7693300000210002E-2</v>
      </c>
      <c r="C7" s="123">
        <f t="shared" si="0"/>
        <v>1.1760912590556813</v>
      </c>
      <c r="D7" s="123">
        <f t="shared" si="0"/>
        <v>-1.2388746191127074</v>
      </c>
    </row>
    <row r="8" spans="1:4">
      <c r="A8" s="123">
        <v>16</v>
      </c>
      <c r="B8" s="123">
        <v>7.4230399999578298E-2</v>
      </c>
      <c r="C8" s="123">
        <f t="shared" si="0"/>
        <v>1.2041199826559248</v>
      </c>
      <c r="D8" s="123">
        <f t="shared" si="0"/>
        <v>-1.1294181991921413</v>
      </c>
    </row>
    <row r="9" spans="1:4">
      <c r="A9" s="123">
        <v>17</v>
      </c>
      <c r="B9" s="123">
        <v>8.7154799999552696E-2</v>
      </c>
      <c r="C9" s="123">
        <f t="shared" si="0"/>
        <v>1.2304489213782739</v>
      </c>
      <c r="D9" s="123">
        <f t="shared" si="0"/>
        <v>-1.0597086893811436</v>
      </c>
    </row>
    <row r="10" spans="1:4">
      <c r="A10" s="123">
        <v>18</v>
      </c>
      <c r="B10" s="123">
        <v>0.105012600000009</v>
      </c>
      <c r="C10" s="123">
        <f t="shared" si="0"/>
        <v>1.255272505103306</v>
      </c>
      <c r="D10" s="123">
        <f t="shared" si="0"/>
        <v>-0.97875858871886645</v>
      </c>
    </row>
    <row r="11" spans="1:4">
      <c r="A11" s="123">
        <v>19</v>
      </c>
      <c r="B11" s="123">
        <v>0.12707959999988799</v>
      </c>
      <c r="C11" s="123">
        <f t="shared" si="0"/>
        <v>1.2787536009528289</v>
      </c>
      <c r="D11" s="123">
        <f t="shared" si="0"/>
        <v>-0.89592416084296067</v>
      </c>
    </row>
    <row r="12" spans="1:4">
      <c r="A12" s="123">
        <v>20</v>
      </c>
      <c r="B12" s="123">
        <v>0.17705229999955899</v>
      </c>
      <c r="C12" s="123">
        <f t="shared" si="0"/>
        <v>1.3010299956639813</v>
      </c>
      <c r="D12" s="123">
        <f t="shared" si="0"/>
        <v>-0.75189842716269673</v>
      </c>
    </row>
    <row r="13" spans="1:4">
      <c r="A13" s="123">
        <v>21</v>
      </c>
      <c r="B13" s="123">
        <v>0.19310959999984301</v>
      </c>
      <c r="C13" s="123">
        <f t="shared" si="0"/>
        <v>1.3222192947339193</v>
      </c>
      <c r="D13" s="123">
        <f t="shared" si="0"/>
        <v>-0.71419613573212981</v>
      </c>
    </row>
    <row r="14" spans="1:4">
      <c r="A14" s="123">
        <v>22</v>
      </c>
      <c r="B14" s="123">
        <v>0.22465869999996299</v>
      </c>
      <c r="C14" s="123">
        <f t="shared" si="0"/>
        <v>1.3424226808222062</v>
      </c>
      <c r="D14" s="123">
        <f t="shared" si="0"/>
        <v>-0.64847675851401732</v>
      </c>
    </row>
    <row r="15" spans="1:4">
      <c r="A15" s="123">
        <v>23</v>
      </c>
      <c r="B15" s="123">
        <v>0.28427749999991597</v>
      </c>
      <c r="C15" s="123">
        <f t="shared" si="0"/>
        <v>1.3617278360175928</v>
      </c>
      <c r="D15" s="123">
        <f t="shared" si="0"/>
        <v>-0.5462575124958805</v>
      </c>
    </row>
    <row r="16" spans="1:4">
      <c r="A16" s="123">
        <v>24</v>
      </c>
      <c r="B16" s="123">
        <v>0.32680580000032899</v>
      </c>
      <c r="C16" s="123">
        <f t="shared" si="0"/>
        <v>1.3802112417116059</v>
      </c>
      <c r="D16" s="123">
        <f t="shared" si="0"/>
        <v>-0.48571024441078009</v>
      </c>
    </row>
    <row r="17" spans="1:4">
      <c r="A17" s="123">
        <v>25</v>
      </c>
      <c r="B17" s="123">
        <v>0.38256220000039298</v>
      </c>
      <c r="C17" s="123">
        <f t="shared" si="0"/>
        <v>1.3979400086720377</v>
      </c>
      <c r="D17" s="123">
        <f t="shared" si="0"/>
        <v>-0.41729794372389956</v>
      </c>
    </row>
    <row r="18" spans="1:4">
      <c r="A18" s="123">
        <v>26</v>
      </c>
      <c r="B18" s="123">
        <v>0.54766120000022001</v>
      </c>
      <c r="C18" s="123">
        <f t="shared" si="0"/>
        <v>1.414973347970818</v>
      </c>
      <c r="D18" s="123">
        <f t="shared" si="0"/>
        <v>-0.26148802632097562</v>
      </c>
    </row>
    <row r="19" spans="1:4">
      <c r="A19" s="123">
        <v>27</v>
      </c>
      <c r="B19" s="123">
        <v>0.69033960000069705</v>
      </c>
      <c r="C19" s="123">
        <f t="shared" si="0"/>
        <v>1.4313637641589874</v>
      </c>
      <c r="D19" s="123">
        <f t="shared" si="0"/>
        <v>-0.1609372134311787</v>
      </c>
    </row>
    <row r="20" spans="1:4">
      <c r="A20" s="123">
        <v>28</v>
      </c>
      <c r="B20" s="123">
        <v>0.71915609999996299</v>
      </c>
      <c r="C20" s="123">
        <f t="shared" si="0"/>
        <v>1.4471580313422192</v>
      </c>
      <c r="D20" s="123">
        <f t="shared" si="0"/>
        <v>-0.14317683143844784</v>
      </c>
    </row>
    <row r="21" spans="1:4">
      <c r="A21" s="123">
        <v>29</v>
      </c>
      <c r="B21" s="123">
        <v>0.81060220000017502</v>
      </c>
      <c r="C21" s="123">
        <f t="shared" si="0"/>
        <v>1.4623979978989561</v>
      </c>
      <c r="D21" s="123">
        <f t="shared" si="0"/>
        <v>-9.1192221903677317E-2</v>
      </c>
    </row>
    <row r="22" spans="1:4">
      <c r="A22" s="123">
        <v>30</v>
      </c>
      <c r="B22" s="123">
        <v>0.88011540000024902</v>
      </c>
      <c r="C22" s="123">
        <f t="shared" si="0"/>
        <v>1.4771212547196624</v>
      </c>
      <c r="D22" s="123">
        <f t="shared" si="0"/>
        <v>-5.5460379784503855E-2</v>
      </c>
    </row>
    <row r="23" spans="1:4">
      <c r="A23" s="123">
        <v>31</v>
      </c>
      <c r="B23" s="123">
        <v>0.95421220000025597</v>
      </c>
      <c r="C23" s="123">
        <f t="shared" si="0"/>
        <v>1.4913616938342726</v>
      </c>
      <c r="D23" s="123">
        <f t="shared" si="0"/>
        <v>-2.0355035105829689E-2</v>
      </c>
    </row>
    <row r="24" spans="1:4">
      <c r="A24" s="123">
        <v>32</v>
      </c>
      <c r="B24" s="123">
        <v>1.0639311999993799</v>
      </c>
      <c r="C24" s="123">
        <f t="shared" si="0"/>
        <v>1.505149978319906</v>
      </c>
      <c r="D24" s="123">
        <f t="shared" si="0"/>
        <v>2.6913544851234664E-2</v>
      </c>
    </row>
    <row r="25" spans="1:4">
      <c r="A25" s="123">
        <v>33</v>
      </c>
      <c r="B25" s="123">
        <v>1.0954550999995201</v>
      </c>
      <c r="C25" s="123">
        <f t="shared" si="0"/>
        <v>1.5185139398778875</v>
      </c>
      <c r="D25" s="123">
        <f t="shared" si="0"/>
        <v>3.9594581602734873E-2</v>
      </c>
    </row>
    <row r="26" spans="1:4">
      <c r="A26" s="123">
        <v>34</v>
      </c>
      <c r="B26" s="123">
        <v>1.2431056999994301</v>
      </c>
      <c r="C26" s="123">
        <f t="shared" si="0"/>
        <v>1.5314789170422551</v>
      </c>
      <c r="D26" s="123">
        <f t="shared" si="0"/>
        <v>9.4508057824919098E-2</v>
      </c>
    </row>
    <row r="27" spans="1:4">
      <c r="A27" s="123">
        <v>35</v>
      </c>
      <c r="B27" s="123">
        <v>1.3871492999996899</v>
      </c>
      <c r="C27" s="123">
        <f t="shared" si="0"/>
        <v>1.5440680443502757</v>
      </c>
      <c r="D27" s="123">
        <f t="shared" si="0"/>
        <v>0.14212320705489162</v>
      </c>
    </row>
    <row r="28" spans="1:4">
      <c r="A28" s="123">
        <v>36</v>
      </c>
      <c r="B28" s="123">
        <v>1.54233859999931</v>
      </c>
      <c r="C28" s="123">
        <f t="shared" si="0"/>
        <v>1.5563025007672873</v>
      </c>
      <c r="D28" s="123">
        <f t="shared" si="0"/>
        <v>0.18817972778006159</v>
      </c>
    </row>
    <row r="29" spans="1:4">
      <c r="A29" s="123">
        <v>37</v>
      </c>
      <c r="B29" s="123">
        <v>1.92267100000026</v>
      </c>
      <c r="C29" s="123">
        <f t="shared" si="0"/>
        <v>1.568201724066995</v>
      </c>
      <c r="D29" s="123">
        <f t="shared" si="0"/>
        <v>0.28390497580971319</v>
      </c>
    </row>
    <row r="30" spans="1:4">
      <c r="A30" s="123">
        <v>38</v>
      </c>
      <c r="B30" s="123">
        <v>1.96385720000034</v>
      </c>
      <c r="C30" s="123">
        <f t="shared" si="0"/>
        <v>1.5797835966168101</v>
      </c>
      <c r="D30" s="123">
        <f t="shared" si="0"/>
        <v>0.29310990529075975</v>
      </c>
    </row>
    <row r="31" spans="1:4">
      <c r="A31" s="123">
        <v>39</v>
      </c>
      <c r="B31" s="123">
        <v>2.2148362999996598</v>
      </c>
      <c r="C31" s="123">
        <f t="shared" si="0"/>
        <v>1.5910646070264991</v>
      </c>
      <c r="D31" s="123">
        <f t="shared" si="0"/>
        <v>0.34534163275589519</v>
      </c>
    </row>
    <row r="32" spans="1:4">
      <c r="A32" s="123">
        <v>40</v>
      </c>
      <c r="B32" s="123">
        <v>2.4084652000001299</v>
      </c>
      <c r="C32" s="123">
        <f t="shared" si="0"/>
        <v>1.6020599913279623</v>
      </c>
      <c r="D32" s="123">
        <f t="shared" si="0"/>
        <v>0.38174037555927548</v>
      </c>
    </row>
    <row r="33" spans="1:4">
      <c r="A33" s="123">
        <v>41</v>
      </c>
      <c r="B33" s="123">
        <v>2.8803170999999499</v>
      </c>
      <c r="C33" s="123">
        <f t="shared" si="0"/>
        <v>1.6127838567197355</v>
      </c>
      <c r="D33" s="123">
        <f t="shared" si="0"/>
        <v>0.45944030275897413</v>
      </c>
    </row>
    <row r="34" spans="1:4">
      <c r="A34" s="123">
        <v>42</v>
      </c>
      <c r="B34" s="123">
        <v>2.92952559999957</v>
      </c>
      <c r="C34" s="123">
        <f t="shared" si="0"/>
        <v>1.6232492903979006</v>
      </c>
      <c r="D34" s="123">
        <f t="shared" si="0"/>
        <v>0.46679729749286902</v>
      </c>
    </row>
    <row r="35" spans="1:4">
      <c r="A35" s="123">
        <v>43</v>
      </c>
      <c r="B35" s="123">
        <v>3.2111270999994299</v>
      </c>
      <c r="C35" s="123">
        <f t="shared" si="0"/>
        <v>1.6334684555795864</v>
      </c>
      <c r="D35" s="123">
        <f t="shared" si="0"/>
        <v>0.50665749576767727</v>
      </c>
    </row>
    <row r="36" spans="1:4">
      <c r="A36" s="123">
        <v>44</v>
      </c>
      <c r="B36" s="123">
        <v>3.3850496000004502</v>
      </c>
      <c r="C36" s="123">
        <f t="shared" si="0"/>
        <v>1.6434526764861874</v>
      </c>
      <c r="D36" s="123">
        <f t="shared" si="0"/>
        <v>0.52956503663968024</v>
      </c>
    </row>
    <row r="37" spans="1:4">
      <c r="A37" s="123">
        <v>45</v>
      </c>
      <c r="B37" s="123">
        <v>3.7840629000002002</v>
      </c>
      <c r="C37" s="123">
        <f t="shared" si="0"/>
        <v>1.6532125137753437</v>
      </c>
      <c r="D37" s="123">
        <f t="shared" si="0"/>
        <v>0.57795834678259872</v>
      </c>
    </row>
    <row r="38" spans="1:4">
      <c r="A38" s="123">
        <v>46</v>
      </c>
      <c r="B38" s="123">
        <v>4.0295765999999196</v>
      </c>
      <c r="C38" s="123">
        <f t="shared" si="0"/>
        <v>1.6627578316815741</v>
      </c>
      <c r="D38" s="123">
        <f t="shared" si="0"/>
        <v>0.60525941588210996</v>
      </c>
    </row>
    <row r="39" spans="1:4">
      <c r="A39" s="123">
        <v>47</v>
      </c>
      <c r="B39" s="123">
        <v>4.5188685000002797</v>
      </c>
      <c r="C39" s="123">
        <f t="shared" si="0"/>
        <v>1.6720978579357175</v>
      </c>
      <c r="D39" s="123">
        <f t="shared" si="0"/>
        <v>0.65502970345662925</v>
      </c>
    </row>
    <row r="40" spans="1:4">
      <c r="A40" s="123">
        <v>48</v>
      </c>
      <c r="B40" s="123">
        <v>5.1512775999999496</v>
      </c>
      <c r="C40" s="123">
        <f t="shared" si="0"/>
        <v>1.6812412373755872</v>
      </c>
      <c r="D40" s="123">
        <f t="shared" si="0"/>
        <v>0.71191495444272812</v>
      </c>
    </row>
    <row r="41" spans="1:4">
      <c r="A41" s="123">
        <v>49</v>
      </c>
      <c r="B41" s="123">
        <v>6.5415634999999304</v>
      </c>
      <c r="C41" s="123">
        <f t="shared" si="0"/>
        <v>1.6901960800285136</v>
      </c>
      <c r="D41" s="123">
        <f t="shared" si="0"/>
        <v>0.81568156151535243</v>
      </c>
    </row>
    <row r="42" spans="1:4">
      <c r="A42" s="123">
        <v>50</v>
      </c>
      <c r="B42" s="123">
        <v>6.7365285000005297</v>
      </c>
      <c r="C42" s="123">
        <f t="shared" si="0"/>
        <v>1.6989700043360187</v>
      </c>
      <c r="D42" s="123">
        <f t="shared" si="0"/>
        <v>0.82843615147708105</v>
      </c>
    </row>
    <row r="43" spans="1:4">
      <c r="A43" s="123">
        <v>51</v>
      </c>
      <c r="B43" s="123">
        <v>6.9641454000002296</v>
      </c>
      <c r="C43" s="123">
        <f t="shared" si="0"/>
        <v>1.7075701760979363</v>
      </c>
      <c r="D43" s="123">
        <f t="shared" si="0"/>
        <v>0.84286782990057318</v>
      </c>
    </row>
    <row r="44" spans="1:4">
      <c r="A44" s="123">
        <v>52</v>
      </c>
      <c r="B44" s="123">
        <v>7.3326062000005496</v>
      </c>
      <c r="C44" s="123">
        <f t="shared" si="0"/>
        <v>1.7160033436347992</v>
      </c>
      <c r="D44" s="123">
        <f t="shared" si="0"/>
        <v>0.86525836169557868</v>
      </c>
    </row>
    <row r="45" spans="1:4">
      <c r="A45" s="123">
        <v>53</v>
      </c>
      <c r="B45" s="123">
        <v>8.0845903999997901</v>
      </c>
      <c r="C45" s="123">
        <f t="shared" si="0"/>
        <v>1.7242758696007889</v>
      </c>
      <c r="D45" s="123">
        <f t="shared" si="0"/>
        <v>0.9076580215799509</v>
      </c>
    </row>
    <row r="46" spans="1:4">
      <c r="A46" s="123">
        <v>54</v>
      </c>
      <c r="B46" s="123">
        <v>8.5915423999995202</v>
      </c>
      <c r="C46" s="123">
        <f t="shared" si="0"/>
        <v>1.7323937598229686</v>
      </c>
      <c r="D46" s="123">
        <f t="shared" si="0"/>
        <v>0.93407113771680905</v>
      </c>
    </row>
    <row r="47" spans="1:4">
      <c r="A47" s="123">
        <v>55</v>
      </c>
      <c r="B47" s="123">
        <v>9.2517305999999699</v>
      </c>
      <c r="C47" s="123">
        <f t="shared" si="0"/>
        <v>1.7403626894942439</v>
      </c>
      <c r="D47" s="123">
        <f t="shared" si="0"/>
        <v>0.96622297811535007</v>
      </c>
    </row>
    <row r="48" spans="1:4">
      <c r="A48" s="123">
        <v>56</v>
      </c>
      <c r="B48" s="123">
        <v>9.4721816000001091</v>
      </c>
      <c r="C48" s="123">
        <f t="shared" si="0"/>
        <v>1.7481880270062005</v>
      </c>
      <c r="D48" s="123">
        <f t="shared" si="0"/>
        <v>0.97645001572195389</v>
      </c>
    </row>
    <row r="49" spans="1:4">
      <c r="A49" s="123">
        <v>57</v>
      </c>
      <c r="B49" s="123">
        <v>9.55313039999964</v>
      </c>
      <c r="C49" s="123">
        <f t="shared" si="0"/>
        <v>1.7558748556724915</v>
      </c>
      <c r="D49" s="123">
        <f t="shared" si="0"/>
        <v>0.98014570589542149</v>
      </c>
    </row>
    <row r="50" spans="1:4">
      <c r="A50" s="123">
        <v>58</v>
      </c>
      <c r="B50" s="123">
        <v>10.3904874999998</v>
      </c>
      <c r="C50" s="123">
        <f t="shared" si="0"/>
        <v>1.7634279935629373</v>
      </c>
      <c r="D50" s="123">
        <f t="shared" si="0"/>
        <v>1.0166359242263849</v>
      </c>
    </row>
    <row r="51" spans="1:4">
      <c r="A51" s="123">
        <v>59</v>
      </c>
      <c r="B51" s="123">
        <v>10.797367899999699</v>
      </c>
      <c r="C51" s="123">
        <f t="shared" si="0"/>
        <v>1.7708520116421442</v>
      </c>
      <c r="D51" s="123">
        <f t="shared" si="0"/>
        <v>1.0333178993921792</v>
      </c>
    </row>
    <row r="52" spans="1:4">
      <c r="A52" s="123">
        <v>60</v>
      </c>
      <c r="B52" s="123">
        <v>12.826326399999701</v>
      </c>
      <c r="C52" s="123">
        <f t="shared" si="0"/>
        <v>1.7781512503836436</v>
      </c>
      <c r="D52" s="123">
        <f t="shared" si="0"/>
        <v>1.1081022875003765</v>
      </c>
    </row>
    <row r="53" spans="1:4">
      <c r="A53" s="123">
        <v>61</v>
      </c>
      <c r="B53" s="123">
        <v>13.661923200000199</v>
      </c>
      <c r="C53" s="123">
        <f t="shared" si="0"/>
        <v>1.7853298350107671</v>
      </c>
      <c r="D53" s="123">
        <f t="shared" si="0"/>
        <v>1.1355118396351593</v>
      </c>
    </row>
    <row r="54" spans="1:4">
      <c r="A54" s="123">
        <v>62</v>
      </c>
      <c r="B54" s="123">
        <v>13.9474032999996</v>
      </c>
      <c r="C54" s="123">
        <f t="shared" si="0"/>
        <v>1.7923916894982539</v>
      </c>
      <c r="D54" s="123">
        <f t="shared" si="0"/>
        <v>1.1444933590465827</v>
      </c>
    </row>
    <row r="55" spans="1:4">
      <c r="A55" s="123">
        <v>63</v>
      </c>
      <c r="B55" s="123">
        <v>15.320294299999601</v>
      </c>
      <c r="C55" s="123">
        <f t="shared" si="0"/>
        <v>1.7993405494535817</v>
      </c>
      <c r="D55" s="123">
        <f t="shared" si="0"/>
        <v>1.185267108092813</v>
      </c>
    </row>
    <row r="56" spans="1:4">
      <c r="A56" s="123">
        <v>64</v>
      </c>
      <c r="B56" s="123">
        <v>15.7506256999995</v>
      </c>
      <c r="C56" s="123">
        <f t="shared" si="0"/>
        <v>1.8061799739838871</v>
      </c>
      <c r="D56" s="123">
        <f t="shared" si="0"/>
        <v>1.1972978109928947</v>
      </c>
    </row>
    <row r="57" spans="1:4">
      <c r="A57" s="123">
        <v>65</v>
      </c>
      <c r="B57" s="123">
        <v>17.959882299999599</v>
      </c>
      <c r="C57" s="123">
        <f t="shared" si="0"/>
        <v>1.8129133566428555</v>
      </c>
      <c r="D57" s="123">
        <f t="shared" si="0"/>
        <v>1.2543034861938585</v>
      </c>
    </row>
    <row r="58" spans="1:4">
      <c r="A58" s="123">
        <v>66</v>
      </c>
      <c r="B58" s="123">
        <v>18.0512455999996</v>
      </c>
      <c r="C58" s="123">
        <f t="shared" si="0"/>
        <v>1.8195439355418688</v>
      </c>
      <c r="D58" s="123">
        <f t="shared" si="0"/>
        <v>1.2565071751359744</v>
      </c>
    </row>
    <row r="59" spans="1:4">
      <c r="A59" s="123">
        <v>67</v>
      </c>
      <c r="B59" s="123">
        <v>18.652361200000001</v>
      </c>
      <c r="C59" s="123">
        <f t="shared" si="0"/>
        <v>1.8260748027008264</v>
      </c>
      <c r="D59" s="123">
        <f t="shared" si="0"/>
        <v>1.2707338169072668</v>
      </c>
    </row>
    <row r="60" spans="1:4">
      <c r="A60" s="123">
        <v>68</v>
      </c>
      <c r="B60" s="123">
        <v>19.3787114999995</v>
      </c>
      <c r="C60" s="123">
        <f t="shared" si="0"/>
        <v>1.8325089127062364</v>
      </c>
      <c r="D60" s="123">
        <f t="shared" si="0"/>
        <v>1.2873248972223115</v>
      </c>
    </row>
    <row r="61" spans="1:4">
      <c r="A61" s="123">
        <v>69</v>
      </c>
      <c r="B61" s="123">
        <v>20.887546699999799</v>
      </c>
      <c r="C61" s="123">
        <f t="shared" si="0"/>
        <v>1.8388490907372552</v>
      </c>
      <c r="D61" s="123">
        <f t="shared" si="0"/>
        <v>1.3198874338902948</v>
      </c>
    </row>
    <row r="62" spans="1:4">
      <c r="A62" s="123">
        <v>70</v>
      </c>
      <c r="B62" s="123">
        <v>21.749499000000402</v>
      </c>
      <c r="C62" s="123">
        <f t="shared" si="0"/>
        <v>1.8450980400142569</v>
      </c>
      <c r="D62" s="123">
        <f t="shared" si="0"/>
        <v>1.3374492574266912</v>
      </c>
    </row>
    <row r="63" spans="1:4">
      <c r="A63" s="123">
        <v>71</v>
      </c>
      <c r="B63" s="123">
        <v>25.387338200000102</v>
      </c>
      <c r="C63" s="123">
        <f t="shared" si="0"/>
        <v>1.8512583487190752</v>
      </c>
      <c r="D63" s="123">
        <f t="shared" si="0"/>
        <v>1.4046171685518667</v>
      </c>
    </row>
    <row r="64" spans="1:4">
      <c r="A64" s="123">
        <v>72</v>
      </c>
      <c r="B64" s="123">
        <v>26.083465899999201</v>
      </c>
      <c r="C64" s="123">
        <f t="shared" si="0"/>
        <v>1.8573324964312685</v>
      </c>
      <c r="D64" s="123">
        <f t="shared" si="0"/>
        <v>1.4163652987636863</v>
      </c>
    </row>
    <row r="65" spans="1:4">
      <c r="A65" s="123">
        <v>73</v>
      </c>
      <c r="B65" s="123">
        <v>28.258395100000499</v>
      </c>
      <c r="C65" s="123">
        <f t="shared" si="0"/>
        <v>1.8633228601204559</v>
      </c>
      <c r="D65" s="123">
        <f t="shared" si="0"/>
        <v>1.4511474930041883</v>
      </c>
    </row>
    <row r="66" spans="1:4">
      <c r="A66" s="123">
        <v>74</v>
      </c>
      <c r="B66" s="123">
        <v>29.3390440000002</v>
      </c>
      <c r="C66" s="123">
        <f t="shared" si="0"/>
        <v>1.8692317197309762</v>
      </c>
      <c r="D66" s="123">
        <f t="shared" si="0"/>
        <v>1.4674459584408406</v>
      </c>
    </row>
    <row r="67" spans="1:4">
      <c r="A67" s="123">
        <v>75</v>
      </c>
      <c r="B67" s="123">
        <v>29.832584399999998</v>
      </c>
      <c r="C67" s="123">
        <f t="shared" ref="C67:D92" si="1">LOG10(A67)</f>
        <v>1.8750612633917001</v>
      </c>
      <c r="D67" s="123">
        <f t="shared" si="1"/>
        <v>1.4746908779695456</v>
      </c>
    </row>
    <row r="68" spans="1:4">
      <c r="A68" s="123">
        <v>76</v>
      </c>
      <c r="B68" s="123">
        <v>30.9493415000006</v>
      </c>
      <c r="C68" s="123">
        <f t="shared" si="1"/>
        <v>1.8808135922807914</v>
      </c>
      <c r="D68" s="123">
        <f t="shared" si="1"/>
        <v>1.4906514130989983</v>
      </c>
    </row>
    <row r="69" spans="1:4">
      <c r="A69" s="123">
        <v>77</v>
      </c>
      <c r="B69" s="123">
        <v>33.0841314999997</v>
      </c>
      <c r="C69" s="123">
        <f t="shared" si="1"/>
        <v>1.8864907251724818</v>
      </c>
      <c r="D69" s="123">
        <f t="shared" si="1"/>
        <v>1.5196197383536991</v>
      </c>
    </row>
    <row r="70" spans="1:4">
      <c r="A70" s="123">
        <v>78</v>
      </c>
      <c r="B70" s="123">
        <v>34.492345399999898</v>
      </c>
      <c r="C70" s="123">
        <f t="shared" si="1"/>
        <v>1.8920946026904804</v>
      </c>
      <c r="D70" s="123">
        <f t="shared" si="1"/>
        <v>1.5377227263953988</v>
      </c>
    </row>
    <row r="71" spans="1:4">
      <c r="A71" s="123">
        <v>79</v>
      </c>
      <c r="B71" s="123">
        <v>35.024148100000197</v>
      </c>
      <c r="C71" s="123">
        <f t="shared" si="1"/>
        <v>1.8976270912904414</v>
      </c>
      <c r="D71" s="123">
        <f t="shared" si="1"/>
        <v>1.5443675806467914</v>
      </c>
    </row>
    <row r="72" spans="1:4">
      <c r="A72" s="123">
        <v>80</v>
      </c>
      <c r="B72" s="123">
        <v>38.559510699999898</v>
      </c>
      <c r="C72" s="123">
        <f t="shared" si="1"/>
        <v>1.9030899869919435</v>
      </c>
      <c r="D72" s="123">
        <f t="shared" si="1"/>
        <v>1.58613151429619</v>
      </c>
    </row>
    <row r="73" spans="1:4">
      <c r="A73" s="123">
        <v>81</v>
      </c>
      <c r="B73" s="123">
        <v>39.102576000000198</v>
      </c>
      <c r="C73" s="123">
        <f t="shared" si="1"/>
        <v>1.9084850188786497</v>
      </c>
      <c r="D73" s="123">
        <f t="shared" si="1"/>
        <v>1.5922053687957234</v>
      </c>
    </row>
    <row r="74" spans="1:4">
      <c r="A74" s="123">
        <v>82</v>
      </c>
      <c r="B74" s="123">
        <v>42.101396799999698</v>
      </c>
      <c r="C74" s="123">
        <f t="shared" si="1"/>
        <v>1.9138138523837167</v>
      </c>
      <c r="D74" s="123">
        <f t="shared" si="1"/>
        <v>1.6242965046829154</v>
      </c>
    </row>
    <row r="75" spans="1:4">
      <c r="A75" s="123">
        <v>83</v>
      </c>
      <c r="B75" s="123">
        <v>42.199668699999997</v>
      </c>
      <c r="C75" s="123">
        <f t="shared" si="1"/>
        <v>1.919078092376074</v>
      </c>
      <c r="D75" s="123">
        <f t="shared" si="1"/>
        <v>1.625309041427867</v>
      </c>
    </row>
    <row r="76" spans="1:4">
      <c r="A76" s="123">
        <v>84</v>
      </c>
      <c r="B76" s="123">
        <v>43.905577499999701</v>
      </c>
      <c r="C76" s="123">
        <f t="shared" si="1"/>
        <v>1.9242792860618816</v>
      </c>
      <c r="D76" s="123">
        <f t="shared" si="1"/>
        <v>1.6425196939006728</v>
      </c>
    </row>
    <row r="77" spans="1:4">
      <c r="A77" s="123">
        <v>85</v>
      </c>
      <c r="B77" s="123">
        <v>46.671503100000301</v>
      </c>
      <c r="C77" s="123">
        <f t="shared" si="1"/>
        <v>1.9294189257142926</v>
      </c>
      <c r="D77" s="123">
        <f t="shared" si="1"/>
        <v>1.6690517879758766</v>
      </c>
    </row>
    <row r="78" spans="1:4">
      <c r="A78" s="123">
        <v>86</v>
      </c>
      <c r="B78" s="123">
        <v>48.050117000000597</v>
      </c>
      <c r="C78" s="123">
        <f t="shared" si="1"/>
        <v>1.9344984512435677</v>
      </c>
      <c r="D78" s="123">
        <f t="shared" si="1"/>
        <v>1.6816944494945283</v>
      </c>
    </row>
    <row r="79" spans="1:4">
      <c r="A79" s="123">
        <v>87</v>
      </c>
      <c r="B79" s="123">
        <v>50.3757871999996</v>
      </c>
      <c r="C79" s="123">
        <f t="shared" si="1"/>
        <v>1.9395192526186185</v>
      </c>
      <c r="D79" s="123">
        <f t="shared" si="1"/>
        <v>1.702221845728715</v>
      </c>
    </row>
    <row r="80" spans="1:4">
      <c r="A80" s="123">
        <v>88</v>
      </c>
      <c r="B80" s="123">
        <v>53.4940643999998</v>
      </c>
      <c r="C80" s="123">
        <f t="shared" si="1"/>
        <v>1.9444826721501687</v>
      </c>
      <c r="D80" s="123">
        <f t="shared" si="1"/>
        <v>1.7283055962018754</v>
      </c>
    </row>
    <row r="81" spans="1:4">
      <c r="A81" s="123">
        <v>89</v>
      </c>
      <c r="B81" s="123">
        <v>55.2418213999999</v>
      </c>
      <c r="C81" s="123">
        <f t="shared" si="1"/>
        <v>1.9493900066449128</v>
      </c>
      <c r="D81" s="123">
        <f t="shared" si="1"/>
        <v>1.7422679894382478</v>
      </c>
    </row>
    <row r="82" spans="1:4">
      <c r="A82" s="123">
        <v>90</v>
      </c>
      <c r="B82" s="123">
        <v>58.576038599999201</v>
      </c>
      <c r="C82" s="123">
        <f t="shared" si="1"/>
        <v>1.954242509439325</v>
      </c>
      <c r="D82" s="123">
        <f t="shared" si="1"/>
        <v>1.767719997725675</v>
      </c>
    </row>
    <row r="83" spans="1:4">
      <c r="A83" s="123">
        <v>91</v>
      </c>
      <c r="B83" s="123">
        <v>59.839868200000602</v>
      </c>
      <c r="C83" s="123">
        <f t="shared" si="1"/>
        <v>1.9590413923210936</v>
      </c>
      <c r="D83" s="123">
        <f t="shared" si="1"/>
        <v>1.7769906283043413</v>
      </c>
    </row>
    <row r="84" spans="1:4">
      <c r="A84" s="123">
        <v>92</v>
      </c>
      <c r="B84" s="123">
        <v>63.029622000000003</v>
      </c>
      <c r="C84" s="123">
        <f t="shared" si="1"/>
        <v>1.9637878273455553</v>
      </c>
      <c r="D84" s="123">
        <f t="shared" si="1"/>
        <v>1.7995447025911646</v>
      </c>
    </row>
    <row r="85" spans="1:4">
      <c r="A85" s="123">
        <v>93</v>
      </c>
      <c r="B85" s="123">
        <v>66.421709499999395</v>
      </c>
      <c r="C85" s="123">
        <f t="shared" si="1"/>
        <v>1.968482948553935</v>
      </c>
      <c r="D85" s="123">
        <f t="shared" si="1"/>
        <v>1.8223100488724617</v>
      </c>
    </row>
    <row r="86" spans="1:4">
      <c r="A86" s="123">
        <v>94</v>
      </c>
      <c r="B86" s="123">
        <v>70.274382700000302</v>
      </c>
      <c r="C86" s="123">
        <f t="shared" si="1"/>
        <v>1.9731278535996986</v>
      </c>
      <c r="D86" s="123">
        <f t="shared" si="1"/>
        <v>1.8467970393928044</v>
      </c>
    </row>
    <row r="87" spans="1:4">
      <c r="A87" s="123">
        <v>95</v>
      </c>
      <c r="B87" s="123">
        <v>71.621565700000204</v>
      </c>
      <c r="C87" s="123">
        <f t="shared" si="1"/>
        <v>1.9777236052888478</v>
      </c>
      <c r="D87" s="123">
        <f t="shared" si="1"/>
        <v>1.855043810775828</v>
      </c>
    </row>
    <row r="88" spans="1:4">
      <c r="A88" s="123">
        <v>96</v>
      </c>
      <c r="B88" s="123">
        <v>74.183621700000003</v>
      </c>
      <c r="C88" s="123">
        <f t="shared" si="1"/>
        <v>1.9822712330395684</v>
      </c>
      <c r="D88" s="123">
        <f t="shared" si="1"/>
        <v>1.870308032092211</v>
      </c>
    </row>
    <row r="89" spans="1:4">
      <c r="A89" s="123">
        <v>97</v>
      </c>
      <c r="B89" s="123">
        <v>77.901832999999897</v>
      </c>
      <c r="C89" s="123">
        <f t="shared" si="1"/>
        <v>1.9867717342662448</v>
      </c>
      <c r="D89" s="123">
        <f t="shared" si="1"/>
        <v>1.8915476765739727</v>
      </c>
    </row>
    <row r="90" spans="1:4">
      <c r="A90" s="123">
        <v>98</v>
      </c>
      <c r="B90" s="123">
        <v>81.918570099999599</v>
      </c>
      <c r="C90" s="123">
        <f t="shared" si="1"/>
        <v>1.9912260756924949</v>
      </c>
      <c r="D90" s="123">
        <f t="shared" si="1"/>
        <v>1.9133823630275122</v>
      </c>
    </row>
    <row r="91" spans="1:4">
      <c r="A91" s="123">
        <v>99</v>
      </c>
      <c r="B91" s="123">
        <v>83.2626810000001</v>
      </c>
      <c r="C91" s="123">
        <f t="shared" si="1"/>
        <v>1.9956351945975499</v>
      </c>
      <c r="D91" s="123">
        <f t="shared" si="1"/>
        <v>1.9204503907539809</v>
      </c>
    </row>
    <row r="92" spans="1:4">
      <c r="A92" s="123">
        <v>100</v>
      </c>
      <c r="B92" s="123">
        <v>87.861828399999396</v>
      </c>
      <c r="C92" s="123">
        <f t="shared" si="1"/>
        <v>2</v>
      </c>
      <c r="D92" s="123">
        <f t="shared" si="1"/>
        <v>1.9438002366685252</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Q36"/>
  <sheetViews>
    <sheetView workbookViewId="0">
      <selection activeCell="F18" sqref="F18"/>
    </sheetView>
  </sheetViews>
  <sheetFormatPr defaultColWidth="9.140625" defaultRowHeight="15"/>
  <cols>
    <col min="1" max="1" width="9.140625" style="123"/>
    <col min="2" max="2" width="13" style="123" customWidth="1"/>
    <col min="3" max="3" width="15" style="123" customWidth="1"/>
    <col min="4" max="8" width="9.140625" style="123"/>
    <col min="9" max="9" width="13.140625" style="123" bestFit="1" customWidth="1"/>
    <col min="10" max="10" width="10.7109375" style="123" customWidth="1"/>
    <col min="11" max="16384" width="9.140625" style="123"/>
  </cols>
  <sheetData>
    <row r="1" spans="1:17">
      <c r="A1" s="266" t="s">
        <v>519</v>
      </c>
      <c r="B1" s="266"/>
      <c r="C1" s="266"/>
    </row>
    <row r="2" spans="1:17">
      <c r="G2" s="267" t="s">
        <v>520</v>
      </c>
      <c r="H2" s="267"/>
      <c r="I2" s="267"/>
      <c r="J2" s="267"/>
      <c r="K2" s="267"/>
    </row>
    <row r="3" spans="1:17">
      <c r="A3" s="123" t="s">
        <v>82</v>
      </c>
      <c r="B3" s="123" t="s">
        <v>521</v>
      </c>
      <c r="C3" s="123" t="s">
        <v>522</v>
      </c>
      <c r="D3" s="123" t="s">
        <v>523</v>
      </c>
      <c r="E3" s="123" t="s">
        <v>758</v>
      </c>
      <c r="G3" s="123" t="s">
        <v>82</v>
      </c>
      <c r="H3" s="123" t="s">
        <v>83</v>
      </c>
      <c r="I3" s="123" t="s">
        <v>84</v>
      </c>
      <c r="J3" s="123" t="s">
        <v>85</v>
      </c>
      <c r="K3" s="123" t="s">
        <v>86</v>
      </c>
      <c r="L3" s="123" t="s">
        <v>220</v>
      </c>
      <c r="M3" s="123" t="s">
        <v>221</v>
      </c>
      <c r="N3" s="123" t="s">
        <v>400</v>
      </c>
      <c r="O3" s="123" t="s">
        <v>401</v>
      </c>
      <c r="P3" s="123" t="s">
        <v>402</v>
      </c>
      <c r="Q3" s="123" t="s">
        <v>403</v>
      </c>
    </row>
    <row r="4" spans="1:17">
      <c r="A4" s="128">
        <v>1</v>
      </c>
      <c r="B4" s="130">
        <v>1</v>
      </c>
      <c r="C4" s="130">
        <v>2</v>
      </c>
      <c r="D4" s="123">
        <v>3</v>
      </c>
      <c r="E4" s="123" t="str">
        <f>"cluster1"</f>
        <v>cluster1</v>
      </c>
      <c r="G4" s="128">
        <f t="shared" ref="G4:G13" si="0">A4</f>
        <v>1</v>
      </c>
      <c r="H4" s="131">
        <f>SQRT((($B$4-B4)*($B$4-B4))+(($C$4-C4)*($C$4-C4))+(($D$4-D4)*($D$4-D4)))</f>
        <v>0</v>
      </c>
      <c r="I4" s="131">
        <f t="shared" ref="I4:I13" si="1">SQRT((($B$5-B4)*($B$5-B4))+(($C$5-C4)*($C$5-C4))+(($D$5-D4)*($D$5-D4)))</f>
        <v>6.9282032302755088</v>
      </c>
      <c r="J4" s="131">
        <f t="shared" ref="J4:J13" si="2">SQRT(POWER($B$6-B4,2)+POWER($C$6-C4,2)+POWER($D$6-D4,2))</f>
        <v>2.6348814015055781</v>
      </c>
      <c r="K4" s="131">
        <f t="shared" ref="K4:K6" si="3">SQRT(POWER($B$7-B4,2)+POWER($C$7-C4,2))</f>
        <v>1.9638991827484424</v>
      </c>
      <c r="L4" s="131">
        <f t="shared" ref="L4:L13" si="4">SQRT(POWER($B$8-B4,2)+POWER($C$8-C4,2)+POWER($D$8-D4,2))</f>
        <v>2.2360679774997898</v>
      </c>
      <c r="M4" s="131">
        <f t="shared" ref="M4:M13" si="5">SQRT(POWER($B$9-B4,2)+POWER($C$9-C4,2)+POWER($D$9-D4,2))</f>
        <v>3.3711274078563096</v>
      </c>
      <c r="N4" s="132">
        <f t="shared" ref="N4:N9" si="6">SQRT(POWER($B$10-B4,2)+POWER($C$10-C4,2)+POWER($D$10-D4,2))</f>
        <v>3.452086325687699</v>
      </c>
      <c r="O4" s="132">
        <f t="shared" ref="O4:O10" si="7">SQRT(POWER($B$11-B4,2)+POWER($C$11-C4,2)+POWER($D$11-D4,2))</f>
        <v>3.0826125283596708</v>
      </c>
      <c r="P4" s="132">
        <f t="shared" ref="P4:P13" si="8">SQRT(POWER($B$12-B4,2)+POWER($C$12-C4,2)+POWER($D$12-D4,2))</f>
        <v>3.624486170479893</v>
      </c>
      <c r="Q4" s="132">
        <f t="shared" ref="Q4:Q13" si="9">SQRT(POWER($B$13-B4,2)+POWER($C$13-C4,2)+POWER($D$13-D4,2))</f>
        <v>2.8834354509855085</v>
      </c>
    </row>
    <row r="5" spans="1:17">
      <c r="A5" s="128">
        <f>A4+1</f>
        <v>2</v>
      </c>
      <c r="B5" s="130">
        <v>5</v>
      </c>
      <c r="C5" s="130">
        <v>6</v>
      </c>
      <c r="D5" s="123">
        <v>7</v>
      </c>
      <c r="E5" s="123" t="str">
        <f>IF(Table1769[[#This Row],[1]]&lt;Table1769[[#This Row],[2]],"cluster1","cluster2")</f>
        <v>cluster2</v>
      </c>
      <c r="G5" s="128">
        <f t="shared" si="0"/>
        <v>2</v>
      </c>
      <c r="H5" s="131">
        <f t="shared" ref="H5:H11" si="10">SQRT((($B$4-B5)*($B$4-B5))+(($C$4-C5)*($C$4-C5)))</f>
        <v>5.6568542494923806</v>
      </c>
      <c r="I5" s="131">
        <f t="shared" si="1"/>
        <v>0</v>
      </c>
      <c r="J5" s="131">
        <f t="shared" si="2"/>
        <v>9.2813037877229281</v>
      </c>
      <c r="K5" s="131">
        <f t="shared" si="3"/>
        <v>7.4576739000843961</v>
      </c>
      <c r="L5" s="131">
        <f t="shared" si="4"/>
        <v>8.7749643873921226</v>
      </c>
      <c r="M5" s="131">
        <f t="shared" si="5"/>
        <v>10.052089335058657</v>
      </c>
      <c r="N5" s="132">
        <f t="shared" si="6"/>
        <v>10.244847485443596</v>
      </c>
      <c r="O5" s="132">
        <f t="shared" si="7"/>
        <v>9.7232967660151139</v>
      </c>
      <c r="P5" s="132">
        <f t="shared" si="8"/>
        <v>10.319733523691395</v>
      </c>
      <c r="Q5" s="132">
        <f t="shared" si="9"/>
        <v>9.5075864445189247</v>
      </c>
    </row>
    <row r="6" spans="1:17">
      <c r="A6" s="128">
        <f>A5+1</f>
        <v>3</v>
      </c>
      <c r="B6" s="130">
        <v>0.73</v>
      </c>
      <c r="C6" s="130">
        <v>0.56000000000000005</v>
      </c>
      <c r="D6" s="123">
        <v>0.81</v>
      </c>
      <c r="E6" s="123" t="str">
        <f>IF(Table1769[[#This Row],[1]]&lt;Table1769[[#This Row],[2]],"cluster1","cluster2")</f>
        <v>cluster1</v>
      </c>
      <c r="G6" s="128">
        <f t="shared" si="0"/>
        <v>3</v>
      </c>
      <c r="H6" s="131">
        <f t="shared" si="10"/>
        <v>1.4650938536489737</v>
      </c>
      <c r="I6" s="131">
        <f t="shared" si="1"/>
        <v>9.2813037877229281</v>
      </c>
      <c r="J6" s="131">
        <f t="shared" si="2"/>
        <v>0</v>
      </c>
      <c r="K6" s="131">
        <f t="shared" si="3"/>
        <v>0.54203320931470611</v>
      </c>
      <c r="L6" s="131">
        <f t="shared" si="4"/>
        <v>0.55009090157900264</v>
      </c>
      <c r="M6" s="131">
        <f t="shared" si="5"/>
        <v>0.77220463609071921</v>
      </c>
      <c r="N6" s="132">
        <f t="shared" si="6"/>
        <v>1.0198529305738155</v>
      </c>
      <c r="O6" s="132">
        <f t="shared" si="7"/>
        <v>0.45464271686677227</v>
      </c>
      <c r="P6" s="132">
        <f t="shared" si="8"/>
        <v>1.0591978096654091</v>
      </c>
      <c r="Q6" s="132">
        <f t="shared" si="9"/>
        <v>0.25455844122715721</v>
      </c>
    </row>
    <row r="7" spans="1:17">
      <c r="A7" s="128">
        <f>A6+1</f>
        <v>4</v>
      </c>
      <c r="B7" s="130">
        <v>0.4</v>
      </c>
      <c r="C7" s="130">
        <v>0.13</v>
      </c>
      <c r="D7" s="123">
        <v>0.59</v>
      </c>
      <c r="E7" s="123" t="str">
        <f>IF(Table1769[[#This Row],[1]]&lt;Table1769[[#This Row],[2]],"cluster1","cluster2")</f>
        <v>cluster1</v>
      </c>
      <c r="G7" s="128">
        <f t="shared" si="0"/>
        <v>4</v>
      </c>
      <c r="H7" s="131">
        <f t="shared" si="10"/>
        <v>1.9638991827484424</v>
      </c>
      <c r="I7" s="131">
        <f t="shared" si="1"/>
        <v>9.8338700418502594</v>
      </c>
      <c r="J7" s="131">
        <f t="shared" si="2"/>
        <v>0.58497863208838663</v>
      </c>
      <c r="K7" s="131">
        <f>SQRT(POWER($B$7-B7,2)+POWER($C$7-C7,2)+POWER($D$7-D7,2))</f>
        <v>0</v>
      </c>
      <c r="L7" s="131">
        <f t="shared" si="4"/>
        <v>1.1335784048754634</v>
      </c>
      <c r="M7" s="131">
        <f t="shared" si="5"/>
        <v>0.32999999999999996</v>
      </c>
      <c r="N7" s="132">
        <f t="shared" si="6"/>
        <v>0.47465777145223276</v>
      </c>
      <c r="O7" s="132">
        <f t="shared" si="7"/>
        <v>0.32015621187164239</v>
      </c>
      <c r="P7" s="132">
        <f t="shared" si="8"/>
        <v>0.62297672508690083</v>
      </c>
      <c r="Q7" s="132">
        <f t="shared" si="9"/>
        <v>0.41593268686170837</v>
      </c>
    </row>
    <row r="8" spans="1:17">
      <c r="A8" s="133">
        <f>A7+1</f>
        <v>5</v>
      </c>
      <c r="B8" s="134">
        <v>1</v>
      </c>
      <c r="C8" s="134">
        <v>1</v>
      </c>
      <c r="D8" s="123">
        <v>1</v>
      </c>
      <c r="E8" s="123" t="str">
        <f>IF(Table1769[[#This Row],[1]]&lt;Table1769[[#This Row],[2]],"cluster1","cluster2")</f>
        <v>cluster1</v>
      </c>
      <c r="G8" s="135">
        <f t="shared" si="0"/>
        <v>5</v>
      </c>
      <c r="H8" s="131">
        <f t="shared" si="10"/>
        <v>1</v>
      </c>
      <c r="I8" s="131">
        <f t="shared" si="1"/>
        <v>8.7749643873921226</v>
      </c>
      <c r="J8" s="131">
        <f t="shared" si="2"/>
        <v>0.55009090157900264</v>
      </c>
      <c r="K8" s="131">
        <f t="shared" ref="K8:K13" si="11">SQRT(POWER($B$7-B8,2)+POWER($C$7-C8,2)+POWER($D$7-D8,2))</f>
        <v>1.1335784048754634</v>
      </c>
      <c r="L8" s="131">
        <f t="shared" si="4"/>
        <v>0</v>
      </c>
      <c r="M8" s="131">
        <f t="shared" si="5"/>
        <v>1.2901550294441362</v>
      </c>
      <c r="N8" s="132">
        <f t="shared" si="6"/>
        <v>1.5481924944915604</v>
      </c>
      <c r="O8" s="132">
        <f t="shared" si="7"/>
        <v>0.96046863561492735</v>
      </c>
      <c r="P8" s="132">
        <f t="shared" si="8"/>
        <v>1.5481924944915604</v>
      </c>
      <c r="Q8" s="132">
        <f t="shared" si="9"/>
        <v>0.77084369362407068</v>
      </c>
    </row>
    <row r="9" spans="1:17">
      <c r="A9" s="128">
        <f t="shared" ref="A9:A12" si="12">A8+1</f>
        <v>6</v>
      </c>
      <c r="B9" s="130">
        <v>0.4</v>
      </c>
      <c r="C9" s="130">
        <v>0.13</v>
      </c>
      <c r="D9" s="123">
        <v>0.26</v>
      </c>
      <c r="E9" s="123" t="str">
        <f>IF(Table1769[[#This Row],[1]]&lt;Table1769[[#This Row],[2]],"cluster1","cluster2")</f>
        <v>cluster1</v>
      </c>
      <c r="G9" s="135">
        <f t="shared" si="0"/>
        <v>6</v>
      </c>
      <c r="H9" s="131">
        <f t="shared" si="10"/>
        <v>1.9638991827484424</v>
      </c>
      <c r="I9" s="131">
        <f t="shared" si="1"/>
        <v>10.052089335058657</v>
      </c>
      <c r="J9" s="131">
        <f t="shared" si="2"/>
        <v>0.77220463609071921</v>
      </c>
      <c r="K9" s="131">
        <f t="shared" si="11"/>
        <v>0.32999999999999996</v>
      </c>
      <c r="L9" s="131">
        <f t="shared" si="4"/>
        <v>1.2901550294441362</v>
      </c>
      <c r="M9" s="131">
        <f t="shared" si="5"/>
        <v>0</v>
      </c>
      <c r="N9" s="132">
        <f t="shared" si="6"/>
        <v>0.4347413023856832</v>
      </c>
      <c r="O9" s="132">
        <f t="shared" si="7"/>
        <v>0.33526109228480416</v>
      </c>
      <c r="P9" s="132">
        <f t="shared" si="8"/>
        <v>0.32802438933713451</v>
      </c>
      <c r="Q9" s="132">
        <f t="shared" si="9"/>
        <v>0.55524769247606964</v>
      </c>
    </row>
    <row r="10" spans="1:17">
      <c r="A10" s="128">
        <f t="shared" si="12"/>
        <v>7</v>
      </c>
      <c r="B10" s="130">
        <v>0</v>
      </c>
      <c r="C10" s="130">
        <v>0</v>
      </c>
      <c r="D10" s="126">
        <v>0.37</v>
      </c>
      <c r="E10" s="123" t="str">
        <f>IF(Table1769[[#This Row],[1]]&lt;Table1769[[#This Row],[2]],"cluster1","cluster2")</f>
        <v>cluster1</v>
      </c>
      <c r="G10" s="116">
        <f t="shared" si="0"/>
        <v>7</v>
      </c>
      <c r="H10" s="131">
        <f t="shared" si="10"/>
        <v>2.2360679774997898</v>
      </c>
      <c r="I10" s="233">
        <f t="shared" si="1"/>
        <v>10.244847485443596</v>
      </c>
      <c r="J10" s="132">
        <f t="shared" si="2"/>
        <v>1.0198529305738155</v>
      </c>
      <c r="K10" s="131">
        <f t="shared" si="11"/>
        <v>0.47465777145223276</v>
      </c>
      <c r="L10" s="132">
        <f t="shared" si="4"/>
        <v>1.5481924944915604</v>
      </c>
      <c r="M10" s="132">
        <f t="shared" si="5"/>
        <v>0.4347413023856832</v>
      </c>
      <c r="N10" s="132">
        <f>SQRT(POWER($B$10-B10,2)+POWER($C$10-C10,2)+POWER($D$10-D10,2))</f>
        <v>0</v>
      </c>
      <c r="O10" s="132">
        <f t="shared" si="7"/>
        <v>0.68833131557412086</v>
      </c>
      <c r="P10" s="132">
        <f t="shared" si="8"/>
        <v>0.44022721406110277</v>
      </c>
      <c r="Q10" s="132">
        <f t="shared" si="9"/>
        <v>0.863075894692929</v>
      </c>
    </row>
    <row r="11" spans="1:17">
      <c r="A11" s="128">
        <f t="shared" si="12"/>
        <v>8</v>
      </c>
      <c r="B11" s="130">
        <v>0.6</v>
      </c>
      <c r="C11" s="130">
        <v>0.33</v>
      </c>
      <c r="D11" s="126">
        <v>0.44</v>
      </c>
      <c r="E11" s="123" t="str">
        <f>IF(Table1769[[#This Row],[1]]&lt;Table1769[[#This Row],[2]],"cluster1","cluster2")</f>
        <v>cluster1</v>
      </c>
      <c r="G11" s="116">
        <f t="shared" si="0"/>
        <v>8</v>
      </c>
      <c r="H11" s="131">
        <f t="shared" si="10"/>
        <v>1.7172361514946044</v>
      </c>
      <c r="I11" s="233">
        <f t="shared" si="1"/>
        <v>9.7232967660151139</v>
      </c>
      <c r="J11" s="132">
        <f t="shared" si="2"/>
        <v>0.45464271686677227</v>
      </c>
      <c r="K11" s="131">
        <f t="shared" si="11"/>
        <v>0.32015621187164239</v>
      </c>
      <c r="L11" s="132">
        <f t="shared" si="4"/>
        <v>0.96046863561492735</v>
      </c>
      <c r="M11" s="132">
        <f t="shared" si="5"/>
        <v>0.33526109228480416</v>
      </c>
      <c r="N11" s="132">
        <f t="shared" ref="N11:N13" si="13">SQRT(POWER($B$10-B11,2)+POWER($C$10-C11,2)+POWER($D$10-D11,2))</f>
        <v>0.68833131557412086</v>
      </c>
      <c r="O11" s="132">
        <f>SQRT(POWER($B$11-B11,2)+POWER($C$11-C11,2)+POWER($D$11-D11,2))</f>
        <v>0</v>
      </c>
      <c r="P11" s="132">
        <f t="shared" si="8"/>
        <v>0.62737548565432488</v>
      </c>
      <c r="Q11" s="132">
        <f t="shared" si="9"/>
        <v>0.23558437978779492</v>
      </c>
    </row>
    <row r="12" spans="1:17">
      <c r="A12" s="133">
        <f t="shared" si="12"/>
        <v>9</v>
      </c>
      <c r="B12" s="134">
        <v>0.2</v>
      </c>
      <c r="C12" s="134">
        <v>0.13</v>
      </c>
      <c r="D12" s="232">
        <v>0</v>
      </c>
      <c r="E12" s="123" t="str">
        <f>IF(Table1769[[#This Row],[1]]&lt;Table1769[[#This Row],[2]],"cluster1","cluster2")</f>
        <v>cluster1</v>
      </c>
      <c r="G12" s="116">
        <f t="shared" si="0"/>
        <v>9</v>
      </c>
      <c r="H12" s="131">
        <f t="shared" ref="H12:H13" si="14">SQRT((($B$4-B12)*($B$4-B12))+(($C$4-C12)*($C$4-C12)))</f>
        <v>2.0339370688396436</v>
      </c>
      <c r="I12" s="234">
        <f t="shared" si="1"/>
        <v>10.319733523691395</v>
      </c>
      <c r="J12" s="132">
        <f t="shared" si="2"/>
        <v>1.0591978096654091</v>
      </c>
      <c r="K12" s="131">
        <f t="shared" si="11"/>
        <v>0.62297672508690083</v>
      </c>
      <c r="L12" s="132">
        <f t="shared" si="4"/>
        <v>1.5481924944915604</v>
      </c>
      <c r="M12" s="132">
        <f t="shared" si="5"/>
        <v>0.32802438933713451</v>
      </c>
      <c r="N12" s="132">
        <f t="shared" si="13"/>
        <v>0.44022721406110277</v>
      </c>
      <c r="O12" s="132">
        <f t="shared" ref="O12:O13" si="15">SQRT(POWER($B$11-B12,2)+POWER($C$11-C12,2)+POWER($D$11-D12,2))</f>
        <v>0.62737548565432488</v>
      </c>
      <c r="P12" s="132">
        <f t="shared" si="8"/>
        <v>0</v>
      </c>
      <c r="Q12" s="132">
        <f t="shared" si="9"/>
        <v>0.86040688049317693</v>
      </c>
    </row>
    <row r="13" spans="1:17">
      <c r="A13" s="133">
        <f>A12+1</f>
        <v>10</v>
      </c>
      <c r="B13" s="134">
        <v>0.73</v>
      </c>
      <c r="C13" s="134">
        <v>0.38</v>
      </c>
      <c r="D13" s="232">
        <v>0.63</v>
      </c>
      <c r="E13" s="123" t="str">
        <f>IF(Table1769[[#This Row],[1]]&lt;Table1769[[#This Row],[2]],"cluster1","cluster2")</f>
        <v>cluster1</v>
      </c>
      <c r="G13" s="135">
        <f t="shared" si="0"/>
        <v>10</v>
      </c>
      <c r="H13" s="98">
        <f t="shared" si="14"/>
        <v>1.6423458831805196</v>
      </c>
      <c r="I13" s="136">
        <f t="shared" si="1"/>
        <v>9.5075864445189247</v>
      </c>
      <c r="J13" s="136">
        <f t="shared" si="2"/>
        <v>0.25455844122715721</v>
      </c>
      <c r="K13" s="131">
        <f t="shared" si="11"/>
        <v>0.41593268686170837</v>
      </c>
      <c r="L13" s="136">
        <f t="shared" si="4"/>
        <v>0.77084369362407068</v>
      </c>
      <c r="M13" s="136">
        <f t="shared" si="5"/>
        <v>0.55524769247606964</v>
      </c>
      <c r="N13" s="132">
        <f t="shared" si="13"/>
        <v>0.863075894692929</v>
      </c>
      <c r="O13" s="132">
        <f t="shared" si="15"/>
        <v>0.23558437978779492</v>
      </c>
      <c r="P13" s="136">
        <f t="shared" si="8"/>
        <v>0.86040688049317693</v>
      </c>
      <c r="Q13" s="132">
        <f t="shared" si="9"/>
        <v>0</v>
      </c>
    </row>
    <row r="14" spans="1:17">
      <c r="G14" s="135"/>
      <c r="H14" s="136"/>
      <c r="I14" s="132"/>
      <c r="J14" s="136"/>
      <c r="K14" s="136"/>
      <c r="L14" s="132"/>
      <c r="M14" s="132"/>
      <c r="N14" s="132"/>
      <c r="O14" s="132"/>
      <c r="P14" s="132"/>
      <c r="Q14" s="132"/>
    </row>
    <row r="16" spans="1:17">
      <c r="D16" s="268" t="s">
        <v>55</v>
      </c>
      <c r="E16" s="268"/>
      <c r="F16" s="146"/>
    </row>
    <row r="17" spans="1:17">
      <c r="B17" s="123" t="s">
        <v>524</v>
      </c>
      <c r="C17" s="123">
        <v>1</v>
      </c>
      <c r="D17" s="123">
        <f>AVERAGEIF($E$4:$E$6,"cluster1",$B$4:$B$13)</f>
        <v>0.86499999999999999</v>
      </c>
      <c r="E17" s="123">
        <f t="shared" ref="E17:F17" si="16">AVERAGEIF($E$4:$E$6,"cluster1",$B$4:$B$13)</f>
        <v>0.86499999999999999</v>
      </c>
      <c r="F17" s="123">
        <f t="shared" si="16"/>
        <v>0.86499999999999999</v>
      </c>
      <c r="G17" s="123" t="s">
        <v>525</v>
      </c>
      <c r="H17" s="123">
        <v>0.24</v>
      </c>
    </row>
    <row r="18" spans="1:17">
      <c r="B18" s="123" t="s">
        <v>526</v>
      </c>
      <c r="C18" s="123" t="s">
        <v>759</v>
      </c>
      <c r="D18" s="123">
        <f>AVERAGEIF($E$4:$E$13,"cluster2",$B$4:$B$13)</f>
        <v>5</v>
      </c>
      <c r="E18" s="123">
        <f t="shared" ref="E18:F18" si="17">AVERAGEIF($E$4:$E$6,"cluster2",$B$4:$B$11)</f>
        <v>5</v>
      </c>
      <c r="F18" s="123">
        <f t="shared" si="17"/>
        <v>5</v>
      </c>
      <c r="G18" s="123" t="s">
        <v>525</v>
      </c>
      <c r="H18" s="123">
        <v>0.48</v>
      </c>
    </row>
    <row r="20" spans="1:17">
      <c r="G20" s="267" t="s">
        <v>520</v>
      </c>
      <c r="H20" s="267"/>
      <c r="I20" s="267"/>
      <c r="J20" s="267"/>
      <c r="K20" s="267"/>
    </row>
    <row r="21" spans="1:17">
      <c r="A21" s="123" t="s">
        <v>82</v>
      </c>
      <c r="B21" s="123" t="s">
        <v>521</v>
      </c>
      <c r="C21" s="123" t="s">
        <v>522</v>
      </c>
      <c r="D21" s="123" t="s">
        <v>527</v>
      </c>
      <c r="E21" s="123" t="s">
        <v>528</v>
      </c>
      <c r="G21" s="123" t="s">
        <v>82</v>
      </c>
      <c r="H21" s="123" t="s">
        <v>83</v>
      </c>
      <c r="I21" s="123" t="s">
        <v>84</v>
      </c>
      <c r="J21" s="123" t="s">
        <v>85</v>
      </c>
      <c r="K21" s="123" t="s">
        <v>86</v>
      </c>
      <c r="L21" s="123" t="s">
        <v>220</v>
      </c>
      <c r="M21" s="123" t="s">
        <v>221</v>
      </c>
      <c r="N21" s="123" t="s">
        <v>400</v>
      </c>
      <c r="O21" s="123" t="s">
        <v>401</v>
      </c>
      <c r="P21" s="123" t="s">
        <v>402</v>
      </c>
      <c r="Q21" s="123" t="s">
        <v>403</v>
      </c>
    </row>
    <row r="22" spans="1:17">
      <c r="A22" s="128">
        <v>1</v>
      </c>
      <c r="B22" s="130">
        <f>D17</f>
        <v>0.86499999999999999</v>
      </c>
      <c r="C22" s="130">
        <f>E17</f>
        <v>0.86499999999999999</v>
      </c>
      <c r="D22" s="123" t="str">
        <f>IF(Table176972[[#This Row],[1]]&lt;Table176972[[#This Row],[2]],"cluster1","cluster2")</f>
        <v>cluster1</v>
      </c>
      <c r="G22" s="128">
        <f t="shared" ref="G22:G31" si="18">A22</f>
        <v>1</v>
      </c>
      <c r="H22" s="132">
        <f t="shared" ref="H22:H31" si="19">SQRT((($B$22-B22)*($B$22-B22))+(($C$22-C22)*($C$22-C22)))</f>
        <v>0</v>
      </c>
      <c r="I22" s="132">
        <f t="shared" ref="I22:I31" si="20">SQRT((($B$23-B22)*($B$23-B22))+(($C$23-C22)*($C$23-C22)))</f>
        <v>5.8477730804127477</v>
      </c>
      <c r="J22" s="132">
        <f t="shared" ref="J22:J31" si="21">SQRT(POWER($B$24-B22,2)+POWER($C$24-C22,2))</f>
        <v>0.57310557491617542</v>
      </c>
      <c r="K22" s="132">
        <f t="shared" ref="K22:K31" si="22">SQRT(POWER($B$25-B22,2)+POWER($C$25-C22,2))</f>
        <v>0.8070006195784486</v>
      </c>
      <c r="L22" s="132">
        <f t="shared" ref="L22:L31" si="23">SQRT(POWER($B$26-B22,2)+POWER($C$26-C22,2))</f>
        <v>0.74983331481069837</v>
      </c>
      <c r="M22" s="132">
        <f t="shared" ref="M22:M26" si="24">SQRT(POWER($B$27-B22,2)+POWER($C$27-C22,2))</f>
        <v>0.90644911605671497</v>
      </c>
      <c r="N22" s="132">
        <f t="shared" ref="N22:N27" si="25">SQRT(POWER($B$28-B22,2)+POWER($C$28-C22,2))</f>
        <v>0.90733125152834893</v>
      </c>
      <c r="O22" s="132">
        <f t="shared" ref="O22:O28" si="26">SQRT(POWER($B$29-B22,2)+POWER($C$29-C22,2))</f>
        <v>0.70103494920010934</v>
      </c>
      <c r="P22" s="132"/>
      <c r="Q22" s="132"/>
    </row>
    <row r="23" spans="1:17">
      <c r="A23" s="128">
        <f>A22+1</f>
        <v>2</v>
      </c>
      <c r="B23" s="130">
        <f>D18</f>
        <v>5</v>
      </c>
      <c r="C23" s="130">
        <f>E18</f>
        <v>5</v>
      </c>
      <c r="D23" s="123" t="str">
        <f>IF(Table176972[[#This Row],[1]]&lt;Table176972[[#This Row],[2]],"cluster1","cluster2")</f>
        <v>cluster2</v>
      </c>
      <c r="G23" s="128">
        <f t="shared" si="18"/>
        <v>2</v>
      </c>
      <c r="H23" s="132">
        <f t="shared" si="19"/>
        <v>5.8477730804127477</v>
      </c>
      <c r="I23" s="132">
        <f t="shared" si="20"/>
        <v>0</v>
      </c>
      <c r="J23" s="132">
        <f t="shared" si="21"/>
        <v>6.4141172424582322</v>
      </c>
      <c r="K23" s="132">
        <f t="shared" si="22"/>
        <v>6.6477665422305563</v>
      </c>
      <c r="L23" s="132">
        <f t="shared" si="23"/>
        <v>6.5973403732110114</v>
      </c>
      <c r="M23" s="132">
        <f t="shared" si="24"/>
        <v>6.7530511622525111</v>
      </c>
      <c r="N23" s="132">
        <f t="shared" si="25"/>
        <v>6.7286328477633548</v>
      </c>
      <c r="O23" s="132">
        <f t="shared" si="26"/>
        <v>6.5415976641796005</v>
      </c>
      <c r="P23" s="132"/>
      <c r="Q23" s="132"/>
    </row>
    <row r="24" spans="1:17">
      <c r="A24" s="128">
        <f>A23+1</f>
        <v>3</v>
      </c>
      <c r="B24" s="130">
        <v>0.4</v>
      </c>
      <c r="C24" s="130">
        <v>0.53</v>
      </c>
      <c r="D24" s="123" t="str">
        <f>IF(Table176972[[#This Row],[1]]&lt;Table176972[[#This Row],[2]],"cluster1","cluster2")</f>
        <v>cluster1</v>
      </c>
      <c r="E24" s="123">
        <v>1</v>
      </c>
      <c r="G24" s="128">
        <f t="shared" si="18"/>
        <v>3</v>
      </c>
      <c r="H24" s="132">
        <f t="shared" si="19"/>
        <v>0.57310557491617542</v>
      </c>
      <c r="I24" s="132">
        <f t="shared" si="20"/>
        <v>6.4141172424582322</v>
      </c>
      <c r="J24" s="132">
        <f t="shared" si="21"/>
        <v>0</v>
      </c>
      <c r="K24" s="132">
        <f t="shared" si="22"/>
        <v>0.23430749027719966</v>
      </c>
      <c r="L24" s="132">
        <f t="shared" si="23"/>
        <v>0.21587033144922904</v>
      </c>
      <c r="M24" s="132">
        <f t="shared" si="24"/>
        <v>0.36769552621700474</v>
      </c>
      <c r="N24" s="132">
        <f t="shared" si="25"/>
        <v>0.34176014981270125</v>
      </c>
      <c r="O24" s="132">
        <f t="shared" si="26"/>
        <v>0.23537204591879643</v>
      </c>
      <c r="P24" s="132"/>
      <c r="Q24" s="132"/>
    </row>
    <row r="25" spans="1:17">
      <c r="A25" s="128">
        <f>A24+1</f>
        <v>4</v>
      </c>
      <c r="B25" s="130">
        <v>0.22</v>
      </c>
      <c r="C25" s="130">
        <v>0.38</v>
      </c>
      <c r="D25" s="123" t="str">
        <f>IF(Table176972[[#This Row],[1]]&lt;Table176972[[#This Row],[2]],"cluster1","cluster2")</f>
        <v>cluster1</v>
      </c>
      <c r="E25" s="123">
        <v>2</v>
      </c>
      <c r="G25" s="128">
        <f t="shared" si="18"/>
        <v>4</v>
      </c>
      <c r="H25" s="132">
        <f t="shared" si="19"/>
        <v>0.8070006195784486</v>
      </c>
      <c r="I25" s="132">
        <f t="shared" si="20"/>
        <v>6.6477665422305563</v>
      </c>
      <c r="J25" s="132">
        <f t="shared" si="21"/>
        <v>0.23430749027719966</v>
      </c>
      <c r="K25" s="132">
        <f t="shared" si="22"/>
        <v>0</v>
      </c>
      <c r="L25" s="132">
        <f t="shared" si="23"/>
        <v>0.14317821063276351</v>
      </c>
      <c r="M25" s="132">
        <f t="shared" si="24"/>
        <v>0.19416487838947599</v>
      </c>
      <c r="N25" s="132">
        <f t="shared" si="25"/>
        <v>0.14317821063276354</v>
      </c>
      <c r="O25" s="132">
        <f t="shared" si="26"/>
        <v>0.24351591323771843</v>
      </c>
      <c r="P25" s="132"/>
      <c r="Q25" s="132"/>
    </row>
    <row r="26" spans="1:17">
      <c r="A26" s="133">
        <f>A25+1</f>
        <v>5</v>
      </c>
      <c r="B26" s="130">
        <v>0.35</v>
      </c>
      <c r="C26" s="130">
        <v>0.32</v>
      </c>
      <c r="D26" s="123" t="str">
        <f>IF(Table176972[[#This Row],[1]]&lt;Table176972[[#This Row],[2]],"cluster1","cluster2")</f>
        <v>cluster1</v>
      </c>
      <c r="E26" s="123">
        <v>3</v>
      </c>
      <c r="G26" s="135">
        <f t="shared" si="18"/>
        <v>5</v>
      </c>
      <c r="H26" s="132">
        <f t="shared" si="19"/>
        <v>0.74983331481069837</v>
      </c>
      <c r="I26" s="132">
        <f t="shared" si="20"/>
        <v>6.5973403732110114</v>
      </c>
      <c r="J26" s="132">
        <f t="shared" si="21"/>
        <v>0.21587033144922904</v>
      </c>
      <c r="K26" s="132">
        <f t="shared" si="22"/>
        <v>0.14317821063276351</v>
      </c>
      <c r="L26" s="132">
        <f t="shared" si="23"/>
        <v>0</v>
      </c>
      <c r="M26" s="132">
        <f t="shared" si="24"/>
        <v>0.15811388300841894</v>
      </c>
      <c r="N26" s="132">
        <f t="shared" si="25"/>
        <v>0.28460498941515411</v>
      </c>
      <c r="O26" s="132">
        <f t="shared" si="26"/>
        <v>0.10198039027185574</v>
      </c>
      <c r="P26" s="132"/>
      <c r="Q26" s="132"/>
    </row>
    <row r="27" spans="1:17">
      <c r="A27" s="128">
        <f t="shared" ref="A27:A30" si="27">A26+1</f>
        <v>6</v>
      </c>
      <c r="B27" s="130">
        <v>0.26</v>
      </c>
      <c r="C27" s="130">
        <v>0.19</v>
      </c>
      <c r="D27" s="123" t="str">
        <f>IF(Table176972[[#This Row],[1]]&lt;Table176972[[#This Row],[2]],"cluster1","cluster2")</f>
        <v>cluster1</v>
      </c>
      <c r="E27" s="123">
        <v>4</v>
      </c>
      <c r="G27" s="135">
        <f t="shared" si="18"/>
        <v>6</v>
      </c>
      <c r="H27" s="132">
        <f t="shared" si="19"/>
        <v>0.90644911605671497</v>
      </c>
      <c r="I27" s="132">
        <f t="shared" si="20"/>
        <v>6.7530511622525111</v>
      </c>
      <c r="J27" s="132">
        <f t="shared" si="21"/>
        <v>0.36769552621700474</v>
      </c>
      <c r="K27" s="132">
        <f t="shared" si="22"/>
        <v>0.19416487838947599</v>
      </c>
      <c r="L27" s="132">
        <f t="shared" si="23"/>
        <v>0.15811388300841894</v>
      </c>
      <c r="M27" s="132">
        <f>SQRT(POWER($B$27-B27,2)+POWER($C$27-C27,2))</f>
        <v>0</v>
      </c>
      <c r="N27" s="132">
        <f t="shared" si="25"/>
        <v>0.28425340807103788</v>
      </c>
      <c r="O27" s="132">
        <f t="shared" si="26"/>
        <v>0.21954498400100148</v>
      </c>
      <c r="P27" s="132"/>
      <c r="Q27" s="132"/>
    </row>
    <row r="28" spans="1:17">
      <c r="A28" s="128">
        <f t="shared" si="27"/>
        <v>7</v>
      </c>
      <c r="B28" s="134">
        <v>0.08</v>
      </c>
      <c r="C28" s="134">
        <v>0.41</v>
      </c>
      <c r="D28" s="123" t="str">
        <f>IF(Table176972[[#This Row],[1]]&lt;Table176972[[#This Row],[2]],"cluster1","cluster2")</f>
        <v>cluster1</v>
      </c>
      <c r="E28" s="123">
        <v>5</v>
      </c>
      <c r="G28" s="129">
        <f t="shared" si="18"/>
        <v>7</v>
      </c>
      <c r="H28" s="132">
        <f t="shared" si="19"/>
        <v>0.90733125152834893</v>
      </c>
      <c r="I28" s="132">
        <f t="shared" si="20"/>
        <v>6.7286328477633548</v>
      </c>
      <c r="J28" s="132">
        <f t="shared" si="21"/>
        <v>0.34176014981270125</v>
      </c>
      <c r="K28" s="132">
        <f t="shared" si="22"/>
        <v>0.14317821063276354</v>
      </c>
      <c r="L28" s="132">
        <f t="shared" si="23"/>
        <v>0.28460498941515411</v>
      </c>
      <c r="M28" s="132">
        <f>SQRT(POWER($B$27-B28,2)+POWER($C$27-C28,2))</f>
        <v>0.28425340807103788</v>
      </c>
      <c r="N28" s="132">
        <f>SQRT(POWER($B$28-B28,2)+POWER($C$28-C28,2))</f>
        <v>0</v>
      </c>
      <c r="O28" s="132">
        <f t="shared" si="26"/>
        <v>0.38600518131237566</v>
      </c>
      <c r="P28" s="132"/>
      <c r="Q28" s="132"/>
    </row>
    <row r="29" spans="1:17">
      <c r="A29" s="128">
        <f t="shared" si="27"/>
        <v>8</v>
      </c>
      <c r="B29" s="130">
        <v>0.45</v>
      </c>
      <c r="C29" s="130">
        <v>0.3</v>
      </c>
      <c r="D29" s="123" t="str">
        <f>IF(Table176972[[#This Row],[1]]&lt;Table176972[[#This Row],[2]],"cluster1","cluster2")</f>
        <v>cluster1</v>
      </c>
      <c r="E29" s="123">
        <v>6</v>
      </c>
      <c r="G29" s="129">
        <f t="shared" si="18"/>
        <v>8</v>
      </c>
      <c r="H29" s="132">
        <f t="shared" si="19"/>
        <v>0.70103494920010934</v>
      </c>
      <c r="I29" s="132">
        <f t="shared" si="20"/>
        <v>6.5415976641796005</v>
      </c>
      <c r="J29" s="132">
        <f t="shared" si="21"/>
        <v>0.23537204591879643</v>
      </c>
      <c r="K29" s="132">
        <f t="shared" si="22"/>
        <v>0.24351591323771843</v>
      </c>
      <c r="L29" s="132">
        <f t="shared" si="23"/>
        <v>0.10198039027185574</v>
      </c>
      <c r="M29" s="132">
        <f>SQRT(POWER($B$27-B29,2)+POWER($C$27-C29,2))</f>
        <v>0.21954498400100148</v>
      </c>
      <c r="N29" s="132">
        <f>SQRT(POWER($B$28-B29,2)+POWER($C$28-C29,2))</f>
        <v>0.38600518131237566</v>
      </c>
      <c r="O29" s="132">
        <f>SQRT(POWER($B$29-B29,2)+POWER($C$29-C29,2))</f>
        <v>0</v>
      </c>
      <c r="P29" s="132"/>
      <c r="Q29" s="132"/>
    </row>
    <row r="30" spans="1:17">
      <c r="A30" s="128">
        <f t="shared" si="27"/>
        <v>9</v>
      </c>
      <c r="B30" s="130">
        <v>70</v>
      </c>
      <c r="C30" s="130">
        <v>180</v>
      </c>
      <c r="D30" s="123" t="str">
        <f>IF(Table176972[[#This Row],[1]]&lt;Table176972[[#This Row],[2]],"cluster1","cluster2")</f>
        <v>cluster2</v>
      </c>
      <c r="E30" s="123">
        <v>7</v>
      </c>
      <c r="G30" s="129">
        <f t="shared" si="18"/>
        <v>9</v>
      </c>
      <c r="H30" s="132">
        <f t="shared" si="19"/>
        <v>192.01301114768239</v>
      </c>
      <c r="I30" s="132">
        <f t="shared" si="20"/>
        <v>186.6815470259447</v>
      </c>
      <c r="J30" s="132">
        <f t="shared" si="21"/>
        <v>192.49322299759024</v>
      </c>
      <c r="K30" s="132">
        <f t="shared" si="22"/>
        <v>192.69819096192884</v>
      </c>
      <c r="L30" s="132">
        <f t="shared" si="23"/>
        <v>192.70709613296549</v>
      </c>
      <c r="M30" s="132">
        <f>SQRT(POWER($B$27-B30,2)+POWER($C$27-C30,2))</f>
        <v>192.86084024498078</v>
      </c>
      <c r="N30" s="132">
        <f>SQRT(POWER($B$28-B30,2)+POWER($C$28-C30,2))</f>
        <v>192.7209757654833</v>
      </c>
      <c r="O30" s="132">
        <f>SQRT(POWER($B$29-B30,2)+POWER($C$29-C30,2))</f>
        <v>192.68962738040673</v>
      </c>
      <c r="P30" s="132">
        <f>SQRT(POWER($B$30-B30,2)+POWER($C$30-C30,2))</f>
        <v>0</v>
      </c>
      <c r="Q30" s="132"/>
    </row>
    <row r="31" spans="1:17">
      <c r="A31" s="133">
        <f>A30+1</f>
        <v>10</v>
      </c>
      <c r="B31" s="130">
        <v>84</v>
      </c>
      <c r="C31" s="130">
        <v>183</v>
      </c>
      <c r="D31" s="123" t="str">
        <f>IF(Table176972[[#This Row],[1]]&lt;Table176972[[#This Row],[2]],"cluster1","cluster2")</f>
        <v>cluster2</v>
      </c>
      <c r="E31" s="123">
        <v>8</v>
      </c>
      <c r="G31" s="135">
        <f t="shared" si="18"/>
        <v>10</v>
      </c>
      <c r="H31" s="132">
        <f t="shared" si="19"/>
        <v>200.21135444824301</v>
      </c>
      <c r="I31" s="132">
        <f t="shared" si="20"/>
        <v>194.74342094150447</v>
      </c>
      <c r="J31" s="132">
        <f t="shared" si="21"/>
        <v>200.7093941498504</v>
      </c>
      <c r="K31" s="132">
        <f t="shared" si="22"/>
        <v>200.92076249108752</v>
      </c>
      <c r="L31" s="132">
        <f t="shared" si="23"/>
        <v>200.92114099815382</v>
      </c>
      <c r="M31" s="132">
        <f>SQRT(POWER($B$27-B31,2)+POWER($C$27-C31,2))</f>
        <v>201.07681044814692</v>
      </c>
      <c r="N31" s="132">
        <f>SQRT(POWER($B$28-B31,2)+POWER($C$28-C31,2))</f>
        <v>200.95192086665904</v>
      </c>
      <c r="O31" s="132">
        <f>SQRT(POWER($B$29-B31,2)+POWER($C$29-C31,2))</f>
        <v>200.89771651265724</v>
      </c>
      <c r="P31" s="136">
        <f>SQRT(POWER($B$30-B31,2)+POWER($C$30-C31,2))</f>
        <v>14.317821063276353</v>
      </c>
      <c r="Q31" s="136"/>
    </row>
    <row r="32" spans="1:17">
      <c r="G32" s="135"/>
      <c r="H32" s="136"/>
      <c r="I32" s="132"/>
      <c r="J32" s="136"/>
      <c r="K32" s="136"/>
      <c r="L32" s="132"/>
      <c r="M32" s="132"/>
      <c r="N32" s="132"/>
      <c r="O32" s="132"/>
      <c r="P32" s="132"/>
      <c r="Q32" s="132"/>
    </row>
    <row r="34" spans="2:9">
      <c r="H34" s="269" t="s">
        <v>55</v>
      </c>
      <c r="I34" s="269"/>
    </row>
    <row r="35" spans="2:9">
      <c r="B35" s="123" t="s">
        <v>524</v>
      </c>
      <c r="C35" s="123">
        <v>1</v>
      </c>
      <c r="E35" s="123" t="s">
        <v>525</v>
      </c>
      <c r="F35" s="123">
        <v>0</v>
      </c>
      <c r="H35" s="123">
        <f>AVERAGEIF($D$22:$D$29,"cluster1",$B$22:$B$29)</f>
        <v>0.375</v>
      </c>
      <c r="I35" s="123">
        <f>AVERAGEIF($D$22:$D$29,"cluster1",$C$22:$C$29)</f>
        <v>0.42785714285714282</v>
      </c>
    </row>
    <row r="36" spans="2:9">
      <c r="B36" s="123" t="s">
        <v>526</v>
      </c>
      <c r="C36" s="123" t="s">
        <v>529</v>
      </c>
      <c r="E36" s="123" t="s">
        <v>525</v>
      </c>
      <c r="F36" s="123">
        <v>0.7</v>
      </c>
      <c r="H36" s="123">
        <f>AVERAGEIF($D$22:$D$29,"cluster2",$B$22:$B$29)</f>
        <v>5</v>
      </c>
      <c r="I36" s="123">
        <f>AVERAGEIF($D$22:$D$29,"cluster2",$C$22:$C$29)</f>
        <v>5</v>
      </c>
    </row>
  </sheetData>
  <dataConsolidate/>
  <mergeCells count="5">
    <mergeCell ref="A1:C1"/>
    <mergeCell ref="G2:K2"/>
    <mergeCell ref="D16:E16"/>
    <mergeCell ref="G20:K20"/>
    <mergeCell ref="H34:I34"/>
  </mergeCells>
  <pageMargins left="0.7" right="0.7" top="0.75" bottom="0.75" header="0.3" footer="0.3"/>
  <pageSetup orientation="portrait" r:id="rId1"/>
  <drawing r:id="rId2"/>
  <tableParts count="4">
    <tablePart r:id="rId3"/>
    <tablePart r:id="rId4"/>
    <tablePart r:id="rId5"/>
    <tablePart r:id="rId6"/>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Q23"/>
  <sheetViews>
    <sheetView workbookViewId="0">
      <selection activeCell="E1" sqref="E1"/>
    </sheetView>
  </sheetViews>
  <sheetFormatPr defaultColWidth="9.140625" defaultRowHeight="15"/>
  <cols>
    <col min="1" max="1" width="9.140625" style="123"/>
    <col min="2" max="2" width="13" style="123" customWidth="1"/>
    <col min="3" max="3" width="15" style="123" customWidth="1"/>
    <col min="4" max="8" width="9.140625" style="123"/>
    <col min="9" max="9" width="13.140625" style="123" bestFit="1" customWidth="1"/>
    <col min="10" max="10" width="10.7109375" style="123" customWidth="1"/>
    <col min="11" max="16384" width="9.140625" style="123"/>
  </cols>
  <sheetData>
    <row r="1" spans="1:17">
      <c r="A1" s="266" t="s">
        <v>519</v>
      </c>
      <c r="B1" s="266"/>
      <c r="C1" s="266"/>
    </row>
    <row r="2" spans="1:17">
      <c r="G2" s="267" t="s">
        <v>530</v>
      </c>
      <c r="H2" s="267"/>
      <c r="I2" s="267"/>
      <c r="J2" s="267"/>
      <c r="K2" s="267"/>
    </row>
    <row r="3" spans="1:17">
      <c r="A3" s="123" t="s">
        <v>82</v>
      </c>
      <c r="B3" s="123" t="s">
        <v>521</v>
      </c>
      <c r="C3" s="123" t="s">
        <v>522</v>
      </c>
      <c r="D3" s="123" t="s">
        <v>523</v>
      </c>
      <c r="G3" s="123" t="s">
        <v>82</v>
      </c>
      <c r="H3" s="123" t="s">
        <v>83</v>
      </c>
      <c r="I3" s="123" t="s">
        <v>84</v>
      </c>
      <c r="J3" s="123" t="s">
        <v>85</v>
      </c>
      <c r="K3" s="123" t="s">
        <v>86</v>
      </c>
      <c r="L3" s="123" t="s">
        <v>220</v>
      </c>
      <c r="M3" s="123" t="s">
        <v>221</v>
      </c>
      <c r="N3" s="123" t="s">
        <v>400</v>
      </c>
      <c r="O3" s="123" t="s">
        <v>401</v>
      </c>
      <c r="P3" s="123" t="s">
        <v>402</v>
      </c>
      <c r="Q3" s="123" t="s">
        <v>403</v>
      </c>
    </row>
    <row r="4" spans="1:17">
      <c r="A4" s="128">
        <v>1</v>
      </c>
      <c r="B4" s="130">
        <v>2</v>
      </c>
      <c r="C4" s="130">
        <v>6</v>
      </c>
      <c r="D4" s="123" t="str">
        <f>IF(Table176974[[#This Row],[2]]&lt;Table176974[[#This Row],[8]],"cluster1","cluster2")</f>
        <v>cluster1</v>
      </c>
      <c r="G4" s="128">
        <f t="shared" ref="G4:G13" si="0">A4</f>
        <v>1</v>
      </c>
      <c r="H4" s="132">
        <f t="shared" ref="H4:H13" si="1">(ABS($B$4-B4))+(ABS($C$4-C4))</f>
        <v>0</v>
      </c>
      <c r="I4" s="132">
        <f>(ABS($B$5-B4))+((ABS($C$5-C4)))</f>
        <v>3</v>
      </c>
      <c r="J4" s="132">
        <f t="shared" ref="J4:J5" si="2">ABS($B$6-B4)+ABS($C$6-C4)</f>
        <v>3</v>
      </c>
      <c r="K4" s="132">
        <f t="shared" ref="K4:K6" si="3">ABS($B$7-B4)+ABS($C$7-C4)</f>
        <v>3</v>
      </c>
      <c r="L4" s="132">
        <f t="shared" ref="L4:L7" si="4">ABS($B$8-B4)+ABS($C$8-C4)</f>
        <v>8</v>
      </c>
      <c r="M4" s="132">
        <f t="shared" ref="M4:M8" si="5">ABS($B$9-B4)+ABS($C$9-C4)</f>
        <v>6</v>
      </c>
      <c r="N4" s="132">
        <f t="shared" ref="N4:N9" si="6">ABS($B$10-B4)+ABS($C$10-C4)</f>
        <v>8</v>
      </c>
      <c r="O4" s="132">
        <f t="shared" ref="O4:O10" si="7">ABS($B$11-B4)+ABS($C$11-C4)</f>
        <v>7</v>
      </c>
      <c r="P4" s="132">
        <f t="shared" ref="P4:P11" si="8">ABS($B$12-B4)+ABS($C$12-C4)</f>
        <v>7</v>
      </c>
      <c r="Q4" s="132">
        <f t="shared" ref="Q4:Q13" si="9">ABS($B$13-B4)+ABS($C$13-C4)</f>
        <v>5</v>
      </c>
    </row>
    <row r="5" spans="1:17">
      <c r="A5" s="128">
        <f>A4+1</f>
        <v>2</v>
      </c>
      <c r="B5" s="130">
        <v>3</v>
      </c>
      <c r="C5" s="130">
        <v>4</v>
      </c>
      <c r="D5" s="123" t="str">
        <f>IF(Table176974[[#This Row],[2]]&lt;Table176974[[#This Row],[8]],"cluster1","cluster2")</f>
        <v>cluster1</v>
      </c>
      <c r="G5" s="128">
        <f t="shared" si="0"/>
        <v>2</v>
      </c>
      <c r="H5" s="132">
        <f t="shared" si="1"/>
        <v>3</v>
      </c>
      <c r="I5" s="132">
        <f>(ABS($B$5-B5))+((ABS($C$5-C5)))</f>
        <v>0</v>
      </c>
      <c r="J5" s="132">
        <f t="shared" si="2"/>
        <v>4</v>
      </c>
      <c r="K5" s="132">
        <f t="shared" si="3"/>
        <v>4</v>
      </c>
      <c r="L5" s="132">
        <f t="shared" si="4"/>
        <v>5</v>
      </c>
      <c r="M5" s="132">
        <f t="shared" si="5"/>
        <v>3</v>
      </c>
      <c r="N5" s="132">
        <f t="shared" si="6"/>
        <v>5</v>
      </c>
      <c r="O5" s="132">
        <f t="shared" si="7"/>
        <v>4</v>
      </c>
      <c r="P5" s="132">
        <f t="shared" si="8"/>
        <v>6</v>
      </c>
      <c r="Q5" s="132">
        <f t="shared" si="9"/>
        <v>6</v>
      </c>
    </row>
    <row r="6" spans="1:17">
      <c r="A6" s="128">
        <f>A5+1</f>
        <v>3</v>
      </c>
      <c r="B6" s="130">
        <v>3</v>
      </c>
      <c r="C6" s="130">
        <v>8</v>
      </c>
      <c r="D6" s="123" t="str">
        <f>IF(Table176974[[#This Row],[2]]&lt;Table176974[[#This Row],[8]],"cluster1","cluster2")</f>
        <v>cluster1</v>
      </c>
      <c r="G6" s="128">
        <f t="shared" si="0"/>
        <v>3</v>
      </c>
      <c r="H6" s="132">
        <f t="shared" si="1"/>
        <v>3</v>
      </c>
      <c r="I6" s="132">
        <f t="shared" ref="I6:I13" si="10">(ABS($B$5-B6))+((ABS($C$5-C6)))</f>
        <v>4</v>
      </c>
      <c r="J6" s="132">
        <f>ABS($B$6-B6)+ABS($C$6-C6)</f>
        <v>0</v>
      </c>
      <c r="K6" s="132">
        <f t="shared" si="3"/>
        <v>2</v>
      </c>
      <c r="L6" s="132">
        <f t="shared" si="4"/>
        <v>9</v>
      </c>
      <c r="M6" s="132">
        <f t="shared" si="5"/>
        <v>7</v>
      </c>
      <c r="N6" s="132">
        <f t="shared" si="6"/>
        <v>9</v>
      </c>
      <c r="O6" s="132">
        <f t="shared" si="7"/>
        <v>8</v>
      </c>
      <c r="P6" s="132">
        <f t="shared" si="8"/>
        <v>8</v>
      </c>
      <c r="Q6" s="132">
        <f t="shared" si="9"/>
        <v>6</v>
      </c>
    </row>
    <row r="7" spans="1:17">
      <c r="A7" s="128">
        <f>A6+1</f>
        <v>4</v>
      </c>
      <c r="B7" s="130">
        <v>4</v>
      </c>
      <c r="C7" s="130">
        <v>7</v>
      </c>
      <c r="D7" s="123" t="str">
        <f>IF(Table176974[[#This Row],[2]]&lt;Table176974[[#This Row],[8]],"cluster1","cluster2")</f>
        <v>cluster1</v>
      </c>
      <c r="G7" s="128">
        <f t="shared" si="0"/>
        <v>4</v>
      </c>
      <c r="H7" s="132">
        <f t="shared" si="1"/>
        <v>3</v>
      </c>
      <c r="I7" s="132">
        <f t="shared" si="10"/>
        <v>4</v>
      </c>
      <c r="J7" s="132">
        <f t="shared" ref="J7:J13" si="11">ABS($B$6-B7)+ABS($C$6-C7)</f>
        <v>2</v>
      </c>
      <c r="K7" s="132">
        <f>ABS($B$7-B7)+ABS($C$7-C7)</f>
        <v>0</v>
      </c>
      <c r="L7" s="132">
        <f t="shared" si="4"/>
        <v>7</v>
      </c>
      <c r="M7" s="132">
        <f t="shared" si="5"/>
        <v>5</v>
      </c>
      <c r="N7" s="132">
        <f t="shared" si="6"/>
        <v>7</v>
      </c>
      <c r="O7" s="132">
        <f t="shared" si="7"/>
        <v>6</v>
      </c>
      <c r="P7" s="132">
        <f t="shared" si="8"/>
        <v>6</v>
      </c>
      <c r="Q7" s="132">
        <f t="shared" si="9"/>
        <v>4</v>
      </c>
    </row>
    <row r="8" spans="1:17">
      <c r="A8" s="133">
        <f>A7+1</f>
        <v>5</v>
      </c>
      <c r="B8" s="134">
        <v>6</v>
      </c>
      <c r="C8" s="134">
        <v>2</v>
      </c>
      <c r="D8" s="123" t="str">
        <f>IF(Table176974[[#This Row],[2]]&lt;Table176974[[#This Row],[8]],"cluster1","cluster2")</f>
        <v>cluster2</v>
      </c>
      <c r="G8" s="135">
        <f t="shared" si="0"/>
        <v>5</v>
      </c>
      <c r="H8" s="132">
        <f t="shared" si="1"/>
        <v>8</v>
      </c>
      <c r="I8" s="132">
        <f t="shared" si="10"/>
        <v>5</v>
      </c>
      <c r="J8" s="132">
        <f t="shared" si="11"/>
        <v>9</v>
      </c>
      <c r="K8" s="132">
        <f t="shared" ref="K8:K13" si="12">ABS($B$7-B8)+ABS($C$7-C8)</f>
        <v>7</v>
      </c>
      <c r="L8" s="132">
        <f>ABS($B$8-B8)+ABS($C$8-C8)</f>
        <v>0</v>
      </c>
      <c r="M8" s="132">
        <f t="shared" si="5"/>
        <v>2</v>
      </c>
      <c r="N8" s="132">
        <f t="shared" si="6"/>
        <v>2</v>
      </c>
      <c r="O8" s="132">
        <f t="shared" si="7"/>
        <v>3</v>
      </c>
      <c r="P8" s="132">
        <f t="shared" si="8"/>
        <v>5</v>
      </c>
      <c r="Q8" s="132">
        <f t="shared" si="9"/>
        <v>5</v>
      </c>
    </row>
    <row r="9" spans="1:17">
      <c r="A9" s="128">
        <f t="shared" ref="A9:A12" si="13">A8+1</f>
        <v>6</v>
      </c>
      <c r="B9" s="130">
        <v>6</v>
      </c>
      <c r="C9" s="130">
        <v>4</v>
      </c>
      <c r="D9" s="123" t="str">
        <f>IF(Table176974[[#This Row],[2]]&lt;Table176974[[#This Row],[8]],"cluster1","cluster2")</f>
        <v>cluster2</v>
      </c>
      <c r="G9" s="135">
        <f t="shared" si="0"/>
        <v>6</v>
      </c>
      <c r="H9" s="132">
        <f t="shared" si="1"/>
        <v>6</v>
      </c>
      <c r="I9" s="132">
        <f t="shared" si="10"/>
        <v>3</v>
      </c>
      <c r="J9" s="132">
        <f t="shared" si="11"/>
        <v>7</v>
      </c>
      <c r="K9" s="132">
        <f t="shared" si="12"/>
        <v>5</v>
      </c>
      <c r="L9" s="132">
        <f t="shared" ref="L9:L13" si="14">ABS($B$8-B9)+ABS($C$8-C9)</f>
        <v>2</v>
      </c>
      <c r="M9" s="132">
        <f>ABS($B$9-B9)+ABS($C$9-C9)</f>
        <v>0</v>
      </c>
      <c r="N9" s="132">
        <f t="shared" si="6"/>
        <v>2</v>
      </c>
      <c r="O9" s="132">
        <f t="shared" si="7"/>
        <v>1</v>
      </c>
      <c r="P9" s="132">
        <f t="shared" si="8"/>
        <v>3</v>
      </c>
      <c r="Q9" s="132">
        <f t="shared" si="9"/>
        <v>3</v>
      </c>
    </row>
    <row r="10" spans="1:17">
      <c r="A10" s="128">
        <f t="shared" si="13"/>
        <v>7</v>
      </c>
      <c r="B10" s="130">
        <v>7</v>
      </c>
      <c r="C10" s="130">
        <v>3</v>
      </c>
      <c r="D10" s="123" t="str">
        <f>IF(Table176974[[#This Row],[2]]&lt;Table176974[[#This Row],[8]],"cluster1","cluster2")</f>
        <v>cluster2</v>
      </c>
      <c r="G10" s="129">
        <f t="shared" si="0"/>
        <v>7</v>
      </c>
      <c r="H10" s="132">
        <f t="shared" si="1"/>
        <v>8</v>
      </c>
      <c r="I10" s="132">
        <f t="shared" si="10"/>
        <v>5</v>
      </c>
      <c r="J10" s="132">
        <f t="shared" si="11"/>
        <v>9</v>
      </c>
      <c r="K10" s="132">
        <f t="shared" si="12"/>
        <v>7</v>
      </c>
      <c r="L10" s="132">
        <f t="shared" si="14"/>
        <v>2</v>
      </c>
      <c r="M10" s="132">
        <f t="shared" ref="M10:M13" si="15">ABS($B$9-B10)+ABS($C$9-C10)</f>
        <v>2</v>
      </c>
      <c r="N10" s="132">
        <f>ABS($B$10-B10)+ABS($C$10-C10)</f>
        <v>0</v>
      </c>
      <c r="O10" s="132">
        <f t="shared" si="7"/>
        <v>1</v>
      </c>
      <c r="P10" s="132">
        <f t="shared" si="8"/>
        <v>3</v>
      </c>
      <c r="Q10" s="132">
        <f t="shared" si="9"/>
        <v>3</v>
      </c>
    </row>
    <row r="11" spans="1:17">
      <c r="A11" s="128">
        <f t="shared" si="13"/>
        <v>8</v>
      </c>
      <c r="B11" s="130">
        <v>7</v>
      </c>
      <c r="C11" s="130">
        <v>4</v>
      </c>
      <c r="D11" s="123" t="str">
        <f>IF(Table176974[[#This Row],[2]]&lt;Table176974[[#This Row],[8]],"cluster1","cluster2")</f>
        <v>cluster2</v>
      </c>
      <c r="G11" s="129">
        <f t="shared" si="0"/>
        <v>8</v>
      </c>
      <c r="H11" s="132">
        <f t="shared" si="1"/>
        <v>7</v>
      </c>
      <c r="I11" s="132">
        <f t="shared" si="10"/>
        <v>4</v>
      </c>
      <c r="J11" s="132">
        <f t="shared" si="11"/>
        <v>8</v>
      </c>
      <c r="K11" s="132">
        <f t="shared" si="12"/>
        <v>6</v>
      </c>
      <c r="L11" s="132">
        <f t="shared" si="14"/>
        <v>3</v>
      </c>
      <c r="M11" s="132">
        <f t="shared" si="15"/>
        <v>1</v>
      </c>
      <c r="N11" s="132">
        <f t="shared" ref="N11:N13" si="16">ABS($B$10-B11)+ABS($C$10-C11)</f>
        <v>1</v>
      </c>
      <c r="O11" s="132">
        <f>ABS($B$11-B11)+ABS($C$11-C11)</f>
        <v>0</v>
      </c>
      <c r="P11" s="132">
        <f t="shared" si="8"/>
        <v>2</v>
      </c>
      <c r="Q11" s="132">
        <f t="shared" si="9"/>
        <v>2</v>
      </c>
    </row>
    <row r="12" spans="1:17">
      <c r="A12" s="128">
        <f t="shared" si="13"/>
        <v>9</v>
      </c>
      <c r="B12" s="134">
        <v>8</v>
      </c>
      <c r="C12" s="134">
        <v>5</v>
      </c>
      <c r="D12" s="123" t="str">
        <f>IF(Table176974[[#This Row],[2]]&lt;Table176974[[#This Row],[8]],"cluster1","cluster2")</f>
        <v>cluster2</v>
      </c>
      <c r="G12" s="129">
        <f t="shared" si="0"/>
        <v>9</v>
      </c>
      <c r="H12" s="132">
        <f t="shared" si="1"/>
        <v>7</v>
      </c>
      <c r="I12" s="132">
        <f t="shared" si="10"/>
        <v>6</v>
      </c>
      <c r="J12" s="132">
        <f t="shared" si="11"/>
        <v>8</v>
      </c>
      <c r="K12" s="132">
        <f t="shared" si="12"/>
        <v>6</v>
      </c>
      <c r="L12" s="132">
        <f t="shared" si="14"/>
        <v>5</v>
      </c>
      <c r="M12" s="132">
        <f t="shared" si="15"/>
        <v>3</v>
      </c>
      <c r="N12" s="132">
        <f t="shared" si="16"/>
        <v>3</v>
      </c>
      <c r="O12" s="132">
        <f t="shared" ref="O12:O13" si="17">ABS($B$11-B12)+ABS($C$11-C12)</f>
        <v>2</v>
      </c>
      <c r="P12" s="132">
        <f>ABS($B$12-B12)+ABS($C$12-C12)</f>
        <v>0</v>
      </c>
      <c r="Q12" s="132">
        <f t="shared" si="9"/>
        <v>2</v>
      </c>
    </row>
    <row r="13" spans="1:17">
      <c r="A13" s="133">
        <f>A12+1</f>
        <v>10</v>
      </c>
      <c r="B13" s="134">
        <v>7</v>
      </c>
      <c r="C13" s="134">
        <v>6</v>
      </c>
      <c r="D13" s="123" t="str">
        <f>IF(Table176974[[#This Row],[2]]&lt;Table176974[[#This Row],[8]],"cluster1","cluster2")</f>
        <v>cluster2</v>
      </c>
      <c r="G13" s="135">
        <f t="shared" si="0"/>
        <v>10</v>
      </c>
      <c r="H13" s="136">
        <f t="shared" si="1"/>
        <v>5</v>
      </c>
      <c r="I13" s="132">
        <f t="shared" si="10"/>
        <v>6</v>
      </c>
      <c r="J13" s="132">
        <f t="shared" si="11"/>
        <v>6</v>
      </c>
      <c r="K13" s="132">
        <f t="shared" si="12"/>
        <v>4</v>
      </c>
      <c r="L13" s="132">
        <f t="shared" si="14"/>
        <v>5</v>
      </c>
      <c r="M13" s="132">
        <f t="shared" si="15"/>
        <v>3</v>
      </c>
      <c r="N13" s="132">
        <f t="shared" si="16"/>
        <v>3</v>
      </c>
      <c r="O13" s="132">
        <f t="shared" si="17"/>
        <v>2</v>
      </c>
      <c r="P13" s="132">
        <f>ABS($B$12-B13)+ABS($C$12-C13)</f>
        <v>2</v>
      </c>
      <c r="Q13" s="132">
        <f t="shared" si="9"/>
        <v>0</v>
      </c>
    </row>
    <row r="14" spans="1:17">
      <c r="G14" s="135"/>
      <c r="H14" s="136"/>
      <c r="I14" s="132"/>
      <c r="J14" s="136"/>
      <c r="K14" s="136"/>
      <c r="L14" s="132"/>
      <c r="M14" s="132"/>
      <c r="N14" s="132"/>
      <c r="O14" s="132"/>
      <c r="P14" s="132"/>
      <c r="Q14" s="132"/>
    </row>
    <row r="15" spans="1:17">
      <c r="A15" s="123" t="s">
        <v>531</v>
      </c>
      <c r="C15" s="123" t="s">
        <v>532</v>
      </c>
      <c r="D15" s="123" t="s">
        <v>533</v>
      </c>
    </row>
    <row r="17" spans="1:7">
      <c r="B17" s="123" t="s">
        <v>534</v>
      </c>
      <c r="C17" s="123" t="s">
        <v>535</v>
      </c>
    </row>
    <row r="18" spans="1:7">
      <c r="A18" s="123" t="s">
        <v>536</v>
      </c>
      <c r="B18" s="123">
        <f>SUMIF(Table166873[cluster],"cluster1",Table176974[2])</f>
        <v>11</v>
      </c>
      <c r="C18" s="123">
        <f>SUMIF(Table166873[cluster],"cluster2",Table176974[8])</f>
        <v>9</v>
      </c>
      <c r="D18" s="142">
        <f>SUM(B18:C18)</f>
        <v>20</v>
      </c>
    </row>
    <row r="19" spans="1:7">
      <c r="G19" s="123" t="s">
        <v>537</v>
      </c>
    </row>
    <row r="20" spans="1:7">
      <c r="A20" s="123" t="s">
        <v>538</v>
      </c>
      <c r="C20" s="123" t="s">
        <v>532</v>
      </c>
      <c r="D20" s="123" t="s">
        <v>539</v>
      </c>
      <c r="G20" s="123">
        <f>22-20</f>
        <v>2</v>
      </c>
    </row>
    <row r="22" spans="1:7">
      <c r="B22" s="123" t="s">
        <v>534</v>
      </c>
      <c r="C22" s="123" t="s">
        <v>535</v>
      </c>
    </row>
    <row r="23" spans="1:7">
      <c r="A23" s="123" t="s">
        <v>536</v>
      </c>
      <c r="B23" s="123">
        <f>SUMIF(Table166873[cluster],"cluster1",Table176974[2])</f>
        <v>11</v>
      </c>
      <c r="C23" s="123">
        <f>SUMIF(Table166873[cluster],"cluster2",Table176974[7])</f>
        <v>11</v>
      </c>
      <c r="D23" s="142">
        <f>SUM(B23:C23)</f>
        <v>22</v>
      </c>
    </row>
  </sheetData>
  <dataConsolidate/>
  <mergeCells count="2">
    <mergeCell ref="A1:C1"/>
    <mergeCell ref="G2:K2"/>
  </mergeCells>
  <pageMargins left="0.7" right="0.7" top="0.75" bottom="0.75" header="0.3" footer="0.3"/>
  <pageSetup orientation="portrait" r:id="rId1"/>
  <drawing r:id="rId2"/>
  <tableParts count="2">
    <tablePart r:id="rId3"/>
    <tablePart r:id="rId4"/>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Q26"/>
  <sheetViews>
    <sheetView zoomScale="90" zoomScaleNormal="90" workbookViewId="0">
      <selection activeCell="C1" sqref="C1"/>
    </sheetView>
  </sheetViews>
  <sheetFormatPr defaultColWidth="9.140625" defaultRowHeight="15"/>
  <cols>
    <col min="1" max="1" width="5.28515625" style="123" bestFit="1" customWidth="1"/>
    <col min="2" max="2" width="17.85546875" style="123" bestFit="1" customWidth="1"/>
    <col min="3" max="3" width="16.140625" style="123" bestFit="1" customWidth="1"/>
    <col min="4" max="4" width="4.140625" style="123" bestFit="1" customWidth="1"/>
    <col min="5" max="5" width="17.85546875" style="123" bestFit="1" customWidth="1"/>
    <col min="6" max="6" width="16.28515625" style="123" bestFit="1" customWidth="1"/>
    <col min="7" max="7" width="28.28515625" style="123" bestFit="1" customWidth="1"/>
    <col min="8" max="8" width="23.5703125" style="123" bestFit="1" customWidth="1"/>
    <col min="9" max="9" width="18.7109375" style="123" bestFit="1" customWidth="1"/>
    <col min="10" max="10" width="33.42578125" style="123" bestFit="1" customWidth="1"/>
    <col min="11" max="11" width="8.42578125" style="123" bestFit="1" customWidth="1"/>
    <col min="12" max="12" width="16.140625" style="123" bestFit="1" customWidth="1"/>
    <col min="13" max="13" width="6" style="123" bestFit="1" customWidth="1"/>
    <col min="14" max="14" width="23.28515625" style="123" bestFit="1" customWidth="1"/>
    <col min="15" max="15" width="18.5703125" style="123" bestFit="1" customWidth="1"/>
    <col min="16" max="16384" width="9.140625" style="123"/>
  </cols>
  <sheetData>
    <row r="1" spans="1:17">
      <c r="A1" s="167" t="s">
        <v>146</v>
      </c>
      <c r="B1" s="167" t="s">
        <v>559</v>
      </c>
      <c r="C1" s="142"/>
      <c r="D1" s="168" t="s">
        <v>146</v>
      </c>
      <c r="E1" s="169" t="s">
        <v>560</v>
      </c>
      <c r="F1" s="169" t="s">
        <v>561</v>
      </c>
      <c r="G1" s="169" t="s">
        <v>562</v>
      </c>
      <c r="H1" s="169" t="s">
        <v>563</v>
      </c>
      <c r="I1" s="169" t="s">
        <v>564</v>
      </c>
      <c r="J1" s="170" t="s">
        <v>565</v>
      </c>
      <c r="P1" s="142"/>
      <c r="Q1" s="142"/>
    </row>
    <row r="2" spans="1:17">
      <c r="A2" s="143" t="s">
        <v>566</v>
      </c>
      <c r="B2" s="143" t="s">
        <v>567</v>
      </c>
      <c r="D2" s="171" t="s">
        <v>566</v>
      </c>
      <c r="E2" s="143" t="s">
        <v>567</v>
      </c>
      <c r="F2" s="143" t="s">
        <v>568</v>
      </c>
      <c r="G2" s="143" t="s">
        <v>479</v>
      </c>
      <c r="H2" s="143" t="s">
        <v>569</v>
      </c>
      <c r="I2" s="143" t="s">
        <v>570</v>
      </c>
      <c r="J2" s="172" t="s">
        <v>571</v>
      </c>
    </row>
    <row r="3" spans="1:17" ht="45">
      <c r="A3" s="143" t="s">
        <v>572</v>
      </c>
      <c r="B3" s="143" t="s">
        <v>573</v>
      </c>
      <c r="D3" s="171" t="s">
        <v>572</v>
      </c>
      <c r="E3" s="143" t="s">
        <v>573</v>
      </c>
      <c r="F3" s="143" t="s">
        <v>574</v>
      </c>
      <c r="G3" s="143" t="s">
        <v>575</v>
      </c>
      <c r="H3" s="143" t="s">
        <v>576</v>
      </c>
      <c r="I3" s="143" t="s">
        <v>577</v>
      </c>
      <c r="J3" s="173" t="s">
        <v>578</v>
      </c>
    </row>
    <row r="4" spans="1:17">
      <c r="A4" s="143" t="s">
        <v>579</v>
      </c>
      <c r="B4" s="143" t="s">
        <v>580</v>
      </c>
      <c r="D4" s="171" t="s">
        <v>579</v>
      </c>
      <c r="E4" s="143" t="s">
        <v>580</v>
      </c>
      <c r="F4" s="143" t="s">
        <v>581</v>
      </c>
      <c r="G4" s="143" t="s">
        <v>582</v>
      </c>
      <c r="H4" s="143" t="s">
        <v>583</v>
      </c>
      <c r="I4" s="143" t="s">
        <v>584</v>
      </c>
      <c r="J4" s="172" t="s">
        <v>585</v>
      </c>
    </row>
    <row r="5" spans="1:17" ht="30">
      <c r="A5" s="143" t="s">
        <v>586</v>
      </c>
      <c r="B5" s="143" t="s">
        <v>587</v>
      </c>
      <c r="D5" s="171" t="s">
        <v>586</v>
      </c>
      <c r="E5" s="143" t="s">
        <v>587</v>
      </c>
      <c r="F5" s="143" t="s">
        <v>588</v>
      </c>
      <c r="G5" s="143" t="s">
        <v>589</v>
      </c>
      <c r="H5" s="143" t="s">
        <v>590</v>
      </c>
      <c r="I5" s="143" t="s">
        <v>591</v>
      </c>
      <c r="J5" s="173" t="s">
        <v>592</v>
      </c>
    </row>
    <row r="6" spans="1:17" ht="15.75" thickBot="1">
      <c r="A6" s="143" t="s">
        <v>593</v>
      </c>
      <c r="B6" s="143" t="s">
        <v>594</v>
      </c>
      <c r="D6" s="174" t="s">
        <v>593</v>
      </c>
      <c r="E6" s="175" t="s">
        <v>594</v>
      </c>
      <c r="F6" s="175" t="s">
        <v>568</v>
      </c>
      <c r="G6" s="175" t="s">
        <v>595</v>
      </c>
      <c r="H6" s="175" t="s">
        <v>596</v>
      </c>
      <c r="I6" s="175" t="s">
        <v>596</v>
      </c>
      <c r="J6" s="176" t="s">
        <v>597</v>
      </c>
    </row>
    <row r="7" spans="1:17" ht="15.75" thickBot="1"/>
    <row r="8" spans="1:17">
      <c r="A8" s="177" t="s">
        <v>598</v>
      </c>
      <c r="B8" s="177" t="s">
        <v>599</v>
      </c>
      <c r="D8" s="270" t="s">
        <v>600</v>
      </c>
      <c r="E8" s="271"/>
      <c r="F8" s="271"/>
      <c r="G8" s="271"/>
      <c r="H8" s="271"/>
      <c r="I8" s="271"/>
      <c r="J8" s="272"/>
    </row>
    <row r="9" spans="1:17">
      <c r="A9" s="178" t="s">
        <v>601</v>
      </c>
      <c r="B9" s="178">
        <v>4</v>
      </c>
      <c r="D9" s="179"/>
      <c r="E9" s="180" t="s">
        <v>602</v>
      </c>
      <c r="F9" s="180" t="s">
        <v>603</v>
      </c>
      <c r="G9" s="180" t="s">
        <v>604</v>
      </c>
      <c r="H9" s="180" t="s">
        <v>605</v>
      </c>
      <c r="I9" s="180" t="s">
        <v>606</v>
      </c>
      <c r="J9" s="181"/>
    </row>
    <row r="10" spans="1:17">
      <c r="A10" s="178" t="s">
        <v>595</v>
      </c>
      <c r="B10" s="182">
        <v>4</v>
      </c>
      <c r="D10" s="183"/>
      <c r="E10" s="103" t="s">
        <v>607</v>
      </c>
      <c r="F10" s="103">
        <v>3</v>
      </c>
      <c r="G10" s="103" t="s">
        <v>608</v>
      </c>
      <c r="H10" s="103">
        <v>1</v>
      </c>
      <c r="I10" s="103">
        <f>H10*100</f>
        <v>100</v>
      </c>
      <c r="J10" s="184"/>
    </row>
    <row r="11" spans="1:17">
      <c r="A11" s="178" t="s">
        <v>589</v>
      </c>
      <c r="B11" s="178">
        <v>3</v>
      </c>
      <c r="D11" s="183"/>
      <c r="E11" s="103" t="s">
        <v>609</v>
      </c>
      <c r="F11" s="103">
        <v>3</v>
      </c>
      <c r="G11" s="103" t="s">
        <v>610</v>
      </c>
      <c r="H11" s="103">
        <v>0.75</v>
      </c>
      <c r="I11" s="103">
        <f t="shared" ref="I11:I21" si="0">H11*100</f>
        <v>75</v>
      </c>
      <c r="J11" s="184"/>
    </row>
    <row r="12" spans="1:17">
      <c r="A12" s="178" t="s">
        <v>582</v>
      </c>
      <c r="B12" s="178">
        <v>3</v>
      </c>
      <c r="D12" s="183"/>
      <c r="E12" s="103" t="s">
        <v>611</v>
      </c>
      <c r="F12" s="103">
        <v>3</v>
      </c>
      <c r="G12" s="103" t="s">
        <v>612</v>
      </c>
      <c r="H12" s="103">
        <v>0.75</v>
      </c>
      <c r="I12" s="103">
        <f t="shared" si="0"/>
        <v>75</v>
      </c>
      <c r="J12" s="184"/>
    </row>
    <row r="13" spans="1:17">
      <c r="A13" s="178" t="s">
        <v>575</v>
      </c>
      <c r="B13" s="178">
        <v>3</v>
      </c>
      <c r="D13" s="183"/>
      <c r="E13" s="103" t="s">
        <v>613</v>
      </c>
      <c r="F13" s="103">
        <v>3</v>
      </c>
      <c r="G13" s="103" t="s">
        <v>608</v>
      </c>
      <c r="H13" s="103">
        <v>1</v>
      </c>
      <c r="I13" s="103">
        <f t="shared" si="0"/>
        <v>100</v>
      </c>
      <c r="J13" s="184"/>
    </row>
    <row r="14" spans="1:17">
      <c r="A14" s="178" t="s">
        <v>479</v>
      </c>
      <c r="B14" s="178">
        <v>3</v>
      </c>
      <c r="D14" s="183"/>
      <c r="E14" s="103" t="s">
        <v>614</v>
      </c>
      <c r="F14" s="103">
        <v>3</v>
      </c>
      <c r="G14" s="103" t="s">
        <v>610</v>
      </c>
      <c r="H14" s="103">
        <v>0.75</v>
      </c>
      <c r="I14" s="103">
        <f t="shared" si="0"/>
        <v>75</v>
      </c>
      <c r="J14" s="184"/>
    </row>
    <row r="15" spans="1:17">
      <c r="A15" s="185" t="s">
        <v>615</v>
      </c>
      <c r="B15" s="185">
        <v>2</v>
      </c>
      <c r="D15" s="183"/>
      <c r="E15" s="103" t="s">
        <v>616</v>
      </c>
      <c r="F15" s="103">
        <v>3</v>
      </c>
      <c r="G15" s="103" t="s">
        <v>617</v>
      </c>
      <c r="H15" s="103">
        <v>1</v>
      </c>
      <c r="I15" s="103">
        <f t="shared" si="0"/>
        <v>100</v>
      </c>
      <c r="J15" s="184"/>
    </row>
    <row r="16" spans="1:17">
      <c r="A16" s="185" t="s">
        <v>618</v>
      </c>
      <c r="B16" s="185">
        <v>2</v>
      </c>
      <c r="D16" s="183"/>
      <c r="E16" s="103" t="s">
        <v>619</v>
      </c>
      <c r="F16" s="103">
        <v>3</v>
      </c>
      <c r="G16" s="103" t="s">
        <v>608</v>
      </c>
      <c r="H16" s="103">
        <v>1</v>
      </c>
      <c r="I16" s="103">
        <f t="shared" si="0"/>
        <v>100</v>
      </c>
      <c r="J16" s="184"/>
    </row>
    <row r="17" spans="1:10">
      <c r="A17" s="185" t="s">
        <v>620</v>
      </c>
      <c r="B17" s="185">
        <v>1</v>
      </c>
      <c r="D17" s="183"/>
      <c r="E17" s="103" t="s">
        <v>621</v>
      </c>
      <c r="F17" s="103">
        <v>3</v>
      </c>
      <c r="G17" s="103" t="s">
        <v>612</v>
      </c>
      <c r="H17" s="103">
        <v>0.75</v>
      </c>
      <c r="I17" s="103">
        <f t="shared" si="0"/>
        <v>75</v>
      </c>
      <c r="J17" s="184"/>
    </row>
    <row r="18" spans="1:10">
      <c r="A18" s="185" t="s">
        <v>622</v>
      </c>
      <c r="B18" s="185">
        <v>1</v>
      </c>
      <c r="D18" s="183"/>
      <c r="E18" s="103" t="s">
        <v>623</v>
      </c>
      <c r="F18" s="103">
        <v>3</v>
      </c>
      <c r="G18" s="103" t="s">
        <v>617</v>
      </c>
      <c r="H18" s="103">
        <v>1</v>
      </c>
      <c r="I18" s="103">
        <f t="shared" si="0"/>
        <v>100</v>
      </c>
      <c r="J18" s="184"/>
    </row>
    <row r="19" spans="1:10">
      <c r="A19" s="185" t="s">
        <v>624</v>
      </c>
      <c r="B19" s="185">
        <v>1</v>
      </c>
      <c r="D19" s="183"/>
      <c r="E19" s="103" t="s">
        <v>625</v>
      </c>
      <c r="F19" s="103">
        <v>3</v>
      </c>
      <c r="G19" s="103" t="s">
        <v>617</v>
      </c>
      <c r="H19" s="103">
        <v>1</v>
      </c>
      <c r="I19" s="103">
        <f t="shared" si="0"/>
        <v>100</v>
      </c>
      <c r="J19" s="184"/>
    </row>
    <row r="20" spans="1:10">
      <c r="A20" s="185" t="s">
        <v>626</v>
      </c>
      <c r="B20" s="185">
        <v>1</v>
      </c>
      <c r="D20" s="183"/>
      <c r="E20" s="103" t="s">
        <v>627</v>
      </c>
      <c r="F20" s="103">
        <v>3</v>
      </c>
      <c r="G20" s="103" t="s">
        <v>610</v>
      </c>
      <c r="H20" s="103">
        <v>0.75</v>
      </c>
      <c r="I20" s="103">
        <f t="shared" si="0"/>
        <v>75</v>
      </c>
      <c r="J20" s="184"/>
    </row>
    <row r="21" spans="1:10" ht="15.75" thickBot="1">
      <c r="A21" s="185" t="s">
        <v>628</v>
      </c>
      <c r="B21" s="185">
        <v>1</v>
      </c>
      <c r="D21" s="186"/>
      <c r="E21" s="187" t="s">
        <v>629</v>
      </c>
      <c r="F21" s="187">
        <v>3</v>
      </c>
      <c r="G21" s="187" t="s">
        <v>612</v>
      </c>
      <c r="H21" s="187">
        <v>0.75</v>
      </c>
      <c r="I21" s="187">
        <f t="shared" si="0"/>
        <v>75</v>
      </c>
      <c r="J21" s="188"/>
    </row>
    <row r="22" spans="1:10">
      <c r="A22" s="185" t="s">
        <v>630</v>
      </c>
      <c r="B22" s="185">
        <v>1</v>
      </c>
    </row>
    <row r="23" spans="1:10">
      <c r="A23" s="185" t="s">
        <v>631</v>
      </c>
      <c r="B23" s="185">
        <v>1</v>
      </c>
    </row>
    <row r="24" spans="1:10">
      <c r="A24" s="185" t="s">
        <v>14</v>
      </c>
      <c r="B24" s="185">
        <v>1</v>
      </c>
    </row>
    <row r="25" spans="1:10">
      <c r="A25" s="185" t="s">
        <v>632</v>
      </c>
      <c r="B25" s="185">
        <v>1</v>
      </c>
    </row>
    <row r="26" spans="1:10">
      <c r="A26" s="185" t="s">
        <v>633</v>
      </c>
      <c r="B26" s="185">
        <v>1</v>
      </c>
    </row>
  </sheetData>
  <mergeCells count="1">
    <mergeCell ref="D8:J8"/>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W20"/>
  <sheetViews>
    <sheetView workbookViewId="0">
      <selection activeCell="K1" sqref="K1"/>
    </sheetView>
  </sheetViews>
  <sheetFormatPr defaultColWidth="18" defaultRowHeight="15"/>
  <cols>
    <col min="1" max="2" width="18" style="123"/>
    <col min="3" max="3" width="3.7109375" style="123" customWidth="1"/>
    <col min="4" max="4" width="2.7109375" style="123" customWidth="1"/>
    <col min="5" max="10" width="2" style="123" customWidth="1"/>
    <col min="11" max="11" width="18" style="123"/>
    <col min="12" max="12" width="7.28515625" style="123" customWidth="1"/>
    <col min="13" max="13" width="10.140625" style="123" customWidth="1"/>
    <col min="14" max="14" width="9.42578125" style="123" customWidth="1"/>
    <col min="15" max="15" width="13.5703125" style="123" customWidth="1"/>
    <col min="16" max="16" width="8.5703125" style="123" customWidth="1"/>
    <col min="17" max="17" width="8" style="123" bestFit="1" customWidth="1"/>
    <col min="18" max="18" width="18" style="123"/>
    <col min="19" max="19" width="7.140625" style="123" bestFit="1" customWidth="1"/>
    <col min="20" max="20" width="8" style="123" bestFit="1" customWidth="1"/>
    <col min="21" max="21" width="11.140625" style="123" customWidth="1"/>
    <col min="22" max="22" width="6.140625" style="123" bestFit="1" customWidth="1"/>
    <col min="23" max="23" width="8" style="123" bestFit="1" customWidth="1"/>
    <col min="24" max="16384" width="18" style="123"/>
  </cols>
  <sheetData>
    <row r="1" spans="1:23">
      <c r="A1" s="273" t="s">
        <v>634</v>
      </c>
      <c r="B1" s="273"/>
      <c r="C1" s="92"/>
      <c r="D1" s="92"/>
      <c r="E1" s="92"/>
      <c r="F1" s="92"/>
      <c r="G1" s="92"/>
      <c r="H1" s="92"/>
      <c r="I1" s="92"/>
      <c r="J1" s="92"/>
      <c r="L1" s="242" t="s">
        <v>635</v>
      </c>
      <c r="M1" s="242"/>
      <c r="N1" s="125"/>
      <c r="P1" s="242" t="s">
        <v>636</v>
      </c>
      <c r="Q1" s="242"/>
      <c r="S1" s="242" t="s">
        <v>637</v>
      </c>
      <c r="T1" s="242"/>
      <c r="V1" s="242" t="s">
        <v>638</v>
      </c>
      <c r="W1" s="242"/>
    </row>
    <row r="2" spans="1:23">
      <c r="A2" s="163" t="s">
        <v>146</v>
      </c>
      <c r="B2" s="163" t="s">
        <v>559</v>
      </c>
      <c r="C2" s="189"/>
      <c r="D2" s="189"/>
      <c r="E2" s="189"/>
      <c r="F2" s="189"/>
      <c r="G2" s="189"/>
      <c r="H2" s="189"/>
      <c r="I2" s="189"/>
      <c r="J2" s="189"/>
      <c r="L2" s="177" t="s">
        <v>598</v>
      </c>
      <c r="M2" s="177" t="s">
        <v>599</v>
      </c>
      <c r="N2" s="177" t="s">
        <v>549</v>
      </c>
      <c r="P2" s="177" t="s">
        <v>598</v>
      </c>
      <c r="Q2" s="177" t="s">
        <v>599</v>
      </c>
      <c r="S2" s="177" t="s">
        <v>598</v>
      </c>
      <c r="T2" s="177" t="s">
        <v>599</v>
      </c>
      <c r="V2" s="177" t="s">
        <v>598</v>
      </c>
      <c r="W2" s="177" t="s">
        <v>599</v>
      </c>
    </row>
    <row r="3" spans="1:23">
      <c r="A3" s="143" t="s">
        <v>566</v>
      </c>
      <c r="B3" s="143" t="s">
        <v>567</v>
      </c>
      <c r="C3" s="103" t="s">
        <v>595</v>
      </c>
      <c r="D3" s="190" t="s">
        <v>589</v>
      </c>
      <c r="E3" s="190" t="s">
        <v>601</v>
      </c>
      <c r="F3" s="190" t="s">
        <v>620</v>
      </c>
      <c r="G3" s="190" t="s">
        <v>624</v>
      </c>
      <c r="H3" s="190" t="s">
        <v>628</v>
      </c>
      <c r="I3" s="190" t="s">
        <v>575</v>
      </c>
      <c r="J3" s="190" t="s">
        <v>479</v>
      </c>
      <c r="L3" s="178" t="s">
        <v>601</v>
      </c>
      <c r="M3" s="123">
        <f>COUNTIFS($C$3:$J$7,$L3)</f>
        <v>4</v>
      </c>
      <c r="N3" s="178" t="str">
        <f>IF(Table1[[#This Row],[Support]]&gt;=$B$9,"selected","Rejected")</f>
        <v>selected</v>
      </c>
      <c r="P3" s="178" t="s">
        <v>639</v>
      </c>
      <c r="Q3" s="178">
        <v>3</v>
      </c>
      <c r="S3" s="178" t="s">
        <v>640</v>
      </c>
      <c r="T3" s="178">
        <v>3</v>
      </c>
      <c r="V3" s="24" t="s">
        <v>641</v>
      </c>
      <c r="W3" s="24">
        <v>3</v>
      </c>
    </row>
    <row r="4" spans="1:23">
      <c r="A4" s="143" t="s">
        <v>572</v>
      </c>
      <c r="B4" s="143" t="s">
        <v>573</v>
      </c>
      <c r="C4" s="103" t="s">
        <v>589</v>
      </c>
      <c r="D4" s="190" t="s">
        <v>582</v>
      </c>
      <c r="E4" s="190" t="s">
        <v>601</v>
      </c>
      <c r="F4" s="190" t="s">
        <v>595</v>
      </c>
      <c r="G4" s="190" t="s">
        <v>615</v>
      </c>
      <c r="H4" s="190" t="s">
        <v>575</v>
      </c>
      <c r="I4" s="190" t="s">
        <v>618</v>
      </c>
      <c r="J4" s="103"/>
      <c r="L4" s="178" t="s">
        <v>595</v>
      </c>
      <c r="M4" s="123">
        <f t="shared" ref="M4:M20" si="0">COUNTIFS($C$3:$J$7,$L4)</f>
        <v>4</v>
      </c>
      <c r="N4" s="182" t="str">
        <f>IF(Table1[[#This Row],[Support]]&gt;=$B$9,"selected","Rejected")</f>
        <v>selected</v>
      </c>
      <c r="P4" s="178" t="s">
        <v>642</v>
      </c>
      <c r="Q4" s="178">
        <v>3</v>
      </c>
      <c r="S4" s="178" t="s">
        <v>643</v>
      </c>
      <c r="T4" s="178">
        <v>3</v>
      </c>
    </row>
    <row r="5" spans="1:23">
      <c r="A5" s="143" t="s">
        <v>579</v>
      </c>
      <c r="B5" s="143" t="s">
        <v>580</v>
      </c>
      <c r="C5" s="103" t="s">
        <v>582</v>
      </c>
      <c r="D5" s="190" t="s">
        <v>595</v>
      </c>
      <c r="E5" s="190" t="s">
        <v>626</v>
      </c>
      <c r="F5" s="190" t="s">
        <v>630</v>
      </c>
      <c r="G5" s="190" t="s">
        <v>618</v>
      </c>
      <c r="H5" s="190" t="s">
        <v>633</v>
      </c>
      <c r="I5" s="103"/>
      <c r="J5" s="103"/>
      <c r="L5" s="178" t="s">
        <v>589</v>
      </c>
      <c r="M5" s="123">
        <f t="shared" si="0"/>
        <v>3</v>
      </c>
      <c r="N5" s="178" t="str">
        <f>IF(Table1[[#This Row],[Support]]&gt;=$B$9,"selected","Rejected")</f>
        <v>selected</v>
      </c>
      <c r="P5" s="178" t="s">
        <v>644</v>
      </c>
      <c r="Q5" s="178">
        <v>3</v>
      </c>
      <c r="S5" s="178" t="s">
        <v>645</v>
      </c>
      <c r="T5" s="178">
        <v>3</v>
      </c>
    </row>
    <row r="6" spans="1:23">
      <c r="A6" s="143" t="s">
        <v>586</v>
      </c>
      <c r="B6" s="143" t="s">
        <v>587</v>
      </c>
      <c r="C6" s="190" t="s">
        <v>582</v>
      </c>
      <c r="D6" s="190" t="s">
        <v>601</v>
      </c>
      <c r="E6" s="190" t="s">
        <v>631</v>
      </c>
      <c r="F6" s="190" t="s">
        <v>632</v>
      </c>
      <c r="G6" s="190" t="s">
        <v>479</v>
      </c>
      <c r="H6" s="103"/>
      <c r="I6" s="103"/>
      <c r="J6" s="103"/>
      <c r="L6" s="178" t="s">
        <v>582</v>
      </c>
      <c r="M6" s="123">
        <f t="shared" si="0"/>
        <v>3</v>
      </c>
      <c r="N6" s="178" t="str">
        <f>IF(Table1[[#This Row],[Support]]&gt;=$B$9,"selected","Rejected")</f>
        <v>selected</v>
      </c>
      <c r="P6" s="178" t="s">
        <v>646</v>
      </c>
      <c r="Q6" s="178">
        <v>3</v>
      </c>
      <c r="S6" s="185" t="s">
        <v>647</v>
      </c>
      <c r="T6" s="185">
        <v>2</v>
      </c>
    </row>
    <row r="7" spans="1:23">
      <c r="A7" s="143" t="s">
        <v>593</v>
      </c>
      <c r="B7" s="143" t="s">
        <v>594</v>
      </c>
      <c r="C7" s="190" t="s">
        <v>589</v>
      </c>
      <c r="D7" s="190" t="s">
        <v>595</v>
      </c>
      <c r="E7" s="190" t="s">
        <v>601</v>
      </c>
      <c r="F7" s="190" t="s">
        <v>622</v>
      </c>
      <c r="G7" s="190" t="s">
        <v>615</v>
      </c>
      <c r="H7" s="190" t="s">
        <v>479</v>
      </c>
      <c r="I7" s="190" t="s">
        <v>575</v>
      </c>
      <c r="J7" s="190" t="s">
        <v>14</v>
      </c>
      <c r="L7" s="178" t="s">
        <v>575</v>
      </c>
      <c r="M7" s="123">
        <f t="shared" si="0"/>
        <v>3</v>
      </c>
      <c r="N7" s="178" t="str">
        <f>IF(Table1[[#This Row],[Support]]&gt;=$B$9,"selected","Rejected")</f>
        <v>selected</v>
      </c>
      <c r="P7" s="178" t="s">
        <v>648</v>
      </c>
      <c r="Q7" s="178">
        <v>3</v>
      </c>
      <c r="S7" s="185" t="s">
        <v>649</v>
      </c>
      <c r="T7" s="185">
        <v>2</v>
      </c>
    </row>
    <row r="8" spans="1:23">
      <c r="L8" s="178" t="s">
        <v>479</v>
      </c>
      <c r="M8" s="123">
        <f t="shared" si="0"/>
        <v>3</v>
      </c>
      <c r="N8" s="178" t="str">
        <f>IF(Table1[[#This Row],[Support]]&gt;=$B$9,"selected","Rejected")</f>
        <v>selected</v>
      </c>
      <c r="P8" s="178" t="s">
        <v>650</v>
      </c>
      <c r="Q8" s="178">
        <v>3</v>
      </c>
      <c r="S8" s="185" t="s">
        <v>651</v>
      </c>
      <c r="T8" s="185">
        <v>2</v>
      </c>
    </row>
    <row r="9" spans="1:23">
      <c r="A9" s="123" t="s">
        <v>652</v>
      </c>
      <c r="B9" s="123">
        <v>3</v>
      </c>
      <c r="L9" s="185" t="s">
        <v>615</v>
      </c>
      <c r="M9" s="123">
        <f t="shared" si="0"/>
        <v>2</v>
      </c>
      <c r="N9" s="185" t="str">
        <f>IF(Table1[[#This Row],[Support]]&gt;=$B$9,"selected","Rejected")</f>
        <v>Rejected</v>
      </c>
      <c r="P9" s="178" t="s">
        <v>653</v>
      </c>
      <c r="Q9" s="178">
        <v>3</v>
      </c>
      <c r="S9" s="185" t="s">
        <v>654</v>
      </c>
      <c r="T9" s="185">
        <v>2</v>
      </c>
    </row>
    <row r="10" spans="1:23">
      <c r="A10" s="123" t="s">
        <v>655</v>
      </c>
      <c r="L10" s="185" t="s">
        <v>618</v>
      </c>
      <c r="M10" s="123">
        <f t="shared" si="0"/>
        <v>2</v>
      </c>
      <c r="N10" s="185" t="str">
        <f>IF(Table1[[#This Row],[Support]]&gt;=$B$9,"selected","Rejected")</f>
        <v>Rejected</v>
      </c>
      <c r="P10" s="178" t="s">
        <v>656</v>
      </c>
      <c r="Q10" s="178">
        <v>3</v>
      </c>
    </row>
    <row r="11" spans="1:23">
      <c r="L11" s="185" t="s">
        <v>620</v>
      </c>
      <c r="M11" s="123">
        <f t="shared" si="0"/>
        <v>1</v>
      </c>
      <c r="N11" s="185" t="str">
        <f>IF(Table1[[#This Row],[Support]]&gt;=$B$9,"selected","Rejected")</f>
        <v>Rejected</v>
      </c>
      <c r="P11" s="123" t="s">
        <v>657</v>
      </c>
      <c r="Q11" s="123">
        <v>2</v>
      </c>
    </row>
    <row r="12" spans="1:23">
      <c r="L12" s="185" t="s">
        <v>622</v>
      </c>
      <c r="M12" s="123">
        <f t="shared" si="0"/>
        <v>1</v>
      </c>
      <c r="N12" s="185" t="str">
        <f>IF(Table1[[#This Row],[Support]]&gt;=$B$9,"selected","Rejected")</f>
        <v>Rejected</v>
      </c>
      <c r="P12" s="123" t="s">
        <v>581</v>
      </c>
      <c r="Q12" s="123">
        <v>2</v>
      </c>
    </row>
    <row r="13" spans="1:23">
      <c r="L13" s="185" t="s">
        <v>624</v>
      </c>
      <c r="M13" s="123">
        <f t="shared" si="0"/>
        <v>1</v>
      </c>
      <c r="N13" s="185" t="str">
        <f>IF(Table1[[#This Row],[Support]]&gt;=$B$9,"selected","Rejected")</f>
        <v>Rejected</v>
      </c>
      <c r="P13" s="123" t="s">
        <v>658</v>
      </c>
      <c r="Q13" s="123">
        <v>2</v>
      </c>
    </row>
    <row r="14" spans="1:23">
      <c r="L14" s="185" t="s">
        <v>626</v>
      </c>
      <c r="M14" s="123">
        <f t="shared" si="0"/>
        <v>1</v>
      </c>
      <c r="N14" s="185" t="str">
        <f>IF(Table1[[#This Row],[Support]]&gt;=$B$9,"selected","Rejected")</f>
        <v>Rejected</v>
      </c>
      <c r="P14" s="123" t="s">
        <v>659</v>
      </c>
      <c r="Q14" s="123">
        <v>2</v>
      </c>
    </row>
    <row r="15" spans="1:23">
      <c r="L15" s="185" t="s">
        <v>628</v>
      </c>
      <c r="M15" s="123">
        <f t="shared" si="0"/>
        <v>1</v>
      </c>
      <c r="N15" s="185" t="str">
        <f>IF(Table1[[#This Row],[Support]]&gt;=$B$9,"selected","Rejected")</f>
        <v>Rejected</v>
      </c>
      <c r="P15" s="123" t="s">
        <v>660</v>
      </c>
      <c r="Q15" s="123">
        <v>1</v>
      </c>
    </row>
    <row r="16" spans="1:23">
      <c r="L16" s="185" t="s">
        <v>630</v>
      </c>
      <c r="M16" s="123">
        <f t="shared" si="0"/>
        <v>1</v>
      </c>
      <c r="N16" s="185" t="str">
        <f>IF(Table1[[#This Row],[Support]]&gt;=$B$9,"selected","Rejected")</f>
        <v>Rejected</v>
      </c>
      <c r="P16" s="123" t="s">
        <v>661</v>
      </c>
      <c r="Q16" s="123">
        <v>1</v>
      </c>
    </row>
    <row r="17" spans="12:17">
      <c r="L17" s="185" t="s">
        <v>631</v>
      </c>
      <c r="M17" s="123">
        <f t="shared" si="0"/>
        <v>1</v>
      </c>
      <c r="N17" s="185" t="str">
        <f>IF(Table1[[#This Row],[Support]]&gt;=$B$9,"selected","Rejected")</f>
        <v>Rejected</v>
      </c>
      <c r="P17" s="123" t="s">
        <v>662</v>
      </c>
      <c r="Q17" s="123">
        <v>1</v>
      </c>
    </row>
    <row r="18" spans="12:17">
      <c r="L18" s="185" t="s">
        <v>14</v>
      </c>
      <c r="M18" s="123">
        <f t="shared" si="0"/>
        <v>1</v>
      </c>
      <c r="N18" s="185" t="str">
        <f>IF(Table1[[#This Row],[Support]]&gt;=$B$9,"selected","Rejected")</f>
        <v>Rejected</v>
      </c>
    </row>
    <row r="19" spans="12:17">
      <c r="L19" s="185" t="s">
        <v>632</v>
      </c>
      <c r="M19" s="123">
        <f t="shared" si="0"/>
        <v>1</v>
      </c>
      <c r="N19" s="185" t="str">
        <f>IF(Table1[[#This Row],[Support]]&gt;=$B$9,"selected","Rejected")</f>
        <v>Rejected</v>
      </c>
    </row>
    <row r="20" spans="12:17">
      <c r="L20" s="185" t="s">
        <v>633</v>
      </c>
      <c r="M20" s="123">
        <f t="shared" si="0"/>
        <v>1</v>
      </c>
      <c r="N20" s="185" t="str">
        <f>IF(Table1[[#This Row],[Support]]&gt;=$B$9,"selected","Rejected")</f>
        <v>Rejected</v>
      </c>
    </row>
  </sheetData>
  <mergeCells count="5">
    <mergeCell ref="A1:B1"/>
    <mergeCell ref="L1:M1"/>
    <mergeCell ref="P1:Q1"/>
    <mergeCell ref="S1:T1"/>
    <mergeCell ref="V1:W1"/>
  </mergeCells>
  <pageMargins left="0.7" right="0.7" top="0.75" bottom="0.75" header="0.3" footer="0.3"/>
  <pageSetup orientation="portrait"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O51"/>
  <sheetViews>
    <sheetView showGridLines="0" workbookViewId="0">
      <selection activeCell="B3" sqref="B3"/>
    </sheetView>
  </sheetViews>
  <sheetFormatPr defaultColWidth="9.140625" defaultRowHeight="15"/>
  <cols>
    <col min="1" max="1" width="12.7109375" style="123" customWidth="1"/>
    <col min="2" max="2" width="17" style="123" customWidth="1"/>
    <col min="3" max="4" width="9.140625" style="123"/>
    <col min="5" max="8" width="12.7109375" style="123" customWidth="1"/>
    <col min="9" max="9" width="23.28515625" style="123" customWidth="1"/>
    <col min="10" max="10" width="22.7109375" style="123" bestFit="1" customWidth="1"/>
    <col min="11" max="11" width="13" style="123" customWidth="1"/>
    <col min="12" max="12" width="24.7109375" style="123" customWidth="1"/>
    <col min="13" max="15" width="13" style="123" bestFit="1" customWidth="1"/>
    <col min="16" max="16384" width="9.140625" style="123"/>
  </cols>
  <sheetData>
    <row r="1" spans="1:12">
      <c r="A1" s="123" t="s">
        <v>708</v>
      </c>
      <c r="B1" s="123" t="s">
        <v>761</v>
      </c>
      <c r="C1" s="123" t="s">
        <v>760</v>
      </c>
      <c r="D1" s="123" t="s">
        <v>711</v>
      </c>
      <c r="E1" s="123" t="s">
        <v>712</v>
      </c>
      <c r="G1" s="220" t="s">
        <v>713</v>
      </c>
      <c r="H1" s="128">
        <f>COUNT(DocumentTable[[Mining ]])</f>
        <v>1</v>
      </c>
    </row>
    <row r="2" spans="1:12">
      <c r="A2" s="123" t="s">
        <v>714</v>
      </c>
      <c r="B2" s="111">
        <v>4</v>
      </c>
      <c r="C2" s="111">
        <v>5</v>
      </c>
      <c r="D2" s="111"/>
      <c r="E2" s="111"/>
    </row>
    <row r="3" spans="1:12">
      <c r="A3" s="123" t="s">
        <v>715</v>
      </c>
      <c r="B3" s="111"/>
      <c r="C3" s="111"/>
      <c r="D3" s="111"/>
      <c r="E3" s="111"/>
    </row>
    <row r="4" spans="1:12">
      <c r="A4" s="123" t="s">
        <v>716</v>
      </c>
      <c r="B4" s="111"/>
      <c r="C4" s="111"/>
      <c r="D4" s="111"/>
      <c r="E4" s="111"/>
    </row>
    <row r="5" spans="1:12">
      <c r="A5" s="123" t="s">
        <v>723</v>
      </c>
      <c r="B5" s="111"/>
      <c r="C5" s="111"/>
      <c r="D5" s="111"/>
      <c r="E5" s="111"/>
    </row>
    <row r="6" spans="1:12">
      <c r="A6"/>
      <c r="B6"/>
      <c r="C6"/>
      <c r="D6"/>
      <c r="E6"/>
    </row>
    <row r="7" spans="1:12">
      <c r="I7" s="123">
        <v>0.5</v>
      </c>
    </row>
    <row r="8" spans="1:12">
      <c r="A8" s="247" t="s">
        <v>717</v>
      </c>
      <c r="B8" s="247"/>
      <c r="C8" s="247"/>
      <c r="D8" s="247"/>
      <c r="E8" s="247"/>
      <c r="H8" s="247" t="s">
        <v>718</v>
      </c>
      <c r="I8" s="247"/>
      <c r="J8" s="247"/>
      <c r="K8" s="247"/>
      <c r="L8" s="247"/>
    </row>
    <row r="9" spans="1:12">
      <c r="A9" s="123" t="s">
        <v>708</v>
      </c>
      <c r="B9" s="123" t="s">
        <v>709</v>
      </c>
      <c r="C9" s="123" t="s">
        <v>710</v>
      </c>
      <c r="D9" s="123" t="s">
        <v>711</v>
      </c>
      <c r="E9" s="123" t="s">
        <v>712</v>
      </c>
      <c r="H9" s="123" t="s">
        <v>708</v>
      </c>
      <c r="I9" s="123" t="s">
        <v>709</v>
      </c>
      <c r="J9" s="123" t="s">
        <v>710</v>
      </c>
      <c r="K9" s="123" t="s">
        <v>711</v>
      </c>
      <c r="L9" s="123" t="s">
        <v>712</v>
      </c>
    </row>
    <row r="10" spans="1:12">
      <c r="A10" s="123" t="str">
        <f>A2</f>
        <v>D1</v>
      </c>
      <c r="B10" s="131">
        <f t="shared" ref="B10:B13" si="0">IF(ISBLANK(B2),"",0.5+(0.5*B2)/MAX($B2:$E2))</f>
        <v>0.9</v>
      </c>
      <c r="C10" s="131">
        <f t="shared" ref="C10:C13" si="1">IF(ISBLANK(C2),"",0.5+(0.5*C2)/MAX($B2:$E2))</f>
        <v>1</v>
      </c>
      <c r="D10" s="131" t="str">
        <f t="shared" ref="D10:D13" si="2">IF(ISBLANK(D2),"",0.5+(0.5*D2)/MAX($B2:$E2))</f>
        <v/>
      </c>
      <c r="E10" s="131" t="str">
        <f t="shared" ref="E10:E13" si="3">IF(ISBLANK(E2),"",0.5+(0.5*E2)/MAX($B2:$E2))</f>
        <v/>
      </c>
      <c r="H10" s="123" t="str">
        <f>A2</f>
        <v>D1</v>
      </c>
      <c r="I10" s="128" t="str">
        <f>$I$7&amp;"+"&amp;$I$7&amp;"*"&amp;B2&amp;"/"&amp;MAX(B2:E2)</f>
        <v>0.5+0.5*4/5</v>
      </c>
      <c r="J10" s="128" t="str">
        <f t="shared" ref="J10:J13" si="4">$I$7&amp;"+"&amp;$I$7&amp;"*"&amp;C2&amp;"/"&amp;MAX(B2:E2)</f>
        <v>0.5+0.5*5/5</v>
      </c>
      <c r="K10" s="128" t="str">
        <f t="shared" ref="K10:K13" si="5">$I$7&amp;"+"&amp;$I$7&amp;"*"&amp;D2&amp;"/"&amp;MAX(B2:E2)</f>
        <v>0.5+0.5*/5</v>
      </c>
      <c r="L10" s="128" t="str">
        <f t="shared" ref="L10:L13" si="6">$I$7&amp;"+"&amp;$I$7&amp;"*"&amp;E2&amp;"/"&amp;MAX(B2:E2)</f>
        <v>0.5+0.5*/5</v>
      </c>
    </row>
    <row r="11" spans="1:12">
      <c r="A11" s="123" t="str">
        <f>A3</f>
        <v>D2</v>
      </c>
      <c r="B11" s="131" t="str">
        <f t="shared" si="0"/>
        <v/>
      </c>
      <c r="C11" s="131" t="str">
        <f t="shared" si="1"/>
        <v/>
      </c>
      <c r="D11" s="131" t="str">
        <f t="shared" si="2"/>
        <v/>
      </c>
      <c r="E11" s="131" t="str">
        <f t="shared" si="3"/>
        <v/>
      </c>
      <c r="H11" s="123" t="str">
        <f>A3</f>
        <v>D2</v>
      </c>
      <c r="I11" s="128" t="str">
        <f>$I$7&amp;"+"&amp;$I$7&amp;"*"&amp;B3&amp;"/"&amp;MAX(B3:E3)</f>
        <v>0.5+0.5*/0</v>
      </c>
      <c r="J11" s="128" t="str">
        <f t="shared" ref="J11" si="7">$I$7&amp;"+"&amp;$I$7&amp;"*"&amp;C3&amp;"/"&amp;MAX(B3:E3)</f>
        <v>0.5+0.5*/0</v>
      </c>
      <c r="K11" s="128" t="str">
        <f t="shared" ref="K11" si="8">$I$7&amp;"+"&amp;$I$7&amp;"*"&amp;D3&amp;"/"&amp;MAX(B3:E3)</f>
        <v>0.5+0.5*/0</v>
      </c>
      <c r="L11" s="128" t="str">
        <f t="shared" ref="L11" si="9">$I$7&amp;"+"&amp;$I$7&amp;"*"&amp;E3&amp;"/"&amp;MAX(B3:E3)</f>
        <v>0.5+0.5*/0</v>
      </c>
    </row>
    <row r="12" spans="1:12">
      <c r="A12" s="123" t="str">
        <f>A4</f>
        <v>D3</v>
      </c>
      <c r="B12" s="131" t="str">
        <f t="shared" si="0"/>
        <v/>
      </c>
      <c r="C12" s="131" t="str">
        <f t="shared" si="1"/>
        <v/>
      </c>
      <c r="D12" s="131" t="str">
        <f t="shared" si="2"/>
        <v/>
      </c>
      <c r="E12" s="131" t="str">
        <f t="shared" si="3"/>
        <v/>
      </c>
      <c r="H12" s="123" t="str">
        <f>A4</f>
        <v>D3</v>
      </c>
      <c r="I12" s="128" t="str">
        <f>$I$7&amp;"+"&amp;$I$7&amp;"*"&amp;B4&amp;"/"&amp;MAX(B4:E4)</f>
        <v>0.5+0.5*/0</v>
      </c>
      <c r="J12" s="128" t="str">
        <f t="shared" ref="J12" si="10">$I$7&amp;"+"&amp;$I$7&amp;"*"&amp;C4&amp;"/"&amp;MAX(B4:E4)</f>
        <v>0.5+0.5*/0</v>
      </c>
      <c r="K12" s="128" t="str">
        <f t="shared" ref="K12" si="11">$I$7&amp;"+"&amp;$I$7&amp;"*"&amp;D4&amp;"/"&amp;MAX(B4:E4)</f>
        <v>0.5+0.5*/0</v>
      </c>
      <c r="L12" s="128" t="str">
        <f t="shared" ref="L12" si="12">$I$7&amp;"+"&amp;$I$7&amp;"*"&amp;E4&amp;"/"&amp;MAX(B4:E4)</f>
        <v>0.5+0.5*/0</v>
      </c>
    </row>
    <row r="13" spans="1:12">
      <c r="A13" s="123" t="str">
        <f>A5</f>
        <v>D4</v>
      </c>
      <c r="B13" s="131" t="str">
        <f t="shared" si="0"/>
        <v/>
      </c>
      <c r="C13" s="131" t="str">
        <f t="shared" si="1"/>
        <v/>
      </c>
      <c r="D13" s="131" t="str">
        <f t="shared" si="2"/>
        <v/>
      </c>
      <c r="E13" s="131" t="str">
        <f t="shared" si="3"/>
        <v/>
      </c>
      <c r="H13" s="103" t="str">
        <f>A5</f>
        <v>D4</v>
      </c>
      <c r="I13" s="133" t="str">
        <f>$I$7&amp;"+"&amp;$I$7&amp;"*"&amp;B5&amp;"/"&amp;MAX(B5:E5)</f>
        <v>0.5+0.5*/0</v>
      </c>
      <c r="J13" s="133" t="str">
        <f t="shared" si="4"/>
        <v>0.5+0.5*/0</v>
      </c>
      <c r="K13" s="133" t="str">
        <f t="shared" si="5"/>
        <v>0.5+0.5*/0</v>
      </c>
      <c r="L13" s="133" t="str">
        <f t="shared" si="6"/>
        <v>0.5+0.5*/0</v>
      </c>
    </row>
    <row r="15" spans="1:12">
      <c r="A15" s="247" t="s">
        <v>719</v>
      </c>
      <c r="B15" s="247"/>
      <c r="C15" s="247"/>
      <c r="D15" s="247"/>
      <c r="E15" s="247"/>
      <c r="H15" s="247" t="s">
        <v>720</v>
      </c>
      <c r="I15" s="247"/>
      <c r="J15" s="247"/>
      <c r="K15" s="247"/>
      <c r="L15" s="247"/>
    </row>
    <row r="16" spans="1:12">
      <c r="A16" s="123" t="s">
        <v>708</v>
      </c>
      <c r="B16" s="123" t="s">
        <v>709</v>
      </c>
      <c r="C16" s="123" t="s">
        <v>710</v>
      </c>
      <c r="D16" s="123" t="s">
        <v>711</v>
      </c>
      <c r="E16" s="123" t="s">
        <v>712</v>
      </c>
      <c r="H16" s="123" t="s">
        <v>708</v>
      </c>
      <c r="I16" s="123" t="s">
        <v>709</v>
      </c>
      <c r="J16" s="123" t="s">
        <v>710</v>
      </c>
      <c r="K16" s="123" t="s">
        <v>711</v>
      </c>
      <c r="L16" s="123" t="s">
        <v>712</v>
      </c>
    </row>
    <row r="17" spans="1:12">
      <c r="A17" s="123" t="s">
        <v>724</v>
      </c>
      <c r="B17" s="131">
        <f>IFERROR(1+LOG($H$1/COUNTIF(DocumentTable[[Mining ]],"&gt;=1"),10),"")</f>
        <v>1</v>
      </c>
      <c r="C17" s="131">
        <f>IFERROR(1+LOG($H$1/COUNTIF(DocumentTable[Discovery],"&gt;=1"),10),"")</f>
        <v>1</v>
      </c>
      <c r="D17" s="131" t="str">
        <f>IFERROR(1+LOG($H$1/COUNTIF(DocumentTable[Ciper],"&gt;=1"),2),"")</f>
        <v/>
      </c>
      <c r="E17" s="131" t="str">
        <f>IFERROR(1+LOG($H$1/COUNTIF(DocumentTable[Encryption],"&gt;=1"),2),"")</f>
        <v/>
      </c>
      <c r="H17" s="123" t="s">
        <v>721</v>
      </c>
      <c r="I17" s="128" t="str">
        <f>1&amp;"+"&amp;"log("&amp;$H$1&amp;"\"&amp;COUNTIF(DocumentTable[[Mining ]],"&gt;=1")&amp;")"</f>
        <v>1+log(1\1)</v>
      </c>
      <c r="J17" s="128" t="str">
        <f>1&amp;"+"&amp;"log("&amp;$H$1&amp;"\"&amp;COUNTIF(DocumentTable[Discovery],"&gt;=1")&amp;")"</f>
        <v>1+log(1\1)</v>
      </c>
      <c r="K17" s="128" t="str">
        <f>1&amp;"+"&amp;"log("&amp;$H$1&amp;"\"&amp;COUNTIF(DocumentTable[Ciper],"&gt;=1")&amp;")"</f>
        <v>1+log(1\0)</v>
      </c>
      <c r="L17" s="128" t="str">
        <f>1&amp;"+"&amp;"log("&amp;$H$1&amp;"\"&amp;COUNTIF(DocumentTable[Encryption],"&gt;=1")&amp;")"</f>
        <v>1+log(1\0)</v>
      </c>
    </row>
    <row r="20" spans="1:12">
      <c r="H20" s="247" t="s">
        <v>722</v>
      </c>
      <c r="I20" s="247"/>
      <c r="J20" s="247"/>
      <c r="K20" s="247"/>
      <c r="L20" s="247"/>
    </row>
    <row r="21" spans="1:12">
      <c r="H21" s="123" t="s">
        <v>708</v>
      </c>
      <c r="I21" s="123" t="s">
        <v>709</v>
      </c>
      <c r="J21" s="123" t="s">
        <v>710</v>
      </c>
      <c r="K21" s="123" t="s">
        <v>711</v>
      </c>
      <c r="L21" s="123" t="s">
        <v>712</v>
      </c>
    </row>
    <row r="22" spans="1:12">
      <c r="H22" s="123" t="str">
        <f>A2</f>
        <v>D1</v>
      </c>
      <c r="I22" s="131">
        <f>IFERROR(B10*Table1589[Cryptography],"")</f>
        <v>0.9</v>
      </c>
      <c r="J22" s="131">
        <f>IFERROR(C10*Table1589[Attack],"")</f>
        <v>1</v>
      </c>
      <c r="K22" s="131" t="str">
        <f>IFERROR(D10*Table1589[Ciper],"")</f>
        <v/>
      </c>
      <c r="L22" s="131" t="str">
        <f>IFERROR(E10*Table1589[Encryption],"")</f>
        <v/>
      </c>
    </row>
    <row r="23" spans="1:12">
      <c r="H23" s="123" t="str">
        <f t="shared" ref="H23:H24" si="13">A3</f>
        <v>D2</v>
      </c>
      <c r="I23" s="131" t="str">
        <f>IFERROR(B11*Table1589[Cryptography],"")</f>
        <v/>
      </c>
      <c r="J23" s="131" t="str">
        <f>IFERROR(C11*Table1589[Attack],"")</f>
        <v/>
      </c>
      <c r="K23" s="131" t="str">
        <f>IFERROR(D11*Table1589[Ciper],"")</f>
        <v/>
      </c>
      <c r="L23" s="131" t="str">
        <f>IFERROR(E11*Table1589[Encryption],"")</f>
        <v/>
      </c>
    </row>
    <row r="24" spans="1:12">
      <c r="H24" s="123" t="str">
        <f t="shared" si="13"/>
        <v>D3</v>
      </c>
      <c r="I24" s="131" t="str">
        <f>IFERROR(B12*Table1589[Cryptography],"")</f>
        <v/>
      </c>
      <c r="J24" s="131" t="str">
        <f>IFERROR(C12*Table1589[Attack],"")</f>
        <v/>
      </c>
      <c r="K24" s="131" t="str">
        <f>IFERROR(D12*Table1589[Ciper],"")</f>
        <v/>
      </c>
      <c r="L24" s="131" t="str">
        <f>IFERROR(E12*Table1589[Encryption],"")</f>
        <v/>
      </c>
    </row>
    <row r="25" spans="1:12">
      <c r="H25" s="221" t="str">
        <f>A5</f>
        <v>D4</v>
      </c>
      <c r="I25" s="98" t="str">
        <f>IFERROR(B13*Table1589[Cryptography],"")</f>
        <v/>
      </c>
      <c r="J25" s="98" t="str">
        <f>IFERROR(C13*Table1589[Attack],"")</f>
        <v/>
      </c>
      <c r="K25" s="98" t="str">
        <f>IFERROR(D13*Table1589[Ciper],"")</f>
        <v/>
      </c>
      <c r="L25" s="98" t="str">
        <f>IFERROR(E13*Table1589[Encryption],"")</f>
        <v/>
      </c>
    </row>
    <row r="28" spans="1:12">
      <c r="H28" s="123" t="s">
        <v>725</v>
      </c>
    </row>
    <row r="29" spans="1:12">
      <c r="H29" s="49" t="str">
        <f t="array" ref="H29:L33">TRANSPOSE(H21:L25)</f>
        <v>Document</v>
      </c>
      <c r="I29" s="114" t="str">
        <v>D1</v>
      </c>
      <c r="J29" s="114" t="str">
        <v>D2</v>
      </c>
      <c r="K29" s="114" t="str">
        <v>D3</v>
      </c>
      <c r="L29" s="215" t="str">
        <v>D4</v>
      </c>
    </row>
    <row r="30" spans="1:12">
      <c r="H30" s="222" t="str">
        <v>Cryptography</v>
      </c>
      <c r="I30" s="223">
        <v>0.9</v>
      </c>
      <c r="J30" s="223" t="str">
        <v/>
      </c>
      <c r="K30" s="223" t="str">
        <v/>
      </c>
      <c r="L30" s="223" t="str">
        <v/>
      </c>
    </row>
    <row r="31" spans="1:12">
      <c r="H31" s="224" t="str">
        <v>Attack</v>
      </c>
      <c r="I31" s="223">
        <v>1</v>
      </c>
      <c r="J31" s="223" t="str">
        <v/>
      </c>
      <c r="K31" s="223" t="str">
        <v/>
      </c>
      <c r="L31" s="223" t="str">
        <v/>
      </c>
    </row>
    <row r="32" spans="1:12">
      <c r="H32" s="222" t="str">
        <v>Ciper</v>
      </c>
      <c r="I32" s="223" t="str">
        <v/>
      </c>
      <c r="J32" s="223" t="str">
        <v/>
      </c>
      <c r="K32" s="223" t="str">
        <v/>
      </c>
      <c r="L32" s="223" t="str">
        <v/>
      </c>
    </row>
    <row r="33" spans="1:15">
      <c r="H33" s="225" t="str">
        <v>Encryption</v>
      </c>
      <c r="I33" s="226" t="str">
        <v/>
      </c>
      <c r="J33" s="226" t="str">
        <v/>
      </c>
      <c r="K33" s="226" t="str">
        <v/>
      </c>
      <c r="L33" s="226" t="str">
        <v/>
      </c>
    </row>
    <row r="37" spans="1:15">
      <c r="A37" s="118" t="s">
        <v>726</v>
      </c>
      <c r="B37" s="119" t="s">
        <v>714</v>
      </c>
      <c r="C37" s="119" t="s">
        <v>715</v>
      </c>
      <c r="D37" s="119" t="s">
        <v>716</v>
      </c>
      <c r="E37" s="120" t="s">
        <v>723</v>
      </c>
      <c r="F37" s="227" t="s">
        <v>727</v>
      </c>
      <c r="G37" s="227" t="s">
        <v>728</v>
      </c>
      <c r="H37" s="227" t="s">
        <v>729</v>
      </c>
      <c r="I37" s="227" t="s">
        <v>730</v>
      </c>
      <c r="J37" s="228" t="s">
        <v>731</v>
      </c>
      <c r="K37" s="228" t="s">
        <v>732</v>
      </c>
      <c r="L37" s="228" t="s">
        <v>733</v>
      </c>
      <c r="M37" s="228" t="s">
        <v>734</v>
      </c>
      <c r="N37" s="228" t="s">
        <v>735</v>
      </c>
      <c r="O37" s="228" t="s">
        <v>736</v>
      </c>
    </row>
    <row r="38" spans="1:15">
      <c r="A38" s="123" t="s">
        <v>709</v>
      </c>
      <c r="B38" s="109">
        <f t="shared" ref="B38:B41" si="14">I30</f>
        <v>0.9</v>
      </c>
      <c r="C38" s="109" t="str">
        <f t="shared" ref="C38:C41" si="15">J30</f>
        <v/>
      </c>
      <c r="D38" s="109" t="str">
        <f t="shared" ref="D38:D41" si="16">K30</f>
        <v/>
      </c>
      <c r="E38" s="109" t="str">
        <f>L30</f>
        <v/>
      </c>
      <c r="F38" s="109">
        <f>IFERROR(TDIDFTable[[#This Row],[D1]]^2,"")</f>
        <v>0.81</v>
      </c>
      <c r="G38" s="109" t="str">
        <f>IFERROR(TDIDFTable[[#This Row],[D2]]^2,"")</f>
        <v/>
      </c>
      <c r="H38" s="109" t="str">
        <f>IFERROR(TDIDFTable[[#This Row],[D3]]^2,"")</f>
        <v/>
      </c>
      <c r="I38" s="109" t="str">
        <f>IFERROR(TDIDFTable[[#This Row],[D4]]^2,"")</f>
        <v/>
      </c>
      <c r="J38" s="109" t="str">
        <f>IFERROR(TDIDFTable[[#This Row],[D1]]*TDIDFTable[[#This Row],[D2]],"")</f>
        <v/>
      </c>
      <c r="K38" s="109" t="str">
        <f>IFERROR(TDIDFTable[[#This Row],[D1]]*TDIDFTable[[#This Row],[D3]],"")</f>
        <v/>
      </c>
      <c r="L38" s="109" t="str">
        <f>IFERROR(TDIDFTable[[#This Row],[D1]]*TDIDFTable[[#This Row],[D4]],"")</f>
        <v/>
      </c>
      <c r="M38" s="109" t="str">
        <f>IFERROR(TDIDFTable[[#This Row],[D2]]*TDIDFTable[[#This Row],[D3]],"")</f>
        <v/>
      </c>
      <c r="N38" s="109" t="str">
        <f>IFERROR(TDIDFTable[[#This Row],[D2]]*TDIDFTable[[#This Row],[D4]],"")</f>
        <v/>
      </c>
      <c r="O38" s="109" t="str">
        <f>IFERROR(TDIDFTable[[#This Row],[D3]]*TDIDFTable[[#This Row],[D4]],"")</f>
        <v/>
      </c>
    </row>
    <row r="39" spans="1:15">
      <c r="A39" s="123" t="s">
        <v>710</v>
      </c>
      <c r="B39" s="109">
        <f t="shared" si="14"/>
        <v>1</v>
      </c>
      <c r="C39" s="109" t="str">
        <f t="shared" si="15"/>
        <v/>
      </c>
      <c r="D39" s="109" t="str">
        <f t="shared" si="16"/>
        <v/>
      </c>
      <c r="E39" s="109" t="str">
        <f t="shared" ref="E39:E41" si="17">L31</f>
        <v/>
      </c>
      <c r="F39" s="109">
        <f>IFERROR(TDIDFTable[[#This Row],[D1]]^2,"")</f>
        <v>1</v>
      </c>
      <c r="G39" s="109" t="str">
        <f>IFERROR(TDIDFTable[[#This Row],[D2]]^2,"")</f>
        <v/>
      </c>
      <c r="H39" s="109" t="str">
        <f>IFERROR(TDIDFTable[[#This Row],[D3]]^2,"")</f>
        <v/>
      </c>
      <c r="I39" s="109" t="str">
        <f>IFERROR(TDIDFTable[[#This Row],[D4]]^2,"")</f>
        <v/>
      </c>
      <c r="J39" s="109" t="str">
        <f>IFERROR(TDIDFTable[[#This Row],[D1]]*TDIDFTable[[#This Row],[D2]],"")</f>
        <v/>
      </c>
      <c r="K39" s="109" t="str">
        <f>IFERROR(TDIDFTable[[#This Row],[D1]]*TDIDFTable[[#This Row],[D3]],"")</f>
        <v/>
      </c>
      <c r="L39" s="109" t="str">
        <f>IFERROR(TDIDFTable[[#This Row],[D1]]*TDIDFTable[[#This Row],[D4]],"")</f>
        <v/>
      </c>
      <c r="M39" s="109" t="str">
        <f>IFERROR(TDIDFTable[[#This Row],[D2]]*TDIDFTable[[#This Row],[D3]],"")</f>
        <v/>
      </c>
      <c r="N39" s="109" t="str">
        <f>IFERROR(TDIDFTable[[#This Row],[D2]]*TDIDFTable[[#This Row],[D4]],"")</f>
        <v/>
      </c>
      <c r="O39" s="109" t="str">
        <f>IFERROR(TDIDFTable[[#This Row],[D3]]*TDIDFTable[[#This Row],[D4]],"")</f>
        <v/>
      </c>
    </row>
    <row r="40" spans="1:15">
      <c r="A40" s="123" t="s">
        <v>711</v>
      </c>
      <c r="B40" s="109" t="str">
        <f t="shared" si="14"/>
        <v/>
      </c>
      <c r="C40" s="109" t="str">
        <f t="shared" si="15"/>
        <v/>
      </c>
      <c r="D40" s="109" t="str">
        <f t="shared" si="16"/>
        <v/>
      </c>
      <c r="E40" s="109" t="str">
        <f t="shared" si="17"/>
        <v/>
      </c>
      <c r="F40" s="109" t="str">
        <f>IFERROR(TDIDFTable[[#This Row],[D1]]^2,"")</f>
        <v/>
      </c>
      <c r="G40" s="109" t="str">
        <f>IFERROR(TDIDFTable[[#This Row],[D2]]^2,"")</f>
        <v/>
      </c>
      <c r="H40" s="109" t="str">
        <f>IFERROR(TDIDFTable[[#This Row],[D3]]^2,"")</f>
        <v/>
      </c>
      <c r="I40" s="109" t="str">
        <f>IFERROR(TDIDFTable[[#This Row],[D4]]^2,"")</f>
        <v/>
      </c>
      <c r="J40" s="109" t="str">
        <f>IFERROR(TDIDFTable[[#This Row],[D1]]*TDIDFTable[[#This Row],[D2]],"")</f>
        <v/>
      </c>
      <c r="K40" s="109" t="str">
        <f>IFERROR(TDIDFTable[[#This Row],[D1]]*TDIDFTable[[#This Row],[D3]],"")</f>
        <v/>
      </c>
      <c r="L40" s="109" t="str">
        <f>IFERROR(TDIDFTable[[#This Row],[D1]]*TDIDFTable[[#This Row],[D4]],"")</f>
        <v/>
      </c>
      <c r="M40" s="109" t="str">
        <f>IFERROR(TDIDFTable[[#This Row],[D2]]*TDIDFTable[[#This Row],[D3]],"")</f>
        <v/>
      </c>
      <c r="N40" s="109" t="str">
        <f>IFERROR(TDIDFTable[[#This Row],[D2]]*TDIDFTable[[#This Row],[D4]],"")</f>
        <v/>
      </c>
      <c r="O40" s="109" t="str">
        <f>IFERROR(TDIDFTable[[#This Row],[D3]]*TDIDFTable[[#This Row],[D4]],"")</f>
        <v/>
      </c>
    </row>
    <row r="41" spans="1:15">
      <c r="A41" s="123" t="s">
        <v>712</v>
      </c>
      <c r="B41" s="109" t="str">
        <f t="shared" si="14"/>
        <v/>
      </c>
      <c r="C41" s="109" t="str">
        <f t="shared" si="15"/>
        <v/>
      </c>
      <c r="D41" s="109" t="str">
        <f t="shared" si="16"/>
        <v/>
      </c>
      <c r="E41" s="109" t="str">
        <f t="shared" si="17"/>
        <v/>
      </c>
      <c r="F41" s="109" t="str">
        <f>IFERROR(TDIDFTable[[#This Row],[D1]]^2,"")</f>
        <v/>
      </c>
      <c r="G41" s="109" t="str">
        <f>IFERROR(TDIDFTable[[#This Row],[D2]]^2,"")</f>
        <v/>
      </c>
      <c r="H41" s="109" t="str">
        <f>IFERROR(TDIDFTable[[#This Row],[D3]]^2,"")</f>
        <v/>
      </c>
      <c r="I41" s="109" t="str">
        <f>IFERROR(TDIDFTable[[#This Row],[D4]]^2,"")</f>
        <v/>
      </c>
      <c r="J41" s="109" t="str">
        <f>IFERROR(TDIDFTable[[#This Row],[D1]]*TDIDFTable[[#This Row],[D2]],"")</f>
        <v/>
      </c>
      <c r="K41" s="109" t="str">
        <f>IFERROR(TDIDFTable[[#This Row],[D1]]*TDIDFTable[[#This Row],[D3]],"")</f>
        <v/>
      </c>
      <c r="L41" s="109" t="str">
        <f>IFERROR(TDIDFTable[[#This Row],[D1]]*TDIDFTable[[#This Row],[D4]],"")</f>
        <v/>
      </c>
      <c r="M41" s="109" t="str">
        <f>IFERROR(TDIDFTable[[#This Row],[D2]]*TDIDFTable[[#This Row],[D3]],"")</f>
        <v/>
      </c>
      <c r="N41" s="109" t="str">
        <f>IFERROR(TDIDFTable[[#This Row],[D2]]*TDIDFTable[[#This Row],[D4]],"")</f>
        <v/>
      </c>
      <c r="O41" s="109" t="str">
        <f>IFERROR(TDIDFTable[[#This Row],[D3]]*TDIDFTable[[#This Row],[D4]],"")</f>
        <v/>
      </c>
    </row>
    <row r="42" spans="1:15">
      <c r="B42" s="109"/>
      <c r="C42" s="109"/>
      <c r="D42" s="109"/>
      <c r="E42" s="109"/>
      <c r="F42" s="109">
        <f>SUBTOTAL(109,TDIDFTable[D1^2])</f>
        <v>1.81</v>
      </c>
      <c r="G42" s="109">
        <f>SUBTOTAL(109,TDIDFTable[D2^2])</f>
        <v>0</v>
      </c>
      <c r="H42" s="109">
        <f>SUBTOTAL(109,TDIDFTable[D3^2])</f>
        <v>0</v>
      </c>
      <c r="I42" s="109">
        <f>SUBTOTAL(109,TDIDFTable[D4^2])</f>
        <v>0</v>
      </c>
      <c r="J42" s="109">
        <f>SUM(TDIDFTable[D1.D2])</f>
        <v>0</v>
      </c>
      <c r="K42" s="109">
        <f>SUBTOTAL(109,TDIDFTable[D1.D3])</f>
        <v>0</v>
      </c>
      <c r="L42" s="109">
        <f>SUBTOTAL(109,TDIDFTable[D1.D4])</f>
        <v>0</v>
      </c>
      <c r="M42" s="109">
        <f>SUBTOTAL(109,TDIDFTable[D2.D3])</f>
        <v>0</v>
      </c>
      <c r="N42" s="109">
        <f>SUBTOTAL(109,TDIDFTable[D2.D4])</f>
        <v>0</v>
      </c>
      <c r="O42" s="109">
        <f>SUBTOTAL(109,TDIDFTable[D3.D4])</f>
        <v>0</v>
      </c>
    </row>
    <row r="46" spans="1:15">
      <c r="J46" s="123" t="s">
        <v>743</v>
      </c>
    </row>
    <row r="47" spans="1:15">
      <c r="B47"/>
      <c r="C47"/>
      <c r="D47"/>
      <c r="E47"/>
      <c r="J47" s="123" t="s">
        <v>737</v>
      </c>
      <c r="K47" s="123" t="s">
        <v>738</v>
      </c>
      <c r="L47" s="123" t="s">
        <v>739</v>
      </c>
      <c r="M47" s="123" t="s">
        <v>740</v>
      </c>
      <c r="N47" s="123" t="s">
        <v>741</v>
      </c>
      <c r="O47" s="123" t="s">
        <v>742</v>
      </c>
    </row>
    <row r="48" spans="1:15">
      <c r="B48"/>
      <c r="C48"/>
      <c r="D48"/>
      <c r="E48"/>
      <c r="J48" s="109" t="e">
        <f>TDIDFTable[[#Totals],[D1.D2]]/SQRT(TDIDFTable[[#Totals],[D1^2]]*TDIDFTable[[#Totals],[D2^2]])</f>
        <v>#DIV/0!</v>
      </c>
      <c r="K48" s="109" t="e">
        <f>TDIDFTable[[#Totals],[D1.D3]]/SQRT(TDIDFTable[[#Totals],[D1^2]]*TDIDFTable[[#Totals],[D3^2]])</f>
        <v>#DIV/0!</v>
      </c>
      <c r="L48" s="109" t="e">
        <f>TDIDFTable[[#Totals],[D1.D4]]/SQRT(TDIDFTable[[#Totals],[D1^2]]*TDIDFTable[[#Totals],[D4^2]])</f>
        <v>#DIV/0!</v>
      </c>
      <c r="M48" s="109" t="e">
        <f>TDIDFTable[[#Totals],[D2.D3]]/SQRT(TDIDFTable[[#Totals],[D2^2]]*TDIDFTable[[#Totals],[D3^2]])</f>
        <v>#DIV/0!</v>
      </c>
      <c r="N48" s="109" t="e">
        <f>TDIDFTable[[#Totals],[D2.D4]]/SQRT(TDIDFTable[[#Totals],[D2^2]]*TDIDFTable[[#Totals],[D4^2]])</f>
        <v>#DIV/0!</v>
      </c>
      <c r="O48" s="109" t="e">
        <f>TDIDFTable[[#Totals],[D3.D4]]/SQRT(TDIDFTable[[#Totals],[D3^2]]*TDIDFTable[[#Totals],[D4^2]])</f>
        <v>#DIV/0!</v>
      </c>
    </row>
    <row r="49" spans="2:5">
      <c r="B49"/>
      <c r="C49"/>
      <c r="D49"/>
      <c r="E49"/>
    </row>
    <row r="50" spans="2:5">
      <c r="B50"/>
      <c r="C50"/>
      <c r="D50"/>
      <c r="E50"/>
    </row>
    <row r="51" spans="2:5">
      <c r="B51"/>
      <c r="C51"/>
      <c r="D51"/>
      <c r="E51"/>
    </row>
  </sheetData>
  <mergeCells count="5">
    <mergeCell ref="A8:E8"/>
    <mergeCell ref="H8:L8"/>
    <mergeCell ref="A15:E15"/>
    <mergeCell ref="H15:L15"/>
    <mergeCell ref="H20:L20"/>
  </mergeCells>
  <phoneticPr fontId="9" type="noConversion"/>
  <conditionalFormatting sqref="J48:O4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8">
    <tablePart r:id="rId3"/>
    <tablePart r:id="rId4"/>
    <tablePart r:id="rId5"/>
    <tablePart r:id="rId6"/>
    <tablePart r:id="rId7"/>
    <tablePart r:id="rId8"/>
    <tablePart r:id="rId9"/>
    <tablePart r:id="rId10"/>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Q35"/>
  <sheetViews>
    <sheetView workbookViewId="0">
      <selection activeCell="M23" sqref="M23"/>
    </sheetView>
  </sheetViews>
  <sheetFormatPr defaultColWidth="9.140625" defaultRowHeight="15"/>
  <cols>
    <col min="1" max="1" width="4.28515625" style="123" bestFit="1" customWidth="1"/>
    <col min="2" max="2" width="13.5703125" style="123" customWidth="1"/>
    <col min="3" max="7" width="9.140625" style="123"/>
    <col min="8" max="8" width="11.140625" style="123" bestFit="1" customWidth="1"/>
    <col min="9" max="9" width="13.42578125" style="123" bestFit="1" customWidth="1"/>
    <col min="10" max="10" width="14.42578125" style="123" customWidth="1"/>
    <col min="11" max="16384" width="9.140625" style="123"/>
  </cols>
  <sheetData>
    <row r="1" spans="1:17">
      <c r="A1" s="191" t="s">
        <v>663</v>
      </c>
      <c r="B1" s="191" t="s">
        <v>664</v>
      </c>
      <c r="D1" s="274" t="s">
        <v>635</v>
      </c>
      <c r="E1" s="275"/>
      <c r="G1" s="274" t="s">
        <v>665</v>
      </c>
      <c r="H1" s="275"/>
      <c r="J1" s="263" t="s">
        <v>636</v>
      </c>
      <c r="K1" s="263"/>
      <c r="M1" s="274" t="s">
        <v>666</v>
      </c>
      <c r="N1" s="275"/>
      <c r="P1" s="274" t="s">
        <v>637</v>
      </c>
      <c r="Q1" s="275"/>
    </row>
    <row r="2" spans="1:17">
      <c r="A2" s="143" t="s">
        <v>566</v>
      </c>
      <c r="B2" s="143" t="s">
        <v>532</v>
      </c>
      <c r="D2" s="171" t="s">
        <v>559</v>
      </c>
      <c r="E2" s="172" t="s">
        <v>599</v>
      </c>
      <c r="G2" s="171" t="s">
        <v>559</v>
      </c>
      <c r="H2" s="172" t="s">
        <v>599</v>
      </c>
      <c r="J2" s="143" t="s">
        <v>559</v>
      </c>
      <c r="K2" s="143" t="s">
        <v>599</v>
      </c>
      <c r="M2" s="171" t="s">
        <v>559</v>
      </c>
      <c r="N2" s="172" t="s">
        <v>599</v>
      </c>
      <c r="P2" s="171" t="s">
        <v>559</v>
      </c>
      <c r="Q2" s="172" t="s">
        <v>599</v>
      </c>
    </row>
    <row r="3" spans="1:17">
      <c r="A3" s="143" t="s">
        <v>572</v>
      </c>
      <c r="B3" s="143" t="s">
        <v>667</v>
      </c>
      <c r="D3" s="171">
        <v>1</v>
      </c>
      <c r="E3" s="172">
        <v>6</v>
      </c>
      <c r="G3" s="171">
        <v>3</v>
      </c>
      <c r="H3" s="172">
        <v>7</v>
      </c>
      <c r="J3" s="143" t="s">
        <v>668</v>
      </c>
      <c r="K3" s="143">
        <v>3</v>
      </c>
      <c r="M3" s="171" t="s">
        <v>669</v>
      </c>
      <c r="N3" s="172">
        <v>5</v>
      </c>
      <c r="P3" s="192" t="s">
        <v>670</v>
      </c>
      <c r="Q3" s="193">
        <v>2</v>
      </c>
    </row>
    <row r="4" spans="1:17">
      <c r="A4" s="143" t="s">
        <v>579</v>
      </c>
      <c r="B4" s="143" t="s">
        <v>671</v>
      </c>
      <c r="D4" s="171">
        <v>2</v>
      </c>
      <c r="E4" s="172">
        <v>6</v>
      </c>
      <c r="G4" s="171">
        <v>1</v>
      </c>
      <c r="H4" s="172">
        <v>6</v>
      </c>
      <c r="J4" s="143" t="s">
        <v>669</v>
      </c>
      <c r="K4" s="143">
        <v>5</v>
      </c>
      <c r="M4" s="171" t="s">
        <v>668</v>
      </c>
      <c r="N4" s="172">
        <v>3</v>
      </c>
      <c r="P4" s="171"/>
      <c r="Q4" s="172"/>
    </row>
    <row r="5" spans="1:17">
      <c r="A5" s="143" t="s">
        <v>586</v>
      </c>
      <c r="B5" s="143" t="s">
        <v>672</v>
      </c>
      <c r="D5" s="171">
        <v>3</v>
      </c>
      <c r="E5" s="172">
        <v>7</v>
      </c>
      <c r="G5" s="171">
        <v>2</v>
      </c>
      <c r="H5" s="172">
        <v>6</v>
      </c>
      <c r="J5" s="194" t="s">
        <v>673</v>
      </c>
      <c r="K5" s="194">
        <v>1</v>
      </c>
      <c r="M5" s="171" t="s">
        <v>667</v>
      </c>
      <c r="N5" s="172">
        <v>3</v>
      </c>
      <c r="P5" s="171"/>
      <c r="Q5" s="172"/>
    </row>
    <row r="6" spans="1:17" ht="15.75" thickBot="1">
      <c r="A6" s="143" t="s">
        <v>593</v>
      </c>
      <c r="B6" s="143" t="s">
        <v>668</v>
      </c>
      <c r="D6" s="195">
        <v>4</v>
      </c>
      <c r="E6" s="196">
        <v>1</v>
      </c>
      <c r="G6" s="171">
        <v>5</v>
      </c>
      <c r="H6" s="172">
        <v>2</v>
      </c>
      <c r="J6" s="143" t="s">
        <v>667</v>
      </c>
      <c r="K6" s="143">
        <v>3</v>
      </c>
      <c r="M6" s="174" t="s">
        <v>672</v>
      </c>
      <c r="N6" s="176">
        <v>2</v>
      </c>
      <c r="P6" s="174"/>
      <c r="Q6" s="176"/>
    </row>
    <row r="7" spans="1:17" ht="15.75" thickBot="1">
      <c r="A7" s="143" t="s">
        <v>674</v>
      </c>
      <c r="B7" s="143" t="s">
        <v>669</v>
      </c>
      <c r="D7" s="174">
        <v>5</v>
      </c>
      <c r="E7" s="176">
        <v>2</v>
      </c>
      <c r="G7" s="174"/>
      <c r="H7" s="176"/>
      <c r="J7" s="143" t="s">
        <v>672</v>
      </c>
      <c r="K7" s="143">
        <v>2</v>
      </c>
      <c r="M7" s="197"/>
      <c r="N7" s="197"/>
    </row>
    <row r="8" spans="1:17">
      <c r="A8" s="143" t="s">
        <v>675</v>
      </c>
      <c r="B8" s="143">
        <v>2</v>
      </c>
      <c r="J8" s="198" t="s">
        <v>676</v>
      </c>
      <c r="K8" s="198">
        <v>1</v>
      </c>
      <c r="M8" s="199"/>
      <c r="N8" s="199"/>
    </row>
    <row r="9" spans="1:17">
      <c r="A9" s="143" t="s">
        <v>677</v>
      </c>
      <c r="B9" s="143" t="s">
        <v>669</v>
      </c>
    </row>
    <row r="10" spans="1:17">
      <c r="A10" s="143" t="s">
        <v>678</v>
      </c>
      <c r="B10" s="143" t="s">
        <v>670</v>
      </c>
    </row>
    <row r="11" spans="1:17">
      <c r="A11" s="143" t="s">
        <v>679</v>
      </c>
      <c r="B11" s="143" t="s">
        <v>669</v>
      </c>
    </row>
    <row r="13" spans="1:17">
      <c r="D13" s="123" t="s">
        <v>680</v>
      </c>
    </row>
    <row r="15" spans="1:17">
      <c r="B15" s="171" t="s">
        <v>559</v>
      </c>
      <c r="C15" s="172" t="s">
        <v>599</v>
      </c>
      <c r="F15" s="143" t="s">
        <v>559</v>
      </c>
      <c r="G15" s="143" t="s">
        <v>599</v>
      </c>
      <c r="H15" s="180" t="s">
        <v>605</v>
      </c>
      <c r="I15" s="180" t="s">
        <v>606</v>
      </c>
    </row>
    <row r="16" spans="1:17">
      <c r="B16" s="171">
        <v>1</v>
      </c>
      <c r="C16" s="172">
        <v>6</v>
      </c>
      <c r="F16" s="143" t="s">
        <v>668</v>
      </c>
      <c r="G16" s="143">
        <v>3</v>
      </c>
      <c r="L16" s="123">
        <v>1</v>
      </c>
      <c r="M16" s="123" t="s">
        <v>667</v>
      </c>
      <c r="N16" s="123">
        <v>2</v>
      </c>
      <c r="O16" s="123">
        <f>2/6</f>
        <v>0.33333333333333331</v>
      </c>
    </row>
    <row r="17" spans="2:15">
      <c r="B17" s="171">
        <v>2</v>
      </c>
      <c r="C17" s="172">
        <v>6</v>
      </c>
      <c r="F17" s="143" t="s">
        <v>669</v>
      </c>
      <c r="G17" s="143">
        <v>5</v>
      </c>
      <c r="L17" s="123">
        <v>2</v>
      </c>
      <c r="M17" s="123" t="s">
        <v>681</v>
      </c>
      <c r="N17" s="123">
        <v>2</v>
      </c>
      <c r="O17" s="123">
        <f>2/6</f>
        <v>0.33333333333333331</v>
      </c>
    </row>
    <row r="18" spans="2:15">
      <c r="B18" s="171">
        <v>3</v>
      </c>
      <c r="C18" s="172">
        <v>7</v>
      </c>
      <c r="F18" s="194" t="s">
        <v>673</v>
      </c>
      <c r="G18" s="194">
        <v>1</v>
      </c>
      <c r="L18" s="123">
        <v>3</v>
      </c>
      <c r="M18" s="123" t="s">
        <v>668</v>
      </c>
      <c r="N18" s="123">
        <v>2</v>
      </c>
      <c r="O18" s="123">
        <f>2/7</f>
        <v>0.2857142857142857</v>
      </c>
    </row>
    <row r="19" spans="2:15">
      <c r="B19" s="195">
        <v>4</v>
      </c>
      <c r="C19" s="196">
        <v>1</v>
      </c>
      <c r="F19" s="143" t="s">
        <v>667</v>
      </c>
      <c r="G19" s="143">
        <v>3</v>
      </c>
    </row>
    <row r="20" spans="2:15" ht="15.75" thickBot="1">
      <c r="B20" s="174">
        <v>5</v>
      </c>
      <c r="C20" s="176">
        <v>2</v>
      </c>
      <c r="F20" s="143" t="s">
        <v>672</v>
      </c>
      <c r="G20" s="143">
        <v>2</v>
      </c>
    </row>
    <row r="21" spans="2:15">
      <c r="F21" s="198" t="s">
        <v>676</v>
      </c>
      <c r="G21" s="198">
        <v>1</v>
      </c>
    </row>
    <row r="22" spans="2:15">
      <c r="F22" s="200"/>
      <c r="G22" s="200"/>
    </row>
    <row r="23" spans="2:15">
      <c r="F23" s="242" t="s">
        <v>682</v>
      </c>
      <c r="G23" s="242"/>
      <c r="I23" s="123" t="s">
        <v>683</v>
      </c>
      <c r="J23" s="123" t="s">
        <v>684</v>
      </c>
      <c r="K23" s="123" t="s">
        <v>685</v>
      </c>
      <c r="L23" s="123" t="s">
        <v>606</v>
      </c>
    </row>
    <row r="24" spans="2:15">
      <c r="F24" s="123">
        <v>1</v>
      </c>
      <c r="G24" s="123">
        <v>2</v>
      </c>
      <c r="I24" s="123">
        <v>3</v>
      </c>
      <c r="K24" s="123">
        <f>I24/$C$16</f>
        <v>0.5</v>
      </c>
      <c r="L24" s="123">
        <f>K24*100</f>
        <v>50</v>
      </c>
    </row>
    <row r="25" spans="2:15">
      <c r="F25" s="123">
        <v>2</v>
      </c>
      <c r="G25" s="123">
        <v>1</v>
      </c>
      <c r="I25" s="123">
        <v>3</v>
      </c>
      <c r="K25" s="123">
        <f>I25/$C$17</f>
        <v>0.5</v>
      </c>
      <c r="L25" s="123">
        <f t="shared" ref="L25:L35" si="0">K25*100</f>
        <v>50</v>
      </c>
    </row>
    <row r="26" spans="2:15">
      <c r="F26" s="201">
        <v>1</v>
      </c>
      <c r="G26" s="201">
        <v>3</v>
      </c>
      <c r="H26" s="201"/>
      <c r="I26" s="201">
        <v>5</v>
      </c>
      <c r="J26" s="201"/>
      <c r="K26" s="201">
        <f>I26/$C$16</f>
        <v>0.83333333333333337</v>
      </c>
      <c r="L26" s="201">
        <f t="shared" si="0"/>
        <v>83.333333333333343</v>
      </c>
      <c r="N26" s="123" t="s">
        <v>686</v>
      </c>
    </row>
    <row r="27" spans="2:15">
      <c r="F27" s="201">
        <v>3</v>
      </c>
      <c r="G27" s="201">
        <v>1</v>
      </c>
      <c r="H27" s="201"/>
      <c r="I27" s="201">
        <v>5</v>
      </c>
      <c r="J27" s="201"/>
      <c r="K27" s="201">
        <f>I27/$C$18</f>
        <v>0.7142857142857143</v>
      </c>
      <c r="L27" s="201">
        <f t="shared" si="0"/>
        <v>71.428571428571431</v>
      </c>
      <c r="N27" s="123" t="s">
        <v>686</v>
      </c>
    </row>
    <row r="28" spans="2:15">
      <c r="F28" s="123">
        <v>1</v>
      </c>
      <c r="G28" s="123">
        <v>5</v>
      </c>
      <c r="I28" s="123">
        <v>1</v>
      </c>
      <c r="K28" s="123">
        <f>I28/$C$16</f>
        <v>0.16666666666666666</v>
      </c>
      <c r="L28" s="123">
        <f t="shared" si="0"/>
        <v>16.666666666666664</v>
      </c>
    </row>
    <row r="29" spans="2:15">
      <c r="F29" s="123">
        <v>5</v>
      </c>
      <c r="G29" s="123">
        <v>1</v>
      </c>
      <c r="I29" s="123">
        <v>1</v>
      </c>
      <c r="K29" s="123">
        <f>I29/$C$20</f>
        <v>0.5</v>
      </c>
      <c r="L29" s="123">
        <f t="shared" si="0"/>
        <v>50</v>
      </c>
    </row>
    <row r="30" spans="2:15">
      <c r="F30" s="123">
        <v>2</v>
      </c>
      <c r="G30" s="123">
        <v>3</v>
      </c>
      <c r="I30" s="123">
        <v>3</v>
      </c>
      <c r="K30" s="123">
        <f>I30/$C$17</f>
        <v>0.5</v>
      </c>
      <c r="L30" s="123">
        <f t="shared" si="0"/>
        <v>50</v>
      </c>
    </row>
    <row r="31" spans="2:15">
      <c r="F31" s="123">
        <v>3</v>
      </c>
      <c r="G31" s="123">
        <v>2</v>
      </c>
      <c r="I31" s="123">
        <v>3</v>
      </c>
      <c r="K31" s="123">
        <f>I31/$C$18</f>
        <v>0.42857142857142855</v>
      </c>
      <c r="L31" s="123">
        <f t="shared" si="0"/>
        <v>42.857142857142854</v>
      </c>
    </row>
    <row r="32" spans="2:15">
      <c r="F32" s="123">
        <v>2</v>
      </c>
      <c r="G32" s="123">
        <v>5</v>
      </c>
      <c r="I32" s="123">
        <v>2</v>
      </c>
      <c r="K32" s="123">
        <f>I32/$C$17</f>
        <v>0.33333333333333331</v>
      </c>
      <c r="L32" s="123">
        <f t="shared" si="0"/>
        <v>33.333333333333329</v>
      </c>
    </row>
    <row r="33" spans="6:12">
      <c r="F33" s="123">
        <v>5</v>
      </c>
      <c r="G33" s="123">
        <v>2</v>
      </c>
      <c r="I33" s="123">
        <v>2</v>
      </c>
      <c r="K33" s="123">
        <f>I33/$C$20</f>
        <v>1</v>
      </c>
      <c r="L33" s="123">
        <f t="shared" si="0"/>
        <v>100</v>
      </c>
    </row>
    <row r="34" spans="6:12">
      <c r="F34" s="123">
        <v>3</v>
      </c>
      <c r="G34" s="123">
        <v>5</v>
      </c>
      <c r="I34" s="123">
        <v>1</v>
      </c>
      <c r="K34" s="123">
        <f>I34/$C$18</f>
        <v>0.14285714285714285</v>
      </c>
      <c r="L34" s="123">
        <f t="shared" si="0"/>
        <v>14.285714285714285</v>
      </c>
    </row>
    <row r="35" spans="6:12">
      <c r="F35" s="123">
        <v>5</v>
      </c>
      <c r="G35" s="123">
        <v>3</v>
      </c>
      <c r="I35" s="123">
        <v>1</v>
      </c>
      <c r="K35" s="123">
        <f>I35/$C$20</f>
        <v>0.5</v>
      </c>
      <c r="L35" s="123">
        <f t="shared" si="0"/>
        <v>50</v>
      </c>
    </row>
  </sheetData>
  <mergeCells count="6">
    <mergeCell ref="P1:Q1"/>
    <mergeCell ref="F23:G23"/>
    <mergeCell ref="D1:E1"/>
    <mergeCell ref="G1:H1"/>
    <mergeCell ref="J1:K1"/>
    <mergeCell ref="M1:N1"/>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workbookViewId="0">
      <selection activeCell="H33" sqref="H33"/>
    </sheetView>
  </sheetViews>
  <sheetFormatPr defaultColWidth="9.140625" defaultRowHeight="15"/>
  <cols>
    <col min="1" max="1" width="12.5703125" style="123" customWidth="1"/>
    <col min="2" max="16384" width="9.140625" style="123"/>
  </cols>
  <sheetData>
    <row r="1" spans="1:15">
      <c r="A1" s="123" t="s">
        <v>687</v>
      </c>
      <c r="B1" s="123" t="s">
        <v>106</v>
      </c>
      <c r="C1" s="123" t="s">
        <v>107</v>
      </c>
      <c r="E1" s="123" t="s">
        <v>687</v>
      </c>
      <c r="F1" s="123" t="s">
        <v>83</v>
      </c>
      <c r="G1" s="123" t="s">
        <v>84</v>
      </c>
      <c r="H1" s="123" t="s">
        <v>85</v>
      </c>
      <c r="I1" s="123" t="s">
        <v>86</v>
      </c>
      <c r="J1" s="123" t="s">
        <v>220</v>
      </c>
      <c r="K1" s="123" t="s">
        <v>221</v>
      </c>
      <c r="L1" s="123" t="s">
        <v>400</v>
      </c>
      <c r="M1" s="123" t="s">
        <v>401</v>
      </c>
    </row>
    <row r="2" spans="1:15">
      <c r="A2" s="202" t="s">
        <v>688</v>
      </c>
      <c r="B2" s="203">
        <v>2</v>
      </c>
      <c r="C2" s="203">
        <v>10</v>
      </c>
      <c r="E2" s="204" t="str">
        <f>Table165245[[#This Row],[Val]]</f>
        <v>A1</v>
      </c>
      <c r="F2" s="205">
        <f t="shared" ref="F2:F9" si="0">SQRT((($B$2-B2)*($B$2-B2))+(($C$2-C2)*($C$2-C2)))</f>
        <v>0</v>
      </c>
      <c r="G2" s="205">
        <f t="shared" ref="G2:G9" si="1">SQRT((($B$3-B2)*($B$3-B2))+(($C$3-C2)*($C$3-C2)))</f>
        <v>5</v>
      </c>
      <c r="H2" s="205">
        <f t="shared" ref="H2:H9" si="2">SQRT((($B$4-B2)*($B$4-B2))+(($C$4-C2)*($C$4-C2)))</f>
        <v>8.4852813742385695</v>
      </c>
      <c r="I2" s="205">
        <f t="shared" ref="I2:I9" si="3">SQRT((($B$5-B2)*($B$5-B2))+(($C$5-C2)*($C$5-C2)))</f>
        <v>3.6055512754639891</v>
      </c>
      <c r="J2" s="205">
        <f t="shared" ref="J2:J9" si="4">SQRT((($B$6-B2)*($B$6-B2))+(($C$6-C2)*($C$6-C2)))</f>
        <v>7.0710678118654755</v>
      </c>
      <c r="K2" s="205">
        <f t="shared" ref="K2:K9" si="5">SQRT((($B$7-B2)*($B$7-B2))+(($C$7-C2)*($C$7-C2)))</f>
        <v>7.2111025509279782</v>
      </c>
      <c r="L2" s="205">
        <f t="shared" ref="L2:L9" si="6">SQRT((($B$8-B2)*($B$8-B2))+(($C$8-C2)*($C$8-C2)))</f>
        <v>8.0622577482985491</v>
      </c>
      <c r="M2" s="205">
        <f t="shared" ref="M2:M9" si="7">SQRT((($B$9-B2)*($B$9-B2))+(($C$9-C2)*($C$9-C2)))</f>
        <v>2.2360679774997898</v>
      </c>
    </row>
    <row r="3" spans="1:15">
      <c r="A3" s="202" t="s">
        <v>689</v>
      </c>
      <c r="B3" s="203">
        <v>2</v>
      </c>
      <c r="C3" s="203">
        <v>5</v>
      </c>
      <c r="E3" s="204" t="str">
        <f>Table165245[[#This Row],[Val]]</f>
        <v>A2</v>
      </c>
      <c r="F3" s="205">
        <f t="shared" si="0"/>
        <v>5</v>
      </c>
      <c r="G3" s="205">
        <f t="shared" si="1"/>
        <v>0</v>
      </c>
      <c r="H3" s="205">
        <f t="shared" si="2"/>
        <v>6.0827625302982193</v>
      </c>
      <c r="I3" s="205">
        <f t="shared" si="3"/>
        <v>4.2426406871192848</v>
      </c>
      <c r="J3" s="205">
        <f t="shared" si="4"/>
        <v>5</v>
      </c>
      <c r="K3" s="205">
        <f t="shared" si="5"/>
        <v>4.1231056256176606</v>
      </c>
      <c r="L3" s="205">
        <f t="shared" si="6"/>
        <v>3.1622776601683795</v>
      </c>
      <c r="M3" s="205">
        <f t="shared" si="7"/>
        <v>4.4721359549995796</v>
      </c>
    </row>
    <row r="4" spans="1:15">
      <c r="A4" s="202" t="s">
        <v>690</v>
      </c>
      <c r="B4" s="203">
        <v>8</v>
      </c>
      <c r="C4" s="203">
        <v>4</v>
      </c>
      <c r="E4" s="204" t="str">
        <f>Table165245[[#This Row],[Val]]</f>
        <v>A3</v>
      </c>
      <c r="F4" s="205">
        <f t="shared" si="0"/>
        <v>8.4852813742385695</v>
      </c>
      <c r="G4" s="205">
        <f t="shared" si="1"/>
        <v>6.0827625302982193</v>
      </c>
      <c r="H4" s="205">
        <f t="shared" si="2"/>
        <v>0</v>
      </c>
      <c r="I4" s="205">
        <f t="shared" si="3"/>
        <v>5</v>
      </c>
      <c r="J4" s="205">
        <f t="shared" si="4"/>
        <v>1.4142135623730951</v>
      </c>
      <c r="K4" s="205">
        <f t="shared" si="5"/>
        <v>2</v>
      </c>
      <c r="L4" s="205">
        <f t="shared" si="6"/>
        <v>7.2801098892805181</v>
      </c>
      <c r="M4" s="205">
        <f t="shared" si="7"/>
        <v>6.4031242374328485</v>
      </c>
    </row>
    <row r="5" spans="1:15">
      <c r="A5" s="202" t="s">
        <v>691</v>
      </c>
      <c r="B5" s="203">
        <v>5</v>
      </c>
      <c r="C5" s="203">
        <v>8</v>
      </c>
      <c r="E5" s="204" t="str">
        <f>Table165245[[#This Row],[Val]]</f>
        <v>A4</v>
      </c>
      <c r="F5" s="205">
        <f t="shared" si="0"/>
        <v>3.6055512754639891</v>
      </c>
      <c r="G5" s="205">
        <f t="shared" si="1"/>
        <v>4.2426406871192848</v>
      </c>
      <c r="H5" s="205">
        <f t="shared" si="2"/>
        <v>5</v>
      </c>
      <c r="I5" s="205">
        <f t="shared" si="3"/>
        <v>0</v>
      </c>
      <c r="J5" s="205">
        <f t="shared" si="4"/>
        <v>3.6055512754639891</v>
      </c>
      <c r="K5" s="205">
        <f t="shared" si="5"/>
        <v>4.1231056256176606</v>
      </c>
      <c r="L5" s="205">
        <f t="shared" si="6"/>
        <v>7.2111025509279782</v>
      </c>
      <c r="M5" s="205">
        <f t="shared" si="7"/>
        <v>1.4142135623730951</v>
      </c>
    </row>
    <row r="6" spans="1:15">
      <c r="A6" s="202" t="s">
        <v>692</v>
      </c>
      <c r="B6" s="206">
        <v>7</v>
      </c>
      <c r="C6" s="206">
        <v>5</v>
      </c>
      <c r="E6" s="204" t="str">
        <f>Table165245[[#This Row],[Val]]</f>
        <v>A5</v>
      </c>
      <c r="F6" s="205">
        <f t="shared" si="0"/>
        <v>7.0710678118654755</v>
      </c>
      <c r="G6" s="205">
        <f t="shared" si="1"/>
        <v>5</v>
      </c>
      <c r="H6" s="205">
        <f t="shared" si="2"/>
        <v>1.4142135623730951</v>
      </c>
      <c r="I6" s="205">
        <f t="shared" si="3"/>
        <v>3.6055512754639891</v>
      </c>
      <c r="J6" s="205">
        <f t="shared" si="4"/>
        <v>0</v>
      </c>
      <c r="K6" s="205">
        <f t="shared" si="5"/>
        <v>1.4142135623730951</v>
      </c>
      <c r="L6" s="205">
        <f t="shared" si="6"/>
        <v>6.7082039324993694</v>
      </c>
      <c r="M6" s="205">
        <f t="shared" si="7"/>
        <v>5</v>
      </c>
    </row>
    <row r="7" spans="1:15">
      <c r="A7" s="202" t="s">
        <v>693</v>
      </c>
      <c r="B7" s="206">
        <v>6</v>
      </c>
      <c r="C7" s="206">
        <v>4</v>
      </c>
      <c r="E7" s="204" t="str">
        <f>Table165245[[#This Row],[Val]]</f>
        <v>A6</v>
      </c>
      <c r="F7" s="205">
        <f t="shared" si="0"/>
        <v>7.2111025509279782</v>
      </c>
      <c r="G7" s="205">
        <f t="shared" si="1"/>
        <v>4.1231056256176606</v>
      </c>
      <c r="H7" s="205">
        <f t="shared" si="2"/>
        <v>2</v>
      </c>
      <c r="I7" s="205">
        <f t="shared" si="3"/>
        <v>4.1231056256176606</v>
      </c>
      <c r="J7" s="205">
        <f t="shared" si="4"/>
        <v>1.4142135623730951</v>
      </c>
      <c r="K7" s="205">
        <f t="shared" si="5"/>
        <v>0</v>
      </c>
      <c r="L7" s="205">
        <f t="shared" si="6"/>
        <v>5.3851648071345037</v>
      </c>
      <c r="M7" s="205">
        <f t="shared" si="7"/>
        <v>5.3851648071345037</v>
      </c>
    </row>
    <row r="8" spans="1:15">
      <c r="A8" s="202" t="s">
        <v>694</v>
      </c>
      <c r="B8" s="206">
        <v>1</v>
      </c>
      <c r="C8" s="206">
        <v>2</v>
      </c>
      <c r="E8" s="204" t="str">
        <f>Table165245[[#This Row],[Val]]</f>
        <v>A7</v>
      </c>
      <c r="F8" s="205">
        <f t="shared" si="0"/>
        <v>8.0622577482985491</v>
      </c>
      <c r="G8" s="205">
        <f t="shared" si="1"/>
        <v>3.1622776601683795</v>
      </c>
      <c r="H8" s="205">
        <f t="shared" si="2"/>
        <v>7.2801098892805181</v>
      </c>
      <c r="I8" s="205">
        <f t="shared" si="3"/>
        <v>7.2111025509279782</v>
      </c>
      <c r="J8" s="205">
        <f t="shared" si="4"/>
        <v>6.7082039324993694</v>
      </c>
      <c r="K8" s="205">
        <f t="shared" si="5"/>
        <v>5.3851648071345037</v>
      </c>
      <c r="L8" s="205">
        <f t="shared" si="6"/>
        <v>0</v>
      </c>
      <c r="M8" s="205">
        <f t="shared" si="7"/>
        <v>7.6157731058639087</v>
      </c>
    </row>
    <row r="9" spans="1:15">
      <c r="A9" s="202" t="s">
        <v>695</v>
      </c>
      <c r="B9" s="206">
        <v>4</v>
      </c>
      <c r="C9" s="206">
        <v>9</v>
      </c>
      <c r="E9" s="204" t="str">
        <f>Table165245[[#This Row],[Val]]</f>
        <v>A8</v>
      </c>
      <c r="F9" s="205">
        <f t="shared" si="0"/>
        <v>2.2360679774997898</v>
      </c>
      <c r="G9" s="205">
        <f t="shared" si="1"/>
        <v>4.4721359549995796</v>
      </c>
      <c r="H9" s="205">
        <f t="shared" si="2"/>
        <v>6.4031242374328485</v>
      </c>
      <c r="I9" s="205">
        <f t="shared" si="3"/>
        <v>1.4142135623730951</v>
      </c>
      <c r="J9" s="205">
        <f t="shared" si="4"/>
        <v>5</v>
      </c>
      <c r="K9" s="205">
        <f t="shared" si="5"/>
        <v>5.3851648071345037</v>
      </c>
      <c r="L9" s="205">
        <f t="shared" si="6"/>
        <v>7.6157731058639087</v>
      </c>
      <c r="M9" s="205">
        <f t="shared" si="7"/>
        <v>0</v>
      </c>
    </row>
    <row r="11" spans="1:15">
      <c r="A11" s="142"/>
      <c r="E11" s="207" t="s">
        <v>688</v>
      </c>
      <c r="F11" s="208">
        <v>0</v>
      </c>
      <c r="G11" s="208">
        <v>5</v>
      </c>
      <c r="H11" s="208">
        <v>8.4852813742385695</v>
      </c>
      <c r="I11" s="208">
        <v>3.6055512754639891</v>
      </c>
      <c r="J11" s="208">
        <v>7.0710678118654755</v>
      </c>
      <c r="K11" s="208">
        <v>7.2111025509279782</v>
      </c>
      <c r="L11" s="208">
        <v>8.0622577482985491</v>
      </c>
      <c r="M11" s="208">
        <v>2.2360679774997898</v>
      </c>
      <c r="N11" s="209">
        <f>COUNTIF(F11:M11,"&lt;=2.0")-1</f>
        <v>0</v>
      </c>
      <c r="O11" s="143" t="s">
        <v>688</v>
      </c>
    </row>
    <row r="12" spans="1:15">
      <c r="E12" s="207" t="s">
        <v>689</v>
      </c>
      <c r="F12" s="208">
        <v>5</v>
      </c>
      <c r="G12" s="208">
        <v>0</v>
      </c>
      <c r="H12" s="208">
        <v>6.0827625302982193</v>
      </c>
      <c r="I12" s="208">
        <v>4.2426406871192848</v>
      </c>
      <c r="J12" s="208">
        <v>5</v>
      </c>
      <c r="K12" s="208">
        <v>4.1231056256176606</v>
      </c>
      <c r="L12" s="208">
        <v>3.1622776601683795</v>
      </c>
      <c r="M12" s="208">
        <v>4.4721359549995796</v>
      </c>
      <c r="N12" s="209">
        <f t="shared" ref="N12:N18" si="8">COUNTIF(F12:M12,"&lt;=2.0")-1</f>
        <v>0</v>
      </c>
      <c r="O12" s="143" t="s">
        <v>689</v>
      </c>
    </row>
    <row r="13" spans="1:15">
      <c r="E13" s="207" t="s">
        <v>690</v>
      </c>
      <c r="F13" s="208">
        <v>8.4852813742385695</v>
      </c>
      <c r="G13" s="208">
        <v>6.0827625302982193</v>
      </c>
      <c r="H13" s="208">
        <v>0</v>
      </c>
      <c r="I13" s="208">
        <v>5</v>
      </c>
      <c r="J13" s="208">
        <v>1.4142135623730951</v>
      </c>
      <c r="K13" s="208">
        <v>2</v>
      </c>
      <c r="L13" s="208">
        <v>7.2801098892805181</v>
      </c>
      <c r="M13" s="208">
        <v>6.4031242374328485</v>
      </c>
      <c r="N13" s="209">
        <f t="shared" si="8"/>
        <v>2</v>
      </c>
      <c r="O13" s="143" t="s">
        <v>690</v>
      </c>
    </row>
    <row r="14" spans="1:15">
      <c r="E14" s="207" t="s">
        <v>691</v>
      </c>
      <c r="F14" s="208">
        <v>3.6055512754639891</v>
      </c>
      <c r="G14" s="208">
        <v>4.2426406871192848</v>
      </c>
      <c r="H14" s="208">
        <v>5</v>
      </c>
      <c r="I14" s="208">
        <v>0</v>
      </c>
      <c r="J14" s="208">
        <v>3.6055512754639891</v>
      </c>
      <c r="K14" s="208">
        <v>4.1231056256176606</v>
      </c>
      <c r="L14" s="208">
        <v>7.2111025509279782</v>
      </c>
      <c r="M14" s="208">
        <v>1.4142135623730951</v>
      </c>
      <c r="N14" s="209">
        <f t="shared" si="8"/>
        <v>1</v>
      </c>
      <c r="O14" s="143" t="s">
        <v>691</v>
      </c>
    </row>
    <row r="15" spans="1:15">
      <c r="E15" s="207" t="s">
        <v>692</v>
      </c>
      <c r="F15" s="208">
        <v>7.0710678118654755</v>
      </c>
      <c r="G15" s="208">
        <v>5</v>
      </c>
      <c r="H15" s="208">
        <v>1.4142135623730951</v>
      </c>
      <c r="I15" s="208">
        <v>3.6055512754639891</v>
      </c>
      <c r="J15" s="208">
        <v>0</v>
      </c>
      <c r="K15" s="208">
        <v>1.4142135623730951</v>
      </c>
      <c r="L15" s="208">
        <v>6.7082039324993694</v>
      </c>
      <c r="M15" s="208">
        <v>5</v>
      </c>
      <c r="N15" s="209">
        <f t="shared" si="8"/>
        <v>2</v>
      </c>
      <c r="O15" s="143" t="s">
        <v>692</v>
      </c>
    </row>
    <row r="16" spans="1:15">
      <c r="E16" s="207" t="s">
        <v>693</v>
      </c>
      <c r="F16" s="208">
        <v>7.2111025509279782</v>
      </c>
      <c r="G16" s="208">
        <v>4.1231056256176606</v>
      </c>
      <c r="H16" s="208">
        <v>2</v>
      </c>
      <c r="I16" s="208">
        <v>4.1231056256176606</v>
      </c>
      <c r="J16" s="208">
        <v>1.4142135623730951</v>
      </c>
      <c r="K16" s="208">
        <v>0</v>
      </c>
      <c r="L16" s="208">
        <v>5.3851648071345037</v>
      </c>
      <c r="M16" s="208">
        <v>5.3851648071345037</v>
      </c>
      <c r="N16" s="209">
        <f t="shared" si="8"/>
        <v>2</v>
      </c>
      <c r="O16" s="143" t="s">
        <v>693</v>
      </c>
    </row>
    <row r="17" spans="5:15">
      <c r="E17" s="207" t="s">
        <v>694</v>
      </c>
      <c r="F17" s="208">
        <v>8.0622577482985491</v>
      </c>
      <c r="G17" s="208">
        <v>3.1622776601683795</v>
      </c>
      <c r="H17" s="208">
        <v>7.2801098892805181</v>
      </c>
      <c r="I17" s="208">
        <v>7.2111025509279782</v>
      </c>
      <c r="J17" s="208">
        <v>6.7082039324993694</v>
      </c>
      <c r="K17" s="208">
        <v>5.3851648071345037</v>
      </c>
      <c r="L17" s="208">
        <v>0</v>
      </c>
      <c r="M17" s="208">
        <v>7.6157731058639087</v>
      </c>
      <c r="N17" s="209">
        <f t="shared" si="8"/>
        <v>0</v>
      </c>
      <c r="O17" s="143" t="s">
        <v>694</v>
      </c>
    </row>
    <row r="18" spans="5:15">
      <c r="E18" s="207" t="s">
        <v>695</v>
      </c>
      <c r="F18" s="208">
        <v>2.2360679774997898</v>
      </c>
      <c r="G18" s="208">
        <v>4.4721359549995796</v>
      </c>
      <c r="H18" s="208">
        <v>6.4031242374328485</v>
      </c>
      <c r="I18" s="208">
        <v>1.4142135623730951</v>
      </c>
      <c r="J18" s="208">
        <v>5</v>
      </c>
      <c r="K18" s="208">
        <v>5.3851648071345037</v>
      </c>
      <c r="L18" s="208">
        <v>7.6157731058639087</v>
      </c>
      <c r="M18" s="208">
        <v>0</v>
      </c>
      <c r="N18" s="209">
        <f t="shared" si="8"/>
        <v>1</v>
      </c>
      <c r="O18" s="143" t="s">
        <v>695</v>
      </c>
    </row>
    <row r="19" spans="5:15">
      <c r="N19" s="210"/>
    </row>
  </sheetData>
  <conditionalFormatting sqref="F11:M18">
    <cfRule type="cellIs" dxfId="47" priority="2" operator="between">
      <formula>0.1</formula>
      <formula>2</formula>
    </cfRule>
  </conditionalFormatting>
  <conditionalFormatting sqref="N11:N18">
    <cfRule type="cellIs" dxfId="46" priority="1" operator="equal">
      <formula>2</formula>
    </cfRule>
  </conditionalFormatting>
  <pageMargins left="0.7" right="0.7" top="0.75" bottom="0.75" header="0.3" footer="0.3"/>
  <pageSetup orientation="portrait" r:id="rId1"/>
  <drawing r:id="rId2"/>
  <tableParts count="2">
    <tablePart r:id="rId3"/>
    <tablePart r:id="rId4"/>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H51"/>
  <sheetViews>
    <sheetView zoomScale="90" zoomScaleNormal="90" workbookViewId="0">
      <selection activeCell="L8" sqref="L8"/>
    </sheetView>
  </sheetViews>
  <sheetFormatPr defaultRowHeight="15"/>
  <cols>
    <col min="1" max="2" width="12.5703125" bestFit="1" customWidth="1"/>
    <col min="3" max="3" width="15.85546875" bestFit="1" customWidth="1"/>
    <col min="4" max="4" width="17.42578125" bestFit="1" customWidth="1"/>
    <col min="5" max="5" width="18.140625" bestFit="1" customWidth="1"/>
    <col min="6" max="6" width="19.85546875" bestFit="1" customWidth="1"/>
    <col min="7" max="7" width="16.7109375" bestFit="1" customWidth="1"/>
    <col min="13" max="13" width="9.42578125" bestFit="1" customWidth="1"/>
    <col min="14" max="14" width="5.42578125" bestFit="1" customWidth="1"/>
    <col min="16" max="17" width="9.42578125" bestFit="1" customWidth="1"/>
    <col min="18" max="18" width="5.42578125" bestFit="1" customWidth="1"/>
    <col min="19" max="19" width="10.140625" customWidth="1"/>
    <col min="20" max="21" width="3" bestFit="1" customWidth="1"/>
    <col min="22" max="22" width="6" bestFit="1" customWidth="1"/>
    <col min="23" max="23" width="2.7109375" bestFit="1" customWidth="1"/>
    <col min="24" max="24" width="3" bestFit="1" customWidth="1"/>
    <col min="25" max="25" width="2.7109375" bestFit="1" customWidth="1"/>
    <col min="26" max="27" width="3" bestFit="1" customWidth="1"/>
    <col min="28" max="28" width="6" bestFit="1" customWidth="1"/>
    <col min="29" max="29" width="2.7109375" bestFit="1" customWidth="1"/>
    <col min="30" max="30" width="3" bestFit="1" customWidth="1"/>
    <col min="31" max="31" width="2.7109375" bestFit="1" customWidth="1"/>
  </cols>
  <sheetData>
    <row r="1" spans="1:19">
      <c r="A1" t="s">
        <v>176</v>
      </c>
      <c r="B1" t="s">
        <v>266</v>
      </c>
      <c r="C1" t="s">
        <v>267</v>
      </c>
      <c r="D1" t="s">
        <v>268</v>
      </c>
      <c r="E1" t="s">
        <v>243</v>
      </c>
      <c r="F1" s="77" t="s">
        <v>238</v>
      </c>
      <c r="G1" t="s">
        <v>199</v>
      </c>
      <c r="H1" t="s">
        <v>200</v>
      </c>
      <c r="M1" s="17" t="s">
        <v>67</v>
      </c>
      <c r="N1" t="s">
        <v>2</v>
      </c>
      <c r="P1" s="17" t="s">
        <v>268</v>
      </c>
      <c r="Q1" s="17" t="s">
        <v>67</v>
      </c>
      <c r="R1" t="s">
        <v>2</v>
      </c>
    </row>
    <row r="2" spans="1:19">
      <c r="A2" s="18">
        <v>1</v>
      </c>
      <c r="B2" s="34" t="s">
        <v>199</v>
      </c>
      <c r="C2" s="34" t="s">
        <v>239</v>
      </c>
      <c r="D2" s="34" t="s">
        <v>134</v>
      </c>
      <c r="E2" s="34"/>
      <c r="F2" s="34" t="s">
        <v>199</v>
      </c>
      <c r="G2" s="95">
        <f>IF(Table323645[[#This Row],[Return]]="Positive",1,0)</f>
        <v>1</v>
      </c>
      <c r="H2" s="18">
        <f>ABS(1-Table323645[[#This Row],[Positive]])</f>
        <v>0</v>
      </c>
      <c r="M2" t="s">
        <v>201</v>
      </c>
      <c r="N2" s="16">
        <v>8</v>
      </c>
      <c r="P2" t="s">
        <v>134</v>
      </c>
      <c r="Q2" t="s">
        <v>201</v>
      </c>
      <c r="R2" s="16">
        <v>5</v>
      </c>
    </row>
    <row r="3" spans="1:19">
      <c r="A3" s="18">
        <f t="shared" ref="A3:A15" si="0">A2+1</f>
        <v>2</v>
      </c>
      <c r="B3" s="34" t="s">
        <v>200</v>
      </c>
      <c r="C3" s="34" t="s">
        <v>134</v>
      </c>
      <c r="D3" s="34" t="s">
        <v>187</v>
      </c>
      <c r="E3" s="34"/>
      <c r="F3" s="34" t="s">
        <v>200</v>
      </c>
      <c r="G3" s="95">
        <f>IF(Table323645[[#This Row],[Return]]="Positive",1,0)</f>
        <v>0</v>
      </c>
      <c r="H3" s="18">
        <f>ABS(1-Table323645[[#This Row],[Positive]])</f>
        <v>1</v>
      </c>
      <c r="M3" t="s">
        <v>202</v>
      </c>
      <c r="N3" s="16">
        <v>2</v>
      </c>
      <c r="Q3" t="s">
        <v>202</v>
      </c>
      <c r="R3" s="16">
        <v>1</v>
      </c>
    </row>
    <row r="4" spans="1:19">
      <c r="A4" s="18">
        <f t="shared" si="0"/>
        <v>3</v>
      </c>
      <c r="B4" s="34" t="s">
        <v>199</v>
      </c>
      <c r="C4" s="34" t="s">
        <v>239</v>
      </c>
      <c r="D4" s="34" t="s">
        <v>134</v>
      </c>
      <c r="E4" s="34"/>
      <c r="F4" s="34" t="s">
        <v>199</v>
      </c>
      <c r="G4" s="95">
        <f>IF(Table323645[[#This Row],[Return]]="Positive",1,0)</f>
        <v>1</v>
      </c>
      <c r="H4" s="18">
        <f>ABS(1-Table323645[[#This Row],[Positive]])</f>
        <v>0</v>
      </c>
      <c r="P4" t="s">
        <v>187</v>
      </c>
      <c r="Q4" t="s">
        <v>201</v>
      </c>
      <c r="R4" s="16">
        <v>3</v>
      </c>
    </row>
    <row r="5" spans="1:19">
      <c r="A5" s="18">
        <f t="shared" si="0"/>
        <v>4</v>
      </c>
      <c r="B5" s="34" t="s">
        <v>199</v>
      </c>
      <c r="C5" s="34" t="s">
        <v>134</v>
      </c>
      <c r="D5" s="34" t="s">
        <v>134</v>
      </c>
      <c r="E5" s="34"/>
      <c r="F5" s="34" t="s">
        <v>199</v>
      </c>
      <c r="G5" s="95">
        <f>IF(Table323645[[#This Row],[Return]]="Positive",1,0)</f>
        <v>1</v>
      </c>
      <c r="H5" s="18">
        <f>ABS(1-Table323645[[#This Row],[Positive]])</f>
        <v>0</v>
      </c>
      <c r="Q5" t="s">
        <v>202</v>
      </c>
      <c r="R5" s="16">
        <v>1</v>
      </c>
    </row>
    <row r="6" spans="1:19">
      <c r="A6" s="18">
        <f t="shared" si="0"/>
        <v>5</v>
      </c>
      <c r="B6" s="34" t="s">
        <v>200</v>
      </c>
      <c r="C6" s="34" t="s">
        <v>239</v>
      </c>
      <c r="D6" s="34" t="s">
        <v>134</v>
      </c>
      <c r="E6" s="34"/>
      <c r="F6" s="34" t="s">
        <v>200</v>
      </c>
      <c r="G6" s="95">
        <f>IF(Table323645[[#This Row],[Return]]="Positive",1,0)</f>
        <v>0</v>
      </c>
      <c r="H6" s="18">
        <f>ABS(1-Table323645[[#This Row],[Positive]])</f>
        <v>1</v>
      </c>
    </row>
    <row r="7" spans="1:19">
      <c r="A7" s="18">
        <f t="shared" si="0"/>
        <v>6</v>
      </c>
      <c r="B7" s="34" t="s">
        <v>199</v>
      </c>
      <c r="C7" s="34" t="s">
        <v>239</v>
      </c>
      <c r="D7" s="34" t="s">
        <v>187</v>
      </c>
      <c r="E7" s="34"/>
      <c r="F7" s="34" t="s">
        <v>199</v>
      </c>
      <c r="G7" s="95">
        <f>IF(Table323645[[#This Row],[Return]]="Positive",1,0)</f>
        <v>1</v>
      </c>
      <c r="H7" s="18">
        <f>ABS(1-Table323645[[#This Row],[Positive]])</f>
        <v>0</v>
      </c>
    </row>
    <row r="8" spans="1:19">
      <c r="A8" s="18">
        <f t="shared" si="0"/>
        <v>7</v>
      </c>
      <c r="B8" s="34" t="s">
        <v>200</v>
      </c>
      <c r="C8" s="34" t="s">
        <v>134</v>
      </c>
      <c r="D8" s="34" t="s">
        <v>187</v>
      </c>
      <c r="E8" s="34"/>
      <c r="F8" s="34" t="s">
        <v>199</v>
      </c>
      <c r="G8" s="95">
        <f>IF(Table323645[[#This Row],[Return]]="Positive",1,0)</f>
        <v>1</v>
      </c>
      <c r="H8" s="18">
        <f>ABS(1-Table323645[[#This Row],[Positive]])</f>
        <v>0</v>
      </c>
    </row>
    <row r="9" spans="1:19">
      <c r="A9" s="18">
        <f t="shared" si="0"/>
        <v>8</v>
      </c>
      <c r="B9" s="34" t="s">
        <v>200</v>
      </c>
      <c r="C9" s="34" t="s">
        <v>239</v>
      </c>
      <c r="D9" s="34" t="s">
        <v>134</v>
      </c>
      <c r="E9" s="34"/>
      <c r="F9" s="34" t="s">
        <v>199</v>
      </c>
      <c r="G9" s="95">
        <f>IF(Table323645[[#This Row],[Return]]="Positive",1,0)</f>
        <v>1</v>
      </c>
      <c r="H9" s="18">
        <f>ABS(1-Table323645[[#This Row],[Positive]])</f>
        <v>0</v>
      </c>
      <c r="P9" s="48" t="s">
        <v>206</v>
      </c>
    </row>
    <row r="10" spans="1:19">
      <c r="A10" s="18">
        <f t="shared" si="0"/>
        <v>9</v>
      </c>
      <c r="B10" s="34" t="s">
        <v>199</v>
      </c>
      <c r="C10" s="34" t="s">
        <v>239</v>
      </c>
      <c r="D10" s="34" t="s">
        <v>187</v>
      </c>
      <c r="E10" s="34"/>
      <c r="F10" s="34" t="s">
        <v>199</v>
      </c>
      <c r="G10" s="95">
        <f>IF(Table323645[[#This Row],[Return]]="Positive",1,0)</f>
        <v>1</v>
      </c>
      <c r="H10" s="18">
        <f>ABS(1-Table323645[[#This Row],[Positive]])</f>
        <v>0</v>
      </c>
    </row>
    <row r="11" spans="1:19">
      <c r="A11" s="18">
        <f t="shared" si="0"/>
        <v>10</v>
      </c>
      <c r="B11" s="34" t="s">
        <v>199</v>
      </c>
      <c r="C11" s="34" t="s">
        <v>134</v>
      </c>
      <c r="D11" s="34" t="s">
        <v>134</v>
      </c>
      <c r="E11" s="34"/>
      <c r="F11" s="34" t="s">
        <v>199</v>
      </c>
      <c r="G11" s="95">
        <f>IF(Table323645[[#This Row],[Return]]="Positive",1,0)</f>
        <v>1</v>
      </c>
      <c r="H11" s="18">
        <f>ABS(1-Table323645[[#This Row],[Positive]])</f>
        <v>0</v>
      </c>
      <c r="M11" s="48" t="s">
        <v>205</v>
      </c>
    </row>
    <row r="12" spans="1:19">
      <c r="A12" s="18">
        <f t="shared" si="0"/>
        <v>11</v>
      </c>
      <c r="B12" s="34"/>
      <c r="C12" s="34"/>
      <c r="D12" s="34"/>
      <c r="E12" s="34"/>
      <c r="F12" s="34"/>
      <c r="G12" s="18" t="e">
        <f>IF(Table323645[[#This Row],[Return]]="yes",1,0)</f>
        <v>#VALUE!</v>
      </c>
      <c r="H12" s="18" t="e">
        <f>ABS(1-Table323645[[#This Row],[Positive]])</f>
        <v>#VALUE!</v>
      </c>
    </row>
    <row r="13" spans="1:19">
      <c r="A13" s="18">
        <f t="shared" si="0"/>
        <v>12</v>
      </c>
      <c r="B13" s="34"/>
      <c r="C13" s="34"/>
      <c r="D13" s="34"/>
      <c r="E13" s="34"/>
      <c r="F13" s="34"/>
      <c r="G13" s="18" t="e">
        <f>IF(Table323645[[#This Row],[Return]]="yes",1,0)</f>
        <v>#VALUE!</v>
      </c>
      <c r="H13" s="18" t="e">
        <f>ABS(1-Table323645[[#This Row],[Positive]])</f>
        <v>#VALUE!</v>
      </c>
    </row>
    <row r="14" spans="1:19">
      <c r="A14" s="18">
        <f t="shared" si="0"/>
        <v>13</v>
      </c>
      <c r="B14" s="34"/>
      <c r="C14" s="34"/>
      <c r="D14" s="34"/>
      <c r="E14" s="34"/>
      <c r="F14" s="34"/>
      <c r="G14" s="18" t="e">
        <f>IF(Table323645[[#This Row],[Return]]="yes",1,0)</f>
        <v>#VALUE!</v>
      </c>
      <c r="H14" s="18" t="e">
        <f>ABS(1-Table323645[[#This Row],[Positive]])</f>
        <v>#VALUE!</v>
      </c>
      <c r="J14" s="48" t="s">
        <v>242</v>
      </c>
      <c r="S14" t="s">
        <v>265</v>
      </c>
    </row>
    <row r="15" spans="1:19">
      <c r="A15" s="18">
        <f t="shared" si="0"/>
        <v>14</v>
      </c>
      <c r="B15" s="34"/>
      <c r="C15" s="34"/>
      <c r="D15" s="34"/>
      <c r="E15" s="34"/>
      <c r="F15" s="34"/>
      <c r="G15" s="18" t="e">
        <f>IF(Table323645[[#This Row],[Return]]="yes",1,0)</f>
        <v>#VALUE!</v>
      </c>
      <c r="H15" s="18" t="e">
        <f>ABS(1-Table323645[[#This Row],[Positive]])</f>
        <v>#VALUE!</v>
      </c>
    </row>
    <row r="18" spans="1:34">
      <c r="A18" t="s">
        <v>192</v>
      </c>
      <c r="B18" t="s">
        <v>169</v>
      </c>
      <c r="C18" t="s">
        <v>167</v>
      </c>
      <c r="D18" t="s">
        <v>168</v>
      </c>
      <c r="E18" t="s">
        <v>165</v>
      </c>
      <c r="F18" t="s">
        <v>166</v>
      </c>
      <c r="G18" t="s">
        <v>170</v>
      </c>
      <c r="H18" t="s">
        <v>173</v>
      </c>
      <c r="J18" t="s">
        <v>171</v>
      </c>
      <c r="K18" t="s">
        <v>172</v>
      </c>
      <c r="L18" t="s">
        <v>174</v>
      </c>
      <c r="M18" t="s">
        <v>204</v>
      </c>
      <c r="O18" s="58" t="str">
        <f>"Info(D)= - ("&amp;B19&amp;"/"&amp;SUM(Overall66[Ci])&amp;") * log2("&amp;B19&amp;"/"&amp;SUM(Overall66[Ci])&amp;") - ("&amp;B20&amp;"/"&amp;SUM(Overall66[Ci])&amp;") * log2("&amp;B20&amp;"/"&amp;SUM(Overall66[Ci])&amp;")"</f>
        <v>Info(D)= - (8/10) * log2(8/10) - (2/10) * log2(2/10)</v>
      </c>
      <c r="P18" s="58"/>
    </row>
    <row r="19" spans="1:34" ht="18.75">
      <c r="A19" s="18" t="s">
        <v>203</v>
      </c>
      <c r="B19" s="18">
        <f>N2</f>
        <v>8</v>
      </c>
      <c r="C19" s="18">
        <v>0</v>
      </c>
      <c r="D19" s="18" t="str">
        <f>"p"&amp;Overall66[[#This Row],[ID]]</f>
        <v>p0</v>
      </c>
      <c r="E19" s="18">
        <f>IFERROR(Overall66[[#This Row],[Ci]]/SUM(Overall66[Ci]),0)</f>
        <v>0.8</v>
      </c>
      <c r="F19" s="18">
        <f>IFERROR(LOG(Overall66[[#This Row],[Ci]]/SUM(Overall66[Ci]),2),0)</f>
        <v>-0.32192809488736229</v>
      </c>
      <c r="G19" s="23">
        <f>Overall66[[#This Row],[p(i|t)]]*Overall66[[#This Row],[log2 p(i|t)]]</f>
        <v>-0.25754247590988982</v>
      </c>
      <c r="H19" s="23">
        <f>Overall66[[#This Row],[p(i|t)]]^2</f>
        <v>0.64000000000000012</v>
      </c>
      <c r="J19" s="18">
        <f>-1*(SUM(Overall66[p(i|t)*log2(i|t)]))</f>
        <v>0.72192809488736231</v>
      </c>
      <c r="K19" s="18">
        <f>1-SUM(Overall66[p(i|t)^2])</f>
        <v>0.31999999999999984</v>
      </c>
      <c r="L19" s="18">
        <f>1-MAX(Overall66[p(i|t)])</f>
        <v>0.19999999999999996</v>
      </c>
      <c r="M19" s="18">
        <f>SUM(Overall66[Ci])</f>
        <v>10</v>
      </c>
      <c r="O19" s="59" t="s">
        <v>197</v>
      </c>
      <c r="P19" s="60" t="str">
        <f>"-("&amp;TEXT(E19,"00.000")&amp;")*("&amp;TEXT(F19,"00.000")&amp;") - ("&amp;TEXT(E20,"00.000")&amp;")*("&amp;TEXT(F20,"00.000")&amp;")"</f>
        <v>-(00.800)*(-00.322) - (00.200)*(-02.322)</v>
      </c>
      <c r="Q19" s="81"/>
      <c r="R19" s="81"/>
      <c r="S19" s="81"/>
      <c r="T19" s="81"/>
      <c r="U19" s="81"/>
      <c r="V19" s="81"/>
      <c r="W19" s="81"/>
      <c r="X19" s="81"/>
      <c r="Y19" s="81"/>
      <c r="Z19" s="81"/>
      <c r="AA19" s="81"/>
    </row>
    <row r="20" spans="1:34" ht="18.75" customHeight="1">
      <c r="A20" s="18"/>
      <c r="B20" s="18">
        <f>N3</f>
        <v>2</v>
      </c>
      <c r="C20" s="18">
        <f>C19+1</f>
        <v>1</v>
      </c>
      <c r="D20" s="18" t="str">
        <f>"p"&amp;Overall66[[#This Row],[ID]]</f>
        <v>p1</v>
      </c>
      <c r="E20" s="18">
        <f>IFERROR(Overall66[[#This Row],[Ci]]/SUM(Overall66[Ci]),0)</f>
        <v>0.2</v>
      </c>
      <c r="F20" s="18">
        <f>IFERROR(LOG(Overall66[[#This Row],[Ci]]/SUM(Overall66[Ci]),2),0)</f>
        <v>-2.3219280948873622</v>
      </c>
      <c r="G20" s="23">
        <f>Overall66[[#This Row],[p(i|t)]]*Overall66[[#This Row],[log2 p(i|t)]]</f>
        <v>-0.46438561897747244</v>
      </c>
      <c r="H20" s="23">
        <f>Overall66[[#This Row],[p(i|t)]]^2</f>
        <v>4.0000000000000008E-2</v>
      </c>
      <c r="O20" s="59" t="s">
        <v>197</v>
      </c>
      <c r="P20" s="61" t="str">
        <f>TEXT(ABS(G19),"00.000")&amp;" + "&amp;TEXT(ABS(G20),"00.000")</f>
        <v>00.258 + 00.464</v>
      </c>
      <c r="Q20" s="79"/>
      <c r="R20" s="79"/>
      <c r="S20" s="79"/>
      <c r="T20" s="79"/>
      <c r="U20" s="79"/>
      <c r="V20" s="79"/>
      <c r="W20" s="79"/>
      <c r="X20" s="79"/>
      <c r="Y20" s="79"/>
      <c r="Z20" s="79"/>
      <c r="AA20" s="79"/>
    </row>
    <row r="21" spans="1:34" ht="15.75">
      <c r="O21" s="59" t="s">
        <v>197</v>
      </c>
      <c r="P21" s="62" t="str">
        <f>TEXT(J19,"00.000")</f>
        <v>00.722</v>
      </c>
      <c r="Q21" s="78"/>
      <c r="R21" s="78"/>
      <c r="S21" s="78"/>
      <c r="T21" s="78"/>
      <c r="U21" s="78"/>
      <c r="V21" s="78"/>
      <c r="W21" s="78"/>
      <c r="X21" s="78"/>
      <c r="Y21" s="78"/>
      <c r="Z21" s="78"/>
      <c r="AA21" s="78"/>
    </row>
    <row r="23" spans="1:34" ht="15.75" customHeight="1"/>
    <row r="24" spans="1:34">
      <c r="A24" t="s">
        <v>87</v>
      </c>
      <c r="B24" t="str">
        <f>P1</f>
        <v>Fever</v>
      </c>
      <c r="O24" t="s">
        <v>207</v>
      </c>
      <c r="P24">
        <f>tblD1Calc58[Sum]/OverallCalc67[Sum]</f>
        <v>0.6</v>
      </c>
    </row>
    <row r="25" spans="1:34" ht="18.75">
      <c r="A25" t="s">
        <v>192</v>
      </c>
      <c r="B25" t="s">
        <v>169</v>
      </c>
      <c r="C25" t="s">
        <v>167</v>
      </c>
      <c r="D25" t="s">
        <v>168</v>
      </c>
      <c r="E25" t="s">
        <v>165</v>
      </c>
      <c r="F25" t="s">
        <v>166</v>
      </c>
      <c r="G25" t="s">
        <v>170</v>
      </c>
      <c r="H25" t="s">
        <v>173</v>
      </c>
      <c r="J25" t="s">
        <v>171</v>
      </c>
      <c r="K25" t="s">
        <v>172</v>
      </c>
      <c r="L25" t="s">
        <v>174</v>
      </c>
      <c r="M25" t="s">
        <v>204</v>
      </c>
      <c r="O25" s="58" t="str">
        <f>"Info ("&amp;B24&amp;")(D)= "&amp; tblD1Calc58[Sum]&amp;"/"&amp;OverallCalc67[Sum]&amp;" * (- ("&amp;B26&amp;"/"&amp;SUM(tblD156[Ci])&amp;") * log2("&amp;B26&amp;"/"&amp;SUM(tblD156[Ci])&amp;") - ("&amp;B27&amp;"/"&amp;SUM(tblD156[Ci])&amp;") * log2("&amp;B27&amp;"/"&amp;SUM(tblD156[Ci])&amp;"))"</f>
        <v>Info (Fever)(D)= 6/10 * (- (5/6) * log2(5/6) - (1/6) * log2(1/6))</v>
      </c>
      <c r="P25" s="58"/>
      <c r="AG25" s="81"/>
      <c r="AH25" s="81"/>
    </row>
    <row r="26" spans="1:34">
      <c r="A26" s="18" t="str">
        <f>P2</f>
        <v>High</v>
      </c>
      <c r="B26" s="18">
        <f>R2</f>
        <v>5</v>
      </c>
      <c r="C26" s="18">
        <v>0</v>
      </c>
      <c r="D26" s="18" t="str">
        <f>"p"&amp;tblD156[[#This Row],[ID]]</f>
        <v>p0</v>
      </c>
      <c r="E26" s="18">
        <f>IFERROR(tblD156[[#This Row],[Ci]]/SUM(tblD156[Ci]),0)</f>
        <v>0.83333333333333337</v>
      </c>
      <c r="F26" s="18">
        <f>IFERROR(LOG(tblD156[[#This Row],[Ci]]/SUM(tblD156[Ci]),2),0)</f>
        <v>-0.26303440583379378</v>
      </c>
      <c r="G26" s="23">
        <f>tblD156[[#This Row],[p(i|t)]]*tblD156[[#This Row],[log2 p(i|t)]]</f>
        <v>-0.21919533819482817</v>
      </c>
      <c r="H26" s="23">
        <f>tblD156[[#This Row],[p(i|t)]]^2</f>
        <v>0.69444444444444453</v>
      </c>
      <c r="J26" s="18">
        <f>-1*(SUM(tblD156[p(i|t)*log2(i|t)]))</f>
        <v>0.65002242164835411</v>
      </c>
      <c r="K26" s="18">
        <f>1-SUM(tblD156[p(i|t)^2])</f>
        <v>0.27777777777777768</v>
      </c>
      <c r="L26" s="18">
        <f>1-MAX(tblD156[p(i|t)])</f>
        <v>0.16666666666666663</v>
      </c>
      <c r="M26" s="18">
        <f>SUM(tblD156[Ci])</f>
        <v>6</v>
      </c>
      <c r="O26" s="58"/>
      <c r="P26" s="58" t="str">
        <f>"+ "&amp;P37</f>
        <v>+ 4/10 * (- (3/4) * log2(3/4) - (1/4) * log2(1/4))</v>
      </c>
    </row>
    <row r="27" spans="1:34">
      <c r="A27" s="18"/>
      <c r="B27" s="18">
        <f>R3</f>
        <v>1</v>
      </c>
      <c r="C27" s="18">
        <f>C26+1</f>
        <v>1</v>
      </c>
      <c r="D27" s="18" t="str">
        <f>"p"&amp;tblD156[[#This Row],[ID]]</f>
        <v>p1</v>
      </c>
      <c r="E27" s="18">
        <f>IFERROR(tblD156[[#This Row],[Ci]]/SUM(tblD156[Ci]),0)</f>
        <v>0.16666666666666666</v>
      </c>
      <c r="F27" s="18">
        <f>IFERROR(LOG(tblD156[[#This Row],[Ci]]/SUM(tblD156[Ci]),2),0)</f>
        <v>-2.5849625007211561</v>
      </c>
      <c r="G27" s="23">
        <f>tblD156[[#This Row],[p(i|t)]]*tblD156[[#This Row],[log2 p(i|t)]]</f>
        <v>-0.43082708345352599</v>
      </c>
      <c r="H27" s="23">
        <f>tblD156[[#This Row],[p(i|t)]]^2</f>
        <v>2.7777777777777776E-2</v>
      </c>
      <c r="O27" s="58"/>
      <c r="P27" s="58" t="str">
        <f>"+ "&amp;P43</f>
        <v>+ 0/10 * (- (0/0) * log2(0/0) - (0/0) * log2(0/0))</v>
      </c>
    </row>
    <row r="28" spans="1:34">
      <c r="O28" s="58"/>
      <c r="P28" s="58" t="str">
        <f>"+ "&amp;P49</f>
        <v>+ 0/10 * (- (0/0) * log2(0/0) - (0/0) * log2(0/0))</v>
      </c>
    </row>
    <row r="29" spans="1:34" ht="18.75">
      <c r="O29" s="59" t="s">
        <v>197</v>
      </c>
      <c r="P29" s="60" t="str">
        <f>TEXT(tblD1Calc58[Sum]/OverallCalc67[Sum],"00.000")&amp;" * ("&amp;TEXT(tblD1Calc58[Entropy],"00.000")&amp;")"</f>
        <v>00.600 * (00.650)</v>
      </c>
      <c r="Q29" s="81"/>
      <c r="R29" s="81"/>
      <c r="S29" s="81"/>
      <c r="T29" s="81"/>
      <c r="U29" s="81"/>
      <c r="V29" s="81"/>
      <c r="W29" s="81"/>
      <c r="X29" s="81"/>
      <c r="Y29" s="81"/>
      <c r="Z29" s="81"/>
      <c r="AA29" s="81"/>
    </row>
    <row r="30" spans="1:34" ht="15.75">
      <c r="J30" t="s">
        <v>269</v>
      </c>
      <c r="K30">
        <v>7.4752972273344209E-3</v>
      </c>
      <c r="O30" s="58"/>
      <c r="P30" s="60" t="str">
        <f>"+ "&amp;TEXT(P36,"00.000")&amp;" * "&amp;TEXT(tblD2Calc61[Entropy],"00.000")</f>
        <v>+ 00.400 * 00.811</v>
      </c>
      <c r="Q30" s="79"/>
      <c r="R30" s="79"/>
      <c r="S30" s="79"/>
      <c r="T30" s="79"/>
      <c r="U30" s="79"/>
      <c r="V30" s="79"/>
      <c r="W30" s="79"/>
      <c r="X30" s="79"/>
      <c r="Y30" s="79"/>
      <c r="Z30" s="79"/>
      <c r="AA30" s="79"/>
    </row>
    <row r="31" spans="1:34" ht="15.75">
      <c r="J31" t="s">
        <v>270</v>
      </c>
      <c r="K31">
        <v>7.4752972273344209E-3</v>
      </c>
      <c r="O31" s="58"/>
      <c r="P31" s="60" t="str">
        <f>"+ "&amp;TEXT(P42,"00.000")&amp;" * "&amp;TEXT(tblD3Calc63[Entropy],"00.000")</f>
        <v>+ 00.000 * 00.000</v>
      </c>
      <c r="Q31" s="78"/>
      <c r="R31" s="78"/>
      <c r="S31" s="78"/>
      <c r="T31" s="78"/>
      <c r="U31" s="78"/>
      <c r="V31" s="78"/>
      <c r="W31" s="78"/>
      <c r="X31" s="78"/>
      <c r="Y31" s="78"/>
      <c r="Z31" s="78"/>
      <c r="AA31" s="78"/>
    </row>
    <row r="32" spans="1:34" ht="15.75">
      <c r="K32" t="s">
        <v>271</v>
      </c>
      <c r="L32">
        <v>0.32199999999999995</v>
      </c>
      <c r="O32" s="58"/>
      <c r="P32" s="60" t="str">
        <f>"+ "&amp;TEXT(P48,"00.000")&amp;" * "&amp;TEXT(tblD4Calc65[Entropy],"00.000")</f>
        <v>+ 00.000 * 00.000</v>
      </c>
    </row>
    <row r="33" spans="1:16">
      <c r="O33" s="63" t="s">
        <v>197</v>
      </c>
      <c r="P33" s="64">
        <f>(P24*tblD1Calc58[Entropy])+(P36*tblD2Calc61[Entropy])+(P42*tblD3Calc63[Entropy])+(P48*tblD4Calc65[Entropy])</f>
        <v>0.71452470277266555</v>
      </c>
    </row>
    <row r="34" spans="1:16" ht="15.75">
      <c r="O34" s="65" t="str">
        <f>"Information Gain ("&amp;B24&amp;") = Info(D) - Info("&amp;B24&amp;")(D) = "</f>
        <v xml:space="preserve">Information Gain (Fever) = Info(D) - Info(Fever)(D) = </v>
      </c>
      <c r="P34" s="66">
        <f>P21-P33</f>
        <v>7.4752972273344209E-3</v>
      </c>
    </row>
    <row r="36" spans="1:16">
      <c r="O36" t="s">
        <v>207</v>
      </c>
      <c r="P36">
        <f>tblD2Calc61[Sum]/OverallCalc67[Sum]</f>
        <v>0.4</v>
      </c>
    </row>
    <row r="37" spans="1:16">
      <c r="A37" t="s">
        <v>192</v>
      </c>
      <c r="B37" t="s">
        <v>169</v>
      </c>
      <c r="C37" t="s">
        <v>167</v>
      </c>
      <c r="D37" t="s">
        <v>168</v>
      </c>
      <c r="E37" t="s">
        <v>165</v>
      </c>
      <c r="F37" t="s">
        <v>166</v>
      </c>
      <c r="G37" t="s">
        <v>170</v>
      </c>
      <c r="H37" t="s">
        <v>173</v>
      </c>
      <c r="J37" t="s">
        <v>171</v>
      </c>
      <c r="K37" t="s">
        <v>172</v>
      </c>
      <c r="L37" t="s">
        <v>174</v>
      </c>
      <c r="M37" t="s">
        <v>204</v>
      </c>
      <c r="P37" t="str">
        <f>tblD2Calc61[Sum]&amp;"/"&amp;OverallCalc67[Sum]&amp;" * (- ("&amp;B38&amp;"/"&amp;SUM(tblD260[Ci])&amp;") * log2("&amp;B38&amp;"/"&amp;SUM(tblD260[Ci])&amp;") - ("&amp;B39&amp;"/"&amp;SUM(tblD260[Ci])&amp;") * log2("&amp;B39&amp;"/"&amp;SUM(tblD260[Ci])&amp;"))"</f>
        <v>4/10 * (- (3/4) * log2(3/4) - (1/4) * log2(1/4))</v>
      </c>
    </row>
    <row r="38" spans="1:16">
      <c r="A38" s="18" t="str">
        <f>P4</f>
        <v>low</v>
      </c>
      <c r="B38" s="18">
        <f>R4</f>
        <v>3</v>
      </c>
      <c r="C38" s="18">
        <v>0</v>
      </c>
      <c r="D38" s="18" t="str">
        <f>"p"&amp;tblD260[[#This Row],[ID]]</f>
        <v>p0</v>
      </c>
      <c r="E38" s="18">
        <f>IFERROR(tblD260[[#This Row],[Ci]]/SUM(tblD260[Ci]),0)</f>
        <v>0.75</v>
      </c>
      <c r="F38" s="18">
        <f>IFERROR(LOG(tblD260[[#This Row],[Ci]]/SUM(tblD260[Ci]),2),0)</f>
        <v>-0.41503749927884381</v>
      </c>
      <c r="G38" s="23">
        <f>tblD260[[#This Row],[p(i|t)]]*tblD260[[#This Row],[log2 p(i|t)]]</f>
        <v>-0.31127812445913283</v>
      </c>
      <c r="H38" s="23">
        <f>tblD260[[#This Row],[p(i|t)]]^2</f>
        <v>0.5625</v>
      </c>
      <c r="J38" s="18">
        <f>-1*(SUM(tblD260[p(i|t)*log2(i|t)]))</f>
        <v>0.81127812445913283</v>
      </c>
      <c r="K38" s="18">
        <f>1-SUM(tblD260[p(i|t)^2])</f>
        <v>0.375</v>
      </c>
      <c r="L38" s="18">
        <f>1-MAX(tblD260[p(i|t)])</f>
        <v>0.25</v>
      </c>
      <c r="M38" s="18">
        <f>SUM(tblD260[Ci])</f>
        <v>4</v>
      </c>
    </row>
    <row r="39" spans="1:16">
      <c r="A39" s="18"/>
      <c r="B39" s="18">
        <f>R5</f>
        <v>1</v>
      </c>
      <c r="C39" s="18">
        <f>C38+1</f>
        <v>1</v>
      </c>
      <c r="D39" s="18" t="str">
        <f>"p"&amp;tblD260[[#This Row],[ID]]</f>
        <v>p1</v>
      </c>
      <c r="E39" s="18">
        <f>IFERROR(tblD260[[#This Row],[Ci]]/SUM(tblD260[Ci]),0)</f>
        <v>0.25</v>
      </c>
      <c r="F39" s="18">
        <f>IFERROR(LOG(tblD260[[#This Row],[Ci]]/SUM(tblD260[Ci]),2),0)</f>
        <v>-2</v>
      </c>
      <c r="G39" s="23">
        <f>tblD260[[#This Row],[p(i|t)]]*tblD260[[#This Row],[log2 p(i|t)]]</f>
        <v>-0.5</v>
      </c>
      <c r="H39" s="23">
        <f>tblD260[[#This Row],[p(i|t)]]^2</f>
        <v>6.25E-2</v>
      </c>
    </row>
    <row r="40" spans="1:16" ht="15.75" customHeight="1"/>
    <row r="41" spans="1:16" ht="15" customHeight="1"/>
    <row r="42" spans="1:16">
      <c r="O42" t="s">
        <v>207</v>
      </c>
      <c r="P42">
        <f>tblD3Calc63[Sum]/OverallCalc67[Sum]</f>
        <v>0</v>
      </c>
    </row>
    <row r="43" spans="1:16">
      <c r="A43" t="s">
        <v>192</v>
      </c>
      <c r="B43" t="s">
        <v>169</v>
      </c>
      <c r="C43" t="s">
        <v>167</v>
      </c>
      <c r="D43" t="s">
        <v>168</v>
      </c>
      <c r="E43" t="s">
        <v>165</v>
      </c>
      <c r="F43" t="s">
        <v>166</v>
      </c>
      <c r="G43" t="s">
        <v>170</v>
      </c>
      <c r="H43" t="s">
        <v>173</v>
      </c>
      <c r="J43" t="s">
        <v>171</v>
      </c>
      <c r="K43" t="s">
        <v>172</v>
      </c>
      <c r="L43" t="s">
        <v>174</v>
      </c>
      <c r="M43" t="s">
        <v>204</v>
      </c>
      <c r="P43" t="str">
        <f>tblD3Calc63[Sum]&amp;"/"&amp;OverallCalc67[Sum]&amp;" * (- ("&amp;B44&amp;"/"&amp;SUM(tblD362[Ci])&amp;") * log2("&amp;B44&amp;"/"&amp;SUM(tblD362[Ci])&amp;") - ("&amp;B45&amp;"/"&amp;SUM(tblD362[Ci])&amp;") * log2("&amp;B45&amp;"/"&amp;SUM(tblD362[Ci])&amp;"))"</f>
        <v>0/10 * (- (0/0) * log2(0/0) - (0/0) * log2(0/0))</v>
      </c>
    </row>
    <row r="44" spans="1:16">
      <c r="A44" s="18">
        <f>P6</f>
        <v>0</v>
      </c>
      <c r="B44" s="18">
        <f>R6</f>
        <v>0</v>
      </c>
      <c r="C44" s="18">
        <v>0</v>
      </c>
      <c r="D44" s="18" t="str">
        <f>"p"&amp;tblD362[[#This Row],[ID]]</f>
        <v>p0</v>
      </c>
      <c r="E44" s="18">
        <f>IFERROR(tblD362[[#This Row],[Ci]]/SUM(tblD362[Ci]),0)</f>
        <v>0</v>
      </c>
      <c r="F44" s="18">
        <f>IFERROR(LOG(tblD362[[#This Row],[Ci]]/SUM(tblD362[Ci]),2),0)</f>
        <v>0</v>
      </c>
      <c r="G44" s="23">
        <f>tblD362[[#This Row],[p(i|t)]]*tblD362[[#This Row],[log2 p(i|t)]]</f>
        <v>0</v>
      </c>
      <c r="H44" s="23">
        <f>tblD362[[#This Row],[p(i|t)]]^2</f>
        <v>0</v>
      </c>
      <c r="J44" s="18">
        <f>-1*(SUM(tblD362[p(i|t)*log2(i|t)]))</f>
        <v>0</v>
      </c>
      <c r="K44" s="18">
        <f>1-SUM(tblD362[p(i|t)^2])</f>
        <v>1</v>
      </c>
      <c r="L44" s="18">
        <f>1-MAX(tblD362[p(i|t)])</f>
        <v>1</v>
      </c>
      <c r="M44" s="18">
        <f>SUM(tblD362[Ci])</f>
        <v>0</v>
      </c>
    </row>
    <row r="45" spans="1:16">
      <c r="A45" s="18"/>
      <c r="B45" s="18">
        <f>R7</f>
        <v>0</v>
      </c>
      <c r="C45" s="18">
        <f>C44+1</f>
        <v>1</v>
      </c>
      <c r="D45" s="18" t="str">
        <f>"p"&amp;tblD362[[#This Row],[ID]]</f>
        <v>p1</v>
      </c>
      <c r="E45" s="18">
        <f>IFERROR(tblD362[[#This Row],[Ci]]/SUM(tblD362[Ci]),0)</f>
        <v>0</v>
      </c>
      <c r="F45" s="18">
        <f>IFERROR(LOG(tblD362[[#This Row],[Ci]]/SUM(tblD362[Ci]),2),0)</f>
        <v>0</v>
      </c>
      <c r="G45" s="23">
        <f>tblD362[[#This Row],[p(i|t)]]*tblD362[[#This Row],[log2 p(i|t)]]</f>
        <v>0</v>
      </c>
      <c r="H45" s="23">
        <f>tblD362[[#This Row],[p(i|t)]]^2</f>
        <v>0</v>
      </c>
    </row>
    <row r="48" spans="1:16">
      <c r="O48" t="s">
        <v>207</v>
      </c>
      <c r="P48">
        <f>tblD4Calc65[Sum]/OverallCalc67[Sum]</f>
        <v>0</v>
      </c>
    </row>
    <row r="49" spans="1:31" ht="18.75">
      <c r="A49" t="s">
        <v>192</v>
      </c>
      <c r="B49" t="s">
        <v>169</v>
      </c>
      <c r="C49" t="s">
        <v>167</v>
      </c>
      <c r="D49" t="s">
        <v>168</v>
      </c>
      <c r="E49" t="s">
        <v>165</v>
      </c>
      <c r="F49" t="s">
        <v>166</v>
      </c>
      <c r="G49" t="s">
        <v>170</v>
      </c>
      <c r="H49" t="s">
        <v>173</v>
      </c>
      <c r="J49" t="s">
        <v>171</v>
      </c>
      <c r="K49" t="s">
        <v>172</v>
      </c>
      <c r="L49" t="s">
        <v>174</v>
      </c>
      <c r="M49" t="s">
        <v>204</v>
      </c>
      <c r="P49" t="str">
        <f>tblD4Calc65[Sum]&amp;"/"&amp;OverallCalc67[Sum]&amp;" * (- ("&amp;B50&amp;"/"&amp;SUM(tblD464[Ci])&amp;") * log2("&amp;B50&amp;"/"&amp;SUM(tblD464[Ci])&amp;") - ("&amp;B51&amp;"/"&amp;SUM(tblD464[Ci])&amp;") * log2("&amp;B51&amp;"/"&amp;SUM(tblD464[Ci])&amp;"))"</f>
        <v>0/10 * (- (0/0) * log2(0/0) - (0/0) * log2(0/0))</v>
      </c>
      <c r="AD49" s="81"/>
      <c r="AE49" s="81"/>
    </row>
    <row r="50" spans="1:31">
      <c r="A50" s="18">
        <f>P8</f>
        <v>0</v>
      </c>
      <c r="B50" s="18">
        <f>R8</f>
        <v>0</v>
      </c>
      <c r="C50" s="18">
        <v>0</v>
      </c>
      <c r="D50" s="18" t="str">
        <f>"p"&amp;tblD464[[#This Row],[ID]]</f>
        <v>p0</v>
      </c>
      <c r="E50" s="18">
        <f>IFERROR(tblD464[[#This Row],[Ci]]/SUM(tblD464[Ci]),0)</f>
        <v>0</v>
      </c>
      <c r="F50" s="18">
        <f>IFERROR(LOG(tblD464[[#This Row],[Ci]]/SUM(tblD464[Ci]),2),0)</f>
        <v>0</v>
      </c>
      <c r="G50" s="23">
        <f>tblD464[[#This Row],[p(i|t)]]*tblD464[[#This Row],[log2 p(i|t)]]</f>
        <v>0</v>
      </c>
      <c r="H50" s="23">
        <f>tblD464[[#This Row],[p(i|t)]]^2</f>
        <v>0</v>
      </c>
      <c r="J50" s="18">
        <f>-1*(SUM(tblD464[p(i|t)*log2(i|t)]))</f>
        <v>0</v>
      </c>
      <c r="K50" s="18">
        <f>1-SUM(tblD464[p(i|t)^2])</f>
        <v>1</v>
      </c>
      <c r="L50" s="18">
        <f>1-MAX(tblD464[p(i|t)])</f>
        <v>1</v>
      </c>
      <c r="M50" s="18">
        <f>SUM(tblD464[Ci])</f>
        <v>0</v>
      </c>
    </row>
    <row r="51" spans="1:31">
      <c r="A51" s="18"/>
      <c r="B51" s="18">
        <f>R9</f>
        <v>0</v>
      </c>
      <c r="C51" s="18">
        <f>C50+1</f>
        <v>1</v>
      </c>
      <c r="D51" s="18" t="str">
        <f>"p"&amp;tblD464[[#This Row],[ID]]</f>
        <v>p1</v>
      </c>
      <c r="E51" s="18">
        <f>IFERROR(tblD464[[#This Row],[Ci]]/SUM(tblD464[Ci]),0)</f>
        <v>0</v>
      </c>
      <c r="F51" s="18">
        <f>IFERROR(LOG(tblD464[[#This Row],[Ci]]/SUM(tblD464[Ci]),2),0)</f>
        <v>0</v>
      </c>
      <c r="G51" s="23">
        <f>tblD464[[#This Row],[p(i|t)]]*tblD464[[#This Row],[log2 p(i|t)]]</f>
        <v>0</v>
      </c>
      <c r="H51" s="23">
        <f>tblD464[[#This Row],[p(i|t)]]^2</f>
        <v>0</v>
      </c>
    </row>
  </sheetData>
  <pageMargins left="0.7" right="0.7" top="0.75" bottom="0.75" header="0.3" footer="0.3"/>
  <pageSetup paperSize="9" orientation="portrait" horizontalDpi="4294967292" verticalDpi="0" r:id="rId3"/>
  <drawing r:id="rId4"/>
  <tableParts count="11">
    <tablePart r:id="rId5"/>
    <tablePart r:id="rId6"/>
    <tablePart r:id="rId7"/>
    <tablePart r:id="rId8"/>
    <tablePart r:id="rId9"/>
    <tablePart r:id="rId10"/>
    <tablePart r:id="rId11"/>
    <tablePart r:id="rId12"/>
    <tablePart r:id="rId13"/>
    <tablePart r:id="rId14"/>
    <tablePart r:id="rId1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INDEX</vt:lpstr>
      <vt:lpstr>Chi-Square</vt:lpstr>
      <vt:lpstr>Covariance, Correlation</vt:lpstr>
      <vt:lpstr>Outlier DB Scan</vt:lpstr>
      <vt:lpstr>Chi-Square Multivariate</vt:lpstr>
      <vt:lpstr>L1, L2 Distance, Outlier </vt:lpstr>
      <vt:lpstr>Univariate Outlier</vt:lpstr>
      <vt:lpstr>Cosine Similarity Multivariate</vt:lpstr>
      <vt:lpstr>Minkowski, Cosine</vt:lpstr>
      <vt:lpstr>Pearson Coeff</vt:lpstr>
      <vt:lpstr>Correlation using mean</vt:lpstr>
      <vt:lpstr>Similarity Example</vt:lpstr>
      <vt:lpstr>ZScore v2</vt:lpstr>
      <vt:lpstr>Min-Max, Z-Score</vt:lpstr>
      <vt:lpstr>5 Point Summary</vt:lpstr>
      <vt:lpstr>Decision Tree Old</vt:lpstr>
      <vt:lpstr>Decision Tree</vt:lpstr>
      <vt:lpstr>Linear Regression Line</vt:lpstr>
      <vt:lpstr>Entropy, Gini, Error</vt:lpstr>
      <vt:lpstr>Information Gain</vt:lpstr>
      <vt:lpstr>Confusion Matrix</vt:lpstr>
      <vt:lpstr>BIRCH</vt:lpstr>
      <vt:lpstr>Attribute Types</vt:lpstr>
      <vt:lpstr>Data</vt:lpstr>
      <vt:lpstr>Kmeans</vt:lpstr>
      <vt:lpstr>K-median</vt:lpstr>
      <vt:lpstr>FP GROWTHG</vt:lpstr>
      <vt:lpstr>Frequent Item set</vt:lpstr>
      <vt:lpstr>TFIDF</vt:lpstr>
      <vt:lpstr>APRIORI-2</vt:lpstr>
      <vt:lpstr>DBSCAN Outlier Detection</vt:lpstr>
      <vt:lpstr>Information Gain (2)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Khanna</dc:creator>
  <cp:lastModifiedBy>Sachin Gupta</cp:lastModifiedBy>
  <dcterms:created xsi:type="dcterms:W3CDTF">2020-05-21T21:32:45Z</dcterms:created>
  <dcterms:modified xsi:type="dcterms:W3CDTF">2020-10-11T11:27:31Z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7cb76b2-10b8-4fe1-93d4-2202842406cd_Enabled">
    <vt:lpwstr>True</vt:lpwstr>
  </property>
  <property fmtid="{D5CDD505-2E9C-101B-9397-08002B2CF9AE}" pid="3" name="MSIP_Label_17cb76b2-10b8-4fe1-93d4-2202842406cd_SiteId">
    <vt:lpwstr>945c199a-83a2-4e80-9f8c-5a91be5752dd</vt:lpwstr>
  </property>
  <property fmtid="{D5CDD505-2E9C-101B-9397-08002B2CF9AE}" pid="4" name="MSIP_Label_17cb76b2-10b8-4fe1-93d4-2202842406cd_Owner">
    <vt:lpwstr>Harsh_Khanna@Dell.com</vt:lpwstr>
  </property>
  <property fmtid="{D5CDD505-2E9C-101B-9397-08002B2CF9AE}" pid="5" name="MSIP_Label_17cb76b2-10b8-4fe1-93d4-2202842406cd_SetDate">
    <vt:lpwstr>2020-06-20T14:14:01.7307281Z</vt:lpwstr>
  </property>
  <property fmtid="{D5CDD505-2E9C-101B-9397-08002B2CF9AE}" pid="6" name="MSIP_Label_17cb76b2-10b8-4fe1-93d4-2202842406cd_Name">
    <vt:lpwstr>External Public</vt:lpwstr>
  </property>
  <property fmtid="{D5CDD505-2E9C-101B-9397-08002B2CF9AE}" pid="7" name="MSIP_Label_17cb76b2-10b8-4fe1-93d4-2202842406cd_Application">
    <vt:lpwstr>Microsoft Azure Information Protection</vt:lpwstr>
  </property>
  <property fmtid="{D5CDD505-2E9C-101B-9397-08002B2CF9AE}" pid="8" name="MSIP_Label_17cb76b2-10b8-4fe1-93d4-2202842406cd_ActionId">
    <vt:lpwstr>10ff8815-9c35-490c-8096-711dd2a27ae3</vt:lpwstr>
  </property>
  <property fmtid="{D5CDD505-2E9C-101B-9397-08002B2CF9AE}" pid="9" name="MSIP_Label_17cb76b2-10b8-4fe1-93d4-2202842406cd_Extended_MSFT_Method">
    <vt:lpwstr>Manual</vt:lpwstr>
  </property>
  <property fmtid="{D5CDD505-2E9C-101B-9397-08002B2CF9AE}" pid="10" name="aiplabel">
    <vt:lpwstr>External Public</vt:lpwstr>
  </property>
</Properties>
</file>