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ocal Data\2022\Analisis Compresion\Con comp NIny Sin1002\"/>
    </mc:Choice>
  </mc:AlternateContent>
  <xr:revisionPtr revIDLastSave="0" documentId="8_{BE427855-37B8-403F-B29C-7C7E6D028C5A}" xr6:coauthVersionLast="36" xr6:coauthVersionMax="36" xr10:uidLastSave="{00000000-0000-0000-0000-000000000000}"/>
  <bookViews>
    <workbookView xWindow="0" yWindow="0" windowWidth="28725" windowHeight="13305" xr2:uid="{99965699-5CFC-45A7-AE8A-A41A16E50A6E}"/>
  </bookViews>
  <sheets>
    <sheet name="ProxyCAM2020_HMfinal_Mar22_40_R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2" l="1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</calcChain>
</file>

<file path=xl/sharedStrings.xml><?xml version="1.0" encoding="utf-8"?>
<sst xmlns="http://schemas.openxmlformats.org/spreadsheetml/2006/main" count="14" uniqueCount="14">
  <si>
    <t>ProxyCAM2020_HMfinal_Mar22_40_R1.sr3</t>
  </si>
  <si>
    <t>Gas Rate SC - Monthly (ft3/day)</t>
  </si>
  <si>
    <t>Time (day)</t>
  </si>
  <si>
    <t>Date</t>
  </si>
  <si>
    <t>PAG-1004D-i</t>
  </si>
  <si>
    <t>PAG-1005D-i</t>
  </si>
  <si>
    <t>PAG-1006D-i</t>
  </si>
  <si>
    <t>PAG-1007D-i</t>
  </si>
  <si>
    <t>SM-1001D-i</t>
  </si>
  <si>
    <t>SM-1002D-i</t>
  </si>
  <si>
    <t>SM-1005D-i</t>
  </si>
  <si>
    <t>SM-1006D-i</t>
  </si>
  <si>
    <t>SM-1X-i</t>
  </si>
  <si>
    <t>SM-3-ST1-i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</si>
</sst>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">
    <dxf>
      <numFmt numFmtId="164" formatCode="yyyy\-mmm\-dd\ h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C96D106-327A-4DBF-BA9C-B482B1DF050C}" name="Table1" displayName="Table1" ref="A5:L446" totalsRowShown="0">
  <autoFilter ref="A5:L446" xr:uid="{80C5B629-4421-4A17-9BD9-B27D07BABB78}"/>
  <tableColumns count="12">
    <tableColumn id="1" xr3:uid="{047D764A-A0AC-49F5-A036-10AC344A9A44}" name="Time (day)"/>
    <tableColumn id="2" xr3:uid="{A43AC553-1B4F-4CDB-8892-1DE4623AE758}" name="Date" dataDxfId="0"/>
    <tableColumn id="3" xr3:uid="{5C70B431-9AAC-4D53-8B8D-63B259751725}" name="PAG-1004D-i"/>
    <tableColumn id="4" xr3:uid="{30FFBE21-0B9B-4C20-843A-444883BC41F8}" name="PAG-1005D-i"/>
    <tableColumn id="5" xr3:uid="{E0D3B70D-7B03-488E-934D-A26B09897EF3}" name="PAG-1006D-i"/>
    <tableColumn id="6" xr3:uid="{5D600A98-A4F2-4312-9D30-3E03C5511202}" name="PAG-1007D-i"/>
    <tableColumn id="7" xr3:uid="{2FD0BFD7-7C8C-4190-BA1C-20939BB7F087}" name="SM-1001D-i"/>
    <tableColumn id="8" xr3:uid="{6FB1E70F-8EDF-47E1-8D76-4EBF032A94A5}" name="SM-1002D-i"/>
    <tableColumn id="9" xr3:uid="{5B091C21-3F37-487B-B249-7783269E40E8}" name="SM-1005D-i"/>
    <tableColumn id="10" xr3:uid="{B03AB45D-4877-4D0C-8DC4-89820351E610}" name="SM-1006D-i"/>
    <tableColumn id="11" xr3:uid="{33925D59-FC0A-42DE-9E59-4ABE3DBBE110}" name="SM-1X-i"/>
    <tableColumn id="12" xr3:uid="{43AA5D4D-402E-4487-BF94-BB5D1356D149}" name="SM-3-ST1-i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8C512-E842-4AF1-AFB4-423F432C7B35}">
  <dimension ref="A1:L446"/>
  <sheetViews>
    <sheetView tabSelected="1" workbookViewId="0"/>
  </sheetViews>
  <sheetFormatPr defaultRowHeight="15" x14ac:dyDescent="0.25"/>
  <cols>
    <col min="1" max="1" width="12.5703125" customWidth="1"/>
    <col min="2" max="2" width="20" bestFit="1" customWidth="1"/>
    <col min="3" max="6" width="14.28515625" customWidth="1"/>
    <col min="7" max="10" width="13.28515625" customWidth="1"/>
    <col min="11" max="11" width="10.140625" customWidth="1"/>
    <col min="12" max="12" width="12.7109375" customWidth="1"/>
  </cols>
  <sheetData>
    <row r="1" spans="1:12" x14ac:dyDescent="0.25">
      <c r="A1" t="s">
        <v>0</v>
      </c>
    </row>
    <row r="4" spans="1:12" x14ac:dyDescent="0.25">
      <c r="A4" t="s">
        <v>1</v>
      </c>
    </row>
    <row r="5" spans="1:12" x14ac:dyDescent="0.25">
      <c r="A5" t="s">
        <v>2</v>
      </c>
      <c r="B5" t="s">
        <v>3</v>
      </c>
      <c r="C5" t="s">
        <v>4</v>
      </c>
      <c r="D5" t="s">
        <v>5</v>
      </c>
      <c r="E5" t="s">
        <v>6</v>
      </c>
      <c r="F5" t="s">
        <v>7</v>
      </c>
      <c r="G5" t="s">
        <v>8</v>
      </c>
      <c r="H5" t="s">
        <v>9</v>
      </c>
      <c r="I5" t="s">
        <v>10</v>
      </c>
      <c r="J5" t="s">
        <v>11</v>
      </c>
      <c r="K5" t="s">
        <v>12</v>
      </c>
      <c r="L5" t="s">
        <v>13</v>
      </c>
    </row>
    <row r="6" spans="1:12" x14ac:dyDescent="0.25">
      <c r="A6">
        <v>0</v>
      </c>
      <c r="B6" s="1">
        <f>DATE(2004,5,1) + TIME(0,0,0)</f>
        <v>38108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</row>
    <row r="7" spans="1:12" x14ac:dyDescent="0.25">
      <c r="A7">
        <v>31</v>
      </c>
      <c r="B7" s="1">
        <f>DATE(2004,6,1) + TIME(0,0,0)</f>
        <v>38139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</row>
    <row r="8" spans="1:12" x14ac:dyDescent="0.25">
      <c r="A8">
        <v>61</v>
      </c>
      <c r="B8" s="1">
        <f>DATE(2004,7,1) + TIME(0,0,0)</f>
        <v>38169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5993324.5</v>
      </c>
      <c r="J8">
        <v>1310000</v>
      </c>
      <c r="K8">
        <v>0</v>
      </c>
      <c r="L8">
        <v>26816678</v>
      </c>
    </row>
    <row r="9" spans="1:12" x14ac:dyDescent="0.25">
      <c r="A9">
        <v>92</v>
      </c>
      <c r="B9" s="1">
        <f>DATE(2004,8,1) + TIME(0,0,0)</f>
        <v>38200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15567755</v>
      </c>
      <c r="J9">
        <v>14948391</v>
      </c>
      <c r="K9">
        <v>0</v>
      </c>
      <c r="L9">
        <v>19448398</v>
      </c>
    </row>
    <row r="10" spans="1:12" x14ac:dyDescent="0.25">
      <c r="A10">
        <v>123</v>
      </c>
      <c r="B10" s="1">
        <f>DATE(2004,9,1) + TIME(0,0,0)</f>
        <v>38231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37448360</v>
      </c>
      <c r="J10">
        <v>30919348</v>
      </c>
      <c r="K10">
        <v>0</v>
      </c>
      <c r="L10">
        <v>38535504</v>
      </c>
    </row>
    <row r="11" spans="1:12" x14ac:dyDescent="0.25">
      <c r="A11">
        <v>153</v>
      </c>
      <c r="B11" s="1">
        <f>DATE(2004,10,1) + TIME(0,0,0)</f>
        <v>38261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58926664</v>
      </c>
      <c r="J11">
        <v>92610008</v>
      </c>
      <c r="K11">
        <v>0</v>
      </c>
      <c r="L11">
        <v>56823332</v>
      </c>
    </row>
    <row r="12" spans="1:12" x14ac:dyDescent="0.25">
      <c r="A12">
        <v>184</v>
      </c>
      <c r="B12" s="1">
        <f>DATE(2004,11,1) + TIME(0,0,0)</f>
        <v>38292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74203216</v>
      </c>
      <c r="J12">
        <v>116625800</v>
      </c>
      <c r="K12">
        <v>0</v>
      </c>
      <c r="L12">
        <v>71554840</v>
      </c>
    </row>
    <row r="13" spans="1:12" x14ac:dyDescent="0.25">
      <c r="A13">
        <v>214</v>
      </c>
      <c r="B13" s="1">
        <f>DATE(2004,12,1) + TIME(0,0,0)</f>
        <v>38322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74156672</v>
      </c>
      <c r="J13">
        <v>146213312</v>
      </c>
      <c r="K13">
        <v>0</v>
      </c>
      <c r="L13">
        <v>106363344</v>
      </c>
    </row>
    <row r="14" spans="1:12" x14ac:dyDescent="0.25">
      <c r="A14">
        <v>245</v>
      </c>
      <c r="B14" s="1">
        <f>DATE(2005,1,1) + TIME(0,0,0)</f>
        <v>38353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51735476</v>
      </c>
      <c r="J14">
        <v>104041872</v>
      </c>
      <c r="K14">
        <v>0</v>
      </c>
      <c r="L14">
        <v>75312848</v>
      </c>
    </row>
    <row r="15" spans="1:12" x14ac:dyDescent="0.25">
      <c r="A15">
        <v>276</v>
      </c>
      <c r="B15" s="1">
        <f>DATE(2005,2,1) + TIME(0,0,0)</f>
        <v>38384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67841968</v>
      </c>
      <c r="J15">
        <v>141251616</v>
      </c>
      <c r="K15">
        <v>0</v>
      </c>
      <c r="L15">
        <v>96351616</v>
      </c>
    </row>
    <row r="16" spans="1:12" x14ac:dyDescent="0.25">
      <c r="A16">
        <v>304</v>
      </c>
      <c r="B16" s="1">
        <f>DATE(2005,3,1) + TIME(0,0,0)</f>
        <v>38412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80510720</v>
      </c>
      <c r="J16">
        <v>172557168</v>
      </c>
      <c r="K16">
        <v>0</v>
      </c>
      <c r="L16">
        <v>118128568</v>
      </c>
    </row>
    <row r="17" spans="1:12" x14ac:dyDescent="0.25">
      <c r="A17">
        <v>335</v>
      </c>
      <c r="B17" s="1">
        <f>DATE(2005,4,1) + TIME(0,0,0)</f>
        <v>38443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98422584</v>
      </c>
      <c r="J17">
        <v>124058064</v>
      </c>
      <c r="K17">
        <v>0</v>
      </c>
      <c r="L17">
        <v>123406480</v>
      </c>
    </row>
    <row r="18" spans="1:12" x14ac:dyDescent="0.25">
      <c r="A18">
        <v>365</v>
      </c>
      <c r="B18" s="1">
        <f>DATE(2005,5,1) + TIME(0,0,0)</f>
        <v>38473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115366640</v>
      </c>
      <c r="J18">
        <v>130999976</v>
      </c>
      <c r="K18">
        <v>0</v>
      </c>
      <c r="L18">
        <v>129503368</v>
      </c>
    </row>
    <row r="19" spans="1:12" x14ac:dyDescent="0.25">
      <c r="A19">
        <v>396</v>
      </c>
      <c r="B19" s="1">
        <f>DATE(2005,6,1) + TIME(0,0,0)</f>
        <v>38504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108461288</v>
      </c>
      <c r="J19">
        <v>89696784</v>
      </c>
      <c r="K19">
        <v>0</v>
      </c>
      <c r="L19">
        <v>114029016</v>
      </c>
    </row>
    <row r="20" spans="1:12" x14ac:dyDescent="0.25">
      <c r="A20">
        <v>426</v>
      </c>
      <c r="B20" s="1">
        <f>DATE(2005,7,1) + TIME(0,0,0)</f>
        <v>38534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117420032</v>
      </c>
      <c r="J20">
        <v>102053352</v>
      </c>
      <c r="K20">
        <v>0</v>
      </c>
      <c r="L20">
        <v>125116688</v>
      </c>
    </row>
    <row r="21" spans="1:12" x14ac:dyDescent="0.25">
      <c r="A21">
        <v>457</v>
      </c>
      <c r="B21" s="1">
        <f>DATE(2005,8,1) + TIME(0,0,0)</f>
        <v>38565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116403232</v>
      </c>
      <c r="J21">
        <v>100293600</v>
      </c>
      <c r="K21">
        <v>0</v>
      </c>
      <c r="L21">
        <v>122074200</v>
      </c>
    </row>
    <row r="22" spans="1:12" x14ac:dyDescent="0.25">
      <c r="A22">
        <v>488</v>
      </c>
      <c r="B22" s="1">
        <f>DATE(2005,9,1) + TIME(0,0,0)</f>
        <v>38596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108667752</v>
      </c>
      <c r="J22">
        <v>93203168</v>
      </c>
      <c r="K22">
        <v>0</v>
      </c>
      <c r="L22">
        <v>113780688</v>
      </c>
    </row>
    <row r="23" spans="1:12" x14ac:dyDescent="0.25">
      <c r="A23">
        <v>518</v>
      </c>
      <c r="B23" s="1">
        <f>DATE(2005,10,1) + TIME(0,0,0)</f>
        <v>38626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72476696</v>
      </c>
      <c r="J23">
        <v>61213384</v>
      </c>
      <c r="K23">
        <v>0</v>
      </c>
      <c r="L23">
        <v>71670072</v>
      </c>
    </row>
    <row r="24" spans="1:12" x14ac:dyDescent="0.25">
      <c r="A24">
        <v>549</v>
      </c>
      <c r="B24" s="1">
        <f>DATE(2005,11,1) + TIME(0,0,0)</f>
        <v>38657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138541920</v>
      </c>
      <c r="J24">
        <v>102103240</v>
      </c>
      <c r="K24">
        <v>0</v>
      </c>
      <c r="L24">
        <v>102574144</v>
      </c>
    </row>
    <row r="25" spans="1:12" x14ac:dyDescent="0.25">
      <c r="A25">
        <v>579</v>
      </c>
      <c r="B25" s="1">
        <f>DATE(2005,12,1) + TIME(0,0,0)</f>
        <v>38687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68123808</v>
      </c>
      <c r="J25">
        <v>48226524</v>
      </c>
      <c r="K25">
        <v>0</v>
      </c>
      <c r="L25">
        <v>72176712</v>
      </c>
    </row>
    <row r="26" spans="1:12" x14ac:dyDescent="0.25">
      <c r="A26">
        <v>610</v>
      </c>
      <c r="B26" s="1">
        <f>DATE(2006,1,1) + TIME(0,0,0)</f>
        <v>38718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79494824</v>
      </c>
      <c r="J26">
        <v>57670768</v>
      </c>
      <c r="K26">
        <v>0</v>
      </c>
      <c r="L26">
        <v>90161336</v>
      </c>
    </row>
    <row r="27" spans="1:12" x14ac:dyDescent="0.25">
      <c r="A27">
        <v>641</v>
      </c>
      <c r="B27" s="1">
        <f>DATE(2006,2,1) + TIME(0,0,0)</f>
        <v>38749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138177376</v>
      </c>
      <c r="J27">
        <v>107019360</v>
      </c>
      <c r="K27">
        <v>0</v>
      </c>
      <c r="L27">
        <v>117828968</v>
      </c>
    </row>
    <row r="28" spans="1:12" x14ac:dyDescent="0.25">
      <c r="A28">
        <v>669</v>
      </c>
      <c r="B28" s="1">
        <f>DATE(2006,3,1) + TIME(0,0,0)</f>
        <v>38777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129410776</v>
      </c>
      <c r="J28">
        <v>98257192</v>
      </c>
      <c r="K28">
        <v>0</v>
      </c>
      <c r="L28">
        <v>107667896</v>
      </c>
    </row>
    <row r="29" spans="1:12" x14ac:dyDescent="0.25">
      <c r="A29">
        <v>700</v>
      </c>
      <c r="B29" s="1">
        <f>DATE(2006,4,1) + TIME(0,0,0)</f>
        <v>38808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77045064</v>
      </c>
      <c r="J29">
        <v>57925728</v>
      </c>
      <c r="K29">
        <v>0</v>
      </c>
      <c r="L29">
        <v>65445204</v>
      </c>
    </row>
    <row r="30" spans="1:12" x14ac:dyDescent="0.25">
      <c r="A30">
        <v>730</v>
      </c>
      <c r="B30" s="1">
        <f>DATE(2006,5,1) + TIME(0,0,0)</f>
        <v>38838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148790064</v>
      </c>
      <c r="J30">
        <v>116326672</v>
      </c>
      <c r="K30">
        <v>0</v>
      </c>
      <c r="L30">
        <v>124999952</v>
      </c>
    </row>
    <row r="31" spans="1:12" x14ac:dyDescent="0.25">
      <c r="A31">
        <v>761</v>
      </c>
      <c r="B31" s="1">
        <f>DATE(2006,6,1) + TIME(0,0,0)</f>
        <v>38869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133916080</v>
      </c>
      <c r="J31">
        <v>98709640</v>
      </c>
      <c r="K31">
        <v>0</v>
      </c>
      <c r="L31">
        <v>110651592</v>
      </c>
    </row>
    <row r="32" spans="1:12" x14ac:dyDescent="0.25">
      <c r="A32">
        <v>791</v>
      </c>
      <c r="B32" s="1">
        <f>DATE(2006,7,1) + TIME(0,0,0)</f>
        <v>38899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124946704</v>
      </c>
      <c r="J32">
        <v>78113312</v>
      </c>
      <c r="K32">
        <v>0</v>
      </c>
      <c r="L32">
        <v>91966672</v>
      </c>
    </row>
    <row r="33" spans="1:12" x14ac:dyDescent="0.25">
      <c r="A33">
        <v>822</v>
      </c>
      <c r="B33" s="1">
        <f>DATE(2006,8,1) + TIME(0,0,0)</f>
        <v>38930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133593544</v>
      </c>
      <c r="J33">
        <v>84419352</v>
      </c>
      <c r="K33">
        <v>0</v>
      </c>
      <c r="L33">
        <v>95974304</v>
      </c>
    </row>
    <row r="34" spans="1:12" x14ac:dyDescent="0.25">
      <c r="A34">
        <v>853</v>
      </c>
      <c r="B34" s="1">
        <f>DATE(2006,9,1) + TIME(0,0,0)</f>
        <v>38961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128154856</v>
      </c>
      <c r="J34">
        <v>75516232</v>
      </c>
      <c r="K34">
        <v>0</v>
      </c>
      <c r="L34">
        <v>90780576</v>
      </c>
    </row>
    <row r="35" spans="1:12" x14ac:dyDescent="0.25">
      <c r="A35">
        <v>883</v>
      </c>
      <c r="B35" s="1">
        <f>DATE(2006,10,1) + TIME(0,0,0)</f>
        <v>38991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131106680</v>
      </c>
      <c r="J35">
        <v>77853216</v>
      </c>
      <c r="K35">
        <v>0</v>
      </c>
      <c r="L35">
        <v>92980016</v>
      </c>
    </row>
    <row r="36" spans="1:12" x14ac:dyDescent="0.25">
      <c r="A36">
        <v>914</v>
      </c>
      <c r="B36" s="1">
        <f>DATE(2006,11,1) + TIME(0,0,0)</f>
        <v>39022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133419408</v>
      </c>
      <c r="J36">
        <v>83729112</v>
      </c>
      <c r="K36">
        <v>0</v>
      </c>
      <c r="L36">
        <v>95180736</v>
      </c>
    </row>
    <row r="37" spans="1:12" x14ac:dyDescent="0.25">
      <c r="A37">
        <v>944</v>
      </c>
      <c r="B37" s="1">
        <f>DATE(2006,12,1) + TIME(0,0,0)</f>
        <v>39052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135299888</v>
      </c>
      <c r="J37">
        <v>85549872</v>
      </c>
      <c r="K37">
        <v>0</v>
      </c>
      <c r="L37">
        <v>97269896</v>
      </c>
    </row>
    <row r="38" spans="1:12" x14ac:dyDescent="0.25">
      <c r="A38">
        <v>975</v>
      </c>
      <c r="B38" s="1">
        <f>DATE(2007,1,1) + TIME(0,0,0)</f>
        <v>39083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124325768</v>
      </c>
      <c r="J38">
        <v>76980752</v>
      </c>
      <c r="K38">
        <v>0</v>
      </c>
      <c r="L38">
        <v>89429176</v>
      </c>
    </row>
    <row r="39" spans="1:12" x14ac:dyDescent="0.25">
      <c r="A39">
        <v>1006</v>
      </c>
      <c r="B39" s="1">
        <f>DATE(2007,2,1) + TIME(0,0,0)</f>
        <v>39114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128925696</v>
      </c>
      <c r="J39">
        <v>84383944</v>
      </c>
      <c r="K39">
        <v>0</v>
      </c>
      <c r="L39">
        <v>96225872</v>
      </c>
    </row>
    <row r="40" spans="1:12" x14ac:dyDescent="0.25">
      <c r="A40">
        <v>1034</v>
      </c>
      <c r="B40" s="1">
        <f>DATE(2007,3,1) + TIME(0,0,0)</f>
        <v>39142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97042776</v>
      </c>
      <c r="J40">
        <v>67121464</v>
      </c>
      <c r="K40">
        <v>0</v>
      </c>
      <c r="L40">
        <v>83960688</v>
      </c>
    </row>
    <row r="41" spans="1:12" x14ac:dyDescent="0.25">
      <c r="A41">
        <v>1065</v>
      </c>
      <c r="B41" s="1">
        <f>DATE(2007,4,1) + TIME(0,0,0)</f>
        <v>39173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62074248</v>
      </c>
      <c r="J41">
        <v>53441928</v>
      </c>
      <c r="K41">
        <v>0</v>
      </c>
      <c r="L41">
        <v>68967680</v>
      </c>
    </row>
    <row r="42" spans="1:12" x14ac:dyDescent="0.25">
      <c r="A42">
        <v>1095</v>
      </c>
      <c r="B42" s="1">
        <f>DATE(2007,5,1) + TIME(0,0,0)</f>
        <v>39203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58017672</v>
      </c>
      <c r="J42">
        <v>51919796</v>
      </c>
      <c r="K42">
        <v>0</v>
      </c>
      <c r="L42">
        <v>80240096</v>
      </c>
    </row>
    <row r="43" spans="1:12" x14ac:dyDescent="0.25">
      <c r="A43">
        <v>1126</v>
      </c>
      <c r="B43" s="1">
        <f>DATE(2007,6,1) + TIME(0,0,0)</f>
        <v>39234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59793672</v>
      </c>
      <c r="J43">
        <v>103703320</v>
      </c>
      <c r="K43">
        <v>0</v>
      </c>
      <c r="L43">
        <v>118090320</v>
      </c>
    </row>
    <row r="44" spans="1:12" x14ac:dyDescent="0.25">
      <c r="A44">
        <v>1156</v>
      </c>
      <c r="B44" s="1">
        <f>DATE(2007,7,1) + TIME(0,0,0)</f>
        <v>39264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49890096</v>
      </c>
      <c r="J44">
        <v>89450088</v>
      </c>
      <c r="K44">
        <v>0</v>
      </c>
      <c r="L44">
        <v>112386600</v>
      </c>
    </row>
    <row r="45" spans="1:12" x14ac:dyDescent="0.25">
      <c r="A45">
        <v>1187</v>
      </c>
      <c r="B45" s="1">
        <f>DATE(2007,8,1) + TIME(0,0,0)</f>
        <v>39295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48154956</v>
      </c>
      <c r="J45">
        <v>76070912</v>
      </c>
      <c r="K45">
        <v>0</v>
      </c>
      <c r="L45">
        <v>104335424</v>
      </c>
    </row>
    <row r="46" spans="1:12" x14ac:dyDescent="0.25">
      <c r="A46">
        <v>1218</v>
      </c>
      <c r="B46" s="1">
        <f>DATE(2007,9,1) + TIME(0,0,0)</f>
        <v>39326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28413018</v>
      </c>
      <c r="J46">
        <v>28758136</v>
      </c>
      <c r="K46">
        <v>0</v>
      </c>
      <c r="L46">
        <v>75796896</v>
      </c>
    </row>
    <row r="47" spans="1:12" x14ac:dyDescent="0.25">
      <c r="A47">
        <v>1248</v>
      </c>
      <c r="B47" s="1">
        <f>DATE(2007,10,1) + TIME(0,0,0)</f>
        <v>39356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50073328</v>
      </c>
      <c r="J47">
        <v>22929956</v>
      </c>
      <c r="K47">
        <v>0</v>
      </c>
      <c r="L47">
        <v>134580080</v>
      </c>
    </row>
    <row r="48" spans="1:12" x14ac:dyDescent="0.25">
      <c r="A48">
        <v>1279</v>
      </c>
      <c r="B48" s="1">
        <f>DATE(2007,11,1) + TIME(0,0,0)</f>
        <v>39387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90967672</v>
      </c>
      <c r="J48">
        <v>21141972</v>
      </c>
      <c r="K48">
        <v>0</v>
      </c>
      <c r="L48">
        <v>109767776</v>
      </c>
    </row>
    <row r="49" spans="1:12" x14ac:dyDescent="0.25">
      <c r="A49">
        <v>1309</v>
      </c>
      <c r="B49" s="1">
        <f>DATE(2007,12,1) + TIME(0,0,0)</f>
        <v>39417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97779984</v>
      </c>
      <c r="J49">
        <v>13233362</v>
      </c>
      <c r="K49">
        <v>0</v>
      </c>
      <c r="L49">
        <v>100836696</v>
      </c>
    </row>
    <row r="50" spans="1:12" x14ac:dyDescent="0.25">
      <c r="A50">
        <v>1340</v>
      </c>
      <c r="B50" s="1">
        <f>DATE(2008,1,1) + TIME(0,0,0)</f>
        <v>39448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95758136</v>
      </c>
      <c r="J50">
        <v>22293614</v>
      </c>
      <c r="K50">
        <v>0</v>
      </c>
      <c r="L50">
        <v>105693448</v>
      </c>
    </row>
    <row r="51" spans="1:12" x14ac:dyDescent="0.25">
      <c r="A51">
        <v>1371</v>
      </c>
      <c r="B51" s="1">
        <f>DATE(2008,2,1) + TIME(0,0,0)</f>
        <v>39479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69974264</v>
      </c>
      <c r="J51">
        <v>28606450</v>
      </c>
      <c r="K51">
        <v>0</v>
      </c>
      <c r="L51">
        <v>80909712</v>
      </c>
    </row>
    <row r="52" spans="1:12" x14ac:dyDescent="0.25">
      <c r="A52">
        <v>1400</v>
      </c>
      <c r="B52" s="1">
        <f>DATE(2008,3,1) + TIME(0,0,0)</f>
        <v>39508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83268832</v>
      </c>
      <c r="J52">
        <v>31017164</v>
      </c>
      <c r="K52">
        <v>0</v>
      </c>
      <c r="L52">
        <v>104389504</v>
      </c>
    </row>
    <row r="53" spans="1:12" x14ac:dyDescent="0.25">
      <c r="A53">
        <v>1431</v>
      </c>
      <c r="B53" s="1">
        <f>DATE(2008,4,1) + TIME(0,0,0)</f>
        <v>39539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28403268</v>
      </c>
      <c r="J53">
        <v>16148296</v>
      </c>
      <c r="K53">
        <v>0</v>
      </c>
      <c r="L53">
        <v>36235616</v>
      </c>
    </row>
    <row r="54" spans="1:12" x14ac:dyDescent="0.25">
      <c r="A54">
        <v>1461</v>
      </c>
      <c r="B54" s="1">
        <f>DATE(2008,5,1) + TIME(0,0,0)</f>
        <v>39569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84860112</v>
      </c>
      <c r="J54">
        <v>40553404</v>
      </c>
      <c r="K54">
        <v>0</v>
      </c>
      <c r="L54">
        <v>104736632</v>
      </c>
    </row>
    <row r="55" spans="1:12" x14ac:dyDescent="0.25">
      <c r="A55">
        <v>1492</v>
      </c>
      <c r="B55" s="1">
        <f>DATE(2008,6,1) + TIME(0,0,0)</f>
        <v>39600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46882744</v>
      </c>
      <c r="J55">
        <v>10867613</v>
      </c>
      <c r="K55">
        <v>0</v>
      </c>
      <c r="L55">
        <v>73632320</v>
      </c>
    </row>
    <row r="56" spans="1:12" x14ac:dyDescent="0.25">
      <c r="A56">
        <v>1522</v>
      </c>
      <c r="B56" s="1">
        <f>DATE(2008,7,1) + TIME(0,0,0)</f>
        <v>39630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74503240</v>
      </c>
      <c r="J56">
        <v>8853361</v>
      </c>
      <c r="K56">
        <v>0</v>
      </c>
      <c r="L56">
        <v>82330144</v>
      </c>
    </row>
    <row r="57" spans="1:12" x14ac:dyDescent="0.25">
      <c r="A57">
        <v>1553</v>
      </c>
      <c r="B57" s="1">
        <f>DATE(2008,8,1) + TIME(0,0,0)</f>
        <v>39661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66912784</v>
      </c>
      <c r="J57">
        <v>18351666</v>
      </c>
      <c r="K57">
        <v>0</v>
      </c>
      <c r="L57">
        <v>76900152</v>
      </c>
    </row>
    <row r="58" spans="1:12" x14ac:dyDescent="0.25">
      <c r="A58">
        <v>1584</v>
      </c>
      <c r="B58" s="1">
        <f>DATE(2008,9,1) + TIME(0,0,0)</f>
        <v>39692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60622672</v>
      </c>
      <c r="J58">
        <v>13467653</v>
      </c>
      <c r="K58">
        <v>0</v>
      </c>
      <c r="L58">
        <v>63316232</v>
      </c>
    </row>
    <row r="59" spans="1:12" x14ac:dyDescent="0.25">
      <c r="A59">
        <v>1614</v>
      </c>
      <c r="B59" s="1">
        <f>DATE(2008,10,1) + TIME(0,0,0)</f>
        <v>39722</v>
      </c>
      <c r="C59">
        <v>12963335</v>
      </c>
      <c r="D59">
        <v>3830000</v>
      </c>
      <c r="E59">
        <v>0</v>
      </c>
      <c r="F59">
        <v>0</v>
      </c>
      <c r="G59">
        <v>0</v>
      </c>
      <c r="H59">
        <v>0</v>
      </c>
      <c r="I59">
        <v>87063480</v>
      </c>
      <c r="J59">
        <v>47380072</v>
      </c>
      <c r="K59">
        <v>0</v>
      </c>
      <c r="L59">
        <v>85290192</v>
      </c>
    </row>
    <row r="60" spans="1:12" x14ac:dyDescent="0.25">
      <c r="A60">
        <v>1645</v>
      </c>
      <c r="B60" s="1">
        <f>DATE(2008,11,1) + TIME(0,0,0)</f>
        <v>39753</v>
      </c>
      <c r="C60">
        <v>88522576</v>
      </c>
      <c r="D60">
        <v>97025808</v>
      </c>
      <c r="E60">
        <v>0</v>
      </c>
      <c r="F60">
        <v>0</v>
      </c>
      <c r="G60">
        <v>0</v>
      </c>
      <c r="H60">
        <v>0</v>
      </c>
      <c r="I60">
        <v>97644944</v>
      </c>
      <c r="J60">
        <v>66387176</v>
      </c>
      <c r="K60">
        <v>0</v>
      </c>
      <c r="L60">
        <v>93703264</v>
      </c>
    </row>
    <row r="61" spans="1:12" x14ac:dyDescent="0.25">
      <c r="A61">
        <v>1675</v>
      </c>
      <c r="B61" s="1">
        <f>DATE(2008,12,1) + TIME(0,0,0)</f>
        <v>39783</v>
      </c>
      <c r="C61">
        <v>91180000</v>
      </c>
      <c r="D61">
        <v>99026680</v>
      </c>
      <c r="E61">
        <v>0</v>
      </c>
      <c r="F61">
        <v>0</v>
      </c>
      <c r="G61">
        <v>0</v>
      </c>
      <c r="H61">
        <v>0</v>
      </c>
      <c r="I61">
        <v>95790152</v>
      </c>
      <c r="J61">
        <v>64160016</v>
      </c>
      <c r="K61">
        <v>0</v>
      </c>
      <c r="L61">
        <v>92466928</v>
      </c>
    </row>
    <row r="62" spans="1:12" x14ac:dyDescent="0.25">
      <c r="A62">
        <v>1706</v>
      </c>
      <c r="B62" s="1">
        <f>DATE(2009,1,1) + TIME(0,0,0)</f>
        <v>39814</v>
      </c>
      <c r="C62">
        <v>99209680</v>
      </c>
      <c r="D62">
        <v>108280632</v>
      </c>
      <c r="E62">
        <v>0</v>
      </c>
      <c r="F62">
        <v>0</v>
      </c>
      <c r="G62">
        <v>0</v>
      </c>
      <c r="H62">
        <v>0</v>
      </c>
      <c r="I62">
        <v>103435360</v>
      </c>
      <c r="J62">
        <v>74332360</v>
      </c>
      <c r="K62">
        <v>0</v>
      </c>
      <c r="L62">
        <v>100325576</v>
      </c>
    </row>
    <row r="63" spans="1:12" x14ac:dyDescent="0.25">
      <c r="A63">
        <v>1737</v>
      </c>
      <c r="B63" s="1">
        <f>DATE(2009,2,1) + TIME(0,0,0)</f>
        <v>39845</v>
      </c>
      <c r="C63">
        <v>103761296</v>
      </c>
      <c r="D63">
        <v>117209680</v>
      </c>
      <c r="E63">
        <v>0</v>
      </c>
      <c r="F63">
        <v>0</v>
      </c>
      <c r="G63">
        <v>0</v>
      </c>
      <c r="H63">
        <v>0</v>
      </c>
      <c r="I63">
        <v>109032360</v>
      </c>
      <c r="J63">
        <v>80174312</v>
      </c>
      <c r="K63">
        <v>0</v>
      </c>
      <c r="L63">
        <v>106777168</v>
      </c>
    </row>
    <row r="64" spans="1:12" x14ac:dyDescent="0.25">
      <c r="A64">
        <v>1765</v>
      </c>
      <c r="B64" s="1">
        <f>DATE(2009,3,1) + TIME(0,0,0)</f>
        <v>39873</v>
      </c>
      <c r="C64">
        <v>104832144</v>
      </c>
      <c r="D64">
        <v>120228568</v>
      </c>
      <c r="E64">
        <v>0</v>
      </c>
      <c r="F64">
        <v>0</v>
      </c>
      <c r="G64">
        <v>0</v>
      </c>
      <c r="H64">
        <v>0</v>
      </c>
      <c r="I64">
        <v>112196464</v>
      </c>
      <c r="J64">
        <v>84232192</v>
      </c>
      <c r="K64">
        <v>0</v>
      </c>
      <c r="L64">
        <v>109831896</v>
      </c>
    </row>
    <row r="65" spans="1:12" x14ac:dyDescent="0.25">
      <c r="A65">
        <v>1796</v>
      </c>
      <c r="B65" s="1">
        <f>DATE(2009,4,1) + TIME(0,0,0)</f>
        <v>39904</v>
      </c>
      <c r="C65">
        <v>105135464</v>
      </c>
      <c r="D65">
        <v>115361288</v>
      </c>
      <c r="E65">
        <v>0</v>
      </c>
      <c r="F65">
        <v>0</v>
      </c>
      <c r="G65">
        <v>0</v>
      </c>
      <c r="H65">
        <v>0</v>
      </c>
      <c r="I65">
        <v>115251400</v>
      </c>
      <c r="J65">
        <v>86996664</v>
      </c>
      <c r="K65">
        <v>0</v>
      </c>
      <c r="L65">
        <v>113525792</v>
      </c>
    </row>
    <row r="66" spans="1:12" x14ac:dyDescent="0.25">
      <c r="A66">
        <v>1826</v>
      </c>
      <c r="B66" s="1">
        <f>DATE(2009,5,1) + TIME(0,0,0)</f>
        <v>39934</v>
      </c>
      <c r="C66">
        <v>95269992</v>
      </c>
      <c r="D66">
        <v>105166600</v>
      </c>
      <c r="E66">
        <v>0</v>
      </c>
      <c r="F66">
        <v>0</v>
      </c>
      <c r="G66">
        <v>0</v>
      </c>
      <c r="H66">
        <v>0</v>
      </c>
      <c r="I66">
        <v>96743112</v>
      </c>
      <c r="J66">
        <v>78716672</v>
      </c>
      <c r="K66">
        <v>0</v>
      </c>
      <c r="L66">
        <v>97149984</v>
      </c>
    </row>
    <row r="67" spans="1:12" x14ac:dyDescent="0.25">
      <c r="A67">
        <v>1857</v>
      </c>
      <c r="B67" s="1">
        <f>DATE(2009,6,1) + TIME(0,0,0)</f>
        <v>39965</v>
      </c>
      <c r="C67">
        <v>103674184</v>
      </c>
      <c r="D67">
        <v>121616120</v>
      </c>
      <c r="E67">
        <v>0</v>
      </c>
      <c r="F67">
        <v>0</v>
      </c>
      <c r="G67">
        <v>0</v>
      </c>
      <c r="H67">
        <v>0</v>
      </c>
      <c r="I67">
        <v>119219496</v>
      </c>
      <c r="J67">
        <v>94922552</v>
      </c>
      <c r="K67">
        <v>0</v>
      </c>
      <c r="L67">
        <v>119306712</v>
      </c>
    </row>
    <row r="68" spans="1:12" x14ac:dyDescent="0.25">
      <c r="A68">
        <v>1887</v>
      </c>
      <c r="B68" s="1">
        <f>DATE(2009,7,1) + TIME(0,0,0)</f>
        <v>39995</v>
      </c>
      <c r="C68">
        <v>100199960</v>
      </c>
      <c r="D68">
        <v>121446672</v>
      </c>
      <c r="E68">
        <v>0</v>
      </c>
      <c r="F68">
        <v>0</v>
      </c>
      <c r="G68">
        <v>0</v>
      </c>
      <c r="H68">
        <v>0</v>
      </c>
      <c r="I68">
        <v>117776928</v>
      </c>
      <c r="J68">
        <v>92430064</v>
      </c>
      <c r="K68">
        <v>0</v>
      </c>
      <c r="L68">
        <v>118509840</v>
      </c>
    </row>
    <row r="69" spans="1:12" x14ac:dyDescent="0.25">
      <c r="A69">
        <v>1918</v>
      </c>
      <c r="B69" s="1">
        <f>DATE(2009,8,1) + TIME(0,0,0)</f>
        <v>40026</v>
      </c>
      <c r="C69">
        <v>123290328</v>
      </c>
      <c r="D69">
        <v>126016152</v>
      </c>
      <c r="E69">
        <v>0</v>
      </c>
      <c r="F69">
        <v>0</v>
      </c>
      <c r="G69">
        <v>0</v>
      </c>
      <c r="H69">
        <v>0</v>
      </c>
      <c r="I69">
        <v>131303488</v>
      </c>
      <c r="J69">
        <v>112354864</v>
      </c>
      <c r="K69">
        <v>0</v>
      </c>
      <c r="L69">
        <v>133970912</v>
      </c>
    </row>
    <row r="70" spans="1:12" x14ac:dyDescent="0.25">
      <c r="A70">
        <v>1949</v>
      </c>
      <c r="B70" s="1">
        <f>DATE(2009,9,1) + TIME(0,0,0)</f>
        <v>40057</v>
      </c>
      <c r="C70">
        <v>119432288</v>
      </c>
      <c r="D70">
        <v>121635480</v>
      </c>
      <c r="E70">
        <v>0</v>
      </c>
      <c r="F70">
        <v>0</v>
      </c>
      <c r="G70">
        <v>0</v>
      </c>
      <c r="H70">
        <v>0</v>
      </c>
      <c r="I70">
        <v>126641976</v>
      </c>
      <c r="J70">
        <v>110761120</v>
      </c>
      <c r="K70">
        <v>0</v>
      </c>
      <c r="L70">
        <v>135242000</v>
      </c>
    </row>
    <row r="71" spans="1:12" x14ac:dyDescent="0.25">
      <c r="A71">
        <v>1979</v>
      </c>
      <c r="B71" s="1">
        <f>DATE(2009,10,1) + TIME(0,0,0)</f>
        <v>40087</v>
      </c>
      <c r="C71">
        <v>118790008</v>
      </c>
      <c r="D71">
        <v>125556600</v>
      </c>
      <c r="E71">
        <v>0</v>
      </c>
      <c r="F71">
        <v>0</v>
      </c>
      <c r="G71">
        <v>0</v>
      </c>
      <c r="H71">
        <v>0</v>
      </c>
      <c r="I71">
        <v>132489760</v>
      </c>
      <c r="J71">
        <v>106896864</v>
      </c>
      <c r="K71">
        <v>0</v>
      </c>
      <c r="L71">
        <v>133586400</v>
      </c>
    </row>
    <row r="72" spans="1:12" x14ac:dyDescent="0.25">
      <c r="A72">
        <v>2010</v>
      </c>
      <c r="B72" s="1">
        <f>DATE(2009,11,1) + TIME(0,0,0)</f>
        <v>40118</v>
      </c>
      <c r="C72">
        <v>118735512</v>
      </c>
      <c r="D72">
        <v>128345120</v>
      </c>
      <c r="E72">
        <v>0</v>
      </c>
      <c r="F72">
        <v>0</v>
      </c>
      <c r="G72">
        <v>0</v>
      </c>
      <c r="H72">
        <v>0</v>
      </c>
      <c r="I72">
        <v>132629008</v>
      </c>
      <c r="J72">
        <v>105106528</v>
      </c>
      <c r="K72">
        <v>0</v>
      </c>
      <c r="L72">
        <v>133113128</v>
      </c>
    </row>
    <row r="73" spans="1:12" x14ac:dyDescent="0.25">
      <c r="A73">
        <v>2040</v>
      </c>
      <c r="B73" s="1">
        <f>DATE(2009,12,1) + TIME(0,0,0)</f>
        <v>40148</v>
      </c>
      <c r="C73">
        <v>126319960</v>
      </c>
      <c r="D73">
        <v>140993328</v>
      </c>
      <c r="E73">
        <v>0</v>
      </c>
      <c r="F73">
        <v>0</v>
      </c>
      <c r="G73">
        <v>0</v>
      </c>
      <c r="H73">
        <v>0</v>
      </c>
      <c r="I73">
        <v>138980016</v>
      </c>
      <c r="J73">
        <v>115613152</v>
      </c>
      <c r="K73">
        <v>0</v>
      </c>
      <c r="L73">
        <v>140313120</v>
      </c>
    </row>
    <row r="74" spans="1:12" x14ac:dyDescent="0.25">
      <c r="A74">
        <v>2071</v>
      </c>
      <c r="B74" s="1">
        <f>DATE(2010,1,1) + TIME(0,0,0)</f>
        <v>40179</v>
      </c>
      <c r="C74">
        <v>135567696</v>
      </c>
      <c r="D74">
        <v>144441872</v>
      </c>
      <c r="E74">
        <v>0</v>
      </c>
      <c r="F74">
        <v>0</v>
      </c>
      <c r="G74">
        <v>0</v>
      </c>
      <c r="H74">
        <v>0</v>
      </c>
      <c r="I74">
        <v>145174400</v>
      </c>
      <c r="J74">
        <v>125016256</v>
      </c>
      <c r="K74">
        <v>0</v>
      </c>
      <c r="L74">
        <v>146812800</v>
      </c>
    </row>
    <row r="75" spans="1:12" x14ac:dyDescent="0.25">
      <c r="A75">
        <v>2102</v>
      </c>
      <c r="B75" s="1">
        <f>DATE(2010,2,1) + TIME(0,0,0)</f>
        <v>40210</v>
      </c>
      <c r="C75">
        <v>138558032</v>
      </c>
      <c r="D75">
        <v>139558112</v>
      </c>
      <c r="E75">
        <v>0</v>
      </c>
      <c r="F75">
        <v>0</v>
      </c>
      <c r="G75">
        <v>0</v>
      </c>
      <c r="H75">
        <v>0</v>
      </c>
      <c r="I75">
        <v>144251600</v>
      </c>
      <c r="J75">
        <v>124309640</v>
      </c>
      <c r="K75">
        <v>0</v>
      </c>
      <c r="L75">
        <v>143745296</v>
      </c>
    </row>
    <row r="76" spans="1:12" x14ac:dyDescent="0.25">
      <c r="A76">
        <v>2130</v>
      </c>
      <c r="B76" s="1">
        <f>DATE(2010,3,1) + TIME(0,0,0)</f>
        <v>40238</v>
      </c>
      <c r="C76">
        <v>144239328</v>
      </c>
      <c r="D76">
        <v>146207152</v>
      </c>
      <c r="E76">
        <v>0</v>
      </c>
      <c r="F76">
        <v>0</v>
      </c>
      <c r="G76">
        <v>0</v>
      </c>
      <c r="H76">
        <v>0</v>
      </c>
      <c r="I76">
        <v>147024752</v>
      </c>
      <c r="J76">
        <v>125521336</v>
      </c>
      <c r="K76">
        <v>0</v>
      </c>
      <c r="L76">
        <v>145574768</v>
      </c>
    </row>
    <row r="77" spans="1:12" x14ac:dyDescent="0.25">
      <c r="A77">
        <v>2161</v>
      </c>
      <c r="B77" s="1">
        <f>DATE(2010,4,1) + TIME(0,0,0)</f>
        <v>40269</v>
      </c>
      <c r="C77">
        <v>138606400</v>
      </c>
      <c r="D77">
        <v>142283808</v>
      </c>
      <c r="E77">
        <v>0</v>
      </c>
      <c r="F77">
        <v>0</v>
      </c>
      <c r="G77">
        <v>0</v>
      </c>
      <c r="H77">
        <v>0</v>
      </c>
      <c r="I77">
        <v>147099776</v>
      </c>
      <c r="J77">
        <v>125590232</v>
      </c>
      <c r="K77">
        <v>0</v>
      </c>
      <c r="L77">
        <v>144216192</v>
      </c>
    </row>
    <row r="78" spans="1:12" x14ac:dyDescent="0.25">
      <c r="A78">
        <v>2191</v>
      </c>
      <c r="B78" s="1">
        <f>DATE(2010,5,1) + TIME(0,0,0)</f>
        <v>40299</v>
      </c>
      <c r="C78">
        <v>139456656</v>
      </c>
      <c r="D78">
        <v>142399904</v>
      </c>
      <c r="E78">
        <v>0</v>
      </c>
      <c r="F78">
        <v>0</v>
      </c>
      <c r="G78">
        <v>0</v>
      </c>
      <c r="H78">
        <v>0</v>
      </c>
      <c r="I78">
        <v>143343072</v>
      </c>
      <c r="J78">
        <v>123733064</v>
      </c>
      <c r="K78">
        <v>0</v>
      </c>
      <c r="L78">
        <v>141723232</v>
      </c>
    </row>
    <row r="79" spans="1:12" x14ac:dyDescent="0.25">
      <c r="A79">
        <v>2222</v>
      </c>
      <c r="B79" s="1">
        <f>DATE(2010,6,1) + TIME(0,0,0)</f>
        <v>40330</v>
      </c>
      <c r="C79">
        <v>128206520</v>
      </c>
      <c r="D79">
        <v>132435568</v>
      </c>
      <c r="E79">
        <v>0</v>
      </c>
      <c r="F79">
        <v>0</v>
      </c>
      <c r="G79">
        <v>0</v>
      </c>
      <c r="H79">
        <v>0</v>
      </c>
      <c r="I79">
        <v>139664608</v>
      </c>
      <c r="J79">
        <v>119022360</v>
      </c>
      <c r="K79">
        <v>0</v>
      </c>
      <c r="L79">
        <v>137648320</v>
      </c>
    </row>
    <row r="80" spans="1:12" x14ac:dyDescent="0.25">
      <c r="A80">
        <v>2252</v>
      </c>
      <c r="B80" s="1">
        <f>DATE(2010,7,1) + TIME(0,0,0)</f>
        <v>40360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125326672</v>
      </c>
      <c r="J80">
        <v>95760112</v>
      </c>
      <c r="K80">
        <v>0</v>
      </c>
      <c r="L80">
        <v>122420152</v>
      </c>
    </row>
    <row r="81" spans="1:12" x14ac:dyDescent="0.25">
      <c r="A81">
        <v>2283</v>
      </c>
      <c r="B81" s="1">
        <f>DATE(2010,8,1) + TIME(0,0,0)</f>
        <v>40391</v>
      </c>
      <c r="C81">
        <v>0</v>
      </c>
      <c r="D81">
        <v>76448272</v>
      </c>
      <c r="E81">
        <v>0</v>
      </c>
      <c r="F81">
        <v>0</v>
      </c>
      <c r="G81">
        <v>0</v>
      </c>
      <c r="H81">
        <v>0</v>
      </c>
      <c r="I81">
        <v>102122528</v>
      </c>
      <c r="J81">
        <v>62741736</v>
      </c>
      <c r="K81">
        <v>0</v>
      </c>
      <c r="L81">
        <v>99242120</v>
      </c>
    </row>
    <row r="82" spans="1:12" x14ac:dyDescent="0.25">
      <c r="A82">
        <v>2314</v>
      </c>
      <c r="B82" s="1">
        <f>DATE(2010,9,1) + TIME(0,0,0)</f>
        <v>40422</v>
      </c>
      <c r="C82">
        <v>20096856</v>
      </c>
      <c r="D82">
        <v>26425846</v>
      </c>
      <c r="E82">
        <v>0</v>
      </c>
      <c r="F82">
        <v>0</v>
      </c>
      <c r="G82">
        <v>0</v>
      </c>
      <c r="H82">
        <v>0</v>
      </c>
      <c r="I82">
        <v>91838672</v>
      </c>
      <c r="J82">
        <v>44880544</v>
      </c>
      <c r="K82">
        <v>0</v>
      </c>
      <c r="L82">
        <v>75957824</v>
      </c>
    </row>
    <row r="83" spans="1:12" x14ac:dyDescent="0.25">
      <c r="A83">
        <v>2344</v>
      </c>
      <c r="B83" s="1">
        <f>DATE(2010,10,1) + TIME(0,0,0)</f>
        <v>40452</v>
      </c>
      <c r="C83">
        <v>19657582</v>
      </c>
      <c r="D83">
        <v>19866976</v>
      </c>
      <c r="E83">
        <v>0</v>
      </c>
      <c r="F83">
        <v>0</v>
      </c>
      <c r="G83">
        <v>0</v>
      </c>
      <c r="H83">
        <v>0</v>
      </c>
      <c r="I83">
        <v>87966792</v>
      </c>
      <c r="J83">
        <v>51186896</v>
      </c>
      <c r="K83">
        <v>0</v>
      </c>
      <c r="L83">
        <v>82326872</v>
      </c>
    </row>
    <row r="84" spans="1:12" x14ac:dyDescent="0.25">
      <c r="A84">
        <v>2375</v>
      </c>
      <c r="B84" s="1">
        <f>DATE(2010,11,1) + TIME(0,0,0)</f>
        <v>40483</v>
      </c>
      <c r="C84">
        <v>22577424</v>
      </c>
      <c r="D84">
        <v>41122776</v>
      </c>
      <c r="E84">
        <v>0</v>
      </c>
      <c r="F84">
        <v>0</v>
      </c>
      <c r="G84">
        <v>0</v>
      </c>
      <c r="H84">
        <v>0</v>
      </c>
      <c r="I84">
        <v>85699944</v>
      </c>
      <c r="J84">
        <v>33845092</v>
      </c>
      <c r="K84">
        <v>0</v>
      </c>
      <c r="L84">
        <v>76397008</v>
      </c>
    </row>
    <row r="85" spans="1:12" x14ac:dyDescent="0.25">
      <c r="A85">
        <v>2405</v>
      </c>
      <c r="B85" s="1">
        <f>DATE(2010,12,1) + TIME(0,0,0)</f>
        <v>40513</v>
      </c>
      <c r="C85">
        <v>0</v>
      </c>
      <c r="D85">
        <v>41498.33984375</v>
      </c>
      <c r="E85">
        <v>0</v>
      </c>
      <c r="F85">
        <v>0</v>
      </c>
      <c r="G85">
        <v>0</v>
      </c>
      <c r="H85">
        <v>0</v>
      </c>
      <c r="I85">
        <v>63729936</v>
      </c>
      <c r="J85">
        <v>22056696</v>
      </c>
      <c r="K85">
        <v>0</v>
      </c>
      <c r="L85">
        <v>56723592</v>
      </c>
    </row>
    <row r="86" spans="1:12" x14ac:dyDescent="0.25">
      <c r="A86">
        <v>2436</v>
      </c>
      <c r="B86" s="1">
        <f>DATE(2011,1,1) + TIME(0,0,0)</f>
        <v>40544</v>
      </c>
      <c r="C86">
        <v>93755432</v>
      </c>
      <c r="D86">
        <v>42044036</v>
      </c>
      <c r="E86">
        <v>0</v>
      </c>
      <c r="F86">
        <v>0</v>
      </c>
      <c r="G86">
        <v>0</v>
      </c>
      <c r="H86">
        <v>0</v>
      </c>
      <c r="I86">
        <v>80087104</v>
      </c>
      <c r="J86">
        <v>36009916</v>
      </c>
      <c r="K86">
        <v>0</v>
      </c>
      <c r="L86">
        <v>73751784</v>
      </c>
    </row>
    <row r="87" spans="1:12" x14ac:dyDescent="0.25">
      <c r="A87">
        <v>2467</v>
      </c>
      <c r="B87" s="1">
        <f>DATE(2011,2,1) + TIME(0,0,0)</f>
        <v>40575</v>
      </c>
      <c r="C87">
        <v>0</v>
      </c>
      <c r="D87">
        <v>22261.685546875</v>
      </c>
      <c r="E87">
        <v>0</v>
      </c>
      <c r="F87">
        <v>0</v>
      </c>
      <c r="G87">
        <v>0</v>
      </c>
      <c r="H87">
        <v>0</v>
      </c>
      <c r="I87">
        <v>59435340</v>
      </c>
      <c r="J87">
        <v>49148300</v>
      </c>
      <c r="K87">
        <v>0</v>
      </c>
      <c r="L87">
        <v>84500216</v>
      </c>
    </row>
    <row r="88" spans="1:12" x14ac:dyDescent="0.25">
      <c r="A88">
        <v>2495</v>
      </c>
      <c r="B88" s="1">
        <f>DATE(2011,3,1) + TIME(0,0,0)</f>
        <v>40603</v>
      </c>
      <c r="C88">
        <v>25276818</v>
      </c>
      <c r="D88">
        <v>26996554</v>
      </c>
      <c r="E88">
        <v>0</v>
      </c>
      <c r="F88">
        <v>0</v>
      </c>
      <c r="G88">
        <v>0</v>
      </c>
      <c r="H88">
        <v>0</v>
      </c>
      <c r="I88">
        <v>76271616</v>
      </c>
      <c r="J88">
        <v>26628682</v>
      </c>
      <c r="K88">
        <v>0</v>
      </c>
      <c r="L88">
        <v>60392612</v>
      </c>
    </row>
    <row r="89" spans="1:12" x14ac:dyDescent="0.25">
      <c r="A89">
        <v>2526</v>
      </c>
      <c r="B89" s="1">
        <f>DATE(2011,4,1) + TIME(0,0,0)</f>
        <v>40634</v>
      </c>
      <c r="C89">
        <v>77093528</v>
      </c>
      <c r="D89">
        <v>22099010</v>
      </c>
      <c r="E89">
        <v>0</v>
      </c>
      <c r="F89">
        <v>0</v>
      </c>
      <c r="G89">
        <v>0</v>
      </c>
      <c r="H89">
        <v>0</v>
      </c>
      <c r="I89">
        <v>102528968</v>
      </c>
      <c r="J89">
        <v>77293400</v>
      </c>
      <c r="K89">
        <v>0</v>
      </c>
      <c r="L89">
        <v>83632400</v>
      </c>
    </row>
    <row r="90" spans="1:12" x14ac:dyDescent="0.25">
      <c r="A90">
        <v>2556</v>
      </c>
      <c r="B90" s="1">
        <f>DATE(2011,5,1) + TIME(0,0,0)</f>
        <v>40664</v>
      </c>
      <c r="C90">
        <v>20103596</v>
      </c>
      <c r="D90">
        <v>76270048</v>
      </c>
      <c r="E90">
        <v>0</v>
      </c>
      <c r="F90">
        <v>0</v>
      </c>
      <c r="G90">
        <v>0</v>
      </c>
      <c r="H90">
        <v>0</v>
      </c>
      <c r="I90">
        <v>73719784</v>
      </c>
      <c r="J90">
        <v>31936788</v>
      </c>
      <c r="K90">
        <v>0</v>
      </c>
      <c r="L90">
        <v>48399956</v>
      </c>
    </row>
    <row r="91" spans="1:12" x14ac:dyDescent="0.25">
      <c r="A91">
        <v>2587</v>
      </c>
      <c r="B91" s="1">
        <f>DATE(2011,6,1) + TIME(0,0,0)</f>
        <v>40695</v>
      </c>
      <c r="C91">
        <v>306540.40625</v>
      </c>
      <c r="D91">
        <v>9589.396484375</v>
      </c>
      <c r="E91">
        <v>0</v>
      </c>
      <c r="F91">
        <v>0</v>
      </c>
      <c r="G91">
        <v>0</v>
      </c>
      <c r="H91">
        <v>0</v>
      </c>
      <c r="I91">
        <v>68119384</v>
      </c>
      <c r="J91">
        <v>17890270</v>
      </c>
      <c r="K91">
        <v>0</v>
      </c>
      <c r="L91">
        <v>41577308</v>
      </c>
    </row>
    <row r="92" spans="1:12" x14ac:dyDescent="0.25">
      <c r="A92">
        <v>2617</v>
      </c>
      <c r="B92" s="1">
        <f>DATE(2011,7,1) + TIME(0,0,0)</f>
        <v>40725</v>
      </c>
      <c r="C92">
        <v>9106792</v>
      </c>
      <c r="D92">
        <v>1605975.5</v>
      </c>
      <c r="E92">
        <v>0</v>
      </c>
      <c r="F92">
        <v>0</v>
      </c>
      <c r="G92">
        <v>0</v>
      </c>
      <c r="H92">
        <v>0</v>
      </c>
      <c r="I92">
        <v>73746592</v>
      </c>
      <c r="J92">
        <v>38543344</v>
      </c>
      <c r="K92">
        <v>0</v>
      </c>
      <c r="L92">
        <v>52383488</v>
      </c>
    </row>
    <row r="93" spans="1:12" x14ac:dyDescent="0.25">
      <c r="A93">
        <v>2648</v>
      </c>
      <c r="B93" s="1">
        <f>DATE(2011,8,1) + TIME(0,0,0)</f>
        <v>40756</v>
      </c>
      <c r="C93">
        <v>309686.0625</v>
      </c>
      <c r="D93">
        <v>0</v>
      </c>
      <c r="E93">
        <v>0</v>
      </c>
      <c r="F93">
        <v>0</v>
      </c>
      <c r="G93">
        <v>0</v>
      </c>
      <c r="H93">
        <v>0</v>
      </c>
      <c r="I93">
        <v>36212868</v>
      </c>
      <c r="J93">
        <v>15925767</v>
      </c>
      <c r="K93">
        <v>0</v>
      </c>
      <c r="L93">
        <v>21254806</v>
      </c>
    </row>
    <row r="94" spans="1:12" x14ac:dyDescent="0.25">
      <c r="A94">
        <v>2679</v>
      </c>
      <c r="B94" s="1">
        <f>DATE(2011,9,1) + TIME(0,0,0)</f>
        <v>40787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24326012</v>
      </c>
      <c r="J94">
        <v>6928850.5</v>
      </c>
      <c r="K94">
        <v>0</v>
      </c>
      <c r="L94">
        <v>11242067</v>
      </c>
    </row>
    <row r="95" spans="1:12" x14ac:dyDescent="0.25">
      <c r="A95">
        <v>2709</v>
      </c>
      <c r="B95" s="1">
        <f>DATE(2011,10,1) + TIME(0,0,0)</f>
        <v>40817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32286856</v>
      </c>
      <c r="J95">
        <v>20286676</v>
      </c>
      <c r="K95">
        <v>0</v>
      </c>
      <c r="L95">
        <v>24859990</v>
      </c>
    </row>
    <row r="96" spans="1:12" x14ac:dyDescent="0.25">
      <c r="A96">
        <v>2740</v>
      </c>
      <c r="B96" s="1">
        <f>DATE(2011,11,1) + TIME(0,0,0)</f>
        <v>40848</v>
      </c>
      <c r="C96">
        <v>236620.71875</v>
      </c>
      <c r="D96">
        <v>215048.265625</v>
      </c>
      <c r="E96">
        <v>0</v>
      </c>
      <c r="F96">
        <v>0</v>
      </c>
      <c r="G96">
        <v>0</v>
      </c>
      <c r="H96">
        <v>0</v>
      </c>
      <c r="I96">
        <v>31187208</v>
      </c>
      <c r="J96">
        <v>8632254</v>
      </c>
      <c r="K96">
        <v>0</v>
      </c>
      <c r="L96">
        <v>23099854</v>
      </c>
    </row>
    <row r="97" spans="1:12" x14ac:dyDescent="0.25">
      <c r="A97">
        <v>2770</v>
      </c>
      <c r="B97" s="1">
        <f>DATE(2011,12,1) + TIME(0,0,0)</f>
        <v>40878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36296584</v>
      </c>
      <c r="J97">
        <v>5766622</v>
      </c>
      <c r="K97">
        <v>0</v>
      </c>
      <c r="L97">
        <v>18896758</v>
      </c>
    </row>
    <row r="98" spans="1:12" x14ac:dyDescent="0.25">
      <c r="A98">
        <v>2801</v>
      </c>
      <c r="B98" s="1">
        <f>DATE(2012,1,1) + TIME(0,0,0)</f>
        <v>40909</v>
      </c>
      <c r="C98">
        <v>2522601.25</v>
      </c>
      <c r="D98">
        <v>2645217.5</v>
      </c>
      <c r="E98">
        <v>0</v>
      </c>
      <c r="F98">
        <v>0</v>
      </c>
      <c r="G98">
        <v>0</v>
      </c>
      <c r="H98">
        <v>0</v>
      </c>
      <c r="I98">
        <v>43190340</v>
      </c>
      <c r="J98">
        <v>21780688</v>
      </c>
      <c r="K98">
        <v>0</v>
      </c>
      <c r="L98">
        <v>26161548</v>
      </c>
    </row>
    <row r="99" spans="1:12" x14ac:dyDescent="0.25">
      <c r="A99">
        <v>2832</v>
      </c>
      <c r="B99" s="1">
        <f>DATE(2012,2,1) + TIME(0,0,0)</f>
        <v>40940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33896892</v>
      </c>
      <c r="J99">
        <v>15364501</v>
      </c>
      <c r="K99">
        <v>0</v>
      </c>
      <c r="L99">
        <v>23203442</v>
      </c>
    </row>
    <row r="100" spans="1:12" x14ac:dyDescent="0.25">
      <c r="A100">
        <v>2861</v>
      </c>
      <c r="B100" s="1">
        <f>DATE(2012,3,1) + TIME(0,0,0)</f>
        <v>40969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40034576</v>
      </c>
      <c r="J100">
        <v>14513966</v>
      </c>
      <c r="K100">
        <v>0</v>
      </c>
      <c r="L100">
        <v>35251576</v>
      </c>
    </row>
    <row r="101" spans="1:12" x14ac:dyDescent="0.25">
      <c r="A101">
        <v>2892</v>
      </c>
      <c r="B101" s="1">
        <f>DATE(2012,4,1) + TIME(0,0,0)</f>
        <v>41000</v>
      </c>
      <c r="C101">
        <v>125059.6484375</v>
      </c>
      <c r="D101">
        <v>89189.34375</v>
      </c>
      <c r="E101">
        <v>0</v>
      </c>
      <c r="F101">
        <v>0</v>
      </c>
      <c r="G101">
        <v>0</v>
      </c>
      <c r="H101">
        <v>0</v>
      </c>
      <c r="I101">
        <v>36296904</v>
      </c>
      <c r="J101">
        <v>13700195</v>
      </c>
      <c r="K101">
        <v>0</v>
      </c>
      <c r="L101">
        <v>31890136</v>
      </c>
    </row>
    <row r="102" spans="1:12" x14ac:dyDescent="0.25">
      <c r="A102">
        <v>2922</v>
      </c>
      <c r="B102" s="1">
        <f>DATE(2012,5,1) + TIME(0,0,0)</f>
        <v>41030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17025674</v>
      </c>
      <c r="J102">
        <v>4679286.5</v>
      </c>
      <c r="K102">
        <v>0</v>
      </c>
      <c r="L102">
        <v>16643361</v>
      </c>
    </row>
    <row r="103" spans="1:12" x14ac:dyDescent="0.25">
      <c r="A103">
        <v>2953</v>
      </c>
      <c r="B103" s="1">
        <f>DATE(2012,6,1) + TIME(0,0,0)</f>
        <v>41061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29974280</v>
      </c>
      <c r="J103">
        <v>26987074</v>
      </c>
      <c r="K103">
        <v>0</v>
      </c>
      <c r="L103">
        <v>35609844</v>
      </c>
    </row>
    <row r="104" spans="1:12" x14ac:dyDescent="0.25">
      <c r="A104">
        <v>2983</v>
      </c>
      <c r="B104" s="1">
        <f>DATE(2012,7,1) + TIME(0,0,0)</f>
        <v>41091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12843418</v>
      </c>
      <c r="J104">
        <v>3159927.75</v>
      </c>
      <c r="K104">
        <v>0</v>
      </c>
      <c r="L104">
        <v>11629909</v>
      </c>
    </row>
    <row r="105" spans="1:12" x14ac:dyDescent="0.25">
      <c r="A105">
        <v>3014</v>
      </c>
      <c r="B105" s="1">
        <f>DATE(2012,8,1) + TIME(0,0,0)</f>
        <v>41122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9458325</v>
      </c>
      <c r="J105">
        <v>1822323.625</v>
      </c>
      <c r="K105">
        <v>0</v>
      </c>
      <c r="L105">
        <v>8164517</v>
      </c>
    </row>
    <row r="106" spans="1:12" x14ac:dyDescent="0.25">
      <c r="A106">
        <v>3045</v>
      </c>
      <c r="B106" s="1">
        <f>DATE(2012,9,1) + TIME(0,0,0)</f>
        <v>41153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70635656</v>
      </c>
      <c r="J106">
        <v>25519402</v>
      </c>
      <c r="K106">
        <v>0</v>
      </c>
      <c r="L106">
        <v>68687016</v>
      </c>
    </row>
    <row r="107" spans="1:12" x14ac:dyDescent="0.25">
      <c r="A107">
        <v>3075</v>
      </c>
      <c r="B107" s="1">
        <f>DATE(2012,10,1) + TIME(0,0,0)</f>
        <v>41183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112953472</v>
      </c>
      <c r="J107">
        <v>51266628</v>
      </c>
      <c r="K107">
        <v>0</v>
      </c>
      <c r="L107">
        <v>101186488</v>
      </c>
    </row>
    <row r="108" spans="1:12" x14ac:dyDescent="0.25">
      <c r="A108">
        <v>3106</v>
      </c>
      <c r="B108" s="1">
        <f>DATE(2012,11,1) + TIME(0,0,0)</f>
        <v>41214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25712900</v>
      </c>
      <c r="I108">
        <v>135509424</v>
      </c>
      <c r="J108">
        <v>127480736</v>
      </c>
      <c r="K108">
        <v>0</v>
      </c>
      <c r="L108">
        <v>123448160</v>
      </c>
    </row>
    <row r="109" spans="1:12" x14ac:dyDescent="0.25">
      <c r="A109">
        <v>3136</v>
      </c>
      <c r="B109" s="1">
        <f>DATE(2012,12,1) + TIME(0,0,0)</f>
        <v>41244</v>
      </c>
      <c r="C109">
        <v>20766260</v>
      </c>
      <c r="D109">
        <v>16429942</v>
      </c>
      <c r="E109">
        <v>0</v>
      </c>
      <c r="F109">
        <v>0</v>
      </c>
      <c r="G109">
        <v>0</v>
      </c>
      <c r="H109">
        <v>78113336</v>
      </c>
      <c r="I109">
        <v>140529936</v>
      </c>
      <c r="J109">
        <v>120686728</v>
      </c>
      <c r="K109">
        <v>0</v>
      </c>
      <c r="L109">
        <v>122143264</v>
      </c>
    </row>
    <row r="110" spans="1:12" x14ac:dyDescent="0.25">
      <c r="A110">
        <v>3167</v>
      </c>
      <c r="B110" s="1">
        <f>DATE(2013,1,1) + TIME(0,0,0)</f>
        <v>41275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87141928</v>
      </c>
      <c r="I110">
        <v>119864288</v>
      </c>
      <c r="J110">
        <v>147061200</v>
      </c>
      <c r="K110">
        <v>0</v>
      </c>
      <c r="L110">
        <v>96273968</v>
      </c>
    </row>
    <row r="111" spans="1:12" x14ac:dyDescent="0.25">
      <c r="A111">
        <v>3198</v>
      </c>
      <c r="B111" s="1">
        <f>DATE(2013,2,1) + TIME(0,0,0)</f>
        <v>41306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98158064</v>
      </c>
      <c r="I111">
        <v>110622656</v>
      </c>
      <c r="J111">
        <v>147358224</v>
      </c>
      <c r="K111">
        <v>0</v>
      </c>
      <c r="L111">
        <v>95832648</v>
      </c>
    </row>
    <row r="112" spans="1:12" x14ac:dyDescent="0.25">
      <c r="A112">
        <v>3226</v>
      </c>
      <c r="B112" s="1">
        <f>DATE(2013,3,1) + TIME(0,0,0)</f>
        <v>41334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117260728</v>
      </c>
      <c r="I112">
        <v>100281784</v>
      </c>
      <c r="J112">
        <v>135864320</v>
      </c>
      <c r="K112">
        <v>66303312</v>
      </c>
      <c r="L112">
        <v>87343104</v>
      </c>
    </row>
    <row r="113" spans="1:12" x14ac:dyDescent="0.25">
      <c r="A113">
        <v>3257</v>
      </c>
      <c r="B113" s="1">
        <f>DATE(2013,4,1) + TIME(0,0,0)</f>
        <v>41365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122254832</v>
      </c>
      <c r="I113">
        <v>95790384</v>
      </c>
      <c r="J113">
        <v>129780832</v>
      </c>
      <c r="K113">
        <v>88448376</v>
      </c>
      <c r="L113">
        <v>83432616</v>
      </c>
    </row>
    <row r="114" spans="1:12" x14ac:dyDescent="0.25">
      <c r="A114">
        <v>3287</v>
      </c>
      <c r="B114" s="1">
        <f>DATE(2013,5,1) + TIME(0,0,0)</f>
        <v>41395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121566688</v>
      </c>
      <c r="I114">
        <v>91890208</v>
      </c>
      <c r="J114">
        <v>124496552</v>
      </c>
      <c r="K114">
        <v>88616672</v>
      </c>
      <c r="L114">
        <v>80033656</v>
      </c>
    </row>
    <row r="115" spans="1:12" x14ac:dyDescent="0.25">
      <c r="A115">
        <v>3318</v>
      </c>
      <c r="B115" s="1">
        <f>DATE(2013,6,1) + TIME(0,0,0)</f>
        <v>41426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110806448</v>
      </c>
      <c r="I115">
        <v>78816552</v>
      </c>
      <c r="J115">
        <v>106784040</v>
      </c>
      <c r="K115">
        <v>77258072</v>
      </c>
      <c r="L115">
        <v>68647904</v>
      </c>
    </row>
    <row r="116" spans="1:12" x14ac:dyDescent="0.25">
      <c r="A116">
        <v>3348</v>
      </c>
      <c r="B116" s="1">
        <f>DATE(2013,7,1) + TIME(0,0,0)</f>
        <v>41456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118609992</v>
      </c>
      <c r="I116">
        <v>85793176</v>
      </c>
      <c r="J116">
        <v>116236832</v>
      </c>
      <c r="K116">
        <v>81823336</v>
      </c>
      <c r="L116">
        <v>74723056</v>
      </c>
    </row>
    <row r="117" spans="1:12" x14ac:dyDescent="0.25">
      <c r="A117">
        <v>3379</v>
      </c>
      <c r="B117" s="1">
        <f>DATE(2013,8,1) + TIME(0,0,0)</f>
        <v>41487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116309688</v>
      </c>
      <c r="I117">
        <v>82313216</v>
      </c>
      <c r="J117">
        <v>111519544</v>
      </c>
      <c r="K117">
        <v>81474200</v>
      </c>
      <c r="L117">
        <v>71690040</v>
      </c>
    </row>
    <row r="118" spans="1:12" x14ac:dyDescent="0.25">
      <c r="A118">
        <v>3410</v>
      </c>
      <c r="B118" s="1">
        <f>DATE(2013,9,1) + TIME(0,0,0)</f>
        <v>41518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117254872</v>
      </c>
      <c r="I118">
        <v>82231824</v>
      </c>
      <c r="J118">
        <v>111409616</v>
      </c>
      <c r="K118">
        <v>75970992</v>
      </c>
      <c r="L118">
        <v>71619224</v>
      </c>
    </row>
    <row r="119" spans="1:12" x14ac:dyDescent="0.25">
      <c r="A119">
        <v>3440</v>
      </c>
      <c r="B119" s="1">
        <f>DATE(2013,10,1) + TIME(0,0,0)</f>
        <v>41548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80739944</v>
      </c>
      <c r="I119">
        <v>67090296</v>
      </c>
      <c r="J119">
        <v>90896792</v>
      </c>
      <c r="K119">
        <v>73266656</v>
      </c>
      <c r="L119">
        <v>58432988</v>
      </c>
    </row>
    <row r="120" spans="1:12" x14ac:dyDescent="0.25">
      <c r="A120">
        <v>3471</v>
      </c>
      <c r="B120" s="1">
        <f>DATE(2013,11,1) + TIME(0,0,0)</f>
        <v>41579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117254872</v>
      </c>
      <c r="I120">
        <v>82231824</v>
      </c>
      <c r="J120">
        <v>111409616</v>
      </c>
      <c r="K120">
        <v>75970960</v>
      </c>
      <c r="L120">
        <v>71619224</v>
      </c>
    </row>
    <row r="121" spans="1:12" x14ac:dyDescent="0.25">
      <c r="A121">
        <v>3501</v>
      </c>
      <c r="B121" s="1">
        <f>DATE(2013,12,1) + TIME(0,0,0)</f>
        <v>41609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135433280</v>
      </c>
      <c r="I121">
        <v>81666592</v>
      </c>
      <c r="J121">
        <v>110666824</v>
      </c>
      <c r="K121">
        <v>76366640</v>
      </c>
      <c r="L121">
        <v>71133864</v>
      </c>
    </row>
    <row r="122" spans="1:12" x14ac:dyDescent="0.25">
      <c r="A122">
        <v>3532</v>
      </c>
      <c r="B122" s="1">
        <f>DATE(2014,1,1) + TIME(0,0,0)</f>
        <v>41640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115709624</v>
      </c>
      <c r="I122">
        <v>80290056</v>
      </c>
      <c r="J122">
        <v>108774432</v>
      </c>
      <c r="K122">
        <v>50548404</v>
      </c>
      <c r="L122">
        <v>69935368</v>
      </c>
    </row>
    <row r="123" spans="1:12" x14ac:dyDescent="0.25">
      <c r="A123">
        <v>3563</v>
      </c>
      <c r="B123" s="1">
        <f>DATE(2014,2,1) + TIME(0,0,0)</f>
        <v>41671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79838648</v>
      </c>
      <c r="I123">
        <v>63451572</v>
      </c>
      <c r="J123">
        <v>85935704</v>
      </c>
      <c r="K123">
        <v>3935455.25</v>
      </c>
      <c r="L123">
        <v>55258508</v>
      </c>
    </row>
    <row r="124" spans="1:12" x14ac:dyDescent="0.25">
      <c r="A124">
        <v>3591</v>
      </c>
      <c r="B124" s="1">
        <f>DATE(2014,3,1) + TIME(0,0,0)</f>
        <v>41699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118500056</v>
      </c>
      <c r="I124">
        <v>96892632</v>
      </c>
      <c r="J124">
        <v>131321272</v>
      </c>
      <c r="K124">
        <v>0</v>
      </c>
      <c r="L124">
        <v>84429096</v>
      </c>
    </row>
    <row r="125" spans="1:12" x14ac:dyDescent="0.25">
      <c r="A125">
        <v>3622</v>
      </c>
      <c r="B125" s="1">
        <f>DATE(2014,4,1) + TIME(0,0,0)</f>
        <v>41730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113258104</v>
      </c>
      <c r="I125">
        <v>90226160</v>
      </c>
      <c r="J125">
        <v>122225696</v>
      </c>
      <c r="K125">
        <v>0</v>
      </c>
      <c r="L125">
        <v>78580824</v>
      </c>
    </row>
    <row r="126" spans="1:12" x14ac:dyDescent="0.25">
      <c r="A126">
        <v>3652</v>
      </c>
      <c r="B126" s="1">
        <f>DATE(2014,5,1) + TIME(0,0,0)</f>
        <v>41760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120633344</v>
      </c>
      <c r="I126">
        <v>96566200</v>
      </c>
      <c r="J126">
        <v>130833336</v>
      </c>
      <c r="K126">
        <v>0</v>
      </c>
      <c r="L126">
        <v>84100168</v>
      </c>
    </row>
    <row r="127" spans="1:12" x14ac:dyDescent="0.25">
      <c r="A127">
        <v>3683</v>
      </c>
      <c r="B127" s="1">
        <f>DATE(2014,6,1) + TIME(0,0,0)</f>
        <v>41791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122387024</v>
      </c>
      <c r="I127">
        <v>95096968</v>
      </c>
      <c r="J127">
        <v>128870736</v>
      </c>
      <c r="K127">
        <v>0</v>
      </c>
      <c r="L127">
        <v>82838560</v>
      </c>
    </row>
    <row r="128" spans="1:12" x14ac:dyDescent="0.25">
      <c r="A128">
        <v>3713</v>
      </c>
      <c r="B128" s="1">
        <f>DATE(2014,7,1) + TIME(0,0,0)</f>
        <v>41821</v>
      </c>
      <c r="C128">
        <v>1933314.25</v>
      </c>
      <c r="D128">
        <v>0</v>
      </c>
      <c r="E128">
        <v>0</v>
      </c>
      <c r="F128">
        <v>0</v>
      </c>
      <c r="G128">
        <v>0</v>
      </c>
      <c r="H128">
        <v>112733392</v>
      </c>
      <c r="I128">
        <v>88899592</v>
      </c>
      <c r="J128">
        <v>119799808</v>
      </c>
      <c r="K128">
        <v>0</v>
      </c>
      <c r="L128">
        <v>77432968</v>
      </c>
    </row>
    <row r="129" spans="1:12" x14ac:dyDescent="0.25">
      <c r="A129">
        <v>3744</v>
      </c>
      <c r="B129" s="1">
        <f>DATE(2014,8,1) + TIME(0,0,0)</f>
        <v>41852</v>
      </c>
      <c r="C129">
        <v>5636070.5</v>
      </c>
      <c r="D129">
        <v>3426415.5</v>
      </c>
      <c r="E129">
        <v>0</v>
      </c>
      <c r="F129">
        <v>0</v>
      </c>
      <c r="G129">
        <v>0</v>
      </c>
      <c r="H129">
        <v>77909616</v>
      </c>
      <c r="I129">
        <v>92351848</v>
      </c>
      <c r="J129">
        <v>123377864</v>
      </c>
      <c r="K129">
        <v>5187111</v>
      </c>
      <c r="L129">
        <v>80780520</v>
      </c>
    </row>
    <row r="130" spans="1:12" x14ac:dyDescent="0.25">
      <c r="A130">
        <v>3775</v>
      </c>
      <c r="B130" s="1">
        <f>DATE(2014,9,1) + TIME(0,0,0)</f>
        <v>41883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73696856</v>
      </c>
      <c r="I130">
        <v>80203384</v>
      </c>
      <c r="J130">
        <v>78755264</v>
      </c>
      <c r="K130">
        <v>0</v>
      </c>
      <c r="L130">
        <v>62932544</v>
      </c>
    </row>
    <row r="131" spans="1:12" x14ac:dyDescent="0.25">
      <c r="A131">
        <v>3805</v>
      </c>
      <c r="B131" s="1">
        <f>DATE(2014,10,1) + TIME(0,0,0)</f>
        <v>41913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107210072</v>
      </c>
      <c r="I131">
        <v>92736720</v>
      </c>
      <c r="J131">
        <v>106676224</v>
      </c>
      <c r="K131">
        <v>0</v>
      </c>
      <c r="L131">
        <v>71636312</v>
      </c>
    </row>
    <row r="132" spans="1:12" x14ac:dyDescent="0.25">
      <c r="A132">
        <v>3836</v>
      </c>
      <c r="B132" s="1">
        <f>DATE(2014,11,1) + TIME(0,0,0)</f>
        <v>41944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109438776</v>
      </c>
      <c r="I132">
        <v>98683472</v>
      </c>
      <c r="J132">
        <v>96158224</v>
      </c>
      <c r="K132">
        <v>0</v>
      </c>
      <c r="L132">
        <v>67825528</v>
      </c>
    </row>
    <row r="133" spans="1:12" x14ac:dyDescent="0.25">
      <c r="A133">
        <v>3866</v>
      </c>
      <c r="B133" s="1">
        <f>DATE(2014,12,1) + TIME(0,0,0)</f>
        <v>41974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99766544</v>
      </c>
      <c r="I133">
        <v>98206792</v>
      </c>
      <c r="J133">
        <v>95013000</v>
      </c>
      <c r="K133">
        <v>0</v>
      </c>
      <c r="L133">
        <v>67270520</v>
      </c>
    </row>
    <row r="134" spans="1:12" x14ac:dyDescent="0.25">
      <c r="A134">
        <v>3897</v>
      </c>
      <c r="B134" s="1">
        <f>DATE(2015,1,1) + TIME(0,0,0)</f>
        <v>42005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114187232</v>
      </c>
      <c r="I134">
        <v>106228568</v>
      </c>
      <c r="J134">
        <v>110893256</v>
      </c>
      <c r="K134">
        <v>0</v>
      </c>
      <c r="L134">
        <v>73693120</v>
      </c>
    </row>
    <row r="135" spans="1:12" x14ac:dyDescent="0.25">
      <c r="A135">
        <v>3928</v>
      </c>
      <c r="B135" s="1">
        <f>DATE(2015,2,1) + TIME(0,0,0)</f>
        <v>42036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124677480</v>
      </c>
      <c r="I135">
        <v>109564568</v>
      </c>
      <c r="J135">
        <v>119774440</v>
      </c>
      <c r="K135">
        <v>0</v>
      </c>
      <c r="L135">
        <v>79335568</v>
      </c>
    </row>
    <row r="136" spans="1:12" x14ac:dyDescent="0.25">
      <c r="A136">
        <v>3956</v>
      </c>
      <c r="B136" s="1">
        <f>DATE(2015,3,1) + TIME(0,0,0)</f>
        <v>42064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125653576</v>
      </c>
      <c r="I136">
        <v>103268352</v>
      </c>
      <c r="J136">
        <v>114295952</v>
      </c>
      <c r="K136">
        <v>0</v>
      </c>
      <c r="L136">
        <v>74114192</v>
      </c>
    </row>
    <row r="137" spans="1:12" x14ac:dyDescent="0.25">
      <c r="A137">
        <v>3987</v>
      </c>
      <c r="B137" s="1">
        <f>DATE(2015,4,1) + TIME(0,0,0)</f>
        <v>42095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100229112</v>
      </c>
      <c r="I137">
        <v>85835248</v>
      </c>
      <c r="J137">
        <v>94119208</v>
      </c>
      <c r="K137">
        <v>0</v>
      </c>
      <c r="L137">
        <v>61160944</v>
      </c>
    </row>
    <row r="138" spans="1:12" x14ac:dyDescent="0.25">
      <c r="A138">
        <v>4017</v>
      </c>
      <c r="B138" s="1">
        <f>DATE(2015,5,1) + TIME(0,0,0)</f>
        <v>42125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68183408</v>
      </c>
      <c r="I138">
        <v>55435428</v>
      </c>
      <c r="J138">
        <v>51936208</v>
      </c>
      <c r="K138">
        <v>0</v>
      </c>
      <c r="L138">
        <v>39057712</v>
      </c>
    </row>
    <row r="139" spans="1:12" x14ac:dyDescent="0.25">
      <c r="A139">
        <v>4048</v>
      </c>
      <c r="B139" s="1">
        <f>DATE(2015,6,1) + TIME(0,0,0)</f>
        <v>42156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47983968</v>
      </c>
      <c r="I139">
        <v>57464520</v>
      </c>
      <c r="J139">
        <v>49112900</v>
      </c>
      <c r="K139">
        <v>0</v>
      </c>
      <c r="L139">
        <v>49793600</v>
      </c>
    </row>
    <row r="140" spans="1:12" x14ac:dyDescent="0.25">
      <c r="A140">
        <v>4078</v>
      </c>
      <c r="B140" s="1">
        <f>DATE(2015,7,1) + TIME(0,0,0)</f>
        <v>42186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18016666</v>
      </c>
      <c r="I140">
        <v>83450264</v>
      </c>
      <c r="J140">
        <v>56312924</v>
      </c>
      <c r="K140">
        <v>0</v>
      </c>
      <c r="L140">
        <v>70260056</v>
      </c>
    </row>
    <row r="141" spans="1:12" x14ac:dyDescent="0.25">
      <c r="A141">
        <v>4109</v>
      </c>
      <c r="B141" s="1">
        <f>DATE(2015,8,1) + TIME(0,0,0)</f>
        <v>42217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38877368</v>
      </c>
      <c r="I141">
        <v>63319304</v>
      </c>
      <c r="J141">
        <v>62596416</v>
      </c>
      <c r="K141">
        <v>0</v>
      </c>
      <c r="L141">
        <v>63435668</v>
      </c>
    </row>
    <row r="142" spans="1:12" x14ac:dyDescent="0.25">
      <c r="A142">
        <v>4140</v>
      </c>
      <c r="B142" s="1">
        <f>DATE(2015,9,1) + TIME(0,0,0)</f>
        <v>42248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97545080</v>
      </c>
      <c r="I142">
        <v>105851208</v>
      </c>
      <c r="J142">
        <v>93628744</v>
      </c>
      <c r="K142">
        <v>0</v>
      </c>
      <c r="L142">
        <v>89325568</v>
      </c>
    </row>
    <row r="143" spans="1:12" x14ac:dyDescent="0.25">
      <c r="A143">
        <v>4170</v>
      </c>
      <c r="B143" s="1">
        <f>DATE(2015,10,1) + TIME(0,0,0)</f>
        <v>42278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87589984</v>
      </c>
      <c r="I143">
        <v>81102984</v>
      </c>
      <c r="J143">
        <v>77239640</v>
      </c>
      <c r="K143">
        <v>0</v>
      </c>
      <c r="L143">
        <v>63183260</v>
      </c>
    </row>
    <row r="144" spans="1:12" x14ac:dyDescent="0.25">
      <c r="A144">
        <v>4201</v>
      </c>
      <c r="B144" s="1">
        <f>DATE(2015,11,1) + TIME(0,0,0)</f>
        <v>42309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18961308</v>
      </c>
      <c r="I144">
        <v>90819160</v>
      </c>
      <c r="J144">
        <v>65651256</v>
      </c>
      <c r="K144">
        <v>0</v>
      </c>
      <c r="L144">
        <v>57867236</v>
      </c>
    </row>
    <row r="145" spans="1:12" x14ac:dyDescent="0.25">
      <c r="A145">
        <v>4231</v>
      </c>
      <c r="B145" s="1">
        <f>DATE(2015,12,1) + TIME(0,0,0)</f>
        <v>42339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4033457.5</v>
      </c>
      <c r="I145">
        <v>85133448</v>
      </c>
      <c r="J145">
        <v>95659624</v>
      </c>
      <c r="K145">
        <v>0</v>
      </c>
      <c r="L145">
        <v>57896688</v>
      </c>
    </row>
    <row r="146" spans="1:12" x14ac:dyDescent="0.25">
      <c r="A146">
        <v>4262</v>
      </c>
      <c r="B146" s="1">
        <f>DATE(2016,1,1) + TIME(0,0,0)</f>
        <v>42370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30612988</v>
      </c>
      <c r="I146">
        <v>110816088</v>
      </c>
      <c r="J146">
        <v>140809376</v>
      </c>
      <c r="K146">
        <v>0</v>
      </c>
      <c r="L146">
        <v>76861040</v>
      </c>
    </row>
    <row r="147" spans="1:12" x14ac:dyDescent="0.25">
      <c r="A147">
        <v>4293</v>
      </c>
      <c r="B147" s="1">
        <f>DATE(2016,2,1) + TIME(0,0,0)</f>
        <v>42401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7491132</v>
      </c>
      <c r="I147">
        <v>23264424</v>
      </c>
      <c r="J147">
        <v>34902860</v>
      </c>
      <c r="K147">
        <v>0</v>
      </c>
      <c r="L147">
        <v>16182373</v>
      </c>
    </row>
    <row r="148" spans="1:12" x14ac:dyDescent="0.25">
      <c r="A148">
        <v>4322</v>
      </c>
      <c r="B148" s="1">
        <f>DATE(2016,3,1) + TIME(0,0,0)</f>
        <v>42430</v>
      </c>
      <c r="C148">
        <v>4251645</v>
      </c>
      <c r="D148">
        <v>227681.171875</v>
      </c>
      <c r="E148">
        <v>4703447.5</v>
      </c>
      <c r="F148">
        <v>9672411</v>
      </c>
      <c r="G148">
        <v>0</v>
      </c>
      <c r="H148">
        <v>16351531</v>
      </c>
      <c r="I148">
        <v>129529312</v>
      </c>
      <c r="J148">
        <v>8275598.5</v>
      </c>
      <c r="K148">
        <v>0</v>
      </c>
      <c r="L148">
        <v>123886960</v>
      </c>
    </row>
    <row r="149" spans="1:12" x14ac:dyDescent="0.25">
      <c r="A149">
        <v>4353</v>
      </c>
      <c r="B149" s="1">
        <f>DATE(2016,4,1) + TIME(0,0,0)</f>
        <v>42461</v>
      </c>
      <c r="C149">
        <v>10108086</v>
      </c>
      <c r="D149">
        <v>0</v>
      </c>
      <c r="E149">
        <v>0</v>
      </c>
      <c r="F149">
        <v>1306775.25</v>
      </c>
      <c r="G149">
        <v>0</v>
      </c>
      <c r="H149">
        <v>1514750.375</v>
      </c>
      <c r="I149">
        <v>96570504</v>
      </c>
      <c r="J149">
        <v>0</v>
      </c>
      <c r="K149">
        <v>0</v>
      </c>
      <c r="L149">
        <v>90206072</v>
      </c>
    </row>
    <row r="150" spans="1:12" x14ac:dyDescent="0.25">
      <c r="A150">
        <v>4383</v>
      </c>
      <c r="B150" s="1">
        <f>DATE(2016,5,1) + TIME(0,0,0)</f>
        <v>42491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48759876</v>
      </c>
      <c r="I150">
        <v>150599536</v>
      </c>
      <c r="J150">
        <v>0</v>
      </c>
      <c r="K150">
        <v>0</v>
      </c>
      <c r="L150">
        <v>144676176</v>
      </c>
    </row>
    <row r="151" spans="1:12" x14ac:dyDescent="0.25">
      <c r="A151">
        <v>4414</v>
      </c>
      <c r="B151" s="1">
        <f>DATE(2016,6,1) + TIME(0,0,0)</f>
        <v>42522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2622502</v>
      </c>
      <c r="I151">
        <v>126954856</v>
      </c>
      <c r="J151">
        <v>0</v>
      </c>
      <c r="K151">
        <v>0</v>
      </c>
      <c r="L151">
        <v>119452048</v>
      </c>
    </row>
    <row r="152" spans="1:12" x14ac:dyDescent="0.25">
      <c r="A152">
        <v>4444</v>
      </c>
      <c r="B152" s="1">
        <f>DATE(2016,7,1) + TIME(0,0,0)</f>
        <v>42552</v>
      </c>
      <c r="C152">
        <v>50020136</v>
      </c>
      <c r="D152">
        <v>0</v>
      </c>
      <c r="E152">
        <v>0</v>
      </c>
      <c r="F152">
        <v>0</v>
      </c>
      <c r="G152">
        <v>0</v>
      </c>
      <c r="H152">
        <v>7820082.5</v>
      </c>
      <c r="I152">
        <v>106516712</v>
      </c>
      <c r="J152">
        <v>0</v>
      </c>
      <c r="K152">
        <v>0</v>
      </c>
      <c r="L152">
        <v>98806400</v>
      </c>
    </row>
    <row r="153" spans="1:12" x14ac:dyDescent="0.25">
      <c r="A153">
        <v>4475</v>
      </c>
      <c r="B153" s="1">
        <f>DATE(2016,8,1) + TIME(0,0,0)</f>
        <v>42583</v>
      </c>
      <c r="C153">
        <v>5222.1884765625</v>
      </c>
      <c r="D153">
        <v>0</v>
      </c>
      <c r="E153">
        <v>0</v>
      </c>
      <c r="F153">
        <v>0</v>
      </c>
      <c r="G153">
        <v>0</v>
      </c>
      <c r="H153">
        <v>2003340.25</v>
      </c>
      <c r="I153">
        <v>96057808</v>
      </c>
      <c r="J153">
        <v>0</v>
      </c>
      <c r="K153">
        <v>0</v>
      </c>
      <c r="L153">
        <v>85961032</v>
      </c>
    </row>
    <row r="154" spans="1:12" x14ac:dyDescent="0.25">
      <c r="A154">
        <v>4506</v>
      </c>
      <c r="B154" s="1">
        <f>DATE(2016,9,1) + TIME(0,0,0)</f>
        <v>42614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6916148.5</v>
      </c>
      <c r="I154">
        <v>115538912</v>
      </c>
      <c r="J154">
        <v>0</v>
      </c>
      <c r="K154">
        <v>0</v>
      </c>
      <c r="L154">
        <v>106258168</v>
      </c>
    </row>
    <row r="155" spans="1:12" x14ac:dyDescent="0.25">
      <c r="A155">
        <v>4536</v>
      </c>
      <c r="B155" s="1">
        <f>DATE(2016,10,1) + TIME(0,0,0)</f>
        <v>42644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3513273</v>
      </c>
      <c r="I155">
        <v>68646776</v>
      </c>
      <c r="J155">
        <v>0</v>
      </c>
      <c r="K155">
        <v>0</v>
      </c>
      <c r="L155">
        <v>62366244</v>
      </c>
    </row>
    <row r="156" spans="1:12" x14ac:dyDescent="0.25">
      <c r="A156">
        <v>4567</v>
      </c>
      <c r="B156" s="1">
        <f>DATE(2016,11,1) + TIME(0,0,0)</f>
        <v>42675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5338803.5</v>
      </c>
      <c r="I156">
        <v>94251392</v>
      </c>
      <c r="J156">
        <v>0</v>
      </c>
      <c r="K156">
        <v>0</v>
      </c>
      <c r="L156">
        <v>90019040</v>
      </c>
    </row>
    <row r="157" spans="1:12" x14ac:dyDescent="0.25">
      <c r="A157">
        <v>4597</v>
      </c>
      <c r="B157" s="1">
        <f>DATE(2016,12,1) + TIME(0,0,0)</f>
        <v>42705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2093329</v>
      </c>
      <c r="I157">
        <v>83556216</v>
      </c>
      <c r="J157">
        <v>0</v>
      </c>
      <c r="K157">
        <v>0</v>
      </c>
      <c r="L157">
        <v>76167032</v>
      </c>
    </row>
    <row r="158" spans="1:12" x14ac:dyDescent="0.25">
      <c r="A158">
        <v>4628</v>
      </c>
      <c r="B158" s="1">
        <f>DATE(2017,1,1) + TIME(0,0,0)</f>
        <v>42736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4477322</v>
      </c>
      <c r="I158">
        <v>112335048</v>
      </c>
      <c r="J158">
        <v>0</v>
      </c>
      <c r="K158">
        <v>0</v>
      </c>
      <c r="L158">
        <v>107077368</v>
      </c>
    </row>
    <row r="159" spans="1:12" x14ac:dyDescent="0.25">
      <c r="A159">
        <v>4659</v>
      </c>
      <c r="B159" s="1">
        <f>DATE(2017,2,1) + TIME(0,0,0)</f>
        <v>42767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10374238</v>
      </c>
      <c r="I159">
        <v>163548256</v>
      </c>
      <c r="J159">
        <v>0</v>
      </c>
      <c r="K159">
        <v>0</v>
      </c>
      <c r="L159">
        <v>160603360</v>
      </c>
    </row>
    <row r="160" spans="1:12" x14ac:dyDescent="0.25">
      <c r="A160">
        <v>4687</v>
      </c>
      <c r="B160" s="1">
        <f>DATE(2017,3,1) + TIME(0,0,0)</f>
        <v>42795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90842832</v>
      </c>
      <c r="I160">
        <v>160811296</v>
      </c>
      <c r="J160">
        <v>0</v>
      </c>
      <c r="K160">
        <v>0</v>
      </c>
      <c r="L160">
        <v>156381792</v>
      </c>
    </row>
    <row r="161" spans="1:12" x14ac:dyDescent="0.25">
      <c r="A161">
        <v>4718</v>
      </c>
      <c r="B161" s="1">
        <f>DATE(2017,4,1) + TIME(0,0,0)</f>
        <v>42826</v>
      </c>
      <c r="C161">
        <v>11506323</v>
      </c>
      <c r="D161">
        <v>0</v>
      </c>
      <c r="E161">
        <v>9870958</v>
      </c>
      <c r="F161">
        <v>0</v>
      </c>
      <c r="G161">
        <v>0</v>
      </c>
      <c r="H161">
        <v>11651689</v>
      </c>
      <c r="I161">
        <v>155251616</v>
      </c>
      <c r="J161">
        <v>0</v>
      </c>
      <c r="K161">
        <v>0</v>
      </c>
      <c r="L161">
        <v>152619600</v>
      </c>
    </row>
    <row r="162" spans="1:12" x14ac:dyDescent="0.25">
      <c r="A162">
        <v>4748</v>
      </c>
      <c r="B162" s="1">
        <f>DATE(2017,5,1) + TIME(0,0,0)</f>
        <v>42856</v>
      </c>
      <c r="C162">
        <v>35669920</v>
      </c>
      <c r="D162">
        <v>0</v>
      </c>
      <c r="E162">
        <v>0</v>
      </c>
      <c r="F162">
        <v>0</v>
      </c>
      <c r="G162">
        <v>0</v>
      </c>
      <c r="H162">
        <v>1156709.125</v>
      </c>
      <c r="I162">
        <v>111103128</v>
      </c>
      <c r="J162">
        <v>0</v>
      </c>
      <c r="K162">
        <v>0</v>
      </c>
      <c r="L162">
        <v>106672896</v>
      </c>
    </row>
    <row r="163" spans="1:12" x14ac:dyDescent="0.25">
      <c r="A163">
        <v>4779</v>
      </c>
      <c r="B163" s="1">
        <f>DATE(2017,6,1) + TIME(0,0,0)</f>
        <v>42887</v>
      </c>
      <c r="C163">
        <v>13425647</v>
      </c>
      <c r="D163">
        <v>0</v>
      </c>
      <c r="E163">
        <v>0</v>
      </c>
      <c r="F163">
        <v>0</v>
      </c>
      <c r="G163">
        <v>0</v>
      </c>
      <c r="H163">
        <v>8416092</v>
      </c>
      <c r="I163">
        <v>154042368</v>
      </c>
      <c r="J163">
        <v>0</v>
      </c>
      <c r="K163">
        <v>0</v>
      </c>
      <c r="L163">
        <v>149164160</v>
      </c>
    </row>
    <row r="164" spans="1:12" x14ac:dyDescent="0.25">
      <c r="A164">
        <v>4809</v>
      </c>
      <c r="B164" s="1">
        <f>DATE(2017,7,1) + TIME(0,0,0)</f>
        <v>42917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16316583</v>
      </c>
      <c r="I164">
        <v>151049552</v>
      </c>
      <c r="J164">
        <v>0</v>
      </c>
      <c r="K164">
        <v>0</v>
      </c>
      <c r="L164">
        <v>146199888</v>
      </c>
    </row>
    <row r="165" spans="1:12" x14ac:dyDescent="0.25">
      <c r="A165">
        <v>4840</v>
      </c>
      <c r="B165" s="1">
        <f>DATE(2017,8,1) + TIME(0,0,0)</f>
        <v>42948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87293480</v>
      </c>
      <c r="I165">
        <v>150783552</v>
      </c>
      <c r="J165">
        <v>0</v>
      </c>
      <c r="K165">
        <v>0</v>
      </c>
      <c r="L165">
        <v>146735104</v>
      </c>
    </row>
    <row r="166" spans="1:12" x14ac:dyDescent="0.25">
      <c r="A166">
        <v>4871</v>
      </c>
      <c r="B166" s="1">
        <f>DATE(2017,9,1) + TIME(0,0,0)</f>
        <v>42979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6722474</v>
      </c>
      <c r="I166">
        <v>134238864</v>
      </c>
      <c r="J166">
        <v>45452.4375</v>
      </c>
      <c r="K166">
        <v>0</v>
      </c>
      <c r="L166">
        <v>129780304</v>
      </c>
    </row>
    <row r="167" spans="1:12" x14ac:dyDescent="0.25">
      <c r="A167">
        <v>4901</v>
      </c>
      <c r="B167" s="1">
        <f>DATE(2017,10,1) + TIME(0,0,0)</f>
        <v>43009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27619898</v>
      </c>
      <c r="I167">
        <v>69179800</v>
      </c>
      <c r="J167">
        <v>0</v>
      </c>
      <c r="K167">
        <v>0</v>
      </c>
      <c r="L167">
        <v>67456208</v>
      </c>
    </row>
    <row r="168" spans="1:12" x14ac:dyDescent="0.25">
      <c r="A168">
        <v>4932</v>
      </c>
      <c r="B168" s="1">
        <f>DATE(2017,11,1) + TIME(0,0,0)</f>
        <v>43040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38622640</v>
      </c>
      <c r="I168">
        <v>100764784</v>
      </c>
      <c r="J168">
        <v>0</v>
      </c>
      <c r="K168">
        <v>0</v>
      </c>
      <c r="L168">
        <v>99373736</v>
      </c>
    </row>
    <row r="169" spans="1:12" x14ac:dyDescent="0.25">
      <c r="A169">
        <v>4962</v>
      </c>
      <c r="B169" s="1">
        <f>DATE(2017,12,1) + TIME(0,0,0)</f>
        <v>43070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12023372</v>
      </c>
      <c r="I169">
        <v>87156288</v>
      </c>
      <c r="J169">
        <v>0</v>
      </c>
      <c r="K169">
        <v>0</v>
      </c>
      <c r="L169">
        <v>85716680</v>
      </c>
    </row>
    <row r="170" spans="1:12" x14ac:dyDescent="0.25">
      <c r="A170">
        <v>4993</v>
      </c>
      <c r="B170" s="1">
        <f>DATE(2018,1,1) + TIME(0,0,0)</f>
        <v>43101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54212776</v>
      </c>
      <c r="I170">
        <v>122332472</v>
      </c>
      <c r="J170">
        <v>0</v>
      </c>
      <c r="K170">
        <v>0</v>
      </c>
      <c r="L170">
        <v>122048120</v>
      </c>
    </row>
    <row r="171" spans="1:12" x14ac:dyDescent="0.25">
      <c r="A171">
        <v>5024</v>
      </c>
      <c r="B171" s="1">
        <f>DATE(2018,2,1) + TIME(0,0,0)</f>
        <v>43132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125545040</v>
      </c>
      <c r="I171">
        <v>150293072</v>
      </c>
      <c r="J171">
        <v>0</v>
      </c>
      <c r="K171">
        <v>0</v>
      </c>
      <c r="L171">
        <v>149387200</v>
      </c>
    </row>
    <row r="172" spans="1:12" x14ac:dyDescent="0.25">
      <c r="A172">
        <v>5052</v>
      </c>
      <c r="B172" s="1">
        <f>DATE(2018,3,1) + TIME(0,0,0)</f>
        <v>43160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21701648</v>
      </c>
      <c r="I172">
        <v>27608200</v>
      </c>
      <c r="J172">
        <v>0</v>
      </c>
      <c r="K172">
        <v>0</v>
      </c>
      <c r="L172">
        <v>27784494</v>
      </c>
    </row>
    <row r="173" spans="1:12" x14ac:dyDescent="0.25">
      <c r="A173">
        <v>5083</v>
      </c>
      <c r="B173" s="1">
        <f>DATE(2018,4,1) + TIME(0,0,0)</f>
        <v>43191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100035416</v>
      </c>
      <c r="I173">
        <v>148622960</v>
      </c>
      <c r="J173">
        <v>0</v>
      </c>
      <c r="K173">
        <v>0</v>
      </c>
      <c r="L173">
        <v>153913408</v>
      </c>
    </row>
    <row r="174" spans="1:12" x14ac:dyDescent="0.25">
      <c r="A174">
        <v>5113</v>
      </c>
      <c r="B174" s="1">
        <f>DATE(2018,5,1) + TIME(0,0,0)</f>
        <v>43221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99326944</v>
      </c>
      <c r="I174">
        <v>146113600</v>
      </c>
      <c r="J174">
        <v>0</v>
      </c>
      <c r="K174">
        <v>0</v>
      </c>
      <c r="L174">
        <v>152413792</v>
      </c>
    </row>
    <row r="175" spans="1:12" x14ac:dyDescent="0.25">
      <c r="A175">
        <v>5144</v>
      </c>
      <c r="B175" s="1">
        <f>DATE(2018,6,1) + TIME(0,0,0)</f>
        <v>43252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69861424</v>
      </c>
      <c r="I175">
        <v>137271488</v>
      </c>
      <c r="J175">
        <v>0</v>
      </c>
      <c r="K175">
        <v>0</v>
      </c>
      <c r="L175">
        <v>143035488</v>
      </c>
    </row>
    <row r="176" spans="1:12" x14ac:dyDescent="0.25">
      <c r="A176">
        <v>5174</v>
      </c>
      <c r="B176" s="1">
        <f>DATE(2018,7,1) + TIME(0,0,0)</f>
        <v>43282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21756860</v>
      </c>
      <c r="I176">
        <v>122173304</v>
      </c>
      <c r="J176">
        <v>0</v>
      </c>
      <c r="K176">
        <v>0</v>
      </c>
      <c r="L176">
        <v>125229464</v>
      </c>
    </row>
    <row r="177" spans="1:12" x14ac:dyDescent="0.25">
      <c r="A177">
        <v>5205</v>
      </c>
      <c r="B177" s="1">
        <f>DATE(2018,8,1) + TIME(0,0,0)</f>
        <v>43313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26496636</v>
      </c>
      <c r="I177">
        <v>76180320</v>
      </c>
      <c r="J177">
        <v>28780884</v>
      </c>
      <c r="K177">
        <v>0</v>
      </c>
      <c r="L177">
        <v>39961140</v>
      </c>
    </row>
    <row r="178" spans="1:12" x14ac:dyDescent="0.25">
      <c r="A178">
        <v>5236</v>
      </c>
      <c r="B178" s="1">
        <f>DATE(2018,9,1) + TIME(0,0,0)</f>
        <v>43344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48293708</v>
      </c>
      <c r="I178">
        <v>35464508</v>
      </c>
      <c r="J178">
        <v>78434712</v>
      </c>
      <c r="K178">
        <v>0</v>
      </c>
      <c r="L178">
        <v>68296944</v>
      </c>
    </row>
    <row r="179" spans="1:12" x14ac:dyDescent="0.25">
      <c r="A179">
        <v>5266</v>
      </c>
      <c r="B179" s="1">
        <f>DATE(2018,10,1) + TIME(0,0,0)</f>
        <v>43374</v>
      </c>
      <c r="C179">
        <v>39666748</v>
      </c>
      <c r="D179">
        <v>0</v>
      </c>
      <c r="E179">
        <v>0</v>
      </c>
      <c r="F179">
        <v>0</v>
      </c>
      <c r="G179">
        <v>0</v>
      </c>
      <c r="H179">
        <v>12746749</v>
      </c>
      <c r="I179">
        <v>59519772</v>
      </c>
      <c r="J179">
        <v>85026456</v>
      </c>
      <c r="K179">
        <v>0</v>
      </c>
      <c r="L179">
        <v>39150116</v>
      </c>
    </row>
    <row r="180" spans="1:12" x14ac:dyDescent="0.25">
      <c r="A180">
        <v>5297</v>
      </c>
      <c r="B180" s="1">
        <f>DATE(2018,11,1) + TIME(0,0,0)</f>
        <v>43405</v>
      </c>
      <c r="C180">
        <v>0</v>
      </c>
      <c r="D180">
        <v>3776739</v>
      </c>
      <c r="E180">
        <v>0</v>
      </c>
      <c r="F180">
        <v>0</v>
      </c>
      <c r="G180">
        <v>0</v>
      </c>
      <c r="H180">
        <v>24274216</v>
      </c>
      <c r="I180">
        <v>88356624</v>
      </c>
      <c r="J180">
        <v>87142960</v>
      </c>
      <c r="K180">
        <v>0</v>
      </c>
      <c r="L180">
        <v>45219820</v>
      </c>
    </row>
    <row r="181" spans="1:12" x14ac:dyDescent="0.25">
      <c r="A181">
        <v>5327</v>
      </c>
      <c r="B181" s="1">
        <f>DATE(2018,12,1) + TIME(0,0,0)</f>
        <v>43435</v>
      </c>
      <c r="C181">
        <v>26248.533203125</v>
      </c>
      <c r="D181">
        <v>0</v>
      </c>
      <c r="E181">
        <v>0</v>
      </c>
      <c r="F181">
        <v>0</v>
      </c>
      <c r="G181">
        <v>0</v>
      </c>
      <c r="H181">
        <v>15126800</v>
      </c>
      <c r="I181">
        <v>111946408</v>
      </c>
      <c r="J181">
        <v>134349888</v>
      </c>
      <c r="K181">
        <v>0</v>
      </c>
      <c r="L181">
        <v>34923028</v>
      </c>
    </row>
    <row r="182" spans="1:12" x14ac:dyDescent="0.25">
      <c r="A182">
        <v>5358</v>
      </c>
      <c r="B182" s="1">
        <f>DATE(2019,1,1) + TIME(0,0,0)</f>
        <v>43466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22044946</v>
      </c>
      <c r="I182">
        <v>74996472</v>
      </c>
      <c r="J182">
        <v>93076976</v>
      </c>
      <c r="K182">
        <v>0</v>
      </c>
      <c r="L182">
        <v>22561302</v>
      </c>
    </row>
    <row r="183" spans="1:12" x14ac:dyDescent="0.25">
      <c r="A183">
        <v>5389</v>
      </c>
      <c r="B183" s="1">
        <f>DATE(2019,2,1) + TIME(0,0,0)</f>
        <v>43497</v>
      </c>
      <c r="C183">
        <v>868793.625</v>
      </c>
      <c r="D183">
        <v>0</v>
      </c>
      <c r="E183">
        <v>0</v>
      </c>
      <c r="F183">
        <v>0</v>
      </c>
      <c r="G183">
        <v>0</v>
      </c>
      <c r="H183">
        <v>59722300</v>
      </c>
      <c r="I183">
        <v>120783904</v>
      </c>
      <c r="J183">
        <v>111603576</v>
      </c>
      <c r="K183">
        <v>0</v>
      </c>
      <c r="L183">
        <v>54812412</v>
      </c>
    </row>
    <row r="184" spans="1:12" x14ac:dyDescent="0.25">
      <c r="A184">
        <v>5417</v>
      </c>
      <c r="B184" s="1">
        <f>DATE(2019,3,1) + TIME(0,0,0)</f>
        <v>43525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108899768</v>
      </c>
      <c r="I184">
        <v>132132280</v>
      </c>
      <c r="J184">
        <v>124720856</v>
      </c>
      <c r="K184">
        <v>0</v>
      </c>
      <c r="L184">
        <v>55442300</v>
      </c>
    </row>
    <row r="185" spans="1:12" x14ac:dyDescent="0.25">
      <c r="A185">
        <v>5448</v>
      </c>
      <c r="B185" s="1">
        <f>DATE(2019,4,1) + TIME(0,0,0)</f>
        <v>43556</v>
      </c>
      <c r="C185">
        <v>8419234</v>
      </c>
      <c r="D185">
        <v>0</v>
      </c>
      <c r="E185">
        <v>0</v>
      </c>
      <c r="F185">
        <v>0</v>
      </c>
      <c r="G185">
        <v>0</v>
      </c>
      <c r="H185">
        <v>117232280</v>
      </c>
      <c r="I185">
        <v>107019232</v>
      </c>
      <c r="J185">
        <v>111058168</v>
      </c>
      <c r="K185">
        <v>0</v>
      </c>
      <c r="L185">
        <v>44603600</v>
      </c>
    </row>
    <row r="186" spans="1:12" x14ac:dyDescent="0.25">
      <c r="A186">
        <v>5478</v>
      </c>
      <c r="B186" s="1">
        <f>DATE(2019,5,1) + TIME(0,0,0)</f>
        <v>43586</v>
      </c>
      <c r="C186">
        <v>51186640</v>
      </c>
      <c r="D186">
        <v>0</v>
      </c>
      <c r="E186">
        <v>0</v>
      </c>
      <c r="F186">
        <v>0</v>
      </c>
      <c r="G186">
        <v>0</v>
      </c>
      <c r="H186">
        <v>30729794</v>
      </c>
      <c r="I186">
        <v>52043244</v>
      </c>
      <c r="J186">
        <v>47603196</v>
      </c>
      <c r="K186">
        <v>0</v>
      </c>
      <c r="L186">
        <v>22846942</v>
      </c>
    </row>
    <row r="187" spans="1:12" x14ac:dyDescent="0.25">
      <c r="A187">
        <v>5509</v>
      </c>
      <c r="B187" s="1">
        <f>DATE(2019,6,1) + TIME(0,0,0)</f>
        <v>43617</v>
      </c>
      <c r="C187">
        <v>129600024</v>
      </c>
      <c r="D187">
        <v>0</v>
      </c>
      <c r="E187">
        <v>0</v>
      </c>
      <c r="F187">
        <v>9643724</v>
      </c>
      <c r="G187">
        <v>0</v>
      </c>
      <c r="H187">
        <v>51313084</v>
      </c>
      <c r="I187">
        <v>63733172</v>
      </c>
      <c r="J187">
        <v>71658288</v>
      </c>
      <c r="K187">
        <v>0</v>
      </c>
      <c r="L187">
        <v>36225532</v>
      </c>
    </row>
    <row r="188" spans="1:12" x14ac:dyDescent="0.25">
      <c r="A188">
        <v>5539</v>
      </c>
      <c r="B188" s="1">
        <f>DATE(2019,7,1) + TIME(0,0,0)</f>
        <v>43647</v>
      </c>
      <c r="C188">
        <v>101076688</v>
      </c>
      <c r="D188">
        <v>0</v>
      </c>
      <c r="E188">
        <v>0</v>
      </c>
      <c r="F188">
        <v>17384038</v>
      </c>
      <c r="G188">
        <v>0</v>
      </c>
      <c r="H188">
        <v>58106424</v>
      </c>
      <c r="I188">
        <v>101087096</v>
      </c>
      <c r="J188">
        <v>102403280</v>
      </c>
      <c r="K188">
        <v>0</v>
      </c>
      <c r="L188">
        <v>37496408</v>
      </c>
    </row>
    <row r="189" spans="1:12" x14ac:dyDescent="0.25">
      <c r="A189">
        <v>5570</v>
      </c>
      <c r="B189" s="1">
        <f>DATE(2019,8,1) + TIME(0,0,0)</f>
        <v>43678</v>
      </c>
      <c r="C189">
        <v>47412896</v>
      </c>
      <c r="D189">
        <v>0</v>
      </c>
      <c r="E189">
        <v>0</v>
      </c>
      <c r="F189">
        <v>20181880</v>
      </c>
      <c r="G189">
        <v>0</v>
      </c>
      <c r="H189">
        <v>22674414</v>
      </c>
      <c r="I189">
        <v>94171000</v>
      </c>
      <c r="J189">
        <v>96200504</v>
      </c>
      <c r="K189">
        <v>0</v>
      </c>
      <c r="L189">
        <v>23190226</v>
      </c>
    </row>
    <row r="190" spans="1:12" x14ac:dyDescent="0.25">
      <c r="A190">
        <v>5601</v>
      </c>
      <c r="B190" s="1">
        <f>DATE(2019,9,1) + TIME(0,0,0)</f>
        <v>43709</v>
      </c>
      <c r="C190">
        <v>15599.07421875</v>
      </c>
      <c r="D190">
        <v>0</v>
      </c>
      <c r="E190">
        <v>0</v>
      </c>
      <c r="F190">
        <v>0</v>
      </c>
      <c r="G190">
        <v>0</v>
      </c>
      <c r="H190">
        <v>5200060</v>
      </c>
      <c r="I190">
        <v>54307932</v>
      </c>
      <c r="J190">
        <v>78219344</v>
      </c>
      <c r="K190">
        <v>0</v>
      </c>
      <c r="L190">
        <v>5435270.5</v>
      </c>
    </row>
    <row r="191" spans="1:12" x14ac:dyDescent="0.25">
      <c r="A191">
        <v>5631</v>
      </c>
      <c r="B191" s="1">
        <f>DATE(2019,10,1) + TIME(0,0,0)</f>
        <v>43739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3540043</v>
      </c>
      <c r="I191">
        <v>68799720</v>
      </c>
      <c r="J191">
        <v>34403140</v>
      </c>
      <c r="K191">
        <v>0</v>
      </c>
      <c r="L191">
        <v>11362860</v>
      </c>
    </row>
    <row r="192" spans="1:12" x14ac:dyDescent="0.25">
      <c r="A192">
        <v>5662</v>
      </c>
      <c r="B192" s="1">
        <f>DATE(2019,11,1) + TIME(0,0,0)</f>
        <v>43770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22032266</v>
      </c>
      <c r="I192">
        <v>64080484</v>
      </c>
      <c r="J192">
        <v>63752044</v>
      </c>
      <c r="K192">
        <v>0</v>
      </c>
      <c r="L192">
        <v>12190754</v>
      </c>
    </row>
    <row r="193" spans="1:12" x14ac:dyDescent="0.25">
      <c r="A193">
        <v>5692</v>
      </c>
      <c r="B193" s="1">
        <f>DATE(2019,12,1) + TIME(0,0,0)</f>
        <v>43800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93120104</v>
      </c>
      <c r="I193">
        <v>75029984</v>
      </c>
      <c r="J193">
        <v>26219870</v>
      </c>
      <c r="K193">
        <v>0</v>
      </c>
      <c r="L193">
        <v>24369554</v>
      </c>
    </row>
    <row r="194" spans="1:12" x14ac:dyDescent="0.25">
      <c r="A194">
        <v>5723</v>
      </c>
      <c r="B194" s="1">
        <f>DATE(2020,1,1) + TIME(0,0,0)</f>
        <v>43831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140529264</v>
      </c>
      <c r="I194">
        <v>91048528</v>
      </c>
      <c r="J194">
        <v>48716504</v>
      </c>
      <c r="K194">
        <v>0</v>
      </c>
      <c r="L194">
        <v>38571112</v>
      </c>
    </row>
    <row r="195" spans="1:12" x14ac:dyDescent="0.25">
      <c r="A195">
        <v>5754</v>
      </c>
      <c r="B195" s="1">
        <f>DATE(2020,2,1) + TIME(0,0,0)</f>
        <v>43862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148429008</v>
      </c>
      <c r="I195">
        <v>107393432</v>
      </c>
      <c r="J195">
        <v>55774316</v>
      </c>
      <c r="K195">
        <v>0</v>
      </c>
      <c r="L195">
        <v>40196832</v>
      </c>
    </row>
    <row r="196" spans="1:12" x14ac:dyDescent="0.25">
      <c r="A196">
        <v>5783</v>
      </c>
      <c r="B196" s="1">
        <f>DATE(2020,3,1) + TIME(0,0,0)</f>
        <v>43891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167210592</v>
      </c>
      <c r="I196">
        <v>120317320</v>
      </c>
      <c r="J196">
        <v>61945080</v>
      </c>
      <c r="K196">
        <v>0</v>
      </c>
      <c r="L196">
        <v>40399556</v>
      </c>
    </row>
    <row r="197" spans="1:12" x14ac:dyDescent="0.25">
      <c r="A197">
        <v>5814</v>
      </c>
      <c r="B197" s="1">
        <f>DATE(2020,4,1) + TIME(0,0,0)</f>
        <v>43922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144868688</v>
      </c>
      <c r="I197">
        <v>113522080</v>
      </c>
      <c r="J197">
        <v>52220636</v>
      </c>
      <c r="K197">
        <v>0</v>
      </c>
      <c r="L197">
        <v>37461228</v>
      </c>
    </row>
    <row r="198" spans="1:12" x14ac:dyDescent="0.25">
      <c r="A198">
        <v>5844</v>
      </c>
      <c r="B198" s="1">
        <f>DATE(2020,5,1) + TIME(0,0,0)</f>
        <v>43952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189899840</v>
      </c>
      <c r="I198">
        <v>138533280</v>
      </c>
      <c r="J198">
        <v>75203656</v>
      </c>
      <c r="K198">
        <v>0</v>
      </c>
      <c r="L198">
        <v>51826960</v>
      </c>
    </row>
    <row r="199" spans="1:12" x14ac:dyDescent="0.25">
      <c r="A199">
        <v>5875</v>
      </c>
      <c r="B199" s="1">
        <f>DATE(2020,6,1) + TIME(0,0,0)</f>
        <v>43983</v>
      </c>
      <c r="C199">
        <v>23235372</v>
      </c>
      <c r="D199">
        <v>0</v>
      </c>
      <c r="E199">
        <v>0</v>
      </c>
      <c r="F199">
        <v>0</v>
      </c>
      <c r="G199">
        <v>28054846</v>
      </c>
      <c r="H199">
        <v>188087264</v>
      </c>
      <c r="I199">
        <v>136319104</v>
      </c>
      <c r="J199">
        <v>71199576</v>
      </c>
      <c r="K199">
        <v>0</v>
      </c>
      <c r="L199">
        <v>57206588</v>
      </c>
    </row>
    <row r="200" spans="1:12" x14ac:dyDescent="0.25">
      <c r="A200">
        <v>5905</v>
      </c>
      <c r="B200" s="1">
        <f>DATE(2020,7,1) + TIME(0,0,0)</f>
        <v>44013</v>
      </c>
      <c r="C200">
        <v>139546624</v>
      </c>
      <c r="D200">
        <v>0</v>
      </c>
      <c r="E200">
        <v>0</v>
      </c>
      <c r="F200">
        <v>83700016</v>
      </c>
      <c r="G200">
        <v>60356632</v>
      </c>
      <c r="H200">
        <v>169799952</v>
      </c>
      <c r="I200">
        <v>121395608</v>
      </c>
      <c r="J200">
        <v>55453288</v>
      </c>
      <c r="K200">
        <v>0</v>
      </c>
      <c r="L200">
        <v>50126300</v>
      </c>
    </row>
    <row r="201" spans="1:12" x14ac:dyDescent="0.25">
      <c r="A201">
        <v>5936</v>
      </c>
      <c r="B201" s="1">
        <f>DATE(2020,8,1) + TIME(0,0,0)</f>
        <v>44044</v>
      </c>
      <c r="C201">
        <v>0</v>
      </c>
      <c r="D201">
        <v>0</v>
      </c>
      <c r="E201">
        <v>0</v>
      </c>
      <c r="F201">
        <v>0</v>
      </c>
      <c r="G201">
        <v>6551597</v>
      </c>
      <c r="H201">
        <v>121338848</v>
      </c>
      <c r="I201">
        <v>111525360</v>
      </c>
      <c r="J201">
        <v>45944964</v>
      </c>
      <c r="K201">
        <v>0</v>
      </c>
      <c r="L201">
        <v>45784296</v>
      </c>
    </row>
    <row r="202" spans="1:12" x14ac:dyDescent="0.25">
      <c r="A202">
        <v>5967</v>
      </c>
      <c r="B202" s="1">
        <f>DATE(2020,9,1) + TIME(0,0,0)</f>
        <v>44075</v>
      </c>
      <c r="C202">
        <v>0</v>
      </c>
      <c r="D202">
        <v>0</v>
      </c>
      <c r="E202">
        <v>0</v>
      </c>
      <c r="F202">
        <v>0</v>
      </c>
      <c r="G202">
        <v>33996816</v>
      </c>
      <c r="H202">
        <v>76916016</v>
      </c>
      <c r="I202">
        <v>123290128</v>
      </c>
      <c r="J202">
        <v>47245116</v>
      </c>
      <c r="K202">
        <v>0</v>
      </c>
      <c r="L202">
        <v>52400260</v>
      </c>
    </row>
    <row r="203" spans="1:12" x14ac:dyDescent="0.25">
      <c r="A203">
        <v>5997</v>
      </c>
      <c r="B203" s="1">
        <f>DATE(2020,10,1) + TIME(0,0,0)</f>
        <v>44105</v>
      </c>
      <c r="C203">
        <v>0</v>
      </c>
      <c r="D203">
        <v>0</v>
      </c>
      <c r="E203">
        <v>0</v>
      </c>
      <c r="F203">
        <v>0</v>
      </c>
      <c r="G203">
        <v>40819960</v>
      </c>
      <c r="H203">
        <v>96493608</v>
      </c>
      <c r="I203">
        <v>115221024</v>
      </c>
      <c r="J203">
        <v>33530414</v>
      </c>
      <c r="K203">
        <v>0</v>
      </c>
      <c r="L203">
        <v>48002936</v>
      </c>
    </row>
    <row r="204" spans="1:12" x14ac:dyDescent="0.25">
      <c r="A204">
        <v>6028</v>
      </c>
      <c r="B204" s="1">
        <f>DATE(2020,11,1) + TIME(0,0,0)</f>
        <v>44136</v>
      </c>
      <c r="C204">
        <v>0</v>
      </c>
      <c r="D204">
        <v>0</v>
      </c>
      <c r="E204">
        <v>0</v>
      </c>
      <c r="F204">
        <v>0</v>
      </c>
      <c r="G204">
        <v>47703208</v>
      </c>
      <c r="H204">
        <v>125054840</v>
      </c>
      <c r="I204">
        <v>93669960</v>
      </c>
      <c r="J204">
        <v>30948846</v>
      </c>
      <c r="K204">
        <v>0</v>
      </c>
      <c r="L204">
        <v>37728652</v>
      </c>
    </row>
    <row r="205" spans="1:12" x14ac:dyDescent="0.25">
      <c r="A205">
        <v>6058</v>
      </c>
      <c r="B205" s="1">
        <f>DATE(2020,12,1) + TIME(0,0,0)</f>
        <v>44166</v>
      </c>
      <c r="C205">
        <v>0</v>
      </c>
      <c r="D205">
        <v>0</v>
      </c>
      <c r="E205">
        <v>0</v>
      </c>
      <c r="F205">
        <v>0</v>
      </c>
      <c r="G205">
        <v>5533323.5</v>
      </c>
      <c r="H205">
        <v>33863520</v>
      </c>
      <c r="I205">
        <v>90120736</v>
      </c>
      <c r="J205">
        <v>37439608</v>
      </c>
      <c r="K205">
        <v>0</v>
      </c>
      <c r="L205">
        <v>42979600</v>
      </c>
    </row>
    <row r="206" spans="1:12" x14ac:dyDescent="0.25">
      <c r="A206">
        <v>6089</v>
      </c>
      <c r="B206" s="1">
        <f>DATE(2021,1,1) + TIME(0,0,0)</f>
        <v>44197</v>
      </c>
      <c r="C206">
        <v>0</v>
      </c>
      <c r="D206">
        <v>0</v>
      </c>
      <c r="E206">
        <v>0</v>
      </c>
      <c r="F206">
        <v>0</v>
      </c>
      <c r="G206">
        <v>14732240</v>
      </c>
      <c r="H206">
        <v>103461312</v>
      </c>
      <c r="I206">
        <v>101483552</v>
      </c>
      <c r="J206">
        <v>41855320</v>
      </c>
      <c r="K206">
        <v>0</v>
      </c>
      <c r="L206">
        <v>39786700</v>
      </c>
    </row>
    <row r="207" spans="1:12" x14ac:dyDescent="0.25">
      <c r="A207">
        <v>6120</v>
      </c>
      <c r="B207" s="1">
        <f>DATE(2021,2,1) + TIME(0,0,0)</f>
        <v>44228</v>
      </c>
      <c r="C207">
        <v>0</v>
      </c>
      <c r="D207">
        <v>0</v>
      </c>
      <c r="E207">
        <v>0</v>
      </c>
      <c r="F207">
        <v>0</v>
      </c>
      <c r="G207">
        <v>67212896</v>
      </c>
      <c r="H207">
        <v>166254784</v>
      </c>
      <c r="I207">
        <v>105654600</v>
      </c>
      <c r="J207">
        <v>45661680</v>
      </c>
      <c r="K207">
        <v>0</v>
      </c>
      <c r="L207">
        <v>41042448</v>
      </c>
    </row>
    <row r="208" spans="1:12" x14ac:dyDescent="0.25">
      <c r="A208">
        <v>6148</v>
      </c>
      <c r="B208" s="1">
        <f>DATE(2021,3,1) + TIME(0,0,0)</f>
        <v>44256</v>
      </c>
      <c r="C208">
        <v>12957109</v>
      </c>
      <c r="D208">
        <v>0</v>
      </c>
      <c r="E208">
        <v>0</v>
      </c>
      <c r="F208">
        <v>0</v>
      </c>
      <c r="G208">
        <v>95446432</v>
      </c>
      <c r="H208">
        <v>151107232</v>
      </c>
      <c r="I208">
        <v>97124360</v>
      </c>
      <c r="J208">
        <v>37549788</v>
      </c>
      <c r="K208">
        <v>0</v>
      </c>
      <c r="L208">
        <v>36214492</v>
      </c>
    </row>
    <row r="209" spans="1:12" x14ac:dyDescent="0.25">
      <c r="A209">
        <v>6179</v>
      </c>
      <c r="B209" s="1">
        <f>DATE(2021,4,1) + TIME(0,0,0)</f>
        <v>44287</v>
      </c>
      <c r="C209">
        <v>32700106</v>
      </c>
      <c r="D209">
        <v>0</v>
      </c>
      <c r="E209">
        <v>0</v>
      </c>
      <c r="F209">
        <v>0</v>
      </c>
      <c r="G209">
        <v>49432264</v>
      </c>
      <c r="H209">
        <v>74342096</v>
      </c>
      <c r="I209">
        <v>44887912</v>
      </c>
      <c r="J209">
        <v>13544804</v>
      </c>
      <c r="K209">
        <v>0</v>
      </c>
      <c r="L209">
        <v>16580605</v>
      </c>
    </row>
    <row r="210" spans="1:12" x14ac:dyDescent="0.25">
      <c r="A210">
        <v>6209</v>
      </c>
      <c r="B210" s="1">
        <f>DATE(2021,5,1) + TIME(0,0,0)</f>
        <v>44317</v>
      </c>
      <c r="C210">
        <v>57056688</v>
      </c>
      <c r="D210">
        <v>0</v>
      </c>
      <c r="E210">
        <v>0</v>
      </c>
      <c r="F210">
        <v>0</v>
      </c>
      <c r="G210">
        <v>110963336</v>
      </c>
      <c r="H210">
        <v>116259768</v>
      </c>
      <c r="I210">
        <v>89410760</v>
      </c>
      <c r="J210">
        <v>40287168</v>
      </c>
      <c r="K210">
        <v>0</v>
      </c>
      <c r="L210">
        <v>17963406</v>
      </c>
    </row>
    <row r="211" spans="1:12" x14ac:dyDescent="0.25">
      <c r="A211">
        <v>6240</v>
      </c>
      <c r="B211" s="1">
        <f>DATE(2021,6,1) + TIME(0,0,0)</f>
        <v>44348</v>
      </c>
      <c r="C211">
        <v>197458160</v>
      </c>
      <c r="D211">
        <v>0</v>
      </c>
      <c r="E211">
        <v>0</v>
      </c>
      <c r="F211">
        <v>176064496</v>
      </c>
      <c r="G211">
        <v>100993608</v>
      </c>
      <c r="H211">
        <v>124300120</v>
      </c>
      <c r="I211">
        <v>80393648</v>
      </c>
      <c r="J211">
        <v>15313233</v>
      </c>
      <c r="K211">
        <v>0</v>
      </c>
      <c r="L211">
        <v>28699482</v>
      </c>
    </row>
    <row r="212" spans="1:12" x14ac:dyDescent="0.25">
      <c r="A212">
        <v>6270</v>
      </c>
      <c r="B212" s="1">
        <f>DATE(2021,7,1) + TIME(0,0,0)</f>
        <v>44378</v>
      </c>
      <c r="C212">
        <v>115823328</v>
      </c>
      <c r="D212">
        <v>0</v>
      </c>
      <c r="E212">
        <v>0</v>
      </c>
      <c r="F212">
        <v>85256728</v>
      </c>
      <c r="G212">
        <v>94803352</v>
      </c>
      <c r="H212">
        <v>133590232</v>
      </c>
      <c r="I212">
        <v>73395952</v>
      </c>
      <c r="J212">
        <v>16413483</v>
      </c>
      <c r="K212">
        <v>0</v>
      </c>
      <c r="L212">
        <v>28239462</v>
      </c>
    </row>
    <row r="213" spans="1:12" x14ac:dyDescent="0.25">
      <c r="A213">
        <v>6301</v>
      </c>
      <c r="B213" s="1">
        <f>DATE(2021,8,1) + TIME(0,0,0)</f>
        <v>44409</v>
      </c>
      <c r="C213">
        <v>226877440</v>
      </c>
      <c r="D213">
        <v>0</v>
      </c>
      <c r="E213">
        <v>0</v>
      </c>
      <c r="F213">
        <v>178403312</v>
      </c>
      <c r="G213">
        <v>92019392</v>
      </c>
      <c r="H213">
        <v>97709448</v>
      </c>
      <c r="I213">
        <v>76486856</v>
      </c>
      <c r="J213">
        <v>20648076</v>
      </c>
      <c r="K213">
        <v>0</v>
      </c>
      <c r="L213">
        <v>28183652</v>
      </c>
    </row>
    <row r="214" spans="1:12" x14ac:dyDescent="0.25">
      <c r="A214">
        <v>6332</v>
      </c>
      <c r="B214" s="1">
        <f>DATE(2021,9,1) + TIME(0,0,0)</f>
        <v>44440</v>
      </c>
      <c r="C214">
        <v>234541984</v>
      </c>
      <c r="D214">
        <v>0</v>
      </c>
      <c r="E214">
        <v>0</v>
      </c>
      <c r="F214">
        <v>200877424</v>
      </c>
      <c r="G214">
        <v>125716160</v>
      </c>
      <c r="H214">
        <v>143067728</v>
      </c>
      <c r="I214">
        <v>83051024</v>
      </c>
      <c r="J214">
        <v>24661622</v>
      </c>
      <c r="K214">
        <v>0</v>
      </c>
      <c r="L214">
        <v>29845306</v>
      </c>
    </row>
    <row r="215" spans="1:12" x14ac:dyDescent="0.25">
      <c r="A215">
        <v>6362</v>
      </c>
      <c r="B215" s="1">
        <f>DATE(2021,10,1) + TIME(0,0,0)</f>
        <v>44470</v>
      </c>
      <c r="C215">
        <v>32116796</v>
      </c>
      <c r="D215">
        <v>0</v>
      </c>
      <c r="E215">
        <v>0</v>
      </c>
      <c r="F215">
        <v>91680016</v>
      </c>
      <c r="G215">
        <v>64510020</v>
      </c>
      <c r="H215">
        <v>71216912</v>
      </c>
      <c r="I215">
        <v>68576872</v>
      </c>
      <c r="J215">
        <v>21139730</v>
      </c>
      <c r="K215">
        <v>0</v>
      </c>
      <c r="L215">
        <v>27119890</v>
      </c>
    </row>
    <row r="216" spans="1:12" x14ac:dyDescent="0.25">
      <c r="A216">
        <v>6393</v>
      </c>
      <c r="B216" s="1">
        <f>DATE(2021,11,1) + TIME(0,0,0)</f>
        <v>44501</v>
      </c>
      <c r="C216">
        <v>35654736</v>
      </c>
      <c r="D216">
        <v>0</v>
      </c>
      <c r="E216">
        <v>0</v>
      </c>
      <c r="F216">
        <v>1.2305474683671491E-7</v>
      </c>
      <c r="G216">
        <v>52232252</v>
      </c>
      <c r="H216">
        <v>96177256</v>
      </c>
      <c r="I216">
        <v>74034552</v>
      </c>
      <c r="J216">
        <v>31323036</v>
      </c>
      <c r="K216">
        <v>0</v>
      </c>
      <c r="L216">
        <v>31067234</v>
      </c>
    </row>
    <row r="217" spans="1:12" x14ac:dyDescent="0.25">
      <c r="A217">
        <v>6423</v>
      </c>
      <c r="B217" s="1">
        <f>DATE(2021,12,1) + TIME(0,0,0)</f>
        <v>44531</v>
      </c>
      <c r="C217">
        <v>5.0862632861026214E-7</v>
      </c>
      <c r="D217">
        <v>0</v>
      </c>
      <c r="E217">
        <v>0</v>
      </c>
      <c r="F217">
        <v>0</v>
      </c>
      <c r="G217">
        <v>34140024</v>
      </c>
      <c r="H217">
        <v>84780072</v>
      </c>
      <c r="I217">
        <v>83796512</v>
      </c>
      <c r="J217">
        <v>32603068</v>
      </c>
      <c r="K217">
        <v>0</v>
      </c>
      <c r="L217">
        <v>30091946</v>
      </c>
    </row>
    <row r="218" spans="1:12" x14ac:dyDescent="0.25">
      <c r="A218">
        <v>6454</v>
      </c>
      <c r="B218" s="1">
        <f>DATE(2022,1,1) + TIME(0,0,0)</f>
        <v>44562</v>
      </c>
      <c r="C218">
        <v>4.9221898734685965E-7</v>
      </c>
      <c r="D218">
        <v>0</v>
      </c>
      <c r="E218">
        <v>0</v>
      </c>
      <c r="F218">
        <v>0</v>
      </c>
      <c r="G218">
        <v>29012886</v>
      </c>
      <c r="H218">
        <v>109454632</v>
      </c>
      <c r="I218">
        <v>92374048</v>
      </c>
      <c r="J218">
        <v>41603732</v>
      </c>
      <c r="K218">
        <v>0</v>
      </c>
      <c r="L218">
        <v>32524884</v>
      </c>
    </row>
    <row r="219" spans="1:12" x14ac:dyDescent="0.25">
      <c r="A219">
        <v>6485</v>
      </c>
      <c r="B219" s="1">
        <f>DATE(2022,2,1) + TIME(0,0,0)</f>
        <v>44593</v>
      </c>
      <c r="C219">
        <v>4.9221898734685965E-7</v>
      </c>
      <c r="D219">
        <v>0</v>
      </c>
      <c r="E219">
        <v>0</v>
      </c>
      <c r="F219">
        <v>0</v>
      </c>
      <c r="G219">
        <v>52790272</v>
      </c>
      <c r="H219">
        <v>144012720</v>
      </c>
      <c r="I219">
        <v>85657664</v>
      </c>
      <c r="J219">
        <v>32241598</v>
      </c>
      <c r="K219">
        <v>0</v>
      </c>
      <c r="L219">
        <v>26453290</v>
      </c>
    </row>
    <row r="220" spans="1:12" x14ac:dyDescent="0.25">
      <c r="A220">
        <v>6513</v>
      </c>
      <c r="B220" s="1">
        <f>DATE(2022,3,1) + TIME(0,0,0)</f>
        <v>44621</v>
      </c>
      <c r="C220">
        <v>5.4495677659360808E-7</v>
      </c>
      <c r="D220">
        <v>0</v>
      </c>
      <c r="E220">
        <v>0</v>
      </c>
      <c r="F220">
        <v>0</v>
      </c>
      <c r="G220">
        <v>33874940</v>
      </c>
      <c r="H220">
        <v>163239056</v>
      </c>
      <c r="I220">
        <v>93943512</v>
      </c>
      <c r="J220">
        <v>41332152</v>
      </c>
      <c r="K220">
        <v>0</v>
      </c>
      <c r="L220">
        <v>27597678</v>
      </c>
    </row>
    <row r="221" spans="1:12" x14ac:dyDescent="0.25">
      <c r="A221">
        <v>6544</v>
      </c>
      <c r="B221" s="1">
        <f>DATE(2022,4,1) + TIME(0,0,0)</f>
        <v>44652</v>
      </c>
      <c r="C221">
        <v>4.9221898734685965E-7</v>
      </c>
      <c r="D221">
        <v>0</v>
      </c>
      <c r="E221">
        <v>0</v>
      </c>
      <c r="F221">
        <v>0</v>
      </c>
      <c r="G221">
        <v>6302220</v>
      </c>
      <c r="H221">
        <v>5996460</v>
      </c>
      <c r="I221">
        <v>3.9377518987748772E-6</v>
      </c>
      <c r="J221">
        <v>5568880</v>
      </c>
      <c r="K221">
        <v>0</v>
      </c>
      <c r="L221">
        <v>0</v>
      </c>
    </row>
    <row r="222" spans="1:12" x14ac:dyDescent="0.25">
      <c r="A222">
        <v>6574</v>
      </c>
      <c r="B222" s="1">
        <f>DATE(2022,5,1) + TIME(0,0,0)</f>
        <v>44682</v>
      </c>
      <c r="C222">
        <v>0</v>
      </c>
      <c r="D222">
        <v>0</v>
      </c>
      <c r="E222">
        <v>0</v>
      </c>
      <c r="F222">
        <v>0</v>
      </c>
      <c r="G222">
        <v>85837200</v>
      </c>
      <c r="H222">
        <v>83150304</v>
      </c>
      <c r="I222">
        <v>0</v>
      </c>
      <c r="J222">
        <v>54202100</v>
      </c>
      <c r="K222">
        <v>0</v>
      </c>
      <c r="L222">
        <v>0</v>
      </c>
    </row>
    <row r="223" spans="1:12" x14ac:dyDescent="0.25">
      <c r="A223">
        <v>6605</v>
      </c>
      <c r="B223" s="1">
        <f>DATE(2022,6,1) + TIME(0,0,0)</f>
        <v>44713</v>
      </c>
      <c r="C223">
        <v>0</v>
      </c>
      <c r="D223">
        <v>0</v>
      </c>
      <c r="E223">
        <v>0</v>
      </c>
      <c r="F223">
        <v>0</v>
      </c>
      <c r="G223">
        <v>107133000</v>
      </c>
      <c r="H223">
        <v>103467000</v>
      </c>
      <c r="I223">
        <v>0</v>
      </c>
      <c r="J223">
        <v>56487900</v>
      </c>
      <c r="K223">
        <v>0</v>
      </c>
      <c r="L223">
        <v>0</v>
      </c>
    </row>
    <row r="224" spans="1:12" x14ac:dyDescent="0.25">
      <c r="A224">
        <v>6635</v>
      </c>
      <c r="B224" s="1">
        <f>DATE(2022,7,1) + TIME(0,0,0)</f>
        <v>44743</v>
      </c>
      <c r="C224">
        <v>0</v>
      </c>
      <c r="D224">
        <v>0</v>
      </c>
      <c r="E224">
        <v>0</v>
      </c>
      <c r="F224">
        <v>0</v>
      </c>
      <c r="G224">
        <v>99533112</v>
      </c>
      <c r="H224">
        <v>95912800</v>
      </c>
      <c r="I224">
        <v>0</v>
      </c>
      <c r="J224">
        <v>48999800</v>
      </c>
      <c r="K224">
        <v>0</v>
      </c>
      <c r="L224">
        <v>0</v>
      </c>
    </row>
    <row r="225" spans="1:12" x14ac:dyDescent="0.25">
      <c r="A225">
        <v>6666</v>
      </c>
      <c r="B225" s="1">
        <f>DATE(2022,8,1) + TIME(0,0,0)</f>
        <v>44774</v>
      </c>
      <c r="C225">
        <v>0</v>
      </c>
      <c r="D225">
        <v>0</v>
      </c>
      <c r="E225">
        <v>0</v>
      </c>
      <c r="F225">
        <v>0</v>
      </c>
      <c r="G225">
        <v>103245000</v>
      </c>
      <c r="H225">
        <v>99834600</v>
      </c>
      <c r="I225">
        <v>0</v>
      </c>
      <c r="J225">
        <v>53571400</v>
      </c>
      <c r="K225">
        <v>0</v>
      </c>
      <c r="L225">
        <v>0</v>
      </c>
    </row>
    <row r="226" spans="1:12" x14ac:dyDescent="0.25">
      <c r="A226">
        <v>6697</v>
      </c>
      <c r="B226" s="1">
        <f>DATE(2022,9,1) + TIME(0,0,0)</f>
        <v>44805</v>
      </c>
      <c r="C226">
        <v>0</v>
      </c>
      <c r="D226">
        <v>0</v>
      </c>
      <c r="E226">
        <v>0</v>
      </c>
      <c r="F226">
        <v>0</v>
      </c>
      <c r="G226">
        <v>111504000</v>
      </c>
      <c r="H226">
        <v>107875000</v>
      </c>
      <c r="I226">
        <v>0</v>
      </c>
      <c r="J226">
        <v>56810300</v>
      </c>
      <c r="K226">
        <v>0</v>
      </c>
      <c r="L226">
        <v>0</v>
      </c>
    </row>
    <row r="227" spans="1:12" x14ac:dyDescent="0.25">
      <c r="A227">
        <v>6727</v>
      </c>
      <c r="B227" s="1">
        <f>DATE(2022,10,1) + TIME(0,0,0)</f>
        <v>44835</v>
      </c>
      <c r="C227">
        <v>0</v>
      </c>
      <c r="D227">
        <v>0</v>
      </c>
      <c r="E227">
        <v>0</v>
      </c>
      <c r="F227">
        <v>0</v>
      </c>
      <c r="G227">
        <v>111476000</v>
      </c>
      <c r="H227">
        <v>107675000</v>
      </c>
      <c r="I227">
        <v>0</v>
      </c>
      <c r="J227">
        <v>56779900</v>
      </c>
      <c r="K227">
        <v>0</v>
      </c>
      <c r="L227">
        <v>0</v>
      </c>
    </row>
    <row r="228" spans="1:12" x14ac:dyDescent="0.25">
      <c r="A228">
        <v>6758</v>
      </c>
      <c r="B228" s="1">
        <f>DATE(2022,11,1) + TIME(0,0,0)</f>
        <v>44866</v>
      </c>
      <c r="C228">
        <v>0</v>
      </c>
      <c r="D228">
        <v>0</v>
      </c>
      <c r="E228">
        <v>0</v>
      </c>
      <c r="F228">
        <v>0</v>
      </c>
      <c r="G228">
        <v>109482000</v>
      </c>
      <c r="H228">
        <v>105742000</v>
      </c>
      <c r="I228">
        <v>0</v>
      </c>
      <c r="J228">
        <v>56765600</v>
      </c>
      <c r="K228">
        <v>0</v>
      </c>
      <c r="L228">
        <v>0</v>
      </c>
    </row>
    <row r="229" spans="1:12" x14ac:dyDescent="0.25">
      <c r="A229">
        <v>6788</v>
      </c>
      <c r="B229" s="1">
        <f>DATE(2022,12,1) + TIME(0,0,0)</f>
        <v>44896</v>
      </c>
      <c r="C229">
        <v>0</v>
      </c>
      <c r="D229">
        <v>0</v>
      </c>
      <c r="E229">
        <v>0</v>
      </c>
      <c r="F229">
        <v>0</v>
      </c>
      <c r="G229">
        <v>109475000</v>
      </c>
      <c r="H229">
        <v>105724000</v>
      </c>
      <c r="I229">
        <v>0</v>
      </c>
      <c r="J229">
        <v>56752700</v>
      </c>
      <c r="K229">
        <v>0</v>
      </c>
      <c r="L229">
        <v>0</v>
      </c>
    </row>
    <row r="230" spans="1:12" x14ac:dyDescent="0.25">
      <c r="A230">
        <v>6819</v>
      </c>
      <c r="B230" s="1">
        <f>DATE(2023,1,1) + TIME(0,0,0)</f>
        <v>44927</v>
      </c>
      <c r="C230">
        <v>0</v>
      </c>
      <c r="D230">
        <v>0</v>
      </c>
      <c r="E230">
        <v>0</v>
      </c>
      <c r="F230">
        <v>0</v>
      </c>
      <c r="G230">
        <v>109306000</v>
      </c>
      <c r="H230">
        <v>105561000</v>
      </c>
      <c r="I230">
        <v>0</v>
      </c>
      <c r="J230">
        <v>56701500</v>
      </c>
      <c r="K230">
        <v>0</v>
      </c>
      <c r="L230">
        <v>0</v>
      </c>
    </row>
    <row r="231" spans="1:12" x14ac:dyDescent="0.25">
      <c r="A231">
        <v>6850</v>
      </c>
      <c r="B231" s="1">
        <f>DATE(2023,2,1) + TIME(0,0,0)</f>
        <v>44958</v>
      </c>
      <c r="C231">
        <v>0</v>
      </c>
      <c r="D231">
        <v>0</v>
      </c>
      <c r="E231">
        <v>0</v>
      </c>
      <c r="F231">
        <v>0</v>
      </c>
      <c r="G231">
        <v>112345008</v>
      </c>
      <c r="H231">
        <v>108530000</v>
      </c>
      <c r="I231">
        <v>0</v>
      </c>
      <c r="J231">
        <v>56686000</v>
      </c>
      <c r="K231">
        <v>0</v>
      </c>
      <c r="L231">
        <v>0</v>
      </c>
    </row>
    <row r="232" spans="1:12" x14ac:dyDescent="0.25">
      <c r="A232">
        <v>6878</v>
      </c>
      <c r="B232" s="1">
        <f>DATE(2023,3,1) + TIME(0,0,0)</f>
        <v>44986</v>
      </c>
      <c r="C232">
        <v>0</v>
      </c>
      <c r="D232">
        <v>0</v>
      </c>
      <c r="E232">
        <v>0</v>
      </c>
      <c r="F232">
        <v>0</v>
      </c>
      <c r="G232">
        <v>106167000</v>
      </c>
      <c r="H232">
        <v>102558000</v>
      </c>
      <c r="I232">
        <v>0</v>
      </c>
      <c r="J232">
        <v>56642200</v>
      </c>
      <c r="K232">
        <v>0</v>
      </c>
      <c r="L232">
        <v>0</v>
      </c>
    </row>
    <row r="233" spans="1:12" x14ac:dyDescent="0.25">
      <c r="A233">
        <v>6909</v>
      </c>
      <c r="B233" s="1">
        <f>DATE(2023,4,1) + TIME(0,0,0)</f>
        <v>45017</v>
      </c>
      <c r="C233">
        <v>0</v>
      </c>
      <c r="D233">
        <v>0</v>
      </c>
      <c r="E233">
        <v>0</v>
      </c>
      <c r="F233">
        <v>0</v>
      </c>
      <c r="G233">
        <v>125661000</v>
      </c>
      <c r="H233">
        <v>0</v>
      </c>
      <c r="I233">
        <v>75300600</v>
      </c>
      <c r="J233">
        <v>69856296</v>
      </c>
      <c r="K233">
        <v>0</v>
      </c>
      <c r="L233">
        <v>0</v>
      </c>
    </row>
    <row r="234" spans="1:12" x14ac:dyDescent="0.25">
      <c r="A234">
        <v>6939</v>
      </c>
      <c r="B234" s="1">
        <f>DATE(2023,5,1) + TIME(0,0,0)</f>
        <v>45047</v>
      </c>
      <c r="C234">
        <v>0</v>
      </c>
      <c r="D234">
        <v>0</v>
      </c>
      <c r="E234">
        <v>0</v>
      </c>
      <c r="F234">
        <v>0</v>
      </c>
      <c r="G234">
        <v>128301000</v>
      </c>
      <c r="H234">
        <v>0</v>
      </c>
      <c r="I234">
        <v>75321800</v>
      </c>
      <c r="J234">
        <v>71943400</v>
      </c>
      <c r="K234">
        <v>0</v>
      </c>
      <c r="L234">
        <v>0</v>
      </c>
    </row>
    <row r="235" spans="1:12" x14ac:dyDescent="0.25">
      <c r="A235">
        <v>6970</v>
      </c>
      <c r="B235" s="1">
        <f>DATE(2023,6,1) + TIME(0,0,0)</f>
        <v>45078</v>
      </c>
      <c r="C235">
        <v>0</v>
      </c>
      <c r="D235">
        <v>0</v>
      </c>
      <c r="E235">
        <v>0</v>
      </c>
      <c r="F235">
        <v>0</v>
      </c>
      <c r="G235">
        <v>118245000</v>
      </c>
      <c r="H235">
        <v>0</v>
      </c>
      <c r="I235">
        <v>71383200</v>
      </c>
      <c r="J235">
        <v>75526088</v>
      </c>
      <c r="K235">
        <v>0</v>
      </c>
      <c r="L235">
        <v>0</v>
      </c>
    </row>
    <row r="236" spans="1:12" x14ac:dyDescent="0.25">
      <c r="A236">
        <v>7000</v>
      </c>
      <c r="B236" s="1">
        <f>DATE(2023,7,1) + TIME(0,0,0)</f>
        <v>45108</v>
      </c>
      <c r="C236">
        <v>0</v>
      </c>
      <c r="D236">
        <v>0</v>
      </c>
      <c r="E236">
        <v>0</v>
      </c>
      <c r="F236">
        <v>0</v>
      </c>
      <c r="G236">
        <v>134195000</v>
      </c>
      <c r="H236">
        <v>0</v>
      </c>
      <c r="I236">
        <v>75486808</v>
      </c>
      <c r="J236">
        <v>75471104</v>
      </c>
      <c r="K236">
        <v>0</v>
      </c>
      <c r="L236">
        <v>0</v>
      </c>
    </row>
    <row r="237" spans="1:12" x14ac:dyDescent="0.25">
      <c r="A237">
        <v>7031</v>
      </c>
      <c r="B237" s="1">
        <f>DATE(2023,8,1) + TIME(0,0,0)</f>
        <v>45139</v>
      </c>
      <c r="C237">
        <v>0</v>
      </c>
      <c r="D237">
        <v>0</v>
      </c>
      <c r="E237">
        <v>0</v>
      </c>
      <c r="F237">
        <v>0</v>
      </c>
      <c r="G237">
        <v>142120000</v>
      </c>
      <c r="H237">
        <v>0</v>
      </c>
      <c r="I237">
        <v>73580696</v>
      </c>
      <c r="J237">
        <v>75495696</v>
      </c>
      <c r="K237">
        <v>0</v>
      </c>
      <c r="L237">
        <v>0</v>
      </c>
    </row>
    <row r="238" spans="1:12" x14ac:dyDescent="0.25">
      <c r="A238">
        <v>7062</v>
      </c>
      <c r="B238" s="1">
        <f>DATE(2023,9,1) + TIME(0,0,0)</f>
        <v>45170</v>
      </c>
      <c r="C238">
        <v>0</v>
      </c>
      <c r="D238">
        <v>0</v>
      </c>
      <c r="E238">
        <v>0</v>
      </c>
      <c r="F238">
        <v>0</v>
      </c>
      <c r="G238">
        <v>145034000</v>
      </c>
      <c r="H238">
        <v>0</v>
      </c>
      <c r="I238">
        <v>75187000</v>
      </c>
      <c r="J238">
        <v>75502496</v>
      </c>
      <c r="K238">
        <v>0</v>
      </c>
      <c r="L238">
        <v>0</v>
      </c>
    </row>
    <row r="239" spans="1:12" x14ac:dyDescent="0.25">
      <c r="A239">
        <v>7092</v>
      </c>
      <c r="B239" s="1">
        <f>DATE(2023,10,1) + TIME(0,0,0)</f>
        <v>45200</v>
      </c>
      <c r="C239">
        <v>0</v>
      </c>
      <c r="D239">
        <v>0</v>
      </c>
      <c r="E239">
        <v>0</v>
      </c>
      <c r="F239">
        <v>0</v>
      </c>
      <c r="G239">
        <v>149512000</v>
      </c>
      <c r="H239">
        <v>0</v>
      </c>
      <c r="I239">
        <v>75490400</v>
      </c>
      <c r="J239">
        <v>75513600</v>
      </c>
      <c r="K239">
        <v>0</v>
      </c>
      <c r="L239">
        <v>0</v>
      </c>
    </row>
    <row r="240" spans="1:12" x14ac:dyDescent="0.25">
      <c r="A240">
        <v>7123</v>
      </c>
      <c r="B240" s="1">
        <f>DATE(2023,11,1) + TIME(0,0,0)</f>
        <v>45231</v>
      </c>
      <c r="C240">
        <v>0</v>
      </c>
      <c r="D240">
        <v>0</v>
      </c>
      <c r="E240">
        <v>0</v>
      </c>
      <c r="F240">
        <v>0</v>
      </c>
      <c r="G240">
        <v>153893008</v>
      </c>
      <c r="H240">
        <v>0</v>
      </c>
      <c r="I240">
        <v>75490888</v>
      </c>
      <c r="J240">
        <v>75487296</v>
      </c>
      <c r="K240">
        <v>0</v>
      </c>
      <c r="L240">
        <v>0</v>
      </c>
    </row>
    <row r="241" spans="1:12" x14ac:dyDescent="0.25">
      <c r="A241">
        <v>7153</v>
      </c>
      <c r="B241" s="1">
        <f>DATE(2023,12,1) + TIME(0,0,0)</f>
        <v>45261</v>
      </c>
      <c r="C241">
        <v>0</v>
      </c>
      <c r="D241">
        <v>0</v>
      </c>
      <c r="E241">
        <v>0</v>
      </c>
      <c r="F241">
        <v>0</v>
      </c>
      <c r="G241">
        <v>157994000</v>
      </c>
      <c r="H241">
        <v>0</v>
      </c>
      <c r="I241">
        <v>75484000</v>
      </c>
      <c r="J241">
        <v>75496000</v>
      </c>
      <c r="K241">
        <v>0</v>
      </c>
      <c r="L241">
        <v>0</v>
      </c>
    </row>
    <row r="242" spans="1:12" x14ac:dyDescent="0.25">
      <c r="A242">
        <v>7184</v>
      </c>
      <c r="B242" s="1">
        <f>DATE(2024,1,1) + TIME(0,0,0)</f>
        <v>45292</v>
      </c>
      <c r="C242">
        <v>0</v>
      </c>
      <c r="D242">
        <v>0</v>
      </c>
      <c r="E242">
        <v>0</v>
      </c>
      <c r="F242">
        <v>0</v>
      </c>
      <c r="G242">
        <v>162324000</v>
      </c>
      <c r="H242">
        <v>0</v>
      </c>
      <c r="I242">
        <v>75498000</v>
      </c>
      <c r="J242">
        <v>75483600</v>
      </c>
      <c r="K242">
        <v>0</v>
      </c>
      <c r="L242">
        <v>0</v>
      </c>
    </row>
    <row r="243" spans="1:12" x14ac:dyDescent="0.25">
      <c r="A243">
        <v>7215</v>
      </c>
      <c r="B243" s="1">
        <f>DATE(2024,2,1) + TIME(0,0,0)</f>
        <v>45323</v>
      </c>
      <c r="C243">
        <v>0</v>
      </c>
      <c r="D243">
        <v>0</v>
      </c>
      <c r="E243">
        <v>0</v>
      </c>
      <c r="F243">
        <v>0</v>
      </c>
      <c r="G243">
        <v>144918000</v>
      </c>
      <c r="H243">
        <v>0</v>
      </c>
      <c r="I243">
        <v>74812304</v>
      </c>
      <c r="J243">
        <v>75492800</v>
      </c>
      <c r="K243">
        <v>0</v>
      </c>
      <c r="L243">
        <v>0</v>
      </c>
    </row>
    <row r="244" spans="1:12" x14ac:dyDescent="0.25">
      <c r="A244">
        <v>7244</v>
      </c>
      <c r="B244" s="1">
        <f>DATE(2024,3,1) + TIME(0,0,0)</f>
        <v>45352</v>
      </c>
      <c r="C244">
        <v>0</v>
      </c>
      <c r="D244">
        <v>0</v>
      </c>
      <c r="E244">
        <v>0</v>
      </c>
      <c r="F244">
        <v>0</v>
      </c>
      <c r="G244">
        <v>144830000</v>
      </c>
      <c r="H244">
        <v>0</v>
      </c>
      <c r="I244">
        <v>74686304</v>
      </c>
      <c r="J244">
        <v>75444600</v>
      </c>
      <c r="K244">
        <v>0</v>
      </c>
      <c r="L244">
        <v>0</v>
      </c>
    </row>
    <row r="245" spans="1:12" x14ac:dyDescent="0.25">
      <c r="A245">
        <v>7275</v>
      </c>
      <c r="B245" s="1">
        <f>DATE(2024,4,1) + TIME(0,0,0)</f>
        <v>45383</v>
      </c>
      <c r="C245">
        <v>0</v>
      </c>
      <c r="D245">
        <v>0</v>
      </c>
      <c r="E245">
        <v>0</v>
      </c>
      <c r="F245">
        <v>0</v>
      </c>
      <c r="G245">
        <v>147706000</v>
      </c>
      <c r="H245">
        <v>0</v>
      </c>
      <c r="I245">
        <v>75513600</v>
      </c>
      <c r="J245">
        <v>75484200</v>
      </c>
      <c r="K245">
        <v>0</v>
      </c>
      <c r="L245">
        <v>0</v>
      </c>
    </row>
    <row r="246" spans="1:12" x14ac:dyDescent="0.25">
      <c r="A246">
        <v>7305</v>
      </c>
      <c r="B246" s="1">
        <f>DATE(2024,5,1) + TIME(0,0,0)</f>
        <v>45413</v>
      </c>
      <c r="C246">
        <v>0</v>
      </c>
      <c r="D246">
        <v>0</v>
      </c>
      <c r="E246">
        <v>0</v>
      </c>
      <c r="F246">
        <v>0</v>
      </c>
      <c r="G246">
        <v>141666000</v>
      </c>
      <c r="H246">
        <v>0</v>
      </c>
      <c r="I246">
        <v>72781600</v>
      </c>
      <c r="J246">
        <v>75478712</v>
      </c>
      <c r="K246">
        <v>0</v>
      </c>
      <c r="L246">
        <v>0</v>
      </c>
    </row>
    <row r="247" spans="1:12" x14ac:dyDescent="0.25">
      <c r="A247">
        <v>7336</v>
      </c>
      <c r="B247" s="1">
        <f>DATE(2024,6,1) + TIME(0,0,0)</f>
        <v>45444</v>
      </c>
      <c r="C247">
        <v>0</v>
      </c>
      <c r="D247">
        <v>0</v>
      </c>
      <c r="E247">
        <v>0</v>
      </c>
      <c r="F247">
        <v>0</v>
      </c>
      <c r="G247">
        <v>136989008</v>
      </c>
      <c r="H247">
        <v>0</v>
      </c>
      <c r="I247">
        <v>75461096</v>
      </c>
      <c r="J247">
        <v>75455304</v>
      </c>
      <c r="K247">
        <v>0</v>
      </c>
      <c r="L247">
        <v>0</v>
      </c>
    </row>
    <row r="248" spans="1:12" x14ac:dyDescent="0.25">
      <c r="A248">
        <v>7366</v>
      </c>
      <c r="B248" s="1">
        <f>DATE(2024,7,1) + TIME(0,0,0)</f>
        <v>45474</v>
      </c>
      <c r="C248">
        <v>0</v>
      </c>
      <c r="D248">
        <v>0</v>
      </c>
      <c r="E248">
        <v>0</v>
      </c>
      <c r="F248">
        <v>0</v>
      </c>
      <c r="G248">
        <v>131526000</v>
      </c>
      <c r="H248">
        <v>0</v>
      </c>
      <c r="I248">
        <v>75267600</v>
      </c>
      <c r="J248">
        <v>73361904</v>
      </c>
      <c r="K248">
        <v>0</v>
      </c>
      <c r="L248">
        <v>0</v>
      </c>
    </row>
    <row r="249" spans="1:12" x14ac:dyDescent="0.25">
      <c r="A249">
        <v>7397</v>
      </c>
      <c r="B249" s="1">
        <f>DATE(2024,8,1) + TIME(0,0,0)</f>
        <v>45505</v>
      </c>
      <c r="C249">
        <v>0</v>
      </c>
      <c r="D249">
        <v>0</v>
      </c>
      <c r="E249">
        <v>0</v>
      </c>
      <c r="F249">
        <v>0</v>
      </c>
      <c r="G249">
        <v>136007008</v>
      </c>
      <c r="H249">
        <v>0</v>
      </c>
      <c r="I249">
        <v>75401104</v>
      </c>
      <c r="J249">
        <v>75414600</v>
      </c>
      <c r="K249">
        <v>0</v>
      </c>
      <c r="L249">
        <v>0</v>
      </c>
    </row>
    <row r="250" spans="1:12" x14ac:dyDescent="0.25">
      <c r="A250">
        <v>7428</v>
      </c>
      <c r="B250" s="1">
        <f>DATE(2024,9,1) + TIME(0,0,0)</f>
        <v>45536</v>
      </c>
      <c r="C250">
        <v>0</v>
      </c>
      <c r="D250">
        <v>0</v>
      </c>
      <c r="E250">
        <v>0</v>
      </c>
      <c r="F250">
        <v>0</v>
      </c>
      <c r="G250">
        <v>141870000</v>
      </c>
      <c r="H250">
        <v>0</v>
      </c>
      <c r="I250">
        <v>72831496</v>
      </c>
      <c r="J250">
        <v>75436304</v>
      </c>
      <c r="K250">
        <v>0</v>
      </c>
      <c r="L250">
        <v>0</v>
      </c>
    </row>
    <row r="251" spans="1:12" x14ac:dyDescent="0.25">
      <c r="A251">
        <v>7458</v>
      </c>
      <c r="B251" s="1">
        <f>DATE(2024,10,1) + TIME(0,0,0)</f>
        <v>45566</v>
      </c>
      <c r="C251">
        <v>0</v>
      </c>
      <c r="D251">
        <v>0</v>
      </c>
      <c r="E251">
        <v>0</v>
      </c>
      <c r="F251">
        <v>0</v>
      </c>
      <c r="G251">
        <v>146878000</v>
      </c>
      <c r="H251">
        <v>0</v>
      </c>
      <c r="I251">
        <v>75449000</v>
      </c>
      <c r="J251">
        <v>75450000</v>
      </c>
      <c r="K251">
        <v>0</v>
      </c>
      <c r="L251">
        <v>0</v>
      </c>
    </row>
    <row r="252" spans="1:12" x14ac:dyDescent="0.25">
      <c r="A252">
        <v>7489</v>
      </c>
      <c r="B252" s="1">
        <f>DATE(2024,11,1) + TIME(0,0,0)</f>
        <v>45597</v>
      </c>
      <c r="C252">
        <v>0</v>
      </c>
      <c r="D252">
        <v>0</v>
      </c>
      <c r="E252">
        <v>0</v>
      </c>
      <c r="F252">
        <v>0</v>
      </c>
      <c r="G252">
        <v>146337008</v>
      </c>
      <c r="H252">
        <v>0</v>
      </c>
      <c r="I252">
        <v>75406592</v>
      </c>
      <c r="J252">
        <v>75473104</v>
      </c>
      <c r="K252">
        <v>0</v>
      </c>
      <c r="L252">
        <v>0</v>
      </c>
    </row>
    <row r="253" spans="1:12" x14ac:dyDescent="0.25">
      <c r="A253">
        <v>7519</v>
      </c>
      <c r="B253" s="1">
        <f>DATE(2024,12,1) + TIME(0,0,0)</f>
        <v>45627</v>
      </c>
      <c r="C253">
        <v>0</v>
      </c>
      <c r="D253">
        <v>0</v>
      </c>
      <c r="E253">
        <v>0</v>
      </c>
      <c r="F253">
        <v>0</v>
      </c>
      <c r="G253">
        <v>153304000</v>
      </c>
      <c r="H253">
        <v>0</v>
      </c>
      <c r="I253">
        <v>75455504</v>
      </c>
      <c r="J253">
        <v>75486400</v>
      </c>
      <c r="K253">
        <v>0</v>
      </c>
      <c r="L253">
        <v>0</v>
      </c>
    </row>
    <row r="254" spans="1:12" x14ac:dyDescent="0.25">
      <c r="A254">
        <v>7550</v>
      </c>
      <c r="B254" s="1">
        <f>DATE(2025,1,1) + TIME(0,0,0)</f>
        <v>45658</v>
      </c>
      <c r="C254">
        <v>0</v>
      </c>
      <c r="D254">
        <v>0</v>
      </c>
      <c r="E254">
        <v>0</v>
      </c>
      <c r="F254">
        <v>0</v>
      </c>
      <c r="G254">
        <v>156675008</v>
      </c>
      <c r="H254">
        <v>0</v>
      </c>
      <c r="I254">
        <v>75475800</v>
      </c>
      <c r="J254">
        <v>75471896</v>
      </c>
      <c r="K254">
        <v>0</v>
      </c>
      <c r="L254">
        <v>0</v>
      </c>
    </row>
    <row r="255" spans="1:12" x14ac:dyDescent="0.25">
      <c r="A255">
        <v>7581</v>
      </c>
      <c r="B255" s="1">
        <f>DATE(2025,2,1) + TIME(0,0,0)</f>
        <v>45689</v>
      </c>
      <c r="C255">
        <v>0</v>
      </c>
      <c r="D255">
        <v>0</v>
      </c>
      <c r="E255">
        <v>0</v>
      </c>
      <c r="F255">
        <v>0</v>
      </c>
      <c r="G255">
        <v>143380000</v>
      </c>
      <c r="H255">
        <v>0</v>
      </c>
      <c r="I255">
        <v>73766600</v>
      </c>
      <c r="J255">
        <v>75474600</v>
      </c>
      <c r="K255">
        <v>0</v>
      </c>
      <c r="L255">
        <v>0</v>
      </c>
    </row>
    <row r="256" spans="1:12" x14ac:dyDescent="0.25">
      <c r="A256">
        <v>7609</v>
      </c>
      <c r="B256" s="1">
        <f>DATE(2025,3,1) + TIME(0,0,0)</f>
        <v>45717</v>
      </c>
      <c r="C256">
        <v>0</v>
      </c>
      <c r="D256">
        <v>0</v>
      </c>
      <c r="E256">
        <v>0</v>
      </c>
      <c r="F256">
        <v>0</v>
      </c>
      <c r="G256">
        <v>129606000</v>
      </c>
      <c r="H256">
        <v>0</v>
      </c>
      <c r="I256">
        <v>75135600</v>
      </c>
      <c r="J256">
        <v>72038000</v>
      </c>
      <c r="K256">
        <v>0</v>
      </c>
      <c r="L256">
        <v>0</v>
      </c>
    </row>
    <row r="257" spans="1:12" x14ac:dyDescent="0.25">
      <c r="A257">
        <v>7640</v>
      </c>
      <c r="B257" s="1">
        <f>DATE(2025,4,1) + TIME(0,0,0)</f>
        <v>45748</v>
      </c>
      <c r="C257">
        <v>0</v>
      </c>
      <c r="D257">
        <v>0</v>
      </c>
      <c r="E257">
        <v>0</v>
      </c>
      <c r="F257">
        <v>0</v>
      </c>
      <c r="G257">
        <v>131955000</v>
      </c>
      <c r="H257">
        <v>0</v>
      </c>
      <c r="I257">
        <v>75246800</v>
      </c>
      <c r="J257">
        <v>73883400</v>
      </c>
      <c r="K257">
        <v>0</v>
      </c>
      <c r="L257">
        <v>0</v>
      </c>
    </row>
    <row r="258" spans="1:12" x14ac:dyDescent="0.25">
      <c r="A258">
        <v>7670</v>
      </c>
      <c r="B258" s="1">
        <f>DATE(2025,5,1) + TIME(0,0,0)</f>
        <v>45778</v>
      </c>
      <c r="C258">
        <v>0</v>
      </c>
      <c r="D258">
        <v>0</v>
      </c>
      <c r="E258">
        <v>0</v>
      </c>
      <c r="F258">
        <v>0</v>
      </c>
      <c r="G258">
        <v>133312000</v>
      </c>
      <c r="H258">
        <v>0</v>
      </c>
      <c r="I258">
        <v>75309904</v>
      </c>
      <c r="J258">
        <v>74873904</v>
      </c>
      <c r="K258">
        <v>0</v>
      </c>
      <c r="L258">
        <v>0</v>
      </c>
    </row>
    <row r="259" spans="1:12" x14ac:dyDescent="0.25">
      <c r="A259">
        <v>7701</v>
      </c>
      <c r="B259" s="1">
        <f>DATE(2025,6,1) + TIME(0,0,0)</f>
        <v>45809</v>
      </c>
      <c r="C259">
        <v>0</v>
      </c>
      <c r="D259">
        <v>0</v>
      </c>
      <c r="E259">
        <v>0</v>
      </c>
      <c r="F259">
        <v>0</v>
      </c>
      <c r="G259">
        <v>135416000</v>
      </c>
      <c r="H259">
        <v>0</v>
      </c>
      <c r="I259">
        <v>75427504</v>
      </c>
      <c r="J259">
        <v>75421200</v>
      </c>
      <c r="K259">
        <v>0</v>
      </c>
      <c r="L259">
        <v>0</v>
      </c>
    </row>
    <row r="260" spans="1:12" x14ac:dyDescent="0.25">
      <c r="A260">
        <v>7731</v>
      </c>
      <c r="B260" s="1">
        <f>DATE(2025,7,1) + TIME(0,0,0)</f>
        <v>45839</v>
      </c>
      <c r="C260">
        <v>0</v>
      </c>
      <c r="D260">
        <v>0</v>
      </c>
      <c r="E260">
        <v>0</v>
      </c>
      <c r="F260">
        <v>0</v>
      </c>
      <c r="G260">
        <v>137879008</v>
      </c>
      <c r="H260">
        <v>0</v>
      </c>
      <c r="I260">
        <v>75452600</v>
      </c>
      <c r="J260">
        <v>75451000</v>
      </c>
      <c r="K260">
        <v>0</v>
      </c>
      <c r="L260">
        <v>0</v>
      </c>
    </row>
    <row r="261" spans="1:12" x14ac:dyDescent="0.25">
      <c r="A261">
        <v>7762</v>
      </c>
      <c r="B261" s="1">
        <f>DATE(2025,8,1) + TIME(0,0,0)</f>
        <v>45870</v>
      </c>
      <c r="C261">
        <v>0</v>
      </c>
      <c r="D261">
        <v>0</v>
      </c>
      <c r="E261">
        <v>0</v>
      </c>
      <c r="F261">
        <v>0</v>
      </c>
      <c r="G261">
        <v>143013008</v>
      </c>
      <c r="H261">
        <v>0</v>
      </c>
      <c r="I261">
        <v>73217600</v>
      </c>
      <c r="J261">
        <v>75434800</v>
      </c>
      <c r="K261">
        <v>0</v>
      </c>
      <c r="L261">
        <v>0</v>
      </c>
    </row>
    <row r="262" spans="1:12" x14ac:dyDescent="0.25">
      <c r="A262">
        <v>7793</v>
      </c>
      <c r="B262" s="1">
        <f>DATE(2025,9,1) + TIME(0,0,0)</f>
        <v>45901</v>
      </c>
      <c r="C262">
        <v>0</v>
      </c>
      <c r="D262">
        <v>0</v>
      </c>
      <c r="E262">
        <v>0</v>
      </c>
      <c r="F262">
        <v>0</v>
      </c>
      <c r="G262">
        <v>144976000</v>
      </c>
      <c r="H262">
        <v>0</v>
      </c>
      <c r="I262">
        <v>74322000</v>
      </c>
      <c r="J262">
        <v>75468304</v>
      </c>
      <c r="K262">
        <v>0</v>
      </c>
      <c r="L262">
        <v>0</v>
      </c>
    </row>
    <row r="263" spans="1:12" x14ac:dyDescent="0.25">
      <c r="A263">
        <v>7823</v>
      </c>
      <c r="B263" s="1">
        <f>DATE(2025,10,1) + TIME(0,0,0)</f>
        <v>45931</v>
      </c>
      <c r="C263">
        <v>0</v>
      </c>
      <c r="D263">
        <v>0</v>
      </c>
      <c r="E263">
        <v>0</v>
      </c>
      <c r="F263">
        <v>0</v>
      </c>
      <c r="G263">
        <v>146835008</v>
      </c>
      <c r="H263">
        <v>0</v>
      </c>
      <c r="I263">
        <v>75337000</v>
      </c>
      <c r="J263">
        <v>75476400</v>
      </c>
      <c r="K263">
        <v>0</v>
      </c>
      <c r="L263">
        <v>0</v>
      </c>
    </row>
    <row r="264" spans="1:12" x14ac:dyDescent="0.25">
      <c r="A264">
        <v>7854</v>
      </c>
      <c r="B264" s="1">
        <f>DATE(2025,11,1) + TIME(0,0,0)</f>
        <v>45962</v>
      </c>
      <c r="C264">
        <v>0</v>
      </c>
      <c r="D264">
        <v>0</v>
      </c>
      <c r="E264">
        <v>0</v>
      </c>
      <c r="F264">
        <v>0</v>
      </c>
      <c r="G264">
        <v>149694000</v>
      </c>
      <c r="H264">
        <v>0</v>
      </c>
      <c r="I264">
        <v>75463304</v>
      </c>
      <c r="J264">
        <v>75499904</v>
      </c>
      <c r="K264">
        <v>0</v>
      </c>
      <c r="L264">
        <v>0</v>
      </c>
    </row>
    <row r="265" spans="1:12" x14ac:dyDescent="0.25">
      <c r="A265">
        <v>7884</v>
      </c>
      <c r="B265" s="1">
        <f>DATE(2025,12,1) + TIME(0,0,0)</f>
        <v>45992</v>
      </c>
      <c r="C265">
        <v>0</v>
      </c>
      <c r="D265">
        <v>0</v>
      </c>
      <c r="E265">
        <v>0</v>
      </c>
      <c r="F265">
        <v>0</v>
      </c>
      <c r="G265">
        <v>152471984</v>
      </c>
      <c r="H265">
        <v>0</v>
      </c>
      <c r="I265">
        <v>75413496</v>
      </c>
      <c r="J265">
        <v>75475104</v>
      </c>
      <c r="K265">
        <v>0</v>
      </c>
      <c r="L265">
        <v>0</v>
      </c>
    </row>
    <row r="266" spans="1:12" x14ac:dyDescent="0.25">
      <c r="A266">
        <v>7915</v>
      </c>
      <c r="B266" s="1">
        <f>DATE(2026,1,1) + TIME(0,0,0)</f>
        <v>46023</v>
      </c>
      <c r="C266">
        <v>0</v>
      </c>
      <c r="D266">
        <v>0</v>
      </c>
      <c r="E266">
        <v>0</v>
      </c>
      <c r="F266">
        <v>0</v>
      </c>
      <c r="G266">
        <v>155231008</v>
      </c>
      <c r="H266">
        <v>0</v>
      </c>
      <c r="I266">
        <v>75497904</v>
      </c>
      <c r="J266">
        <v>75508896</v>
      </c>
      <c r="K266">
        <v>0</v>
      </c>
      <c r="L266">
        <v>0</v>
      </c>
    </row>
    <row r="267" spans="1:12" x14ac:dyDescent="0.25">
      <c r="A267">
        <v>7946</v>
      </c>
      <c r="B267" s="1">
        <f>DATE(2026,2,1) + TIME(0,0,0)</f>
        <v>46054</v>
      </c>
      <c r="C267">
        <v>0</v>
      </c>
      <c r="D267">
        <v>0</v>
      </c>
      <c r="E267">
        <v>0</v>
      </c>
      <c r="F267">
        <v>0</v>
      </c>
      <c r="G267">
        <v>175342000</v>
      </c>
      <c r="H267">
        <v>0</v>
      </c>
      <c r="I267">
        <v>75495104</v>
      </c>
      <c r="J267">
        <v>75499496</v>
      </c>
      <c r="K267">
        <v>0</v>
      </c>
      <c r="L267">
        <v>0</v>
      </c>
    </row>
    <row r="268" spans="1:12" x14ac:dyDescent="0.25">
      <c r="A268">
        <v>7974</v>
      </c>
      <c r="B268" s="1">
        <f>DATE(2026,3,1) + TIME(0,0,0)</f>
        <v>46082</v>
      </c>
      <c r="C268">
        <v>0</v>
      </c>
      <c r="D268">
        <v>0</v>
      </c>
      <c r="E268">
        <v>0</v>
      </c>
      <c r="F268">
        <v>0</v>
      </c>
      <c r="G268">
        <v>157899008</v>
      </c>
      <c r="H268">
        <v>0</v>
      </c>
      <c r="I268">
        <v>75564800</v>
      </c>
      <c r="J268">
        <v>75545600</v>
      </c>
      <c r="K268">
        <v>0</v>
      </c>
      <c r="L268">
        <v>0</v>
      </c>
    </row>
    <row r="269" spans="1:12" x14ac:dyDescent="0.25">
      <c r="A269">
        <v>8005</v>
      </c>
      <c r="B269" s="1">
        <f>DATE(2026,4,1) + TIME(0,0,0)</f>
        <v>46113</v>
      </c>
      <c r="C269">
        <v>0</v>
      </c>
      <c r="D269">
        <v>0</v>
      </c>
      <c r="E269">
        <v>0</v>
      </c>
      <c r="F269">
        <v>0</v>
      </c>
      <c r="G269">
        <v>160632000</v>
      </c>
      <c r="H269">
        <v>0</v>
      </c>
      <c r="I269">
        <v>75559512</v>
      </c>
      <c r="J269">
        <v>75529696</v>
      </c>
      <c r="K269">
        <v>0</v>
      </c>
      <c r="L269">
        <v>0</v>
      </c>
    </row>
    <row r="270" spans="1:12" x14ac:dyDescent="0.25">
      <c r="A270">
        <v>8035</v>
      </c>
      <c r="B270" s="1">
        <f>DATE(2026,5,1) + TIME(0,0,0)</f>
        <v>46143</v>
      </c>
      <c r="C270">
        <v>0</v>
      </c>
      <c r="D270">
        <v>0</v>
      </c>
      <c r="E270">
        <v>0</v>
      </c>
      <c r="F270">
        <v>0</v>
      </c>
      <c r="G270">
        <v>163123008</v>
      </c>
      <c r="H270">
        <v>0</v>
      </c>
      <c r="I270">
        <v>75546504</v>
      </c>
      <c r="J270">
        <v>75575112</v>
      </c>
      <c r="K270">
        <v>0</v>
      </c>
      <c r="L270">
        <v>0</v>
      </c>
    </row>
    <row r="271" spans="1:12" x14ac:dyDescent="0.25">
      <c r="A271">
        <v>8066</v>
      </c>
      <c r="B271" s="1">
        <f>DATE(2026,6,1) + TIME(0,0,0)</f>
        <v>46174</v>
      </c>
      <c r="C271">
        <v>0</v>
      </c>
      <c r="D271">
        <v>0</v>
      </c>
      <c r="E271">
        <v>0</v>
      </c>
      <c r="F271">
        <v>0</v>
      </c>
      <c r="G271">
        <v>163025008</v>
      </c>
      <c r="H271">
        <v>0</v>
      </c>
      <c r="I271">
        <v>75560304</v>
      </c>
      <c r="J271">
        <v>75566600</v>
      </c>
      <c r="K271">
        <v>0</v>
      </c>
      <c r="L271">
        <v>0</v>
      </c>
    </row>
    <row r="272" spans="1:12" x14ac:dyDescent="0.25">
      <c r="A272">
        <v>8096</v>
      </c>
      <c r="B272" s="1">
        <f>DATE(2026,7,1) + TIME(0,0,0)</f>
        <v>46204</v>
      </c>
      <c r="C272">
        <v>0</v>
      </c>
      <c r="D272">
        <v>0</v>
      </c>
      <c r="E272">
        <v>0</v>
      </c>
      <c r="F272">
        <v>0</v>
      </c>
      <c r="G272">
        <v>163227008</v>
      </c>
      <c r="H272">
        <v>0</v>
      </c>
      <c r="I272">
        <v>75551104</v>
      </c>
      <c r="J272">
        <v>75554104</v>
      </c>
      <c r="K272">
        <v>0</v>
      </c>
      <c r="L272">
        <v>0</v>
      </c>
    </row>
    <row r="273" spans="1:12" x14ac:dyDescent="0.25">
      <c r="A273">
        <v>8127</v>
      </c>
      <c r="B273" s="1">
        <f>DATE(2026,8,1) + TIME(0,0,0)</f>
        <v>46235</v>
      </c>
      <c r="C273">
        <v>0</v>
      </c>
      <c r="D273">
        <v>0</v>
      </c>
      <c r="E273">
        <v>0</v>
      </c>
      <c r="F273">
        <v>0</v>
      </c>
      <c r="G273">
        <v>161828000</v>
      </c>
      <c r="H273">
        <v>0</v>
      </c>
      <c r="I273">
        <v>75544496</v>
      </c>
      <c r="J273">
        <v>75559104</v>
      </c>
      <c r="K273">
        <v>0</v>
      </c>
      <c r="L273">
        <v>0</v>
      </c>
    </row>
    <row r="274" spans="1:12" x14ac:dyDescent="0.25">
      <c r="A274">
        <v>8158</v>
      </c>
      <c r="B274" s="1">
        <f>DATE(2026,9,1) + TIME(0,0,0)</f>
        <v>46266</v>
      </c>
      <c r="C274">
        <v>0</v>
      </c>
      <c r="D274">
        <v>0</v>
      </c>
      <c r="E274">
        <v>0</v>
      </c>
      <c r="F274">
        <v>0</v>
      </c>
      <c r="G274">
        <v>155864000</v>
      </c>
      <c r="H274">
        <v>0</v>
      </c>
      <c r="I274">
        <v>75561696</v>
      </c>
      <c r="J274">
        <v>75542400</v>
      </c>
      <c r="K274">
        <v>0</v>
      </c>
      <c r="L274">
        <v>0</v>
      </c>
    </row>
    <row r="275" spans="1:12" x14ac:dyDescent="0.25">
      <c r="A275">
        <v>8188</v>
      </c>
      <c r="B275" s="1">
        <f>DATE(2026,10,1) + TIME(0,0,0)</f>
        <v>46296</v>
      </c>
      <c r="C275">
        <v>0</v>
      </c>
      <c r="D275">
        <v>0</v>
      </c>
      <c r="E275">
        <v>0</v>
      </c>
      <c r="F275">
        <v>0</v>
      </c>
      <c r="G275">
        <v>157669008</v>
      </c>
      <c r="H275">
        <v>0</v>
      </c>
      <c r="I275">
        <v>75550800</v>
      </c>
      <c r="J275">
        <v>75540600</v>
      </c>
      <c r="K275">
        <v>0</v>
      </c>
      <c r="L275">
        <v>0</v>
      </c>
    </row>
    <row r="276" spans="1:12" x14ac:dyDescent="0.25">
      <c r="A276">
        <v>8219</v>
      </c>
      <c r="B276" s="1">
        <f>DATE(2026,11,1) + TIME(0,0,0)</f>
        <v>46327</v>
      </c>
      <c r="C276">
        <v>0</v>
      </c>
      <c r="D276">
        <v>0</v>
      </c>
      <c r="E276">
        <v>0</v>
      </c>
      <c r="F276">
        <v>0</v>
      </c>
      <c r="G276">
        <v>161624000</v>
      </c>
      <c r="H276">
        <v>0</v>
      </c>
      <c r="I276">
        <v>75561888</v>
      </c>
      <c r="J276">
        <v>75576304</v>
      </c>
      <c r="K276">
        <v>0</v>
      </c>
      <c r="L276">
        <v>0</v>
      </c>
    </row>
    <row r="277" spans="1:12" x14ac:dyDescent="0.25">
      <c r="A277">
        <v>8249</v>
      </c>
      <c r="B277" s="1">
        <f>DATE(2026,12,1) + TIME(0,0,0)</f>
        <v>46357</v>
      </c>
      <c r="C277">
        <v>0</v>
      </c>
      <c r="D277">
        <v>0</v>
      </c>
      <c r="E277">
        <v>0</v>
      </c>
      <c r="F277">
        <v>0</v>
      </c>
      <c r="G277">
        <v>157754000</v>
      </c>
      <c r="H277">
        <v>0</v>
      </c>
      <c r="I277">
        <v>75585896</v>
      </c>
      <c r="J277">
        <v>75579096</v>
      </c>
      <c r="K277">
        <v>0</v>
      </c>
      <c r="L277">
        <v>0</v>
      </c>
    </row>
    <row r="278" spans="1:12" x14ac:dyDescent="0.25">
      <c r="A278">
        <v>8280</v>
      </c>
      <c r="B278" s="1">
        <f>DATE(2027,1,1) + TIME(0,0,0)</f>
        <v>46388</v>
      </c>
      <c r="C278">
        <v>0</v>
      </c>
      <c r="D278">
        <v>0</v>
      </c>
      <c r="E278">
        <v>0</v>
      </c>
      <c r="F278">
        <v>0</v>
      </c>
      <c r="G278">
        <v>152275008</v>
      </c>
      <c r="H278">
        <v>0</v>
      </c>
      <c r="I278">
        <v>75340808</v>
      </c>
      <c r="J278">
        <v>75471496</v>
      </c>
      <c r="K278">
        <v>0</v>
      </c>
      <c r="L278">
        <v>0</v>
      </c>
    </row>
    <row r="279" spans="1:12" x14ac:dyDescent="0.25">
      <c r="A279">
        <v>8311</v>
      </c>
      <c r="B279" s="1">
        <f>DATE(2027,2,1) + TIME(0,0,0)</f>
        <v>46419</v>
      </c>
      <c r="C279">
        <v>0</v>
      </c>
      <c r="D279">
        <v>0</v>
      </c>
      <c r="E279">
        <v>0</v>
      </c>
      <c r="F279">
        <v>0</v>
      </c>
      <c r="G279">
        <v>146153008</v>
      </c>
      <c r="H279">
        <v>0</v>
      </c>
      <c r="I279">
        <v>74629104</v>
      </c>
      <c r="J279">
        <v>75577296</v>
      </c>
      <c r="K279">
        <v>0</v>
      </c>
      <c r="L279">
        <v>0</v>
      </c>
    </row>
    <row r="280" spans="1:12" x14ac:dyDescent="0.25">
      <c r="A280">
        <v>8339</v>
      </c>
      <c r="B280" s="1">
        <f>DATE(2027,3,1) + TIME(0,0,0)</f>
        <v>46447</v>
      </c>
      <c r="C280">
        <v>0</v>
      </c>
      <c r="D280">
        <v>0</v>
      </c>
      <c r="E280">
        <v>0</v>
      </c>
      <c r="F280">
        <v>0</v>
      </c>
      <c r="G280">
        <v>132240000</v>
      </c>
      <c r="H280">
        <v>0</v>
      </c>
      <c r="I280">
        <v>75342896</v>
      </c>
      <c r="J280">
        <v>73419000</v>
      </c>
      <c r="K280">
        <v>0</v>
      </c>
      <c r="L280">
        <v>0</v>
      </c>
    </row>
    <row r="281" spans="1:12" x14ac:dyDescent="0.25">
      <c r="A281">
        <v>8370</v>
      </c>
      <c r="B281" s="1">
        <f>DATE(2027,4,1) + TIME(0,0,0)</f>
        <v>46478</v>
      </c>
      <c r="C281">
        <v>0</v>
      </c>
      <c r="D281">
        <v>0</v>
      </c>
      <c r="E281">
        <v>0</v>
      </c>
      <c r="F281">
        <v>0</v>
      </c>
      <c r="G281">
        <v>133830000</v>
      </c>
      <c r="H281">
        <v>0</v>
      </c>
      <c r="I281">
        <v>75403496</v>
      </c>
      <c r="J281">
        <v>74617608</v>
      </c>
      <c r="K281">
        <v>0</v>
      </c>
      <c r="L281">
        <v>0</v>
      </c>
    </row>
    <row r="282" spans="1:12" x14ac:dyDescent="0.25">
      <c r="A282">
        <v>8400</v>
      </c>
      <c r="B282" s="1">
        <f>DATE(2027,5,1) + TIME(0,0,0)</f>
        <v>46508</v>
      </c>
      <c r="C282">
        <v>0</v>
      </c>
      <c r="D282">
        <v>0</v>
      </c>
      <c r="E282">
        <v>0</v>
      </c>
      <c r="F282">
        <v>0</v>
      </c>
      <c r="G282">
        <v>131920000</v>
      </c>
      <c r="H282">
        <v>0</v>
      </c>
      <c r="I282">
        <v>75349104</v>
      </c>
      <c r="J282">
        <v>73027600</v>
      </c>
      <c r="K282">
        <v>0</v>
      </c>
      <c r="L282">
        <v>0</v>
      </c>
    </row>
    <row r="283" spans="1:12" x14ac:dyDescent="0.25">
      <c r="A283">
        <v>8431</v>
      </c>
      <c r="B283" s="1">
        <f>DATE(2027,6,1) + TIME(0,0,0)</f>
        <v>46539</v>
      </c>
      <c r="C283">
        <v>0</v>
      </c>
      <c r="D283">
        <v>0</v>
      </c>
      <c r="E283">
        <v>0</v>
      </c>
      <c r="F283">
        <v>0</v>
      </c>
      <c r="G283">
        <v>133753000</v>
      </c>
      <c r="H283">
        <v>0</v>
      </c>
      <c r="I283">
        <v>75403000</v>
      </c>
      <c r="J283">
        <v>74444600</v>
      </c>
      <c r="K283">
        <v>0</v>
      </c>
      <c r="L283">
        <v>0</v>
      </c>
    </row>
    <row r="284" spans="1:12" x14ac:dyDescent="0.25">
      <c r="A284">
        <v>8461</v>
      </c>
      <c r="B284" s="1">
        <f>DATE(2027,7,1) + TIME(0,0,0)</f>
        <v>46569</v>
      </c>
      <c r="C284">
        <v>0</v>
      </c>
      <c r="D284">
        <v>0</v>
      </c>
      <c r="E284">
        <v>0</v>
      </c>
      <c r="F284">
        <v>0</v>
      </c>
      <c r="G284">
        <v>135329008</v>
      </c>
      <c r="H284">
        <v>0</v>
      </c>
      <c r="I284">
        <v>75465504</v>
      </c>
      <c r="J284">
        <v>75577800</v>
      </c>
      <c r="K284">
        <v>0</v>
      </c>
      <c r="L284">
        <v>0</v>
      </c>
    </row>
    <row r="285" spans="1:12" x14ac:dyDescent="0.25">
      <c r="A285">
        <v>8492</v>
      </c>
      <c r="B285" s="1">
        <f>DATE(2027,8,1) + TIME(0,0,0)</f>
        <v>46600</v>
      </c>
      <c r="C285">
        <v>0</v>
      </c>
      <c r="D285">
        <v>0</v>
      </c>
      <c r="E285">
        <v>0</v>
      </c>
      <c r="F285">
        <v>0</v>
      </c>
      <c r="G285">
        <v>138136000</v>
      </c>
      <c r="H285">
        <v>0</v>
      </c>
      <c r="I285">
        <v>75566800</v>
      </c>
      <c r="J285">
        <v>75577600</v>
      </c>
      <c r="K285">
        <v>0</v>
      </c>
      <c r="L285">
        <v>0</v>
      </c>
    </row>
    <row r="286" spans="1:12" x14ac:dyDescent="0.25">
      <c r="A286">
        <v>8523</v>
      </c>
      <c r="B286" s="1">
        <f>DATE(2027,9,1) + TIME(0,0,0)</f>
        <v>46631</v>
      </c>
      <c r="C286">
        <v>0</v>
      </c>
      <c r="D286">
        <v>0</v>
      </c>
      <c r="E286">
        <v>0</v>
      </c>
      <c r="F286">
        <v>0</v>
      </c>
      <c r="G286">
        <v>140791008</v>
      </c>
      <c r="H286">
        <v>0</v>
      </c>
      <c r="I286">
        <v>75577504</v>
      </c>
      <c r="J286">
        <v>75556704</v>
      </c>
      <c r="K286">
        <v>0</v>
      </c>
      <c r="L286">
        <v>0</v>
      </c>
    </row>
    <row r="287" spans="1:12" x14ac:dyDescent="0.25">
      <c r="A287">
        <v>8553</v>
      </c>
      <c r="B287" s="1">
        <f>DATE(2027,10,1) + TIME(0,0,0)</f>
        <v>46661</v>
      </c>
      <c r="C287">
        <v>0</v>
      </c>
      <c r="D287">
        <v>0</v>
      </c>
      <c r="E287">
        <v>0</v>
      </c>
      <c r="F287">
        <v>0</v>
      </c>
      <c r="G287">
        <v>145349008</v>
      </c>
      <c r="H287">
        <v>0</v>
      </c>
      <c r="I287">
        <v>73806800</v>
      </c>
      <c r="J287">
        <v>75573096</v>
      </c>
      <c r="K287">
        <v>0</v>
      </c>
      <c r="L287">
        <v>0</v>
      </c>
    </row>
    <row r="288" spans="1:12" x14ac:dyDescent="0.25">
      <c r="A288">
        <v>8584</v>
      </c>
      <c r="B288" s="1">
        <f>DATE(2027,11,1) + TIME(0,0,0)</f>
        <v>46692</v>
      </c>
      <c r="C288">
        <v>0</v>
      </c>
      <c r="D288">
        <v>0</v>
      </c>
      <c r="E288">
        <v>0</v>
      </c>
      <c r="F288">
        <v>0</v>
      </c>
      <c r="G288">
        <v>147135008</v>
      </c>
      <c r="H288">
        <v>0</v>
      </c>
      <c r="I288">
        <v>74804400</v>
      </c>
      <c r="J288">
        <v>75599296</v>
      </c>
      <c r="K288">
        <v>0</v>
      </c>
      <c r="L288">
        <v>0</v>
      </c>
    </row>
    <row r="289" spans="1:12" x14ac:dyDescent="0.25">
      <c r="A289">
        <v>8614</v>
      </c>
      <c r="B289" s="1">
        <f>DATE(2027,12,1) + TIME(0,0,0)</f>
        <v>46722</v>
      </c>
      <c r="C289">
        <v>0</v>
      </c>
      <c r="D289">
        <v>0</v>
      </c>
      <c r="E289">
        <v>0</v>
      </c>
      <c r="F289">
        <v>0</v>
      </c>
      <c r="G289">
        <v>148596000</v>
      </c>
      <c r="H289">
        <v>0</v>
      </c>
      <c r="I289">
        <v>75584896</v>
      </c>
      <c r="J289">
        <v>75601904</v>
      </c>
      <c r="K289">
        <v>0</v>
      </c>
      <c r="L289">
        <v>0</v>
      </c>
    </row>
    <row r="290" spans="1:12" x14ac:dyDescent="0.25">
      <c r="A290">
        <v>8645</v>
      </c>
      <c r="B290" s="1">
        <f>DATE(2028,1,1) + TIME(0,0,0)</f>
        <v>46753</v>
      </c>
      <c r="C290">
        <v>0</v>
      </c>
      <c r="D290">
        <v>0</v>
      </c>
      <c r="E290">
        <v>0</v>
      </c>
      <c r="F290">
        <v>0</v>
      </c>
      <c r="G290">
        <v>150538000</v>
      </c>
      <c r="H290">
        <v>0</v>
      </c>
      <c r="I290">
        <v>75591696</v>
      </c>
      <c r="J290">
        <v>75611400</v>
      </c>
      <c r="K290">
        <v>0</v>
      </c>
      <c r="L290">
        <v>0</v>
      </c>
    </row>
    <row r="291" spans="1:12" x14ac:dyDescent="0.25">
      <c r="A291">
        <v>8676</v>
      </c>
      <c r="B291" s="1">
        <f>DATE(2028,2,1) + TIME(0,0,0)</f>
        <v>46784</v>
      </c>
      <c r="C291">
        <v>0</v>
      </c>
      <c r="D291">
        <v>0</v>
      </c>
      <c r="E291">
        <v>0</v>
      </c>
      <c r="F291">
        <v>0</v>
      </c>
      <c r="G291">
        <v>189087008</v>
      </c>
      <c r="H291">
        <v>0</v>
      </c>
      <c r="I291">
        <v>75639104</v>
      </c>
      <c r="J291">
        <v>75643400</v>
      </c>
      <c r="K291">
        <v>0</v>
      </c>
      <c r="L291">
        <v>0</v>
      </c>
    </row>
    <row r="292" spans="1:12" x14ac:dyDescent="0.25">
      <c r="A292">
        <v>8705</v>
      </c>
      <c r="B292" s="1">
        <f>DATE(2028,3,1) + TIME(0,0,0)</f>
        <v>46813</v>
      </c>
      <c r="C292">
        <v>0</v>
      </c>
      <c r="D292">
        <v>0</v>
      </c>
      <c r="E292">
        <v>0</v>
      </c>
      <c r="F292">
        <v>0</v>
      </c>
      <c r="G292">
        <v>175778000</v>
      </c>
      <c r="H292">
        <v>0</v>
      </c>
      <c r="I292">
        <v>75654600</v>
      </c>
      <c r="J292">
        <v>75673000</v>
      </c>
      <c r="K292">
        <v>0</v>
      </c>
      <c r="L292">
        <v>0</v>
      </c>
    </row>
    <row r="293" spans="1:12" x14ac:dyDescent="0.25">
      <c r="A293">
        <v>8736</v>
      </c>
      <c r="B293" s="1">
        <f>DATE(2028,4,1) + TIME(0,0,0)</f>
        <v>46844</v>
      </c>
      <c r="C293">
        <v>0</v>
      </c>
      <c r="D293">
        <v>0</v>
      </c>
      <c r="E293">
        <v>0</v>
      </c>
      <c r="F293">
        <v>0</v>
      </c>
      <c r="G293">
        <v>177487008</v>
      </c>
      <c r="H293">
        <v>0</v>
      </c>
      <c r="I293">
        <v>75663200</v>
      </c>
      <c r="J293">
        <v>75644704</v>
      </c>
      <c r="K293">
        <v>0</v>
      </c>
      <c r="L293">
        <v>0</v>
      </c>
    </row>
    <row r="294" spans="1:12" x14ac:dyDescent="0.25">
      <c r="A294">
        <v>8766</v>
      </c>
      <c r="B294" s="1">
        <f>DATE(2028,5,1) + TIME(0,0,0)</f>
        <v>46874</v>
      </c>
      <c r="C294">
        <v>0</v>
      </c>
      <c r="D294">
        <v>0</v>
      </c>
      <c r="E294">
        <v>0</v>
      </c>
      <c r="F294">
        <v>0</v>
      </c>
      <c r="G294">
        <v>179019008</v>
      </c>
      <c r="H294">
        <v>0</v>
      </c>
      <c r="I294">
        <v>75649696</v>
      </c>
      <c r="J294">
        <v>75653504</v>
      </c>
      <c r="K294">
        <v>0</v>
      </c>
      <c r="L294">
        <v>0</v>
      </c>
    </row>
    <row r="295" spans="1:12" x14ac:dyDescent="0.25">
      <c r="A295">
        <v>8797</v>
      </c>
      <c r="B295" s="1">
        <f>DATE(2028,6,1) + TIME(0,0,0)</f>
        <v>46905</v>
      </c>
      <c r="C295">
        <v>0</v>
      </c>
      <c r="D295">
        <v>0</v>
      </c>
      <c r="E295">
        <v>0</v>
      </c>
      <c r="F295">
        <v>0</v>
      </c>
      <c r="G295">
        <v>180638000</v>
      </c>
      <c r="H295">
        <v>0</v>
      </c>
      <c r="I295">
        <v>75652504</v>
      </c>
      <c r="J295">
        <v>75652400</v>
      </c>
      <c r="K295">
        <v>0</v>
      </c>
      <c r="L295">
        <v>0</v>
      </c>
    </row>
    <row r="296" spans="1:12" x14ac:dyDescent="0.25">
      <c r="A296">
        <v>8827</v>
      </c>
      <c r="B296" s="1">
        <f>DATE(2028,7,1) + TIME(0,0,0)</f>
        <v>46935</v>
      </c>
      <c r="C296">
        <v>0</v>
      </c>
      <c r="D296">
        <v>0</v>
      </c>
      <c r="E296">
        <v>0</v>
      </c>
      <c r="F296">
        <v>0</v>
      </c>
      <c r="G296">
        <v>182088000</v>
      </c>
      <c r="H296">
        <v>0</v>
      </c>
      <c r="I296">
        <v>75642296</v>
      </c>
      <c r="J296">
        <v>75668600</v>
      </c>
      <c r="K296">
        <v>0</v>
      </c>
      <c r="L296">
        <v>0</v>
      </c>
    </row>
    <row r="297" spans="1:12" x14ac:dyDescent="0.25">
      <c r="A297">
        <v>8858</v>
      </c>
      <c r="B297" s="1">
        <f>DATE(2028,8,1) + TIME(0,0,0)</f>
        <v>46966</v>
      </c>
      <c r="C297">
        <v>0</v>
      </c>
      <c r="D297">
        <v>0</v>
      </c>
      <c r="E297">
        <v>0</v>
      </c>
      <c r="F297">
        <v>0</v>
      </c>
      <c r="G297">
        <v>183604000</v>
      </c>
      <c r="H297">
        <v>0</v>
      </c>
      <c r="I297">
        <v>75644800</v>
      </c>
      <c r="J297">
        <v>75661600</v>
      </c>
      <c r="K297">
        <v>0</v>
      </c>
      <c r="L297">
        <v>0</v>
      </c>
    </row>
    <row r="298" spans="1:12" x14ac:dyDescent="0.25">
      <c r="A298">
        <v>8889</v>
      </c>
      <c r="B298" s="1">
        <f>DATE(2028,9,1) + TIME(0,0,0)</f>
        <v>46997</v>
      </c>
      <c r="C298">
        <v>0</v>
      </c>
      <c r="D298">
        <v>0</v>
      </c>
      <c r="E298">
        <v>0</v>
      </c>
      <c r="F298">
        <v>0</v>
      </c>
      <c r="G298">
        <v>185035008</v>
      </c>
      <c r="H298">
        <v>0</v>
      </c>
      <c r="I298">
        <v>75652400</v>
      </c>
      <c r="J298">
        <v>75658200</v>
      </c>
      <c r="K298">
        <v>0</v>
      </c>
      <c r="L298">
        <v>0</v>
      </c>
    </row>
    <row r="299" spans="1:12" x14ac:dyDescent="0.25">
      <c r="A299">
        <v>8919</v>
      </c>
      <c r="B299" s="1">
        <f>DATE(2028,10,1) + TIME(0,0,0)</f>
        <v>47027</v>
      </c>
      <c r="C299">
        <v>0</v>
      </c>
      <c r="D299">
        <v>0</v>
      </c>
      <c r="E299">
        <v>0</v>
      </c>
      <c r="F299">
        <v>0</v>
      </c>
      <c r="G299">
        <v>186291008</v>
      </c>
      <c r="H299">
        <v>0</v>
      </c>
      <c r="I299">
        <v>75651696</v>
      </c>
      <c r="J299">
        <v>75648896</v>
      </c>
      <c r="K299">
        <v>0</v>
      </c>
      <c r="L299">
        <v>0</v>
      </c>
    </row>
    <row r="300" spans="1:12" x14ac:dyDescent="0.25">
      <c r="A300">
        <v>8950</v>
      </c>
      <c r="B300" s="1">
        <f>DATE(2028,11,1) + TIME(0,0,0)</f>
        <v>47058</v>
      </c>
      <c r="C300">
        <v>0</v>
      </c>
      <c r="D300">
        <v>0</v>
      </c>
      <c r="E300">
        <v>0</v>
      </c>
      <c r="F300">
        <v>0</v>
      </c>
      <c r="G300">
        <v>187661008</v>
      </c>
      <c r="H300">
        <v>0</v>
      </c>
      <c r="I300">
        <v>75655912</v>
      </c>
      <c r="J300">
        <v>75649696</v>
      </c>
      <c r="K300">
        <v>0</v>
      </c>
      <c r="L300">
        <v>0</v>
      </c>
    </row>
    <row r="301" spans="1:12" x14ac:dyDescent="0.25">
      <c r="A301">
        <v>8980</v>
      </c>
      <c r="B301" s="1">
        <f>DATE(2028,12,1) + TIME(0,0,0)</f>
        <v>47088</v>
      </c>
      <c r="C301">
        <v>0</v>
      </c>
      <c r="D301">
        <v>0</v>
      </c>
      <c r="E301">
        <v>0</v>
      </c>
      <c r="F301">
        <v>0</v>
      </c>
      <c r="G301">
        <v>186836000</v>
      </c>
      <c r="H301">
        <v>0</v>
      </c>
      <c r="I301">
        <v>75669000</v>
      </c>
      <c r="J301">
        <v>75653608</v>
      </c>
      <c r="K301">
        <v>0</v>
      </c>
      <c r="L301">
        <v>0</v>
      </c>
    </row>
    <row r="302" spans="1:12" x14ac:dyDescent="0.25">
      <c r="A302">
        <v>9011</v>
      </c>
      <c r="B302" s="1">
        <f>DATE(2029,1,1) + TIME(0,0,0)</f>
        <v>47119</v>
      </c>
      <c r="C302">
        <v>0</v>
      </c>
      <c r="D302">
        <v>0</v>
      </c>
      <c r="E302">
        <v>0</v>
      </c>
      <c r="F302">
        <v>0</v>
      </c>
      <c r="G302">
        <v>185066000</v>
      </c>
      <c r="H302">
        <v>0</v>
      </c>
      <c r="I302">
        <v>75663104</v>
      </c>
      <c r="J302">
        <v>75665504</v>
      </c>
      <c r="K302">
        <v>0</v>
      </c>
      <c r="L302">
        <v>0</v>
      </c>
    </row>
    <row r="303" spans="1:12" x14ac:dyDescent="0.25">
      <c r="A303">
        <v>9042</v>
      </c>
      <c r="B303" s="1">
        <f>DATE(2029,2,1) + TIME(0,0,0)</f>
        <v>47150</v>
      </c>
      <c r="C303">
        <v>0</v>
      </c>
      <c r="D303">
        <v>0</v>
      </c>
      <c r="E303">
        <v>0</v>
      </c>
      <c r="F303">
        <v>0</v>
      </c>
      <c r="G303">
        <v>176047008</v>
      </c>
      <c r="H303">
        <v>0</v>
      </c>
      <c r="I303">
        <v>75665712</v>
      </c>
      <c r="J303">
        <v>75671200</v>
      </c>
      <c r="K303">
        <v>0</v>
      </c>
      <c r="L303">
        <v>0</v>
      </c>
    </row>
    <row r="304" spans="1:12" x14ac:dyDescent="0.25">
      <c r="A304">
        <v>9070</v>
      </c>
      <c r="B304" s="1">
        <f>DATE(2029,3,1) + TIME(0,0,0)</f>
        <v>47178</v>
      </c>
      <c r="C304">
        <v>0</v>
      </c>
      <c r="D304">
        <v>0</v>
      </c>
      <c r="E304">
        <v>0</v>
      </c>
      <c r="F304">
        <v>0</v>
      </c>
      <c r="G304">
        <v>154586000</v>
      </c>
      <c r="H304">
        <v>0</v>
      </c>
      <c r="I304">
        <v>75482208</v>
      </c>
      <c r="J304">
        <v>75667296</v>
      </c>
      <c r="K304">
        <v>0</v>
      </c>
      <c r="L304">
        <v>0</v>
      </c>
    </row>
    <row r="305" spans="1:12" x14ac:dyDescent="0.25">
      <c r="A305">
        <v>9101</v>
      </c>
      <c r="B305" s="1">
        <f>DATE(2029,4,1) + TIME(0,0,0)</f>
        <v>47209</v>
      </c>
      <c r="C305">
        <v>0</v>
      </c>
      <c r="D305">
        <v>0</v>
      </c>
      <c r="E305">
        <v>0</v>
      </c>
      <c r="F305">
        <v>0</v>
      </c>
      <c r="G305">
        <v>156651008</v>
      </c>
      <c r="H305">
        <v>0</v>
      </c>
      <c r="I305">
        <v>75669208</v>
      </c>
      <c r="J305">
        <v>75678800</v>
      </c>
      <c r="K305">
        <v>0</v>
      </c>
      <c r="L305">
        <v>0</v>
      </c>
    </row>
    <row r="306" spans="1:12" x14ac:dyDescent="0.25">
      <c r="A306">
        <v>9131</v>
      </c>
      <c r="B306" s="1">
        <f>DATE(2029,5,1) + TIME(0,0,0)</f>
        <v>47239</v>
      </c>
      <c r="C306">
        <v>0</v>
      </c>
      <c r="D306">
        <v>0</v>
      </c>
      <c r="E306">
        <v>0</v>
      </c>
      <c r="F306">
        <v>0</v>
      </c>
      <c r="G306">
        <v>155605008</v>
      </c>
      <c r="H306">
        <v>0</v>
      </c>
      <c r="I306">
        <v>75679904</v>
      </c>
      <c r="J306">
        <v>75676400</v>
      </c>
      <c r="K306">
        <v>0</v>
      </c>
      <c r="L306">
        <v>0</v>
      </c>
    </row>
    <row r="307" spans="1:12" x14ac:dyDescent="0.25">
      <c r="A307">
        <v>9162</v>
      </c>
      <c r="B307" s="1">
        <f>DATE(2029,6,1) + TIME(0,0,0)</f>
        <v>47270</v>
      </c>
      <c r="C307">
        <v>0</v>
      </c>
      <c r="D307">
        <v>0</v>
      </c>
      <c r="E307">
        <v>0</v>
      </c>
      <c r="F307">
        <v>0</v>
      </c>
      <c r="G307">
        <v>150466000</v>
      </c>
      <c r="H307">
        <v>0</v>
      </c>
      <c r="I307">
        <v>75662800</v>
      </c>
      <c r="J307">
        <v>75659696</v>
      </c>
      <c r="K307">
        <v>0</v>
      </c>
      <c r="L307">
        <v>0</v>
      </c>
    </row>
    <row r="308" spans="1:12" x14ac:dyDescent="0.25">
      <c r="A308">
        <v>9192</v>
      </c>
      <c r="B308" s="1">
        <f>DATE(2029,7,1) + TIME(0,0,0)</f>
        <v>47300</v>
      </c>
      <c r="C308">
        <v>0</v>
      </c>
      <c r="D308">
        <v>0</v>
      </c>
      <c r="E308">
        <v>0</v>
      </c>
      <c r="F308">
        <v>0</v>
      </c>
      <c r="G308">
        <v>146796000</v>
      </c>
      <c r="H308">
        <v>0</v>
      </c>
      <c r="I308">
        <v>74137992</v>
      </c>
      <c r="J308">
        <v>75644096</v>
      </c>
      <c r="K308">
        <v>0</v>
      </c>
      <c r="L308">
        <v>0</v>
      </c>
    </row>
    <row r="309" spans="1:12" x14ac:dyDescent="0.25">
      <c r="A309">
        <v>9223</v>
      </c>
      <c r="B309" s="1">
        <f>DATE(2029,8,1) + TIME(0,0,0)</f>
        <v>47331</v>
      </c>
      <c r="C309">
        <v>0</v>
      </c>
      <c r="D309">
        <v>0</v>
      </c>
      <c r="E309">
        <v>0</v>
      </c>
      <c r="F309">
        <v>0</v>
      </c>
      <c r="G309">
        <v>171752000</v>
      </c>
      <c r="H309">
        <v>0</v>
      </c>
      <c r="I309">
        <v>75657800</v>
      </c>
      <c r="J309">
        <v>75669000</v>
      </c>
      <c r="K309">
        <v>0</v>
      </c>
      <c r="L309">
        <v>0</v>
      </c>
    </row>
    <row r="310" spans="1:12" x14ac:dyDescent="0.25">
      <c r="A310">
        <v>9254</v>
      </c>
      <c r="B310" s="1">
        <f>DATE(2029,9,1) + TIME(0,0,0)</f>
        <v>47362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68416600</v>
      </c>
      <c r="J310">
        <v>72191400</v>
      </c>
      <c r="K310">
        <v>0</v>
      </c>
      <c r="L310">
        <v>0</v>
      </c>
    </row>
    <row r="311" spans="1:12" x14ac:dyDescent="0.25">
      <c r="A311">
        <v>9284</v>
      </c>
      <c r="B311" s="1">
        <f>DATE(2029,10,1) + TIME(0,0,0)</f>
        <v>47392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75490400</v>
      </c>
      <c r="J311">
        <v>75475504</v>
      </c>
      <c r="K311">
        <v>0</v>
      </c>
      <c r="L311">
        <v>0</v>
      </c>
    </row>
    <row r="312" spans="1:12" x14ac:dyDescent="0.25">
      <c r="A312">
        <v>9315</v>
      </c>
      <c r="B312" s="1">
        <f>DATE(2029,11,1) + TIME(0,0,0)</f>
        <v>47423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75490104</v>
      </c>
      <c r="J312">
        <v>75508400</v>
      </c>
      <c r="K312">
        <v>0</v>
      </c>
      <c r="L312">
        <v>0</v>
      </c>
    </row>
    <row r="313" spans="1:12" x14ac:dyDescent="0.25">
      <c r="A313">
        <v>9345</v>
      </c>
      <c r="B313" s="1">
        <f>DATE(2029,12,1) + TIME(0,0,0)</f>
        <v>47453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75511000</v>
      </c>
      <c r="J313">
        <v>75509000</v>
      </c>
      <c r="K313">
        <v>0</v>
      </c>
      <c r="L313">
        <v>0</v>
      </c>
    </row>
    <row r="314" spans="1:12" x14ac:dyDescent="0.25">
      <c r="A314">
        <v>9376</v>
      </c>
      <c r="B314" s="1">
        <f>DATE(2030,1,1) + TIME(0,0,0)</f>
        <v>47484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75524896</v>
      </c>
      <c r="J314">
        <v>75537200</v>
      </c>
      <c r="K314">
        <v>0</v>
      </c>
      <c r="L314">
        <v>0</v>
      </c>
    </row>
    <row r="315" spans="1:12" x14ac:dyDescent="0.25">
      <c r="A315">
        <v>9407</v>
      </c>
      <c r="B315" s="1">
        <f>DATE(2030,2,1) + TIME(0,0,0)</f>
        <v>47515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75560600</v>
      </c>
      <c r="J315">
        <v>75551000</v>
      </c>
      <c r="K315">
        <v>0</v>
      </c>
      <c r="L315">
        <v>0</v>
      </c>
    </row>
    <row r="316" spans="1:12" x14ac:dyDescent="0.25">
      <c r="A316">
        <v>9435</v>
      </c>
      <c r="B316" s="1">
        <f>DATE(2030,3,1) + TIME(0,0,0)</f>
        <v>47543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75565704</v>
      </c>
      <c r="J316">
        <v>75566800</v>
      </c>
      <c r="K316">
        <v>0</v>
      </c>
      <c r="L316">
        <v>0</v>
      </c>
    </row>
    <row r="317" spans="1:12" x14ac:dyDescent="0.25">
      <c r="A317">
        <v>9466</v>
      </c>
      <c r="B317" s="1">
        <f>DATE(2030,4,1) + TIME(0,0,0)</f>
        <v>47574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75608896</v>
      </c>
      <c r="J317">
        <v>75614800</v>
      </c>
      <c r="K317">
        <v>0</v>
      </c>
      <c r="L317">
        <v>0</v>
      </c>
    </row>
    <row r="318" spans="1:12" x14ac:dyDescent="0.25">
      <c r="A318">
        <v>9496</v>
      </c>
      <c r="B318" s="1">
        <f>DATE(2030,5,1) + TIME(0,0,0)</f>
        <v>47604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75626400</v>
      </c>
      <c r="J318">
        <v>75625896</v>
      </c>
      <c r="K318">
        <v>0</v>
      </c>
      <c r="L318">
        <v>0</v>
      </c>
    </row>
    <row r="319" spans="1:12" x14ac:dyDescent="0.25">
      <c r="A319">
        <v>9527</v>
      </c>
      <c r="B319" s="1">
        <f>DATE(2030,6,1) + TIME(0,0,0)</f>
        <v>47635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75640800</v>
      </c>
      <c r="J319">
        <v>75631000</v>
      </c>
      <c r="K319">
        <v>0</v>
      </c>
      <c r="L319">
        <v>0</v>
      </c>
    </row>
    <row r="320" spans="1:12" x14ac:dyDescent="0.25">
      <c r="A320">
        <v>9557</v>
      </c>
      <c r="B320" s="1">
        <f>DATE(2030,7,1) + TIME(0,0,0)</f>
        <v>47665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75630400</v>
      </c>
      <c r="J320">
        <v>75651400</v>
      </c>
      <c r="K320">
        <v>0</v>
      </c>
      <c r="L320">
        <v>0</v>
      </c>
    </row>
    <row r="321" spans="1:12" x14ac:dyDescent="0.25">
      <c r="A321">
        <v>9588</v>
      </c>
      <c r="B321" s="1">
        <f>DATE(2030,8,1) + TIME(0,0,0)</f>
        <v>47696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75656400</v>
      </c>
      <c r="J321">
        <v>75669400</v>
      </c>
      <c r="K321">
        <v>0</v>
      </c>
      <c r="L321">
        <v>0</v>
      </c>
    </row>
    <row r="322" spans="1:12" x14ac:dyDescent="0.25">
      <c r="A322">
        <v>9619</v>
      </c>
      <c r="B322" s="1">
        <f>DATE(2030,9,1) + TIME(0,0,0)</f>
        <v>47727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75664896</v>
      </c>
      <c r="J322">
        <v>75661800</v>
      </c>
      <c r="K322">
        <v>0</v>
      </c>
      <c r="L322">
        <v>0</v>
      </c>
    </row>
    <row r="323" spans="1:12" x14ac:dyDescent="0.25">
      <c r="A323">
        <v>9649</v>
      </c>
      <c r="B323" s="1">
        <f>DATE(2030,10,1) + TIME(0,0,0)</f>
        <v>47757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75680000</v>
      </c>
      <c r="J323">
        <v>75691904</v>
      </c>
      <c r="K323">
        <v>0</v>
      </c>
      <c r="L323">
        <v>0</v>
      </c>
    </row>
    <row r="324" spans="1:12" x14ac:dyDescent="0.25">
      <c r="A324">
        <v>9680</v>
      </c>
      <c r="B324" s="1">
        <f>DATE(2030,11,1) + TIME(0,0,0)</f>
        <v>47788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75678400</v>
      </c>
      <c r="J324">
        <v>75705696</v>
      </c>
      <c r="K324">
        <v>0</v>
      </c>
      <c r="L324">
        <v>0</v>
      </c>
    </row>
    <row r="325" spans="1:12" x14ac:dyDescent="0.25">
      <c r="A325">
        <v>9710</v>
      </c>
      <c r="B325" s="1">
        <f>DATE(2030,12,1) + TIME(0,0,0)</f>
        <v>47818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75708800</v>
      </c>
      <c r="J325">
        <v>75703496</v>
      </c>
      <c r="K325">
        <v>0</v>
      </c>
      <c r="L325">
        <v>0</v>
      </c>
    </row>
    <row r="326" spans="1:12" x14ac:dyDescent="0.25">
      <c r="A326">
        <v>9741</v>
      </c>
      <c r="B326" s="1">
        <f>DATE(2031,1,1) + TIME(0,0,0)</f>
        <v>47849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75725400</v>
      </c>
      <c r="J326">
        <v>75713296</v>
      </c>
      <c r="K326">
        <v>0</v>
      </c>
      <c r="L326">
        <v>0</v>
      </c>
    </row>
    <row r="327" spans="1:12" x14ac:dyDescent="0.25">
      <c r="A327">
        <v>9772</v>
      </c>
      <c r="B327" s="1">
        <f>DATE(2031,2,1) + TIME(0,0,0)</f>
        <v>47880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75742400</v>
      </c>
      <c r="J327">
        <v>75761200</v>
      </c>
      <c r="K327">
        <v>0</v>
      </c>
      <c r="L327">
        <v>0</v>
      </c>
    </row>
    <row r="328" spans="1:12" x14ac:dyDescent="0.25">
      <c r="A328">
        <v>9800</v>
      </c>
      <c r="B328" s="1">
        <f>DATE(2031,3,1) + TIME(0,0,0)</f>
        <v>47908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75750592</v>
      </c>
      <c r="J328">
        <v>75740400</v>
      </c>
      <c r="K328">
        <v>0</v>
      </c>
      <c r="L328">
        <v>0</v>
      </c>
    </row>
    <row r="329" spans="1:12" x14ac:dyDescent="0.25">
      <c r="A329">
        <v>9831</v>
      </c>
      <c r="B329" s="1">
        <f>DATE(2031,4,1) + TIME(0,0,0)</f>
        <v>47939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75790408</v>
      </c>
      <c r="J329">
        <v>75797696</v>
      </c>
      <c r="K329">
        <v>0</v>
      </c>
      <c r="L329">
        <v>0</v>
      </c>
    </row>
    <row r="330" spans="1:12" x14ac:dyDescent="0.25">
      <c r="A330">
        <v>9861</v>
      </c>
      <c r="B330" s="1">
        <f>DATE(2031,5,1) + TIME(0,0,0)</f>
        <v>47969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75835104</v>
      </c>
      <c r="J330">
        <v>75826192</v>
      </c>
      <c r="K330">
        <v>0</v>
      </c>
      <c r="L330">
        <v>0</v>
      </c>
    </row>
    <row r="331" spans="1:12" x14ac:dyDescent="0.25">
      <c r="A331">
        <v>9892</v>
      </c>
      <c r="B331" s="1">
        <f>DATE(2031,6,1) + TIME(0,0,0)</f>
        <v>48000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75858800</v>
      </c>
      <c r="J331">
        <v>75836704</v>
      </c>
      <c r="K331">
        <v>0</v>
      </c>
      <c r="L331">
        <v>0</v>
      </c>
    </row>
    <row r="332" spans="1:12" x14ac:dyDescent="0.25">
      <c r="A332">
        <v>9922</v>
      </c>
      <c r="B332" s="1">
        <f>DATE(2031,7,1) + TIME(0,0,0)</f>
        <v>48030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75858496</v>
      </c>
      <c r="J332">
        <v>75858704</v>
      </c>
      <c r="K332">
        <v>0</v>
      </c>
      <c r="L332">
        <v>0</v>
      </c>
    </row>
    <row r="333" spans="1:12" x14ac:dyDescent="0.25">
      <c r="A333">
        <v>9953</v>
      </c>
      <c r="B333" s="1">
        <f>DATE(2031,8,1) + TIME(0,0,0)</f>
        <v>48061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75872912</v>
      </c>
      <c r="J333">
        <v>75876200</v>
      </c>
      <c r="K333">
        <v>0</v>
      </c>
      <c r="L333">
        <v>0</v>
      </c>
    </row>
    <row r="334" spans="1:12" x14ac:dyDescent="0.25">
      <c r="A334">
        <v>9984</v>
      </c>
      <c r="B334" s="1">
        <f>DATE(2031,9,1) + TIME(0,0,0)</f>
        <v>48092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75889504</v>
      </c>
      <c r="J334">
        <v>75872104</v>
      </c>
      <c r="K334">
        <v>0</v>
      </c>
      <c r="L334">
        <v>0</v>
      </c>
    </row>
    <row r="335" spans="1:12" x14ac:dyDescent="0.25">
      <c r="A335">
        <v>10014</v>
      </c>
      <c r="B335" s="1">
        <f>DATE(2031,10,1) + TIME(0,0,0)</f>
        <v>48122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75886104</v>
      </c>
      <c r="J335">
        <v>75902096</v>
      </c>
      <c r="K335">
        <v>0</v>
      </c>
      <c r="L335">
        <v>0</v>
      </c>
    </row>
    <row r="336" spans="1:12" x14ac:dyDescent="0.25">
      <c r="A336">
        <v>10045</v>
      </c>
      <c r="B336" s="1">
        <f>DATE(2031,11,1) + TIME(0,0,0)</f>
        <v>48153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75899000</v>
      </c>
      <c r="J336">
        <v>75895000</v>
      </c>
      <c r="K336">
        <v>0</v>
      </c>
      <c r="L336">
        <v>0</v>
      </c>
    </row>
    <row r="337" spans="1:12" x14ac:dyDescent="0.25">
      <c r="A337">
        <v>10075</v>
      </c>
      <c r="B337" s="1">
        <f>DATE(2031,12,1) + TIME(0,0,0)</f>
        <v>48183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75904000</v>
      </c>
      <c r="J337">
        <v>75918704</v>
      </c>
      <c r="K337">
        <v>0</v>
      </c>
      <c r="L337">
        <v>0</v>
      </c>
    </row>
    <row r="338" spans="1:12" x14ac:dyDescent="0.25">
      <c r="A338">
        <v>10106</v>
      </c>
      <c r="B338" s="1">
        <f>DATE(2032,1,1) + TIME(0,0,0)</f>
        <v>48214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75904800</v>
      </c>
      <c r="J338">
        <v>75929200</v>
      </c>
      <c r="K338">
        <v>0</v>
      </c>
      <c r="L338">
        <v>0</v>
      </c>
    </row>
    <row r="339" spans="1:12" x14ac:dyDescent="0.25">
      <c r="A339">
        <v>10137</v>
      </c>
      <c r="B339" s="1">
        <f>DATE(2032,2,1) + TIME(0,0,0)</f>
        <v>48245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75914800</v>
      </c>
      <c r="J339">
        <v>75919600</v>
      </c>
      <c r="K339">
        <v>0</v>
      </c>
      <c r="L339">
        <v>0</v>
      </c>
    </row>
    <row r="340" spans="1:12" x14ac:dyDescent="0.25">
      <c r="A340">
        <v>10166</v>
      </c>
      <c r="B340" s="1">
        <f>DATE(2032,3,1) + TIME(0,0,0)</f>
        <v>48274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75921304</v>
      </c>
      <c r="J340">
        <v>75905600</v>
      </c>
      <c r="K340">
        <v>0</v>
      </c>
      <c r="L340">
        <v>0</v>
      </c>
    </row>
    <row r="341" spans="1:12" x14ac:dyDescent="0.25">
      <c r="A341">
        <v>10197</v>
      </c>
      <c r="B341" s="1">
        <f>DATE(2032,4,1) + TIME(0,0,0)</f>
        <v>48305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75965504</v>
      </c>
      <c r="J341">
        <v>75936696</v>
      </c>
      <c r="K341">
        <v>0</v>
      </c>
      <c r="L341">
        <v>0</v>
      </c>
    </row>
    <row r="342" spans="1:12" x14ac:dyDescent="0.25">
      <c r="A342">
        <v>10227</v>
      </c>
      <c r="B342" s="1">
        <f>DATE(2032,5,1) + TIME(0,0,0)</f>
        <v>48335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75950704</v>
      </c>
      <c r="J342">
        <v>75971800</v>
      </c>
      <c r="K342">
        <v>0</v>
      </c>
      <c r="L342">
        <v>0</v>
      </c>
    </row>
    <row r="343" spans="1:12" x14ac:dyDescent="0.25">
      <c r="A343">
        <v>10258</v>
      </c>
      <c r="B343" s="1">
        <f>DATE(2032,6,1) + TIME(0,0,0)</f>
        <v>48366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75929496</v>
      </c>
      <c r="J343">
        <v>75920104</v>
      </c>
      <c r="K343">
        <v>0</v>
      </c>
      <c r="L343">
        <v>0</v>
      </c>
    </row>
    <row r="344" spans="1:12" x14ac:dyDescent="0.25">
      <c r="A344">
        <v>10288</v>
      </c>
      <c r="B344" s="1">
        <f>DATE(2032,7,1) + TIME(0,0,0)</f>
        <v>48396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75836504</v>
      </c>
      <c r="J344">
        <v>75853296</v>
      </c>
      <c r="K344">
        <v>0</v>
      </c>
      <c r="L344">
        <v>0</v>
      </c>
    </row>
    <row r="345" spans="1:12" x14ac:dyDescent="0.25">
      <c r="A345">
        <v>10319</v>
      </c>
      <c r="B345" s="1">
        <f>DATE(2032,8,1) + TIME(0,0,0)</f>
        <v>48427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75855800</v>
      </c>
      <c r="J345">
        <v>75859400</v>
      </c>
      <c r="K345">
        <v>0</v>
      </c>
      <c r="L345">
        <v>0</v>
      </c>
    </row>
    <row r="346" spans="1:12" x14ac:dyDescent="0.25">
      <c r="A346">
        <v>10350</v>
      </c>
      <c r="B346" s="1">
        <f>DATE(2032,9,1) + TIME(0,0,0)</f>
        <v>48458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75845808</v>
      </c>
      <c r="J346">
        <v>75873400</v>
      </c>
      <c r="K346">
        <v>0</v>
      </c>
      <c r="L346">
        <v>0</v>
      </c>
    </row>
    <row r="347" spans="1:12" x14ac:dyDescent="0.25">
      <c r="A347">
        <v>10380</v>
      </c>
      <c r="B347" s="1">
        <f>DATE(2032,10,1) + TIME(0,0,0)</f>
        <v>48488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75880904</v>
      </c>
      <c r="J347">
        <v>75897000</v>
      </c>
      <c r="K347">
        <v>0</v>
      </c>
      <c r="L347">
        <v>0</v>
      </c>
    </row>
    <row r="348" spans="1:12" x14ac:dyDescent="0.25">
      <c r="A348">
        <v>10411</v>
      </c>
      <c r="B348" s="1">
        <f>DATE(2032,11,1) + TIME(0,0,0)</f>
        <v>48519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75881304</v>
      </c>
      <c r="J348">
        <v>75879696</v>
      </c>
      <c r="K348">
        <v>0</v>
      </c>
      <c r="L348">
        <v>0</v>
      </c>
    </row>
    <row r="349" spans="1:12" x14ac:dyDescent="0.25">
      <c r="A349">
        <v>10441</v>
      </c>
      <c r="B349" s="1">
        <f>DATE(2032,12,1) + TIME(0,0,0)</f>
        <v>48549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75857504</v>
      </c>
      <c r="J349">
        <v>75874704</v>
      </c>
      <c r="K349">
        <v>0</v>
      </c>
      <c r="L349">
        <v>0</v>
      </c>
    </row>
    <row r="350" spans="1:12" x14ac:dyDescent="0.25">
      <c r="A350">
        <v>10472</v>
      </c>
      <c r="B350" s="1">
        <f>DATE(2033,1,1) + TIME(0,0,0)</f>
        <v>48580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76044600</v>
      </c>
      <c r="J350">
        <v>76018304</v>
      </c>
      <c r="K350">
        <v>0</v>
      </c>
      <c r="L350">
        <v>0</v>
      </c>
    </row>
    <row r="351" spans="1:12" x14ac:dyDescent="0.25">
      <c r="A351">
        <v>10503</v>
      </c>
      <c r="B351" s="1">
        <f>DATE(2033,2,1) + TIME(0,0,0)</f>
        <v>48611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73197304</v>
      </c>
      <c r="J351">
        <v>75287096</v>
      </c>
      <c r="K351">
        <v>0</v>
      </c>
      <c r="L351">
        <v>0</v>
      </c>
    </row>
    <row r="352" spans="1:12" x14ac:dyDescent="0.25">
      <c r="A352">
        <v>10531</v>
      </c>
      <c r="B352" s="1">
        <f>DATE(2033,3,1) + TIME(0,0,0)</f>
        <v>48639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53829700</v>
      </c>
      <c r="J352">
        <v>70959200</v>
      </c>
      <c r="K352">
        <v>0</v>
      </c>
      <c r="L352">
        <v>0</v>
      </c>
    </row>
    <row r="353" spans="1:12" x14ac:dyDescent="0.25">
      <c r="A353">
        <v>10562</v>
      </c>
      <c r="B353" s="1">
        <f>DATE(2033,4,1) + TIME(0,0,0)</f>
        <v>48670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54041300</v>
      </c>
      <c r="J353">
        <v>71178200</v>
      </c>
      <c r="K353">
        <v>0</v>
      </c>
      <c r="L353">
        <v>0</v>
      </c>
    </row>
    <row r="354" spans="1:12" x14ac:dyDescent="0.25">
      <c r="A354">
        <v>10592</v>
      </c>
      <c r="B354" s="1">
        <f>DATE(2033,5,1) + TIME(0,0,0)</f>
        <v>48700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75969896</v>
      </c>
      <c r="J354">
        <v>0</v>
      </c>
      <c r="K354">
        <v>0</v>
      </c>
      <c r="L354">
        <v>0</v>
      </c>
    </row>
    <row r="355" spans="1:12" x14ac:dyDescent="0.25">
      <c r="A355">
        <v>10623</v>
      </c>
      <c r="B355" s="1">
        <f>DATE(2033,6,1) + TIME(0,0,0)</f>
        <v>48731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75900504</v>
      </c>
      <c r="J355">
        <v>0</v>
      </c>
      <c r="K355">
        <v>0</v>
      </c>
      <c r="L355">
        <v>0</v>
      </c>
    </row>
    <row r="356" spans="1:12" x14ac:dyDescent="0.25">
      <c r="A356">
        <v>10653</v>
      </c>
      <c r="B356" s="1">
        <f>DATE(2033,7,1) + TIME(0,0,0)</f>
        <v>48761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75878400</v>
      </c>
      <c r="J356">
        <v>0</v>
      </c>
      <c r="K356">
        <v>0</v>
      </c>
      <c r="L356">
        <v>0</v>
      </c>
    </row>
    <row r="357" spans="1:12" x14ac:dyDescent="0.25">
      <c r="A357">
        <v>10684</v>
      </c>
      <c r="B357" s="1">
        <f>DATE(2033,8,1) + TIME(0,0,0)</f>
        <v>48792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75892400</v>
      </c>
      <c r="J357">
        <v>0</v>
      </c>
      <c r="K357">
        <v>0</v>
      </c>
      <c r="L357">
        <v>0</v>
      </c>
    </row>
    <row r="358" spans="1:12" x14ac:dyDescent="0.25">
      <c r="A358">
        <v>10715</v>
      </c>
      <c r="B358" s="1">
        <f>DATE(2033,9,1) + TIME(0,0,0)</f>
        <v>48823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75872504</v>
      </c>
      <c r="J358">
        <v>0</v>
      </c>
      <c r="K358">
        <v>0</v>
      </c>
      <c r="L358">
        <v>0</v>
      </c>
    </row>
    <row r="359" spans="1:12" x14ac:dyDescent="0.25">
      <c r="A359">
        <v>10745</v>
      </c>
      <c r="B359" s="1">
        <f>DATE(2033,10,1) + TIME(0,0,0)</f>
        <v>48853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75849200</v>
      </c>
      <c r="J359">
        <v>0</v>
      </c>
      <c r="K359">
        <v>0</v>
      </c>
      <c r="L359">
        <v>0</v>
      </c>
    </row>
    <row r="360" spans="1:12" x14ac:dyDescent="0.25">
      <c r="A360">
        <v>10776</v>
      </c>
      <c r="B360" s="1">
        <f>DATE(2033,11,1) + TIME(0,0,0)</f>
        <v>48884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75862200</v>
      </c>
      <c r="J360">
        <v>0</v>
      </c>
      <c r="K360">
        <v>0</v>
      </c>
      <c r="L360">
        <v>0</v>
      </c>
    </row>
    <row r="361" spans="1:12" x14ac:dyDescent="0.25">
      <c r="A361">
        <v>10806</v>
      </c>
      <c r="B361" s="1">
        <f>DATE(2033,12,1) + TIME(0,0,0)</f>
        <v>48914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75836704</v>
      </c>
      <c r="J361">
        <v>0</v>
      </c>
      <c r="K361">
        <v>0</v>
      </c>
      <c r="L361">
        <v>0</v>
      </c>
    </row>
    <row r="362" spans="1:12" x14ac:dyDescent="0.25">
      <c r="A362">
        <v>10837</v>
      </c>
      <c r="B362" s="1">
        <f>DATE(2034,1,1) + TIME(0,0,0)</f>
        <v>48945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75814000</v>
      </c>
      <c r="J362">
        <v>0</v>
      </c>
      <c r="K362">
        <v>0</v>
      </c>
      <c r="L362">
        <v>0</v>
      </c>
    </row>
    <row r="363" spans="1:12" x14ac:dyDescent="0.25">
      <c r="A363">
        <v>10868</v>
      </c>
      <c r="B363" s="1">
        <f>DATE(2034,2,1) + TIME(0,0,0)</f>
        <v>48976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75808600</v>
      </c>
      <c r="J363">
        <v>0</v>
      </c>
      <c r="K363">
        <v>0</v>
      </c>
      <c r="L363">
        <v>0</v>
      </c>
    </row>
    <row r="364" spans="1:12" x14ac:dyDescent="0.25">
      <c r="A364">
        <v>10896</v>
      </c>
      <c r="B364" s="1">
        <f>DATE(2034,3,1) + TIME(0,0,0)</f>
        <v>49004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70891104</v>
      </c>
      <c r="J364">
        <v>0</v>
      </c>
      <c r="K364">
        <v>0</v>
      </c>
      <c r="L364">
        <v>0</v>
      </c>
    </row>
    <row r="365" spans="1:12" x14ac:dyDescent="0.25">
      <c r="A365">
        <v>10927</v>
      </c>
      <c r="B365" s="1">
        <f>DATE(2034,4,1) + TIME(0,0,0)</f>
        <v>49035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67539400</v>
      </c>
      <c r="J365">
        <v>0</v>
      </c>
      <c r="K365">
        <v>0</v>
      </c>
      <c r="L365">
        <v>0</v>
      </c>
    </row>
    <row r="366" spans="1:12" x14ac:dyDescent="0.25">
      <c r="A366">
        <v>10957</v>
      </c>
      <c r="B366" s="1">
        <f>DATE(2034,5,1) + TIME(0,0,0)</f>
        <v>49065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63243600</v>
      </c>
      <c r="J366">
        <v>0</v>
      </c>
      <c r="K366">
        <v>0</v>
      </c>
      <c r="L366">
        <v>0</v>
      </c>
    </row>
    <row r="367" spans="1:12" x14ac:dyDescent="0.25">
      <c r="A367">
        <v>10988</v>
      </c>
      <c r="B367" s="1">
        <f>DATE(2034,6,1) + TIME(0,0,0)</f>
        <v>49096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58172400</v>
      </c>
      <c r="J367">
        <v>0</v>
      </c>
      <c r="K367">
        <v>0</v>
      </c>
      <c r="L367">
        <v>0</v>
      </c>
    </row>
    <row r="368" spans="1:12" x14ac:dyDescent="0.25">
      <c r="A368">
        <v>11018</v>
      </c>
      <c r="B368" s="1">
        <f>DATE(2034,7,1) + TIME(0,0,0)</f>
        <v>49126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53268400</v>
      </c>
      <c r="J368">
        <v>0</v>
      </c>
      <c r="K368">
        <v>0</v>
      </c>
      <c r="L368">
        <v>0</v>
      </c>
    </row>
    <row r="369" spans="1:12" x14ac:dyDescent="0.25">
      <c r="A369">
        <v>11049</v>
      </c>
      <c r="B369" s="1">
        <f>DATE(2034,8,1) + TIME(0,0,0)</f>
        <v>49157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53431900</v>
      </c>
      <c r="J369">
        <v>0</v>
      </c>
      <c r="K369">
        <v>0</v>
      </c>
      <c r="L369">
        <v>0</v>
      </c>
    </row>
    <row r="370" spans="1:12" x14ac:dyDescent="0.25">
      <c r="A370">
        <v>11080</v>
      </c>
      <c r="B370" s="1">
        <f>DATE(2034,9,1) + TIME(0,0,0)</f>
        <v>49188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52612600</v>
      </c>
      <c r="J370">
        <v>0</v>
      </c>
      <c r="K370">
        <v>0</v>
      </c>
      <c r="L370">
        <v>0</v>
      </c>
    </row>
    <row r="371" spans="1:12" x14ac:dyDescent="0.25">
      <c r="A371">
        <v>11110</v>
      </c>
      <c r="B371" s="1">
        <f>DATE(2034,10,1) + TIME(0,0,0)</f>
        <v>49218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51799600</v>
      </c>
      <c r="J371">
        <v>0</v>
      </c>
      <c r="K371">
        <v>0</v>
      </c>
      <c r="L371">
        <v>0</v>
      </c>
    </row>
    <row r="372" spans="1:12" x14ac:dyDescent="0.25">
      <c r="A372">
        <v>11141</v>
      </c>
      <c r="B372" s="1">
        <f>DATE(2034,11,1) + TIME(0,0,0)</f>
        <v>49249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51433300</v>
      </c>
      <c r="J372">
        <v>0</v>
      </c>
      <c r="K372">
        <v>0</v>
      </c>
      <c r="L372">
        <v>0</v>
      </c>
    </row>
    <row r="373" spans="1:12" x14ac:dyDescent="0.25">
      <c r="A373">
        <v>11171</v>
      </c>
      <c r="B373" s="1">
        <f>DATE(2034,12,1) + TIME(0,0,0)</f>
        <v>49279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47087900</v>
      </c>
      <c r="J373">
        <v>0</v>
      </c>
      <c r="K373">
        <v>0</v>
      </c>
      <c r="L373">
        <v>0</v>
      </c>
    </row>
    <row r="374" spans="1:12" x14ac:dyDescent="0.25">
      <c r="A374">
        <v>11202</v>
      </c>
      <c r="B374" s="1">
        <f>DATE(2035,1,1) + TIME(0,0,0)</f>
        <v>49310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42669496</v>
      </c>
      <c r="J374">
        <v>0</v>
      </c>
      <c r="K374">
        <v>0</v>
      </c>
      <c r="L374">
        <v>0</v>
      </c>
    </row>
    <row r="375" spans="1:12" x14ac:dyDescent="0.25">
      <c r="A375">
        <v>11233</v>
      </c>
      <c r="B375" s="1">
        <f>DATE(2035,2,1) + TIME(0,0,0)</f>
        <v>49341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38537400</v>
      </c>
      <c r="J375">
        <v>0</v>
      </c>
      <c r="K375">
        <v>0</v>
      </c>
      <c r="L375">
        <v>0</v>
      </c>
    </row>
    <row r="376" spans="1:12" x14ac:dyDescent="0.25">
      <c r="A376">
        <v>11261</v>
      </c>
      <c r="B376" s="1">
        <f>DATE(2035,3,1) + TIME(0,0,0)</f>
        <v>49369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18490900</v>
      </c>
      <c r="J376">
        <v>0</v>
      </c>
      <c r="K376">
        <v>0</v>
      </c>
      <c r="L376">
        <v>0</v>
      </c>
    </row>
    <row r="377" spans="1:12" x14ac:dyDescent="0.25">
      <c r="A377">
        <v>11292</v>
      </c>
      <c r="B377" s="1">
        <f>DATE(2035,4,1) + TIME(0,0,0)</f>
        <v>49400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3.9377518987748772E-6</v>
      </c>
      <c r="J377">
        <v>0</v>
      </c>
      <c r="K377">
        <v>0</v>
      </c>
      <c r="L377">
        <v>0</v>
      </c>
    </row>
    <row r="378" spans="1:12" x14ac:dyDescent="0.25">
      <c r="A378">
        <v>11322</v>
      </c>
      <c r="B378" s="1">
        <f>DATE(2035,5,1) + TIME(0,0,0)</f>
        <v>49430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</row>
    <row r="379" spans="1:12" x14ac:dyDescent="0.25">
      <c r="A379">
        <v>11353</v>
      </c>
      <c r="B379" s="1">
        <f>DATE(2035,6,1) + TIME(0,0,0)</f>
        <v>49461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</row>
    <row r="380" spans="1:12" x14ac:dyDescent="0.25">
      <c r="A380">
        <v>11383</v>
      </c>
      <c r="B380" s="1">
        <f>DATE(2035,7,1) + TIME(0,0,0)</f>
        <v>49491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</row>
    <row r="381" spans="1:12" x14ac:dyDescent="0.25">
      <c r="A381">
        <v>11414</v>
      </c>
      <c r="B381" s="1">
        <f>DATE(2035,8,1) + TIME(0,0,0)</f>
        <v>49522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</row>
    <row r="382" spans="1:12" x14ac:dyDescent="0.25">
      <c r="A382">
        <v>11445</v>
      </c>
      <c r="B382" s="1">
        <f>DATE(2035,9,1) + TIME(0,0,0)</f>
        <v>49553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</row>
    <row r="383" spans="1:12" x14ac:dyDescent="0.25">
      <c r="A383">
        <v>11475</v>
      </c>
      <c r="B383" s="1">
        <f>DATE(2035,10,1) + TIME(0,0,0)</f>
        <v>49583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</row>
    <row r="384" spans="1:12" x14ac:dyDescent="0.25">
      <c r="A384">
        <v>11506</v>
      </c>
      <c r="B384" s="1">
        <f>DATE(2035,11,1) + TIME(0,0,0)</f>
        <v>49614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</row>
    <row r="385" spans="1:12" x14ac:dyDescent="0.25">
      <c r="A385">
        <v>11536</v>
      </c>
      <c r="B385" s="1">
        <f>DATE(2035,12,1) + TIME(0,0,0)</f>
        <v>49644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</row>
    <row r="386" spans="1:12" x14ac:dyDescent="0.25">
      <c r="A386">
        <v>11567</v>
      </c>
      <c r="B386" s="1">
        <f>DATE(2036,1,1) + TIME(0,0,0)</f>
        <v>49675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</row>
    <row r="387" spans="1:12" x14ac:dyDescent="0.25">
      <c r="A387">
        <v>11598</v>
      </c>
      <c r="B387" s="1">
        <f>DATE(2036,2,1) + TIME(0,0,0)</f>
        <v>49706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</row>
    <row r="388" spans="1:12" x14ac:dyDescent="0.25">
      <c r="A388">
        <v>11627</v>
      </c>
      <c r="B388" s="1">
        <f>DATE(2036,3,1) + TIME(0,0,0)</f>
        <v>49735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</row>
    <row r="389" spans="1:12" x14ac:dyDescent="0.25">
      <c r="A389">
        <v>11658</v>
      </c>
      <c r="B389" s="1">
        <f>DATE(2036,4,1) + TIME(0,0,0)</f>
        <v>49766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</row>
    <row r="390" spans="1:12" x14ac:dyDescent="0.25">
      <c r="A390">
        <v>11688</v>
      </c>
      <c r="B390" s="1">
        <f>DATE(2036,5,1) + TIME(0,0,0)</f>
        <v>49796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</row>
    <row r="391" spans="1:12" x14ac:dyDescent="0.25">
      <c r="A391">
        <v>11719</v>
      </c>
      <c r="B391" s="1">
        <f>DATE(2036,6,1) + TIME(0,0,0)</f>
        <v>49827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</row>
    <row r="392" spans="1:12" x14ac:dyDescent="0.25">
      <c r="A392">
        <v>11749</v>
      </c>
      <c r="B392" s="1">
        <f>DATE(2036,7,1) + TIME(0,0,0)</f>
        <v>49857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</row>
    <row r="393" spans="1:12" x14ac:dyDescent="0.25">
      <c r="A393">
        <v>11780</v>
      </c>
      <c r="B393" s="1">
        <f>DATE(2036,8,1) + TIME(0,0,0)</f>
        <v>49888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</row>
    <row r="394" spans="1:12" x14ac:dyDescent="0.25">
      <c r="A394">
        <v>11811</v>
      </c>
      <c r="B394" s="1">
        <f>DATE(2036,9,1) + TIME(0,0,0)</f>
        <v>49919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</row>
    <row r="395" spans="1:12" x14ac:dyDescent="0.25">
      <c r="A395">
        <v>11841</v>
      </c>
      <c r="B395" s="1">
        <f>DATE(2036,10,1) + TIME(0,0,0)</f>
        <v>49949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</row>
    <row r="396" spans="1:12" x14ac:dyDescent="0.25">
      <c r="A396">
        <v>11872</v>
      </c>
      <c r="B396" s="1">
        <f>DATE(2036,11,1) + TIME(0,0,0)</f>
        <v>49980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</row>
    <row r="397" spans="1:12" x14ac:dyDescent="0.25">
      <c r="A397">
        <v>11902</v>
      </c>
      <c r="B397" s="1">
        <f>DATE(2036,12,1) + TIME(0,0,0)</f>
        <v>50010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</row>
    <row r="398" spans="1:12" x14ac:dyDescent="0.25">
      <c r="A398">
        <v>11933</v>
      </c>
      <c r="B398" s="1">
        <f>DATE(2037,1,1) + TIME(0,0,0)</f>
        <v>50041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</row>
    <row r="399" spans="1:12" x14ac:dyDescent="0.25">
      <c r="A399">
        <v>11964</v>
      </c>
      <c r="B399" s="1">
        <f>DATE(2037,2,1) + TIME(0,0,0)</f>
        <v>50072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</row>
    <row r="400" spans="1:12" x14ac:dyDescent="0.25">
      <c r="A400">
        <v>11992</v>
      </c>
      <c r="B400" s="1">
        <f>DATE(2037,3,1) + TIME(0,0,0)</f>
        <v>50100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</row>
    <row r="401" spans="1:12" x14ac:dyDescent="0.25">
      <c r="A401">
        <v>12023</v>
      </c>
      <c r="B401" s="1">
        <f>DATE(2037,4,1) + TIME(0,0,0)</f>
        <v>50131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</row>
    <row r="402" spans="1:12" x14ac:dyDescent="0.25">
      <c r="A402">
        <v>12053</v>
      </c>
      <c r="B402" s="1">
        <f>DATE(2037,5,1) + TIME(0,0,0)</f>
        <v>50161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</row>
    <row r="403" spans="1:12" x14ac:dyDescent="0.25">
      <c r="A403">
        <v>12084</v>
      </c>
      <c r="B403" s="1">
        <f>DATE(2037,6,1) + TIME(0,0,0)</f>
        <v>50192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</row>
    <row r="404" spans="1:12" x14ac:dyDescent="0.25">
      <c r="A404">
        <v>12114</v>
      </c>
      <c r="B404" s="1">
        <f>DATE(2037,7,1) + TIME(0,0,0)</f>
        <v>50222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</row>
    <row r="405" spans="1:12" x14ac:dyDescent="0.25">
      <c r="A405">
        <v>12145</v>
      </c>
      <c r="B405" s="1">
        <f>DATE(2037,8,1) + TIME(0,0,0)</f>
        <v>50253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</row>
    <row r="406" spans="1:12" x14ac:dyDescent="0.25">
      <c r="A406">
        <v>12176</v>
      </c>
      <c r="B406" s="1">
        <f>DATE(2037,9,1) + TIME(0,0,0)</f>
        <v>50284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</row>
    <row r="407" spans="1:12" x14ac:dyDescent="0.25">
      <c r="A407">
        <v>12206</v>
      </c>
      <c r="B407" s="1">
        <f>DATE(2037,10,1) + TIME(0,0,0)</f>
        <v>50314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</row>
    <row r="408" spans="1:12" x14ac:dyDescent="0.25">
      <c r="A408">
        <v>12237</v>
      </c>
      <c r="B408" s="1">
        <f>DATE(2037,11,1) + TIME(0,0,0)</f>
        <v>50345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</row>
    <row r="409" spans="1:12" x14ac:dyDescent="0.25">
      <c r="A409">
        <v>12267</v>
      </c>
      <c r="B409" s="1">
        <f>DATE(2037,12,1) + TIME(0,0,0)</f>
        <v>50375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</row>
    <row r="410" spans="1:12" x14ac:dyDescent="0.25">
      <c r="A410">
        <v>12298</v>
      </c>
      <c r="B410" s="1">
        <f>DATE(2038,1,1) + TIME(0,0,0)</f>
        <v>50406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</row>
    <row r="411" spans="1:12" x14ac:dyDescent="0.25">
      <c r="A411">
        <v>12329</v>
      </c>
      <c r="B411" s="1">
        <f>DATE(2038,2,1) + TIME(0,0,0)</f>
        <v>50437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</row>
    <row r="412" spans="1:12" x14ac:dyDescent="0.25">
      <c r="A412">
        <v>12357</v>
      </c>
      <c r="B412" s="1">
        <f>DATE(2038,3,1) + TIME(0,0,0)</f>
        <v>50465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</row>
    <row r="413" spans="1:12" x14ac:dyDescent="0.25">
      <c r="A413">
        <v>12388</v>
      </c>
      <c r="B413" s="1">
        <f>DATE(2038,4,1) + TIME(0,0,0)</f>
        <v>50496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</row>
    <row r="414" spans="1:12" x14ac:dyDescent="0.25">
      <c r="A414">
        <v>12418</v>
      </c>
      <c r="B414" s="1">
        <f>DATE(2038,5,1) + TIME(0,0,0)</f>
        <v>50526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</row>
    <row r="415" spans="1:12" x14ac:dyDescent="0.25">
      <c r="A415">
        <v>12449</v>
      </c>
      <c r="B415" s="1">
        <f>DATE(2038,6,1) + TIME(0,0,0)</f>
        <v>50557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</row>
    <row r="416" spans="1:12" x14ac:dyDescent="0.25">
      <c r="A416">
        <v>12479</v>
      </c>
      <c r="B416" s="1">
        <f>DATE(2038,7,1) + TIME(0,0,0)</f>
        <v>50587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</row>
    <row r="417" spans="1:12" x14ac:dyDescent="0.25">
      <c r="A417">
        <v>12510</v>
      </c>
      <c r="B417" s="1">
        <f>DATE(2038,8,1) + TIME(0,0,0)</f>
        <v>50618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</row>
    <row r="418" spans="1:12" x14ac:dyDescent="0.25">
      <c r="A418">
        <v>12541</v>
      </c>
      <c r="B418" s="1">
        <f>DATE(2038,9,1) + TIME(0,0,0)</f>
        <v>50649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</row>
    <row r="419" spans="1:12" x14ac:dyDescent="0.25">
      <c r="A419">
        <v>12571</v>
      </c>
      <c r="B419" s="1">
        <f>DATE(2038,10,1) + TIME(0,0,0)</f>
        <v>50679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</row>
    <row r="420" spans="1:12" x14ac:dyDescent="0.25">
      <c r="A420">
        <v>12602</v>
      </c>
      <c r="B420" s="1">
        <f>DATE(2038,11,1) + TIME(0,0,0)</f>
        <v>50710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</row>
    <row r="421" spans="1:12" x14ac:dyDescent="0.25">
      <c r="A421">
        <v>12632</v>
      </c>
      <c r="B421" s="1">
        <f>DATE(2038,12,1) + TIME(0,0,0)</f>
        <v>50740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</row>
    <row r="422" spans="1:12" x14ac:dyDescent="0.25">
      <c r="A422">
        <v>12663</v>
      </c>
      <c r="B422" s="1">
        <f>DATE(2039,1,1) + TIME(0,0,0)</f>
        <v>50771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</row>
    <row r="423" spans="1:12" x14ac:dyDescent="0.25">
      <c r="A423">
        <v>12694</v>
      </c>
      <c r="B423" s="1">
        <f>DATE(2039,2,1) + TIME(0,0,0)</f>
        <v>50802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</row>
    <row r="424" spans="1:12" x14ac:dyDescent="0.25">
      <c r="A424">
        <v>12722</v>
      </c>
      <c r="B424" s="1">
        <f>DATE(2039,3,1) + TIME(0,0,0)</f>
        <v>50830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</row>
    <row r="425" spans="1:12" x14ac:dyDescent="0.25">
      <c r="A425">
        <v>12753</v>
      </c>
      <c r="B425" s="1">
        <f>DATE(2039,4,1) + TIME(0,0,0)</f>
        <v>50861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</row>
    <row r="426" spans="1:12" x14ac:dyDescent="0.25">
      <c r="A426">
        <v>12783</v>
      </c>
      <c r="B426" s="1">
        <f>DATE(2039,5,1) + TIME(0,0,0)</f>
        <v>50891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</row>
    <row r="427" spans="1:12" x14ac:dyDescent="0.25">
      <c r="A427">
        <v>12814</v>
      </c>
      <c r="B427" s="1">
        <f>DATE(2039,6,1) + TIME(0,0,0)</f>
        <v>50922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</row>
    <row r="428" spans="1:12" x14ac:dyDescent="0.25">
      <c r="A428">
        <v>12844</v>
      </c>
      <c r="B428" s="1">
        <f>DATE(2039,7,1) + TIME(0,0,0)</f>
        <v>50952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</row>
    <row r="429" spans="1:12" x14ac:dyDescent="0.25">
      <c r="A429">
        <v>12875</v>
      </c>
      <c r="B429" s="1">
        <f>DATE(2039,8,1) + TIME(0,0,0)</f>
        <v>50983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</row>
    <row r="430" spans="1:12" x14ac:dyDescent="0.25">
      <c r="A430">
        <v>12906</v>
      </c>
      <c r="B430" s="1">
        <f>DATE(2039,9,1) + TIME(0,0,0)</f>
        <v>51014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</row>
    <row r="431" spans="1:12" x14ac:dyDescent="0.25">
      <c r="A431">
        <v>12936</v>
      </c>
      <c r="B431" s="1">
        <f>DATE(2039,10,1) + TIME(0,0,0)</f>
        <v>51044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</row>
    <row r="432" spans="1:12" x14ac:dyDescent="0.25">
      <c r="A432">
        <v>12967</v>
      </c>
      <c r="B432" s="1">
        <f>DATE(2039,11,1) + TIME(0,0,0)</f>
        <v>51075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</row>
    <row r="433" spans="1:12" x14ac:dyDescent="0.25">
      <c r="A433">
        <v>12997</v>
      </c>
      <c r="B433" s="1">
        <f>DATE(2039,12,1) + TIME(0,0,0)</f>
        <v>51105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</row>
    <row r="434" spans="1:12" x14ac:dyDescent="0.25">
      <c r="A434">
        <v>13028</v>
      </c>
      <c r="B434" s="1">
        <f>DATE(2040,1,1) + TIME(0,0,0)</f>
        <v>51136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</row>
    <row r="435" spans="1:12" x14ac:dyDescent="0.25">
      <c r="A435">
        <v>13059</v>
      </c>
      <c r="B435" s="1">
        <f>DATE(2040,2,1) + TIME(0,0,0)</f>
        <v>51167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</row>
    <row r="436" spans="1:12" x14ac:dyDescent="0.25">
      <c r="A436">
        <v>13088</v>
      </c>
      <c r="B436" s="1">
        <f>DATE(2040,3,1) + TIME(0,0,0)</f>
        <v>51196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</row>
    <row r="437" spans="1:12" x14ac:dyDescent="0.25">
      <c r="A437">
        <v>13119</v>
      </c>
      <c r="B437" s="1">
        <f>DATE(2040,4,1) + TIME(0,0,0)</f>
        <v>51227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</row>
    <row r="438" spans="1:12" x14ac:dyDescent="0.25">
      <c r="A438">
        <v>13149</v>
      </c>
      <c r="B438" s="1">
        <f>DATE(2040,5,1) + TIME(0,0,0)</f>
        <v>51257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</row>
    <row r="439" spans="1:12" x14ac:dyDescent="0.25">
      <c r="A439">
        <v>13180</v>
      </c>
      <c r="B439" s="1">
        <f>DATE(2040,6,1) + TIME(0,0,0)</f>
        <v>51288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</row>
    <row r="440" spans="1:12" x14ac:dyDescent="0.25">
      <c r="A440">
        <v>13210</v>
      </c>
      <c r="B440" s="1">
        <f>DATE(2040,7,1) + TIME(0,0,0)</f>
        <v>51318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</row>
    <row r="441" spans="1:12" x14ac:dyDescent="0.25">
      <c r="A441">
        <v>13241</v>
      </c>
      <c r="B441" s="1">
        <f>DATE(2040,8,1) + TIME(0,0,0)</f>
        <v>51349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</row>
    <row r="442" spans="1:12" x14ac:dyDescent="0.25">
      <c r="A442">
        <v>13272</v>
      </c>
      <c r="B442" s="1">
        <f>DATE(2040,9,1) + TIME(0,0,0)</f>
        <v>51380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</row>
    <row r="443" spans="1:12" x14ac:dyDescent="0.25">
      <c r="A443">
        <v>13302</v>
      </c>
      <c r="B443" s="1">
        <f>DATE(2040,10,1) + TIME(0,0,0)</f>
        <v>51410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</row>
    <row r="444" spans="1:12" x14ac:dyDescent="0.25">
      <c r="A444">
        <v>13333</v>
      </c>
      <c r="B444" s="1">
        <f>DATE(2040,11,1) + TIME(0,0,0)</f>
        <v>51441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</row>
    <row r="445" spans="1:12" x14ac:dyDescent="0.25">
      <c r="A445">
        <v>13363</v>
      </c>
      <c r="B445" s="1">
        <f>DATE(2040,12,1) + TIME(0,0,0)</f>
        <v>51471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</row>
    <row r="446" spans="1:12" x14ac:dyDescent="0.25">
      <c r="A446">
        <v>13394</v>
      </c>
      <c r="B446" s="1">
        <f>DATE(2041,1,1) + TIME(0,0,0)</f>
        <v>51502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59AD4-DD9E-4C78-872E-02F7378B1A48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ProxyCAM2020_HMfinal_Mar22_40_R</vt:lpstr>
      <vt:lpstr>Sheet1</vt:lpstr>
    </vt:vector>
  </TitlesOfParts>
  <Company>PLUSPETROL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Pavel  Zuloaga</dc:creator>
  <cp:lastModifiedBy>Pavel  Zuloaga</cp:lastModifiedBy>
  <dcterms:created xsi:type="dcterms:W3CDTF">2022-10-20T13:48:44Z</dcterms:created>
  <dcterms:modified xsi:type="dcterms:W3CDTF">2022-10-20T13:49:22Z</dcterms:modified>
</cp:coreProperties>
</file>