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Waterloo\4A_F21\MTE481\q-pup-mechanical\"/>
    </mc:Choice>
  </mc:AlternateContent>
  <xr:revisionPtr revIDLastSave="0" documentId="13_ncr:1_{0D71C4B4-8939-4C11-A4BD-7AB133588852}" xr6:coauthVersionLast="47" xr6:coauthVersionMax="47" xr10:uidLastSave="{00000000-0000-0000-0000-000000000000}"/>
  <bookViews>
    <workbookView xWindow="28680" yWindow="-15" windowWidth="29040" windowHeight="15840" activeTab="1" xr2:uid="{A4784504-88B9-441C-AB45-7A22F78AE512}"/>
  </bookViews>
  <sheets>
    <sheet name="Sheet1" sheetId="1" r:id="rId1"/>
    <sheet name="Pulley 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K5" i="2"/>
  <c r="Q4" i="2"/>
  <c r="T4" i="2" s="1"/>
  <c r="L6" i="2" s="1"/>
  <c r="P4" i="2"/>
  <c r="S4" i="2" s="1"/>
  <c r="L5" i="2" s="1"/>
  <c r="L14" i="1"/>
  <c r="K14" i="1"/>
  <c r="D14" i="1"/>
  <c r="F14" i="1" s="1"/>
  <c r="I14" i="1" s="1"/>
  <c r="B14" i="1"/>
  <c r="I15" i="1"/>
  <c r="I13" i="1"/>
  <c r="F15" i="1"/>
  <c r="D15" i="1"/>
  <c r="D13" i="1"/>
  <c r="F13" i="1"/>
  <c r="D3" i="1"/>
  <c r="B3" i="1"/>
  <c r="F3" i="1"/>
  <c r="K7" i="1" s="1"/>
  <c r="K3" i="1"/>
  <c r="D8" i="1"/>
  <c r="F8" i="1" s="1"/>
  <c r="I8" i="1" s="1"/>
  <c r="B8" i="1"/>
  <c r="D7" i="1"/>
  <c r="F7" i="1" s="1"/>
  <c r="I7" i="1" s="1"/>
  <c r="D9" i="1"/>
  <c r="F9" i="1" s="1"/>
  <c r="I9" i="1" s="1"/>
  <c r="D11" i="1"/>
  <c r="F11" i="1" s="1"/>
  <c r="I11" i="1" s="1"/>
  <c r="D6" i="1"/>
  <c r="F6" i="1" s="1"/>
  <c r="I6" i="1" s="1"/>
  <c r="D10" i="1"/>
  <c r="F10" i="1" s="1"/>
  <c r="I10" i="1" s="1"/>
  <c r="D12" i="1"/>
  <c r="F12" i="1" s="1"/>
  <c r="I12" i="1" s="1"/>
  <c r="D5" i="1"/>
  <c r="F5" i="1" s="1"/>
  <c r="I5" i="1" s="1"/>
</calcChain>
</file>

<file path=xl/sharedStrings.xml><?xml version="1.0" encoding="utf-8"?>
<sst xmlns="http://schemas.openxmlformats.org/spreadsheetml/2006/main" count="33" uniqueCount="29">
  <si>
    <t>power [kW]</t>
  </si>
  <si>
    <t>speed [RPM]</t>
  </si>
  <si>
    <t>Torque [Nm]</t>
  </si>
  <si>
    <t>Pulley dia [mm]</t>
  </si>
  <si>
    <t>Force [N]</t>
  </si>
  <si>
    <t>Req</t>
  </si>
  <si>
    <t>Omega HP</t>
  </si>
  <si>
    <t>Belt Width [mm]</t>
  </si>
  <si>
    <t>Tensile Strength per belt width [N/mm]</t>
  </si>
  <si>
    <t>DELTA</t>
  </si>
  <si>
    <t>Gates Powergrip Drive Design Manual</t>
  </si>
  <si>
    <t>https://www.gates.com/content/dam/gates/home/knowledge-center/resource-library/catalogs/powergripdrivedesignmanual_17195_2014.pdf</t>
  </si>
  <si>
    <t>Name</t>
  </si>
  <si>
    <t>URL</t>
  </si>
  <si>
    <t>Pages</t>
  </si>
  <si>
    <t>Technical Data Sheet - optibelt OMEGA HP 8M</t>
  </si>
  <si>
    <t>https://www.optibelt.com/fileadmin/pdf/datenblaetter/Technical-Data-Sheet-optibelt-OMEGA-HP-8M.pdf</t>
  </si>
  <si>
    <t>https://www.optibelt.com/fileadmin/pdf/produkte/zahnriemen-gummi/Optibelt-TM-Rubber-Timing-Belt-Drives.pdf</t>
  </si>
  <si>
    <t>Optibelt-TM-Rubber-Timing-Belt-Drives</t>
  </si>
  <si>
    <t>Teeth</t>
  </si>
  <si>
    <t>[1]</t>
  </si>
  <si>
    <t>[2]</t>
  </si>
  <si>
    <t>[3]</t>
  </si>
  <si>
    <t>Source</t>
  </si>
  <si>
    <t>Pitch Dia</t>
  </si>
  <si>
    <t>Outside Dia</t>
  </si>
  <si>
    <t>Pitch Dia (Alt)</t>
  </si>
  <si>
    <t>Outside Dia (Alt)</t>
  </si>
  <si>
    <t>131, 138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</si>
</sst>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000"/>
    <numFmt numFmtId="167" formatCode="0.00000000"/>
    <numFmt numFmtId="168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textRotation="90"/>
    </xf>
    <xf numFmtId="0" fontId="1" fillId="0" borderId="0" xfId="0" applyFont="1" applyAlignment="1">
      <alignment textRotation="90" wrapText="1"/>
    </xf>
    <xf numFmtId="0" fontId="1" fillId="0" borderId="0" xfId="0" applyFont="1"/>
    <xf numFmtId="0" fontId="2" fillId="0" borderId="0" xfId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tibelt.com/fileadmin/pdf/produkte/zahnriemen-gummi/Optibelt-TM-Rubber-Timing-Belt-Drives.pdf" TargetMode="External"/><Relationship Id="rId2" Type="http://schemas.openxmlformats.org/officeDocument/2006/relationships/hyperlink" Target="https://www.optibelt.com/fileadmin/pdf/datenblaetter/Technical-Data-Sheet-optibelt-OMEGA-HP-8M.pdf" TargetMode="External"/><Relationship Id="rId1" Type="http://schemas.openxmlformats.org/officeDocument/2006/relationships/hyperlink" Target="https://www.gates.com/content/dam/gates/home/knowledge-center/resource-library/catalogs/powergripdrivedesignmanual_17195_2014.pdf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5228-216D-46DA-9BAF-D312C7CBD806}">
  <dimension ref="A2:L15"/>
  <sheetViews>
    <sheetView zoomScale="145" zoomScaleNormal="145" workbookViewId="0">
      <selection activeCell="I16" sqref="I16"/>
    </sheetView>
  </sheetViews>
  <sheetFormatPr defaultRowHeight="14.4" x14ac:dyDescent="0.3"/>
  <cols>
    <col min="1" max="1" width="10.21875" customWidth="1"/>
    <col min="2" max="2" width="10.5546875" bestFit="1" customWidth="1"/>
    <col min="3" max="3" width="12.5546875" bestFit="1" customWidth="1"/>
    <col min="4" max="5" width="10.5546875" bestFit="1" customWidth="1"/>
    <col min="6" max="6" width="9.5546875" bestFit="1" customWidth="1"/>
    <col min="9" max="9" width="9.5546875" bestFit="1" customWidth="1"/>
  </cols>
  <sheetData>
    <row r="2" spans="1:12" s="2" customFormat="1" ht="99" customHeigh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7</v>
      </c>
      <c r="H2" s="3"/>
      <c r="I2" s="3" t="s">
        <v>8</v>
      </c>
    </row>
    <row r="3" spans="1:12" x14ac:dyDescent="0.3">
      <c r="A3" s="4" t="s">
        <v>5</v>
      </c>
      <c r="B3" s="1">
        <f>(C3*D3/9.5488)/1000</f>
        <v>0.41890080428954429</v>
      </c>
      <c r="C3" s="1">
        <v>30</v>
      </c>
      <c r="D3" s="1">
        <f>200/1.5</f>
        <v>133.33333333333334</v>
      </c>
      <c r="E3" s="1">
        <v>160</v>
      </c>
      <c r="F3" s="1">
        <f>D3/(E3/2000)</f>
        <v>1666.6666666666667</v>
      </c>
      <c r="K3">
        <f>E3/1.55</f>
        <v>103.2258064516129</v>
      </c>
    </row>
    <row r="4" spans="1:12" x14ac:dyDescent="0.3">
      <c r="A4" s="4"/>
      <c r="B4" s="1"/>
      <c r="C4" s="1"/>
      <c r="D4" s="1"/>
      <c r="E4" s="1"/>
      <c r="F4" s="1"/>
    </row>
    <row r="5" spans="1:12" x14ac:dyDescent="0.3">
      <c r="A5" s="4" t="s">
        <v>6</v>
      </c>
      <c r="B5" s="1">
        <v>5</v>
      </c>
      <c r="C5" s="1">
        <v>2850</v>
      </c>
      <c r="D5" s="1">
        <f t="shared" ref="D5:D15" si="0">B5*1000*9.5488/C5</f>
        <v>16.752280701754387</v>
      </c>
      <c r="E5" s="1">
        <v>76.39</v>
      </c>
      <c r="F5" s="1">
        <f t="shared" ref="F5:F15" si="1">D5/(E5/2000)</f>
        <v>438.59878784538256</v>
      </c>
      <c r="G5" s="1">
        <v>9</v>
      </c>
      <c r="I5" s="1">
        <f>F5/G5</f>
        <v>48.733198649486951</v>
      </c>
    </row>
    <row r="6" spans="1:12" x14ac:dyDescent="0.3">
      <c r="A6" s="4"/>
      <c r="B6" s="1">
        <v>0.1</v>
      </c>
      <c r="C6" s="1">
        <v>10</v>
      </c>
      <c r="D6" s="1">
        <f t="shared" si="0"/>
        <v>95.488</v>
      </c>
      <c r="E6" s="1">
        <v>81.489999999999995</v>
      </c>
      <c r="F6" s="1">
        <f t="shared" si="1"/>
        <v>2343.5513559946007</v>
      </c>
      <c r="G6" s="1">
        <v>20</v>
      </c>
      <c r="I6" s="1">
        <f t="shared" ref="I6" si="2">F6/G6</f>
        <v>117.17756779973004</v>
      </c>
    </row>
    <row r="7" spans="1:12" x14ac:dyDescent="0.3">
      <c r="A7" s="4"/>
      <c r="B7" s="1">
        <v>0.19</v>
      </c>
      <c r="C7" s="1">
        <v>20</v>
      </c>
      <c r="D7" s="1">
        <f t="shared" si="0"/>
        <v>90.7136</v>
      </c>
      <c r="E7" s="1">
        <v>81.489999999999995</v>
      </c>
      <c r="F7" s="1">
        <f t="shared" si="1"/>
        <v>2226.3737881948709</v>
      </c>
      <c r="G7" s="1">
        <v>20</v>
      </c>
      <c r="I7" s="1">
        <f t="shared" ref="I7" si="3">F7/G7</f>
        <v>111.31868940974354</v>
      </c>
      <c r="K7">
        <f>F8/F3</f>
        <v>1.3280124350636071</v>
      </c>
    </row>
    <row r="8" spans="1:12" x14ac:dyDescent="0.3">
      <c r="A8" s="4"/>
      <c r="B8" s="1">
        <f>B7 + (B9-B7)*(C8-C7)/(C9-C7)</f>
        <v>0.28333333333333333</v>
      </c>
      <c r="C8" s="1">
        <v>30</v>
      </c>
      <c r="D8" s="1">
        <f t="shared" si="0"/>
        <v>90.183111111111117</v>
      </c>
      <c r="E8" s="1">
        <v>81.489999999999995</v>
      </c>
      <c r="F8" s="1">
        <f t="shared" si="1"/>
        <v>2213.3540584393454</v>
      </c>
      <c r="G8" s="1">
        <v>20</v>
      </c>
      <c r="I8" s="1">
        <f t="shared" ref="I8" si="4">F8/G8</f>
        <v>110.66770292196728</v>
      </c>
    </row>
    <row r="9" spans="1:12" x14ac:dyDescent="0.3">
      <c r="A9" s="4"/>
      <c r="B9" s="1">
        <v>0.47</v>
      </c>
      <c r="C9" s="1">
        <v>50</v>
      </c>
      <c r="D9" s="1">
        <f t="shared" si="0"/>
        <v>89.758719999999997</v>
      </c>
      <c r="E9" s="1">
        <v>81.489999999999995</v>
      </c>
      <c r="F9" s="1">
        <f t="shared" si="1"/>
        <v>2202.9382746349247</v>
      </c>
      <c r="G9" s="1">
        <v>20</v>
      </c>
      <c r="I9" s="1">
        <f t="shared" ref="I9" si="5">F9/G9</f>
        <v>110.14691373174624</v>
      </c>
    </row>
    <row r="10" spans="1:12" x14ac:dyDescent="0.3">
      <c r="A10" s="4"/>
      <c r="B10" s="1">
        <v>1.71</v>
      </c>
      <c r="C10" s="1">
        <v>200</v>
      </c>
      <c r="D10" s="1">
        <f t="shared" si="0"/>
        <v>81.642240000000001</v>
      </c>
      <c r="E10" s="1">
        <v>81.489999999999995</v>
      </c>
      <c r="F10" s="1">
        <f t="shared" si="1"/>
        <v>2003.7364093753836</v>
      </c>
      <c r="G10" s="1">
        <v>20</v>
      </c>
      <c r="I10" s="1">
        <f t="shared" ref="I10:I15" si="6">F10/G10</f>
        <v>100.18682046876918</v>
      </c>
    </row>
    <row r="11" spans="1:12" x14ac:dyDescent="0.3">
      <c r="A11" s="4"/>
      <c r="B11" s="1">
        <v>20</v>
      </c>
      <c r="C11" s="1">
        <v>3000</v>
      </c>
      <c r="D11" s="1">
        <f t="shared" si="0"/>
        <v>63.658666666666669</v>
      </c>
      <c r="E11" s="1">
        <v>81.489999999999995</v>
      </c>
      <c r="F11" s="1">
        <f t="shared" si="1"/>
        <v>1562.3675706630672</v>
      </c>
      <c r="G11" s="1">
        <v>20</v>
      </c>
      <c r="I11" s="1">
        <f t="shared" ref="I11" si="7">F11/G11</f>
        <v>78.118378533153361</v>
      </c>
    </row>
    <row r="12" spans="1:12" x14ac:dyDescent="0.3">
      <c r="A12" s="4"/>
      <c r="B12">
        <v>43.92</v>
      </c>
      <c r="C12" s="1">
        <v>8000</v>
      </c>
      <c r="D12" s="1">
        <f t="shared" si="0"/>
        <v>52.422911999999997</v>
      </c>
      <c r="E12" s="1">
        <v>81.489999999999995</v>
      </c>
      <c r="F12" s="1">
        <f t="shared" si="1"/>
        <v>1286.6096944410358</v>
      </c>
      <c r="G12" s="1">
        <v>20</v>
      </c>
      <c r="I12" s="1">
        <f t="shared" si="6"/>
        <v>64.330484722051793</v>
      </c>
    </row>
    <row r="13" spans="1:12" x14ac:dyDescent="0.3">
      <c r="A13" s="4" t="s">
        <v>9</v>
      </c>
      <c r="B13" s="1">
        <v>0.22</v>
      </c>
      <c r="C13" s="1">
        <v>20</v>
      </c>
      <c r="D13" s="1">
        <f t="shared" si="0"/>
        <v>105.0368</v>
      </c>
      <c r="E13" s="1">
        <v>81.489999999999995</v>
      </c>
      <c r="F13" s="1">
        <f t="shared" si="1"/>
        <v>2577.9064915940608</v>
      </c>
      <c r="G13" s="1">
        <v>12</v>
      </c>
      <c r="I13" s="1">
        <f t="shared" si="6"/>
        <v>214.82554096617173</v>
      </c>
    </row>
    <row r="14" spans="1:12" x14ac:dyDescent="0.3">
      <c r="B14" s="1">
        <f>B13 + (B15-B13)*(C14-C13)/(C15-C13)</f>
        <v>0.315</v>
      </c>
      <c r="C14" s="1">
        <v>30</v>
      </c>
      <c r="D14" s="1">
        <f t="shared" si="0"/>
        <v>100.2624</v>
      </c>
      <c r="E14" s="1">
        <v>81.489999999999995</v>
      </c>
      <c r="F14" s="1">
        <f t="shared" si="1"/>
        <v>2460.728923794331</v>
      </c>
      <c r="G14" s="1">
        <v>12</v>
      </c>
      <c r="I14" s="1">
        <f t="shared" si="6"/>
        <v>205.06074364952758</v>
      </c>
      <c r="K14">
        <f>I14*20</f>
        <v>4101.2148729905512</v>
      </c>
      <c r="L14">
        <f>K14/F7</f>
        <v>1.8421052631578945</v>
      </c>
    </row>
    <row r="15" spans="1:12" x14ac:dyDescent="0.3">
      <c r="B15" s="1">
        <v>0.41</v>
      </c>
      <c r="C15" s="1">
        <v>40</v>
      </c>
      <c r="D15" s="1">
        <f t="shared" si="0"/>
        <v>97.875199999999992</v>
      </c>
      <c r="E15" s="1">
        <v>81.489999999999995</v>
      </c>
      <c r="F15" s="1">
        <f t="shared" si="1"/>
        <v>2402.1401398944654</v>
      </c>
      <c r="G15" s="1">
        <v>12</v>
      </c>
      <c r="I15" s="1">
        <f t="shared" si="6"/>
        <v>200.17834499120545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C009-024E-402F-8A14-66C368B4486E}">
  <dimension ref="B1:T17"/>
  <sheetViews>
    <sheetView tabSelected="1" workbookViewId="0">
      <selection activeCell="M15" sqref="M15"/>
    </sheetView>
  </sheetViews>
  <sheetFormatPr defaultRowHeight="14.4" x14ac:dyDescent="0.3"/>
  <cols>
    <col min="3" max="3" width="32.88671875" customWidth="1"/>
    <col min="10" max="10" width="12.44140625" customWidth="1"/>
    <col min="16" max="16" width="12.5546875" bestFit="1" customWidth="1"/>
    <col min="17" max="18" width="13.6640625" bestFit="1" customWidth="1"/>
  </cols>
  <sheetData>
    <row r="1" spans="2:20" s="4" customFormat="1" x14ac:dyDescent="0.3">
      <c r="C1" s="4" t="s">
        <v>12</v>
      </c>
      <c r="D1" s="4" t="s">
        <v>13</v>
      </c>
      <c r="E1" s="4" t="s">
        <v>14</v>
      </c>
      <c r="M1" s="4" t="s">
        <v>23</v>
      </c>
    </row>
    <row r="2" spans="2:20" x14ac:dyDescent="0.3">
      <c r="B2" t="s">
        <v>20</v>
      </c>
      <c r="C2" t="s">
        <v>10</v>
      </c>
      <c r="D2" s="5" t="s">
        <v>11</v>
      </c>
      <c r="E2" t="s">
        <v>28</v>
      </c>
      <c r="J2" s="4" t="s">
        <v>19</v>
      </c>
      <c r="K2">
        <v>39</v>
      </c>
      <c r="L2">
        <v>63</v>
      </c>
    </row>
    <row r="3" spans="2:20" x14ac:dyDescent="0.3">
      <c r="B3" t="s">
        <v>21</v>
      </c>
      <c r="C3" t="s">
        <v>15</v>
      </c>
      <c r="D3" s="5" t="s">
        <v>16</v>
      </c>
      <c r="E3">
        <v>1</v>
      </c>
      <c r="J3" s="4" t="s">
        <v>24</v>
      </c>
      <c r="K3">
        <v>99.31</v>
      </c>
      <c r="L3">
        <v>160.43</v>
      </c>
      <c r="M3" t="s">
        <v>22</v>
      </c>
      <c r="O3" s="4">
        <v>56</v>
      </c>
      <c r="P3" s="7">
        <v>5.6139999999999999</v>
      </c>
      <c r="Q3" s="7">
        <v>5.56</v>
      </c>
    </row>
    <row r="4" spans="2:20" x14ac:dyDescent="0.3">
      <c r="B4" t="s">
        <v>22</v>
      </c>
      <c r="C4" t="s">
        <v>18</v>
      </c>
      <c r="D4" s="5" t="s">
        <v>17</v>
      </c>
      <c r="E4">
        <v>75</v>
      </c>
      <c r="J4" s="4" t="s">
        <v>25</v>
      </c>
      <c r="K4">
        <v>97.94</v>
      </c>
      <c r="L4">
        <v>159.06</v>
      </c>
      <c r="M4" t="s">
        <v>22</v>
      </c>
      <c r="O4" s="4">
        <v>63</v>
      </c>
      <c r="P4" s="7">
        <f>(P5-P3)/($O5-$O3)*($O4-$O3)+P3</f>
        <v>6.3157500000000004</v>
      </c>
      <c r="Q4" s="7">
        <f>(Q5-Q3)/($O5-$O3)*($O4-$O3)+Q3</f>
        <v>6.2617500000000001</v>
      </c>
      <c r="S4" s="1">
        <f>P4*25.4</f>
        <v>160.42005</v>
      </c>
      <c r="T4" s="1">
        <f>Q4*25.4</f>
        <v>159.04845</v>
      </c>
    </row>
    <row r="5" spans="2:20" x14ac:dyDescent="0.3">
      <c r="J5" s="4" t="s">
        <v>26</v>
      </c>
      <c r="K5" s="1">
        <f>3.91*25.4</f>
        <v>99.313999999999993</v>
      </c>
      <c r="L5" s="1">
        <f>S4</f>
        <v>160.42005</v>
      </c>
      <c r="M5" t="s">
        <v>20</v>
      </c>
      <c r="O5" s="4">
        <v>64</v>
      </c>
      <c r="P5" s="7">
        <v>6.4160000000000004</v>
      </c>
      <c r="Q5" s="7">
        <v>6.3620000000000001</v>
      </c>
    </row>
    <row r="6" spans="2:20" x14ac:dyDescent="0.3">
      <c r="J6" s="4" t="s">
        <v>27</v>
      </c>
      <c r="K6" s="1">
        <f>3.856*25.4</f>
        <v>97.942399999999992</v>
      </c>
      <c r="L6" s="1">
        <f>T4</f>
        <v>159.04845</v>
      </c>
      <c r="M6" t="s">
        <v>20</v>
      </c>
      <c r="O6" s="4"/>
    </row>
    <row r="11" spans="2:20" x14ac:dyDescent="0.3">
      <c r="P11" s="6"/>
      <c r="Q11" s="8"/>
      <c r="R11" s="8"/>
    </row>
    <row r="15" spans="2:20" x14ac:dyDescent="0.3">
      <c r="O15" s="4"/>
      <c r="P15" s="9"/>
      <c r="Q15" s="10"/>
    </row>
    <row r="16" spans="2:20" x14ac:dyDescent="0.3">
      <c r="O16" s="4"/>
      <c r="P16" s="9"/>
      <c r="Q16" s="10"/>
      <c r="R16" s="9"/>
    </row>
    <row r="17" spans="15:18" x14ac:dyDescent="0.3">
      <c r="O17" s="4"/>
      <c r="P17" s="9"/>
      <c r="Q17" s="10"/>
      <c r="R17" s="9"/>
    </row>
  </sheetData>
  <hyperlinks>
    <hyperlink ref="D2" r:id="rId1" xr:uid="{5E74E6FF-1C34-4461-AF69-291484E7C3D1}"/>
    <hyperlink ref="D3" r:id="rId2" xr:uid="{0276A500-9218-4286-B195-FF533AE50649}"/>
    <hyperlink ref="D4" r:id="rId3" xr:uid="{3C8ED58E-B5B9-4310-9AF3-1B58BCF2B1AF}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Pulley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2021-12-24T21:10:44Z</dcterms:created>
  <dcterms:modified xsi:type="dcterms:W3CDTF">2022-02-13T02:51:17Z</dcterms:modified>
</cp:coreProperties>
</file>