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K:\AA_Proposed File Structure\Administrative\Reports\Annual Reports\2017\"/>
    </mc:Choice>
  </mc:AlternateContent>
  <bookViews>
    <workbookView xWindow="0" yWindow="0" windowWidth="19200" windowHeight="11595" activeTab="1"/>
  </bookViews>
  <sheets>
    <sheet name="2017 SECOND HALF" sheetId="18" r:id="rId1"/>
    <sheet name="2017 TOTALS" sheetId="1" r:id="rId2"/>
    <sheet name="Jan" sheetId="2" r:id="rId3"/>
    <sheet name="Feb" sheetId="3" r:id="rId4"/>
    <sheet name="Mar" sheetId="4" r:id="rId5"/>
    <sheet name="Apr" sheetId="5" r:id="rId6"/>
    <sheet name="May" sheetId="6" r:id="rId7"/>
    <sheet name="Jun" sheetId="7" r:id="rId8"/>
    <sheet name="Jul" sheetId="8" r:id="rId9"/>
    <sheet name="Aug" sheetId="9" r:id="rId10"/>
    <sheet name="Sep" sheetId="10" r:id="rId11"/>
    <sheet name="Oct" sheetId="11" r:id="rId12"/>
    <sheet name="Nov" sheetId="12" r:id="rId13"/>
    <sheet name="Dec" sheetId="13" r:id="rId14"/>
  </sheets>
  <definedNames>
    <definedName name="Z_037DCF94_393F_444C_8CC8_348B9921602C_.wvu.Cols" localSheetId="0" hidden="1">'2017 SECOND HALF'!$N:$N,'2017 SECOND HALF'!$JJ:$JJ,'2017 SECOND HALF'!$TF:$TF,'2017 SECOND HALF'!$ADB:$ADB,'2017 SECOND HALF'!$AMX:$AMX,'2017 SECOND HALF'!$AWT:$AWT,'2017 SECOND HALF'!$BGP:$BGP,'2017 SECOND HALF'!$BQL:$BQL,'2017 SECOND HALF'!$CAH:$CAH,'2017 SECOND HALF'!$CKD:$CKD,'2017 SECOND HALF'!$CTZ:$CTZ,'2017 SECOND HALF'!$DDV:$DDV,'2017 SECOND HALF'!$DNR:$DNR,'2017 SECOND HALF'!$DXN:$DXN,'2017 SECOND HALF'!$EHJ:$EHJ,'2017 SECOND HALF'!$ERF:$ERF,'2017 SECOND HALF'!$FBB:$FBB,'2017 SECOND HALF'!$FKX:$FKX,'2017 SECOND HALF'!$FUT:$FUT,'2017 SECOND HALF'!$GEP:$GEP,'2017 SECOND HALF'!$GOL:$GOL,'2017 SECOND HALF'!$GYH:$GYH,'2017 SECOND HALF'!$HID:$HID,'2017 SECOND HALF'!$HRZ:$HRZ,'2017 SECOND HALF'!$IBV:$IBV,'2017 SECOND HALF'!$ILR:$ILR,'2017 SECOND HALF'!$IVN:$IVN,'2017 SECOND HALF'!$JFJ:$JFJ,'2017 SECOND HALF'!$JPF:$JPF,'2017 SECOND HALF'!$JZB:$JZB,'2017 SECOND HALF'!$KIX:$KIX,'2017 SECOND HALF'!$KST:$KST,'2017 SECOND HALF'!$LCP:$LCP,'2017 SECOND HALF'!$LML:$LML,'2017 SECOND HALF'!$LWH:$LWH,'2017 SECOND HALF'!$MGD:$MGD,'2017 SECOND HALF'!$MPZ:$MPZ,'2017 SECOND HALF'!$MZV:$MZV,'2017 SECOND HALF'!$NJR:$NJR,'2017 SECOND HALF'!$NTN:$NTN,'2017 SECOND HALF'!$ODJ:$ODJ,'2017 SECOND HALF'!$ONF:$ONF,'2017 SECOND HALF'!$OXB:$OXB,'2017 SECOND HALF'!$PGX:$PGX,'2017 SECOND HALF'!$PQT:$PQT,'2017 SECOND HALF'!$QAP:$QAP,'2017 SECOND HALF'!$QKL:$QKL,'2017 SECOND HALF'!$QUH:$QUH,'2017 SECOND HALF'!$RED:$RED,'2017 SECOND HALF'!$RNZ:$RNZ,'2017 SECOND HALF'!$RXV:$RXV,'2017 SECOND HALF'!$SHR:$SHR,'2017 SECOND HALF'!$SRN:$SRN,'2017 SECOND HALF'!$TBJ:$TBJ,'2017 SECOND HALF'!$TLF:$TLF,'2017 SECOND HALF'!$TVB:$TVB,'2017 SECOND HALF'!$UEX:$UEX,'2017 SECOND HALF'!$UOT:$UOT,'2017 SECOND HALF'!$UYP:$UYP,'2017 SECOND HALF'!$VIL:$VIL,'2017 SECOND HALF'!$VSH:$VSH,'2017 SECOND HALF'!$WCD:$WCD,'2017 SECOND HALF'!$WLZ:$WLZ,'2017 SECOND HALF'!$WVV:$WVV</definedName>
    <definedName name="Z_037DCF94_393F_444C_8CC8_348B9921602C_.wvu.Cols" localSheetId="1" hidden="1">'2017 TOTALS'!$N:$N,'2017 TOTALS'!$JJ:$JJ,'2017 TOTALS'!$TF:$TF,'2017 TOTALS'!$ADB:$ADB,'2017 TOTALS'!$AMX:$AMX,'2017 TOTALS'!$AWT:$AWT,'2017 TOTALS'!$BGP:$BGP,'2017 TOTALS'!$BQL:$BQL,'2017 TOTALS'!$CAH:$CAH,'2017 TOTALS'!$CKD:$CKD,'2017 TOTALS'!$CTZ:$CTZ,'2017 TOTALS'!$DDV:$DDV,'2017 TOTALS'!$DNR:$DNR,'2017 TOTALS'!$DXN:$DXN,'2017 TOTALS'!$EHJ:$EHJ,'2017 TOTALS'!$ERF:$ERF,'2017 TOTALS'!$FBB:$FBB,'2017 TOTALS'!$FKX:$FKX,'2017 TOTALS'!$FUT:$FUT,'2017 TOTALS'!$GEP:$GEP,'2017 TOTALS'!$GOL:$GOL,'2017 TOTALS'!$GYH:$GYH,'2017 TOTALS'!$HID:$HID,'2017 TOTALS'!$HRZ:$HRZ,'2017 TOTALS'!$IBV:$IBV,'2017 TOTALS'!$ILR:$ILR,'2017 TOTALS'!$IVN:$IVN,'2017 TOTALS'!$JFJ:$JFJ,'2017 TOTALS'!$JPF:$JPF,'2017 TOTALS'!$JZB:$JZB,'2017 TOTALS'!$KIX:$KIX,'2017 TOTALS'!$KST:$KST,'2017 TOTALS'!$LCP:$LCP,'2017 TOTALS'!$LML:$LML,'2017 TOTALS'!$LWH:$LWH,'2017 TOTALS'!$MGD:$MGD,'2017 TOTALS'!$MPZ:$MPZ,'2017 TOTALS'!$MZV:$MZV,'2017 TOTALS'!$NJR:$NJR,'2017 TOTALS'!$NTN:$NTN,'2017 TOTALS'!$ODJ:$ODJ,'2017 TOTALS'!$ONF:$ONF,'2017 TOTALS'!$OXB:$OXB,'2017 TOTALS'!$PGX:$PGX,'2017 TOTALS'!$PQT:$PQT,'2017 TOTALS'!$QAP:$QAP,'2017 TOTALS'!$QKL:$QKL,'2017 TOTALS'!$QUH:$QUH,'2017 TOTALS'!$RED:$RED,'2017 TOTALS'!$RNZ:$RNZ,'2017 TOTALS'!$RXV:$RXV,'2017 TOTALS'!$SHR:$SHR,'2017 TOTALS'!$SRN:$SRN,'2017 TOTALS'!$TBJ:$TBJ,'2017 TOTALS'!$TLF:$TLF,'2017 TOTALS'!$TVB:$TVB,'2017 TOTALS'!$UEX:$UEX,'2017 TOTALS'!$UOT:$UOT,'2017 TOTALS'!$UYP:$UYP,'2017 TOTALS'!$VIL:$VIL,'2017 TOTALS'!$VSH:$VSH,'2017 TOTALS'!$WCD:$WCD,'2017 TOTALS'!$WLZ:$WLZ,'2017 TOTALS'!$WVV:$WVV</definedName>
    <definedName name="Z_037DCF94_393F_444C_8CC8_348B9921602C_.wvu.Cols" localSheetId="5" hidden="1">Apr!$N:$N,Apr!$JJ:$JJ,Apr!$TF:$TF,Apr!$ADB:$ADB,Apr!$AMX:$AMX,Apr!$AWT:$AWT,Apr!$BGP:$BGP,Apr!$BQL:$BQL,Apr!$CAH:$CAH,Apr!$CKD:$CKD,Apr!$CTZ:$CTZ,Apr!$DDV:$DDV,Apr!$DNR:$DNR,Apr!$DXN:$DXN,Apr!$EHJ:$EHJ,Apr!$ERF:$ERF,Apr!$FBB:$FBB,Apr!$FKX:$FKX,Apr!$FUT:$FUT,Apr!$GEP:$GEP,Apr!$GOL:$GOL,Apr!$GYH:$GYH,Apr!$HID:$HID,Apr!$HRZ:$HRZ,Apr!$IBV:$IBV,Apr!$ILR:$ILR,Apr!$IVN:$IVN,Apr!$JFJ:$JFJ,Apr!$JPF:$JPF,Apr!$JZB:$JZB,Apr!$KIX:$KIX,Apr!$KST:$KST,Apr!$LCP:$LCP,Apr!$LML:$LML,Apr!$LWH:$LWH,Apr!$MGD:$MGD,Apr!$MPZ:$MPZ,Apr!$MZV:$MZV,Apr!$NJR:$NJR,Apr!$NTN:$NTN,Apr!$ODJ:$ODJ,Apr!$ONF:$ONF,Apr!$OXB:$OXB,Apr!$PGX:$PGX,Apr!$PQT:$PQT,Apr!$QAP:$QAP,Apr!$QKL:$QKL,Apr!$QUH:$QUH,Apr!$RED:$RED,Apr!$RNZ:$RNZ,Apr!$RXV:$RXV,Apr!$SHR:$SHR,Apr!$SRN:$SRN,Apr!$TBJ:$TBJ,Apr!$TLF:$TLF,Apr!$TVB:$TVB,Apr!$UEX:$UEX,Apr!$UOT:$UOT,Apr!$UYP:$UYP,Apr!$VIL:$VIL,Apr!$VSH:$VSH,Apr!$WCD:$WCD,Apr!$WLZ:$WLZ,Apr!$WVV:$WVV</definedName>
    <definedName name="Z_037DCF94_393F_444C_8CC8_348B9921602C_.wvu.Cols" localSheetId="9" hidden="1">Aug!$N:$N,Aug!$JJ:$JJ,Aug!$TF:$TF,Aug!$ADB:$ADB,Aug!$AMX:$AMX,Aug!$AWT:$AWT,Aug!$BGP:$BGP,Aug!$BQL:$BQL,Aug!$CAH:$CAH,Aug!$CKD:$CKD,Aug!$CTZ:$CTZ,Aug!$DDV:$DDV,Aug!$DNR:$DNR,Aug!$DXN:$DXN,Aug!$EHJ:$EHJ,Aug!$ERF:$ERF,Aug!$FBB:$FBB,Aug!$FKX:$FKX,Aug!$FUT:$FUT,Aug!$GEP:$GEP,Aug!$GOL:$GOL,Aug!$GYH:$GYH,Aug!$HID:$HID,Aug!$HRZ:$HRZ,Aug!$IBV:$IBV,Aug!$ILR:$ILR,Aug!$IVN:$IVN,Aug!$JFJ:$JFJ,Aug!$JPF:$JPF,Aug!$JZB:$JZB,Aug!$KIX:$KIX,Aug!$KST:$KST,Aug!$LCP:$LCP,Aug!$LML:$LML,Aug!$LWH:$LWH,Aug!$MGD:$MGD,Aug!$MPZ:$MPZ,Aug!$MZV:$MZV,Aug!$NJR:$NJR,Aug!$NTN:$NTN,Aug!$ODJ:$ODJ,Aug!$ONF:$ONF,Aug!$OXB:$OXB,Aug!$PGX:$PGX,Aug!$PQT:$PQT,Aug!$QAP:$QAP,Aug!$QKL:$QKL,Aug!$QUH:$QUH,Aug!$RED:$RED,Aug!$RNZ:$RNZ,Aug!$RXV:$RXV,Aug!$SHR:$SHR,Aug!$SRN:$SRN,Aug!$TBJ:$TBJ,Aug!$TLF:$TLF,Aug!$TVB:$TVB,Aug!$UEX:$UEX,Aug!$UOT:$UOT,Aug!$UYP:$UYP,Aug!$VIL:$VIL,Aug!$VSH:$VSH,Aug!$WCD:$WCD,Aug!$WLZ:$WLZ,Aug!$WVV:$WVV</definedName>
    <definedName name="Z_037DCF94_393F_444C_8CC8_348B9921602C_.wvu.Cols" localSheetId="13" hidden="1">Dec!$N:$N,Dec!$JJ:$JJ,Dec!$TF:$TF,Dec!$ADB:$ADB,Dec!$AMX:$AMX,Dec!$AWT:$AWT,Dec!$BGP:$BGP,Dec!$BQL:$BQL,Dec!$CAH:$CAH,Dec!$CKD:$CKD,Dec!$CTZ:$CTZ,Dec!$DDV:$DDV,Dec!$DNR:$DNR,Dec!$DXN:$DXN,Dec!$EHJ:$EHJ,Dec!$ERF:$ERF,Dec!$FBB:$FBB,Dec!$FKX:$FKX,Dec!$FUT:$FUT,Dec!$GEP:$GEP,Dec!$GOL:$GOL,Dec!$GYH:$GYH,Dec!$HID:$HID,Dec!$HRZ:$HRZ,Dec!$IBV:$IBV,Dec!$ILR:$ILR,Dec!$IVN:$IVN,Dec!$JFJ:$JFJ,Dec!$JPF:$JPF,Dec!$JZB:$JZB,Dec!$KIX:$KIX,Dec!$KST:$KST,Dec!$LCP:$LCP,Dec!$LML:$LML,Dec!$LWH:$LWH,Dec!$MGD:$MGD,Dec!$MPZ:$MPZ,Dec!$MZV:$MZV,Dec!$NJR:$NJR,Dec!$NTN:$NTN,Dec!$ODJ:$ODJ,Dec!$ONF:$ONF,Dec!$OXB:$OXB,Dec!$PGX:$PGX,Dec!$PQT:$PQT,Dec!$QAP:$QAP,Dec!$QKL:$QKL,Dec!$QUH:$QUH,Dec!$RED:$RED,Dec!$RNZ:$RNZ,Dec!$RXV:$RXV,Dec!$SHR:$SHR,Dec!$SRN:$SRN,Dec!$TBJ:$TBJ,Dec!$TLF:$TLF,Dec!$TVB:$TVB,Dec!$UEX:$UEX,Dec!$UOT:$UOT,Dec!$UYP:$UYP,Dec!$VIL:$VIL,Dec!$VSH:$VSH,Dec!$WCD:$WCD,Dec!$WLZ:$WLZ,Dec!$WVV:$WVV</definedName>
    <definedName name="Z_037DCF94_393F_444C_8CC8_348B9921602C_.wvu.Cols" localSheetId="3" hidden="1">Feb!$N:$N,Feb!$JJ:$JJ,Feb!$TF:$TF,Feb!$ADB:$ADB,Feb!$AMX:$AMX,Feb!$AWT:$AWT,Feb!$BGP:$BGP,Feb!$BQL:$BQL,Feb!$CAH:$CAH,Feb!$CKD:$CKD,Feb!$CTZ:$CTZ,Feb!$DDV:$DDV,Feb!$DNR:$DNR,Feb!$DXN:$DXN,Feb!$EHJ:$EHJ,Feb!$ERF:$ERF,Feb!$FBB:$FBB,Feb!$FKX:$FKX,Feb!$FUT:$FUT,Feb!$GEP:$GEP,Feb!$GOL:$GOL,Feb!$GYH:$GYH,Feb!$HID:$HID,Feb!$HRZ:$HRZ,Feb!$IBV:$IBV,Feb!$ILR:$ILR,Feb!$IVN:$IVN,Feb!$JFJ:$JFJ,Feb!$JPF:$JPF,Feb!$JZB:$JZB,Feb!$KIX:$KIX,Feb!$KST:$KST,Feb!$LCP:$LCP,Feb!$LML:$LML,Feb!$LWH:$LWH,Feb!$MGD:$MGD,Feb!$MPZ:$MPZ,Feb!$MZV:$MZV,Feb!$NJR:$NJR,Feb!$NTN:$NTN,Feb!$ODJ:$ODJ,Feb!$ONF:$ONF,Feb!$OXB:$OXB,Feb!$PGX:$PGX,Feb!$PQT:$PQT,Feb!$QAP:$QAP,Feb!$QKL:$QKL,Feb!$QUH:$QUH,Feb!$RED:$RED,Feb!$RNZ:$RNZ,Feb!$RXV:$RXV,Feb!$SHR:$SHR,Feb!$SRN:$SRN,Feb!$TBJ:$TBJ,Feb!$TLF:$TLF,Feb!$TVB:$TVB,Feb!$UEX:$UEX,Feb!$UOT:$UOT,Feb!$UYP:$UYP,Feb!$VIL:$VIL,Feb!$VSH:$VSH,Feb!$WCD:$WCD,Feb!$WLZ:$WLZ,Feb!$WVV:$WVV</definedName>
    <definedName name="Z_037DCF94_393F_444C_8CC8_348B9921602C_.wvu.Cols" localSheetId="2" hidden="1">Jan!$N:$N,Jan!$JJ:$JJ,Jan!$TF:$TF,Jan!$ADB:$ADB,Jan!$AMX:$AMX,Jan!$AWT:$AWT,Jan!$BGP:$BGP,Jan!$BQL:$BQL,Jan!$CAH:$CAH,Jan!$CKD:$CKD,Jan!$CTZ:$CTZ,Jan!$DDV:$DDV,Jan!$DNR:$DNR,Jan!$DXN:$DXN,Jan!$EHJ:$EHJ,Jan!$ERF:$ERF,Jan!$FBB:$FBB,Jan!$FKX:$FKX,Jan!$FUT:$FUT,Jan!$GEP:$GEP,Jan!$GOL:$GOL,Jan!$GYH:$GYH,Jan!$HID:$HID,Jan!$HRZ:$HRZ,Jan!$IBV:$IBV,Jan!$ILR:$ILR,Jan!$IVN:$IVN,Jan!$JFJ:$JFJ,Jan!$JPF:$JPF,Jan!$JZB:$JZB,Jan!$KIX:$KIX,Jan!$KST:$KST,Jan!$LCP:$LCP,Jan!$LML:$LML,Jan!$LWH:$LWH,Jan!$MGD:$MGD,Jan!$MPZ:$MPZ,Jan!$MZV:$MZV,Jan!$NJR:$NJR,Jan!$NTN:$NTN,Jan!$ODJ:$ODJ,Jan!$ONF:$ONF,Jan!$OXB:$OXB,Jan!$PGX:$PGX,Jan!$PQT:$PQT,Jan!$QAP:$QAP,Jan!$QKL:$QKL,Jan!$QUH:$QUH,Jan!$RED:$RED,Jan!$RNZ:$RNZ,Jan!$RXV:$RXV,Jan!$SHR:$SHR,Jan!$SRN:$SRN,Jan!$TBJ:$TBJ,Jan!$TLF:$TLF,Jan!$TVB:$TVB,Jan!$UEX:$UEX,Jan!$UOT:$UOT,Jan!$UYP:$UYP,Jan!$VIL:$VIL,Jan!$VSH:$VSH,Jan!$WCD:$WCD,Jan!$WLZ:$WLZ,Jan!$WVV:$WVV</definedName>
    <definedName name="Z_037DCF94_393F_444C_8CC8_348B9921602C_.wvu.Cols" localSheetId="8" hidden="1">Jul!$N:$N,Jul!$JJ:$JJ,Jul!$TF:$TF,Jul!$ADB:$ADB,Jul!$AMX:$AMX,Jul!$AWT:$AWT,Jul!$BGP:$BGP,Jul!$BQL:$BQL,Jul!$CAH:$CAH,Jul!$CKD:$CKD,Jul!$CTZ:$CTZ,Jul!$DDV:$DDV,Jul!$DNR:$DNR,Jul!$DXN:$DXN,Jul!$EHJ:$EHJ,Jul!$ERF:$ERF,Jul!$FBB:$FBB,Jul!$FKX:$FKX,Jul!$FUT:$FUT,Jul!$GEP:$GEP,Jul!$GOL:$GOL,Jul!$GYH:$GYH,Jul!$HID:$HID,Jul!$HRZ:$HRZ,Jul!$IBV:$IBV,Jul!$ILR:$ILR,Jul!$IVN:$IVN,Jul!$JFJ:$JFJ,Jul!$JPF:$JPF,Jul!$JZB:$JZB,Jul!$KIX:$KIX,Jul!$KST:$KST,Jul!$LCP:$LCP,Jul!$LML:$LML,Jul!$LWH:$LWH,Jul!$MGD:$MGD,Jul!$MPZ:$MPZ,Jul!$MZV:$MZV,Jul!$NJR:$NJR,Jul!$NTN:$NTN,Jul!$ODJ:$ODJ,Jul!$ONF:$ONF,Jul!$OXB:$OXB,Jul!$PGX:$PGX,Jul!$PQT:$PQT,Jul!$QAP:$QAP,Jul!$QKL:$QKL,Jul!$QUH:$QUH,Jul!$RED:$RED,Jul!$RNZ:$RNZ,Jul!$RXV:$RXV,Jul!$SHR:$SHR,Jul!$SRN:$SRN,Jul!$TBJ:$TBJ,Jul!$TLF:$TLF,Jul!$TVB:$TVB,Jul!$UEX:$UEX,Jul!$UOT:$UOT,Jul!$UYP:$UYP,Jul!$VIL:$VIL,Jul!$VSH:$VSH,Jul!$WCD:$WCD,Jul!$WLZ:$WLZ,Jul!$WVV:$WVV</definedName>
    <definedName name="Z_037DCF94_393F_444C_8CC8_348B9921602C_.wvu.Cols" localSheetId="7" hidden="1">Jun!$N:$N,Jun!$JJ:$JJ,Jun!$TF:$TF,Jun!$ADB:$ADB,Jun!$AMX:$AMX,Jun!$AWT:$AWT,Jun!$BGP:$BGP,Jun!$BQL:$BQL,Jun!$CAH:$CAH,Jun!$CKD:$CKD,Jun!$CTZ:$CTZ,Jun!$DDV:$DDV,Jun!$DNR:$DNR,Jun!$DXN:$DXN,Jun!$EHJ:$EHJ,Jun!$ERF:$ERF,Jun!$FBB:$FBB,Jun!$FKX:$FKX,Jun!$FUT:$FUT,Jun!$GEP:$GEP,Jun!$GOL:$GOL,Jun!$GYH:$GYH,Jun!$HID:$HID,Jun!$HRZ:$HRZ,Jun!$IBV:$IBV,Jun!$ILR:$ILR,Jun!$IVN:$IVN,Jun!$JFJ:$JFJ,Jun!$JPF:$JPF,Jun!$JZB:$JZB,Jun!$KIX:$KIX,Jun!$KST:$KST,Jun!$LCP:$LCP,Jun!$LML:$LML,Jun!$LWH:$LWH,Jun!$MGD:$MGD,Jun!$MPZ:$MPZ,Jun!$MZV:$MZV,Jun!$NJR:$NJR,Jun!$NTN:$NTN,Jun!$ODJ:$ODJ,Jun!$ONF:$ONF,Jun!$OXB:$OXB,Jun!$PGX:$PGX,Jun!$PQT:$PQT,Jun!$QAP:$QAP,Jun!$QKL:$QKL,Jun!$QUH:$QUH,Jun!$RED:$RED,Jun!$RNZ:$RNZ,Jun!$RXV:$RXV,Jun!$SHR:$SHR,Jun!$SRN:$SRN,Jun!$TBJ:$TBJ,Jun!$TLF:$TLF,Jun!$TVB:$TVB,Jun!$UEX:$UEX,Jun!$UOT:$UOT,Jun!$UYP:$UYP,Jun!$VIL:$VIL,Jun!$VSH:$VSH,Jun!$WCD:$WCD,Jun!$WLZ:$WLZ,Jun!$WVV:$WVV</definedName>
    <definedName name="Z_037DCF94_393F_444C_8CC8_348B9921602C_.wvu.Cols" localSheetId="4" hidden="1">Mar!$N:$N,Mar!$JJ:$JJ,Mar!$TF:$TF,Mar!$ADB:$ADB,Mar!$AMX:$AMX,Mar!$AWT:$AWT,Mar!$BGP:$BGP,Mar!$BQL:$BQL,Mar!$CAH:$CAH,Mar!$CKD:$CKD,Mar!$CTZ:$CTZ,Mar!$DDV:$DDV,Mar!$DNR:$DNR,Mar!$DXN:$DXN,Mar!$EHJ:$EHJ,Mar!$ERF:$ERF,Mar!$FBB:$FBB,Mar!$FKX:$FKX,Mar!$FUT:$FUT,Mar!$GEP:$GEP,Mar!$GOL:$GOL,Mar!$GYH:$GYH,Mar!$HID:$HID,Mar!$HRZ:$HRZ,Mar!$IBV:$IBV,Mar!$ILR:$ILR,Mar!$IVN:$IVN,Mar!$JFJ:$JFJ,Mar!$JPF:$JPF,Mar!$JZB:$JZB,Mar!$KIX:$KIX,Mar!$KST:$KST,Mar!$LCP:$LCP,Mar!$LML:$LML,Mar!$LWH:$LWH,Mar!$MGD:$MGD,Mar!$MPZ:$MPZ,Mar!$MZV:$MZV,Mar!$NJR:$NJR,Mar!$NTN:$NTN,Mar!$ODJ:$ODJ,Mar!$ONF:$ONF,Mar!$OXB:$OXB,Mar!$PGX:$PGX,Mar!$PQT:$PQT,Mar!$QAP:$QAP,Mar!$QKL:$QKL,Mar!$QUH:$QUH,Mar!$RED:$RED,Mar!$RNZ:$RNZ,Mar!$RXV:$RXV,Mar!$SHR:$SHR,Mar!$SRN:$SRN,Mar!$TBJ:$TBJ,Mar!$TLF:$TLF,Mar!$TVB:$TVB,Mar!$UEX:$UEX,Mar!$UOT:$UOT,Mar!$UYP:$UYP,Mar!$VIL:$VIL,Mar!$VSH:$VSH,Mar!$WCD:$WCD,Mar!$WLZ:$WLZ,Mar!$WVV:$WVV</definedName>
    <definedName name="Z_037DCF94_393F_444C_8CC8_348B9921602C_.wvu.Cols" localSheetId="6" hidden="1">May!$N:$N,May!$JJ:$JJ,May!$TF:$TF,May!$ADB:$ADB,May!$AMX:$AMX,May!$AWT:$AWT,May!$BGP:$BGP,May!$BQL:$BQL,May!$CAH:$CAH,May!$CKD:$CKD,May!$CTZ:$CTZ,May!$DDV:$DDV,May!$DNR:$DNR,May!$DXN:$DXN,May!$EHJ:$EHJ,May!$ERF:$ERF,May!$FBB:$FBB,May!$FKX:$FKX,May!$FUT:$FUT,May!$GEP:$GEP,May!$GOL:$GOL,May!$GYH:$GYH,May!$HID:$HID,May!$HRZ:$HRZ,May!$IBV:$IBV,May!$ILR:$ILR,May!$IVN:$IVN,May!$JFJ:$JFJ,May!$JPF:$JPF,May!$JZB:$JZB,May!$KIX:$KIX,May!$KST:$KST,May!$LCP:$LCP,May!$LML:$LML,May!$LWH:$LWH,May!$MGD:$MGD,May!$MPZ:$MPZ,May!$MZV:$MZV,May!$NJR:$NJR,May!$NTN:$NTN,May!$ODJ:$ODJ,May!$ONF:$ONF,May!$OXB:$OXB,May!$PGX:$PGX,May!$PQT:$PQT,May!$QAP:$QAP,May!$QKL:$QKL,May!$QUH:$QUH,May!$RED:$RED,May!$RNZ:$RNZ,May!$RXV:$RXV,May!$SHR:$SHR,May!$SRN:$SRN,May!$TBJ:$TBJ,May!$TLF:$TLF,May!$TVB:$TVB,May!$UEX:$UEX,May!$UOT:$UOT,May!$UYP:$UYP,May!$VIL:$VIL,May!$VSH:$VSH,May!$WCD:$WCD,May!$WLZ:$WLZ,May!$WVV:$WVV</definedName>
    <definedName name="Z_037DCF94_393F_444C_8CC8_348B9921602C_.wvu.Cols" localSheetId="12" hidden="1">Nov!$N:$N,Nov!$JJ:$JJ,Nov!$TF:$TF,Nov!$ADB:$ADB,Nov!$AMX:$AMX,Nov!$AWT:$AWT,Nov!$BGP:$BGP,Nov!$BQL:$BQL,Nov!$CAH:$CAH,Nov!$CKD:$CKD,Nov!$CTZ:$CTZ,Nov!$DDV:$DDV,Nov!$DNR:$DNR,Nov!$DXN:$DXN,Nov!$EHJ:$EHJ,Nov!$ERF:$ERF,Nov!$FBB:$FBB,Nov!$FKX:$FKX,Nov!$FUT:$FUT,Nov!$GEP:$GEP,Nov!$GOL:$GOL,Nov!$GYH:$GYH,Nov!$HID:$HID,Nov!$HRZ:$HRZ,Nov!$IBV:$IBV,Nov!$ILR:$ILR,Nov!$IVN:$IVN,Nov!$JFJ:$JFJ,Nov!$JPF:$JPF,Nov!$JZB:$JZB,Nov!$KIX:$KIX,Nov!$KST:$KST,Nov!$LCP:$LCP,Nov!$LML:$LML,Nov!$LWH:$LWH,Nov!$MGD:$MGD,Nov!$MPZ:$MPZ,Nov!$MZV:$MZV,Nov!$NJR:$NJR,Nov!$NTN:$NTN,Nov!$ODJ:$ODJ,Nov!$ONF:$ONF,Nov!$OXB:$OXB,Nov!$PGX:$PGX,Nov!$PQT:$PQT,Nov!$QAP:$QAP,Nov!$QKL:$QKL,Nov!$QUH:$QUH,Nov!$RED:$RED,Nov!$RNZ:$RNZ,Nov!$RXV:$RXV,Nov!$SHR:$SHR,Nov!$SRN:$SRN,Nov!$TBJ:$TBJ,Nov!$TLF:$TLF,Nov!$TVB:$TVB,Nov!$UEX:$UEX,Nov!$UOT:$UOT,Nov!$UYP:$UYP,Nov!$VIL:$VIL,Nov!$VSH:$VSH,Nov!$WCD:$WCD,Nov!$WLZ:$WLZ,Nov!$WVV:$WVV</definedName>
    <definedName name="Z_037DCF94_393F_444C_8CC8_348B9921602C_.wvu.Cols" localSheetId="11" hidden="1">Oct!$N:$N,Oct!$JJ:$JJ,Oct!$TF:$TF,Oct!$ADB:$ADB,Oct!$AMX:$AMX,Oct!$AWT:$AWT,Oct!$BGP:$BGP,Oct!$BQL:$BQL,Oct!$CAH:$CAH,Oct!$CKD:$CKD,Oct!$CTZ:$CTZ,Oct!$DDV:$DDV,Oct!$DNR:$DNR,Oct!$DXN:$DXN,Oct!$EHJ:$EHJ,Oct!$ERF:$ERF,Oct!$FBB:$FBB,Oct!$FKX:$FKX,Oct!$FUT:$FUT,Oct!$GEP:$GEP,Oct!$GOL:$GOL,Oct!$GYH:$GYH,Oct!$HID:$HID,Oct!$HRZ:$HRZ,Oct!$IBV:$IBV,Oct!$ILR:$ILR,Oct!$IVN:$IVN,Oct!$JFJ:$JFJ,Oct!$JPF:$JPF,Oct!$JZB:$JZB,Oct!$KIX:$KIX,Oct!$KST:$KST,Oct!$LCP:$LCP,Oct!$LML:$LML,Oct!$LWH:$LWH,Oct!$MGD:$MGD,Oct!$MPZ:$MPZ,Oct!$MZV:$MZV,Oct!$NJR:$NJR,Oct!$NTN:$NTN,Oct!$ODJ:$ODJ,Oct!$ONF:$ONF,Oct!$OXB:$OXB,Oct!$PGX:$PGX,Oct!$PQT:$PQT,Oct!$QAP:$QAP,Oct!$QKL:$QKL,Oct!$QUH:$QUH,Oct!$RED:$RED,Oct!$RNZ:$RNZ,Oct!$RXV:$RXV,Oct!$SHR:$SHR,Oct!$SRN:$SRN,Oct!$TBJ:$TBJ,Oct!$TLF:$TLF,Oct!$TVB:$TVB,Oct!$UEX:$UEX,Oct!$UOT:$UOT,Oct!$UYP:$UYP,Oct!$VIL:$VIL,Oct!$VSH:$VSH,Oct!$WCD:$WCD,Oct!$WLZ:$WLZ,Oct!$WVV:$WVV</definedName>
    <definedName name="Z_037DCF94_393F_444C_8CC8_348B9921602C_.wvu.Cols" localSheetId="10" hidden="1">Sep!$N:$N,Sep!$JJ:$JJ,Sep!$TF:$TF,Sep!$ADB:$ADB,Sep!$AMX:$AMX,Sep!$AWT:$AWT,Sep!$BGP:$BGP,Sep!$BQL:$BQL,Sep!$CAH:$CAH,Sep!$CKD:$CKD,Sep!$CTZ:$CTZ,Sep!$DDV:$DDV,Sep!$DNR:$DNR,Sep!$DXN:$DXN,Sep!$EHJ:$EHJ,Sep!$ERF:$ERF,Sep!$FBB:$FBB,Sep!$FKX:$FKX,Sep!$FUT:$FUT,Sep!$GEP:$GEP,Sep!$GOL:$GOL,Sep!$GYH:$GYH,Sep!$HID:$HID,Sep!$HRZ:$HRZ,Sep!$IBV:$IBV,Sep!$ILR:$ILR,Sep!$IVN:$IVN,Sep!$JFJ:$JFJ,Sep!$JPF:$JPF,Sep!$JZB:$JZB,Sep!$KIX:$KIX,Sep!$KST:$KST,Sep!$LCP:$LCP,Sep!$LML:$LML,Sep!$LWH:$LWH,Sep!$MGD:$MGD,Sep!$MPZ:$MPZ,Sep!$MZV:$MZV,Sep!$NJR:$NJR,Sep!$NTN:$NTN,Sep!$ODJ:$ODJ,Sep!$ONF:$ONF,Sep!$OXB:$OXB,Sep!$PGX:$PGX,Sep!$PQT:$PQT,Sep!$QAP:$QAP,Sep!$QKL:$QKL,Sep!$QUH:$QUH,Sep!$RED:$RED,Sep!$RNZ:$RNZ,Sep!$RXV:$RXV,Sep!$SHR:$SHR,Sep!$SRN:$SRN,Sep!$TBJ:$TBJ,Sep!$TLF:$TLF,Sep!$TVB:$TVB,Sep!$UEX:$UEX,Sep!$UOT:$UOT,Sep!$UYP:$UYP,Sep!$VIL:$VIL,Sep!$VSH:$VSH,Sep!$WCD:$WCD,Sep!$WLZ:$WLZ,Sep!$WVV:$WVV</definedName>
    <definedName name="Z_18ABB7CE_E9DD_4467_B368_D8163BDBE79F_.wvu.Cols" localSheetId="0" hidden="1">'2017 SECOND HALF'!$N:$N,'2017 SECOND HALF'!$JJ:$JJ,'2017 SECOND HALF'!$TF:$TF,'2017 SECOND HALF'!$ADB:$ADB,'2017 SECOND HALF'!$AMX:$AMX,'2017 SECOND HALF'!$AWT:$AWT,'2017 SECOND HALF'!$BGP:$BGP,'2017 SECOND HALF'!$BQL:$BQL,'2017 SECOND HALF'!$CAH:$CAH,'2017 SECOND HALF'!$CKD:$CKD,'2017 SECOND HALF'!$CTZ:$CTZ,'2017 SECOND HALF'!$DDV:$DDV,'2017 SECOND HALF'!$DNR:$DNR,'2017 SECOND HALF'!$DXN:$DXN,'2017 SECOND HALF'!$EHJ:$EHJ,'2017 SECOND HALF'!$ERF:$ERF,'2017 SECOND HALF'!$FBB:$FBB,'2017 SECOND HALF'!$FKX:$FKX,'2017 SECOND HALF'!$FUT:$FUT,'2017 SECOND HALF'!$GEP:$GEP,'2017 SECOND HALF'!$GOL:$GOL,'2017 SECOND HALF'!$GYH:$GYH,'2017 SECOND HALF'!$HID:$HID,'2017 SECOND HALF'!$HRZ:$HRZ,'2017 SECOND HALF'!$IBV:$IBV,'2017 SECOND HALF'!$ILR:$ILR,'2017 SECOND HALF'!$IVN:$IVN,'2017 SECOND HALF'!$JFJ:$JFJ,'2017 SECOND HALF'!$JPF:$JPF,'2017 SECOND HALF'!$JZB:$JZB,'2017 SECOND HALF'!$KIX:$KIX,'2017 SECOND HALF'!$KST:$KST,'2017 SECOND HALF'!$LCP:$LCP,'2017 SECOND HALF'!$LML:$LML,'2017 SECOND HALF'!$LWH:$LWH,'2017 SECOND HALF'!$MGD:$MGD,'2017 SECOND HALF'!$MPZ:$MPZ,'2017 SECOND HALF'!$MZV:$MZV,'2017 SECOND HALF'!$NJR:$NJR,'2017 SECOND HALF'!$NTN:$NTN,'2017 SECOND HALF'!$ODJ:$ODJ,'2017 SECOND HALF'!$ONF:$ONF,'2017 SECOND HALF'!$OXB:$OXB,'2017 SECOND HALF'!$PGX:$PGX,'2017 SECOND HALF'!$PQT:$PQT,'2017 SECOND HALF'!$QAP:$QAP,'2017 SECOND HALF'!$QKL:$QKL,'2017 SECOND HALF'!$QUH:$QUH,'2017 SECOND HALF'!$RED:$RED,'2017 SECOND HALF'!$RNZ:$RNZ,'2017 SECOND HALF'!$RXV:$RXV,'2017 SECOND HALF'!$SHR:$SHR,'2017 SECOND HALF'!$SRN:$SRN,'2017 SECOND HALF'!$TBJ:$TBJ,'2017 SECOND HALF'!$TLF:$TLF,'2017 SECOND HALF'!$TVB:$TVB,'2017 SECOND HALF'!$UEX:$UEX,'2017 SECOND HALF'!$UOT:$UOT,'2017 SECOND HALF'!$UYP:$UYP,'2017 SECOND HALF'!$VIL:$VIL,'2017 SECOND HALF'!$VSH:$VSH,'2017 SECOND HALF'!$WCD:$WCD,'2017 SECOND HALF'!$WLZ:$WLZ,'2017 SECOND HALF'!$WVV:$WVV</definedName>
    <definedName name="Z_18ABB7CE_E9DD_4467_B368_D8163BDBE79F_.wvu.Cols" localSheetId="1" hidden="1">'2017 TOTALS'!$N:$N,'2017 TOTALS'!$JJ:$JJ,'2017 TOTALS'!$TF:$TF,'2017 TOTALS'!$ADB:$ADB,'2017 TOTALS'!$AMX:$AMX,'2017 TOTALS'!$AWT:$AWT,'2017 TOTALS'!$BGP:$BGP,'2017 TOTALS'!$BQL:$BQL,'2017 TOTALS'!$CAH:$CAH,'2017 TOTALS'!$CKD:$CKD,'2017 TOTALS'!$CTZ:$CTZ,'2017 TOTALS'!$DDV:$DDV,'2017 TOTALS'!$DNR:$DNR,'2017 TOTALS'!$DXN:$DXN,'2017 TOTALS'!$EHJ:$EHJ,'2017 TOTALS'!$ERF:$ERF,'2017 TOTALS'!$FBB:$FBB,'2017 TOTALS'!$FKX:$FKX,'2017 TOTALS'!$FUT:$FUT,'2017 TOTALS'!$GEP:$GEP,'2017 TOTALS'!$GOL:$GOL,'2017 TOTALS'!$GYH:$GYH,'2017 TOTALS'!$HID:$HID,'2017 TOTALS'!$HRZ:$HRZ,'2017 TOTALS'!$IBV:$IBV,'2017 TOTALS'!$ILR:$ILR,'2017 TOTALS'!$IVN:$IVN,'2017 TOTALS'!$JFJ:$JFJ,'2017 TOTALS'!$JPF:$JPF,'2017 TOTALS'!$JZB:$JZB,'2017 TOTALS'!$KIX:$KIX,'2017 TOTALS'!$KST:$KST,'2017 TOTALS'!$LCP:$LCP,'2017 TOTALS'!$LML:$LML,'2017 TOTALS'!$LWH:$LWH,'2017 TOTALS'!$MGD:$MGD,'2017 TOTALS'!$MPZ:$MPZ,'2017 TOTALS'!$MZV:$MZV,'2017 TOTALS'!$NJR:$NJR,'2017 TOTALS'!$NTN:$NTN,'2017 TOTALS'!$ODJ:$ODJ,'2017 TOTALS'!$ONF:$ONF,'2017 TOTALS'!$OXB:$OXB,'2017 TOTALS'!$PGX:$PGX,'2017 TOTALS'!$PQT:$PQT,'2017 TOTALS'!$QAP:$QAP,'2017 TOTALS'!$QKL:$QKL,'2017 TOTALS'!$QUH:$QUH,'2017 TOTALS'!$RED:$RED,'2017 TOTALS'!$RNZ:$RNZ,'2017 TOTALS'!$RXV:$RXV,'2017 TOTALS'!$SHR:$SHR,'2017 TOTALS'!$SRN:$SRN,'2017 TOTALS'!$TBJ:$TBJ,'2017 TOTALS'!$TLF:$TLF,'2017 TOTALS'!$TVB:$TVB,'2017 TOTALS'!$UEX:$UEX,'2017 TOTALS'!$UOT:$UOT,'2017 TOTALS'!$UYP:$UYP,'2017 TOTALS'!$VIL:$VIL,'2017 TOTALS'!$VSH:$VSH,'2017 TOTALS'!$WCD:$WCD,'2017 TOTALS'!$WLZ:$WLZ,'2017 TOTALS'!$WVV:$WVV</definedName>
    <definedName name="Z_18ABB7CE_E9DD_4467_B368_D8163BDBE79F_.wvu.Cols" localSheetId="5" hidden="1">Apr!$N:$N,Apr!$JJ:$JJ,Apr!$TF:$TF,Apr!$ADB:$ADB,Apr!$AMX:$AMX,Apr!$AWT:$AWT,Apr!$BGP:$BGP,Apr!$BQL:$BQL,Apr!$CAH:$CAH,Apr!$CKD:$CKD,Apr!$CTZ:$CTZ,Apr!$DDV:$DDV,Apr!$DNR:$DNR,Apr!$DXN:$DXN,Apr!$EHJ:$EHJ,Apr!$ERF:$ERF,Apr!$FBB:$FBB,Apr!$FKX:$FKX,Apr!$FUT:$FUT,Apr!$GEP:$GEP,Apr!$GOL:$GOL,Apr!$GYH:$GYH,Apr!$HID:$HID,Apr!$HRZ:$HRZ,Apr!$IBV:$IBV,Apr!$ILR:$ILR,Apr!$IVN:$IVN,Apr!$JFJ:$JFJ,Apr!$JPF:$JPF,Apr!$JZB:$JZB,Apr!$KIX:$KIX,Apr!$KST:$KST,Apr!$LCP:$LCP,Apr!$LML:$LML,Apr!$LWH:$LWH,Apr!$MGD:$MGD,Apr!$MPZ:$MPZ,Apr!$MZV:$MZV,Apr!$NJR:$NJR,Apr!$NTN:$NTN,Apr!$ODJ:$ODJ,Apr!$ONF:$ONF,Apr!$OXB:$OXB,Apr!$PGX:$PGX,Apr!$PQT:$PQT,Apr!$QAP:$QAP,Apr!$QKL:$QKL,Apr!$QUH:$QUH,Apr!$RED:$RED,Apr!$RNZ:$RNZ,Apr!$RXV:$RXV,Apr!$SHR:$SHR,Apr!$SRN:$SRN,Apr!$TBJ:$TBJ,Apr!$TLF:$TLF,Apr!$TVB:$TVB,Apr!$UEX:$UEX,Apr!$UOT:$UOT,Apr!$UYP:$UYP,Apr!$VIL:$VIL,Apr!$VSH:$VSH,Apr!$WCD:$WCD,Apr!$WLZ:$WLZ,Apr!$WVV:$WVV</definedName>
    <definedName name="Z_18ABB7CE_E9DD_4467_B368_D8163BDBE79F_.wvu.Cols" localSheetId="9" hidden="1">Aug!$N:$N,Aug!$JJ:$JJ,Aug!$TF:$TF,Aug!$ADB:$ADB,Aug!$AMX:$AMX,Aug!$AWT:$AWT,Aug!$BGP:$BGP,Aug!$BQL:$BQL,Aug!$CAH:$CAH,Aug!$CKD:$CKD,Aug!$CTZ:$CTZ,Aug!$DDV:$DDV,Aug!$DNR:$DNR,Aug!$DXN:$DXN,Aug!$EHJ:$EHJ,Aug!$ERF:$ERF,Aug!$FBB:$FBB,Aug!$FKX:$FKX,Aug!$FUT:$FUT,Aug!$GEP:$GEP,Aug!$GOL:$GOL,Aug!$GYH:$GYH,Aug!$HID:$HID,Aug!$HRZ:$HRZ,Aug!$IBV:$IBV,Aug!$ILR:$ILR,Aug!$IVN:$IVN,Aug!$JFJ:$JFJ,Aug!$JPF:$JPF,Aug!$JZB:$JZB,Aug!$KIX:$KIX,Aug!$KST:$KST,Aug!$LCP:$LCP,Aug!$LML:$LML,Aug!$LWH:$LWH,Aug!$MGD:$MGD,Aug!$MPZ:$MPZ,Aug!$MZV:$MZV,Aug!$NJR:$NJR,Aug!$NTN:$NTN,Aug!$ODJ:$ODJ,Aug!$ONF:$ONF,Aug!$OXB:$OXB,Aug!$PGX:$PGX,Aug!$PQT:$PQT,Aug!$QAP:$QAP,Aug!$QKL:$QKL,Aug!$QUH:$QUH,Aug!$RED:$RED,Aug!$RNZ:$RNZ,Aug!$RXV:$RXV,Aug!$SHR:$SHR,Aug!$SRN:$SRN,Aug!$TBJ:$TBJ,Aug!$TLF:$TLF,Aug!$TVB:$TVB,Aug!$UEX:$UEX,Aug!$UOT:$UOT,Aug!$UYP:$UYP,Aug!$VIL:$VIL,Aug!$VSH:$VSH,Aug!$WCD:$WCD,Aug!$WLZ:$WLZ,Aug!$WVV:$WVV</definedName>
    <definedName name="Z_18ABB7CE_E9DD_4467_B368_D8163BDBE79F_.wvu.Cols" localSheetId="13" hidden="1">Dec!$N:$N,Dec!$JJ:$JJ,Dec!$TF:$TF,Dec!$ADB:$ADB,Dec!$AMX:$AMX,Dec!$AWT:$AWT,Dec!$BGP:$BGP,Dec!$BQL:$BQL,Dec!$CAH:$CAH,Dec!$CKD:$CKD,Dec!$CTZ:$CTZ,Dec!$DDV:$DDV,Dec!$DNR:$DNR,Dec!$DXN:$DXN,Dec!$EHJ:$EHJ,Dec!$ERF:$ERF,Dec!$FBB:$FBB,Dec!$FKX:$FKX,Dec!$FUT:$FUT,Dec!$GEP:$GEP,Dec!$GOL:$GOL,Dec!$GYH:$GYH,Dec!$HID:$HID,Dec!$HRZ:$HRZ,Dec!$IBV:$IBV,Dec!$ILR:$ILR,Dec!$IVN:$IVN,Dec!$JFJ:$JFJ,Dec!$JPF:$JPF,Dec!$JZB:$JZB,Dec!$KIX:$KIX,Dec!$KST:$KST,Dec!$LCP:$LCP,Dec!$LML:$LML,Dec!$LWH:$LWH,Dec!$MGD:$MGD,Dec!$MPZ:$MPZ,Dec!$MZV:$MZV,Dec!$NJR:$NJR,Dec!$NTN:$NTN,Dec!$ODJ:$ODJ,Dec!$ONF:$ONF,Dec!$OXB:$OXB,Dec!$PGX:$PGX,Dec!$PQT:$PQT,Dec!$QAP:$QAP,Dec!$QKL:$QKL,Dec!$QUH:$QUH,Dec!$RED:$RED,Dec!$RNZ:$RNZ,Dec!$RXV:$RXV,Dec!$SHR:$SHR,Dec!$SRN:$SRN,Dec!$TBJ:$TBJ,Dec!$TLF:$TLF,Dec!$TVB:$TVB,Dec!$UEX:$UEX,Dec!$UOT:$UOT,Dec!$UYP:$UYP,Dec!$VIL:$VIL,Dec!$VSH:$VSH,Dec!$WCD:$WCD,Dec!$WLZ:$WLZ,Dec!$WVV:$WVV</definedName>
    <definedName name="Z_18ABB7CE_E9DD_4467_B368_D8163BDBE79F_.wvu.Cols" localSheetId="3" hidden="1">Feb!$N:$N,Feb!$JJ:$JJ,Feb!$TF:$TF,Feb!$ADB:$ADB,Feb!$AMX:$AMX,Feb!$AWT:$AWT,Feb!$BGP:$BGP,Feb!$BQL:$BQL,Feb!$CAH:$CAH,Feb!$CKD:$CKD,Feb!$CTZ:$CTZ,Feb!$DDV:$DDV,Feb!$DNR:$DNR,Feb!$DXN:$DXN,Feb!$EHJ:$EHJ,Feb!$ERF:$ERF,Feb!$FBB:$FBB,Feb!$FKX:$FKX,Feb!$FUT:$FUT,Feb!$GEP:$GEP,Feb!$GOL:$GOL,Feb!$GYH:$GYH,Feb!$HID:$HID,Feb!$HRZ:$HRZ,Feb!$IBV:$IBV,Feb!$ILR:$ILR,Feb!$IVN:$IVN,Feb!$JFJ:$JFJ,Feb!$JPF:$JPF,Feb!$JZB:$JZB,Feb!$KIX:$KIX,Feb!$KST:$KST,Feb!$LCP:$LCP,Feb!$LML:$LML,Feb!$LWH:$LWH,Feb!$MGD:$MGD,Feb!$MPZ:$MPZ,Feb!$MZV:$MZV,Feb!$NJR:$NJR,Feb!$NTN:$NTN,Feb!$ODJ:$ODJ,Feb!$ONF:$ONF,Feb!$OXB:$OXB,Feb!$PGX:$PGX,Feb!$PQT:$PQT,Feb!$QAP:$QAP,Feb!$QKL:$QKL,Feb!$QUH:$QUH,Feb!$RED:$RED,Feb!$RNZ:$RNZ,Feb!$RXV:$RXV,Feb!$SHR:$SHR,Feb!$SRN:$SRN,Feb!$TBJ:$TBJ,Feb!$TLF:$TLF,Feb!$TVB:$TVB,Feb!$UEX:$UEX,Feb!$UOT:$UOT,Feb!$UYP:$UYP,Feb!$VIL:$VIL,Feb!$VSH:$VSH,Feb!$WCD:$WCD,Feb!$WLZ:$WLZ,Feb!$WVV:$WVV</definedName>
    <definedName name="Z_18ABB7CE_E9DD_4467_B368_D8163BDBE79F_.wvu.Cols" localSheetId="2" hidden="1">Jan!$N:$N,Jan!$JJ:$JJ,Jan!$TF:$TF,Jan!$ADB:$ADB,Jan!$AMX:$AMX,Jan!$AWT:$AWT,Jan!$BGP:$BGP,Jan!$BQL:$BQL,Jan!$CAH:$CAH,Jan!$CKD:$CKD,Jan!$CTZ:$CTZ,Jan!$DDV:$DDV,Jan!$DNR:$DNR,Jan!$DXN:$DXN,Jan!$EHJ:$EHJ,Jan!$ERF:$ERF,Jan!$FBB:$FBB,Jan!$FKX:$FKX,Jan!$FUT:$FUT,Jan!$GEP:$GEP,Jan!$GOL:$GOL,Jan!$GYH:$GYH,Jan!$HID:$HID,Jan!$HRZ:$HRZ,Jan!$IBV:$IBV,Jan!$ILR:$ILR,Jan!$IVN:$IVN,Jan!$JFJ:$JFJ,Jan!$JPF:$JPF,Jan!$JZB:$JZB,Jan!$KIX:$KIX,Jan!$KST:$KST,Jan!$LCP:$LCP,Jan!$LML:$LML,Jan!$LWH:$LWH,Jan!$MGD:$MGD,Jan!$MPZ:$MPZ,Jan!$MZV:$MZV,Jan!$NJR:$NJR,Jan!$NTN:$NTN,Jan!$ODJ:$ODJ,Jan!$ONF:$ONF,Jan!$OXB:$OXB,Jan!$PGX:$PGX,Jan!$PQT:$PQT,Jan!$QAP:$QAP,Jan!$QKL:$QKL,Jan!$QUH:$QUH,Jan!$RED:$RED,Jan!$RNZ:$RNZ,Jan!$RXV:$RXV,Jan!$SHR:$SHR,Jan!$SRN:$SRN,Jan!$TBJ:$TBJ,Jan!$TLF:$TLF,Jan!$TVB:$TVB,Jan!$UEX:$UEX,Jan!$UOT:$UOT,Jan!$UYP:$UYP,Jan!$VIL:$VIL,Jan!$VSH:$VSH,Jan!$WCD:$WCD,Jan!$WLZ:$WLZ,Jan!$WVV:$WVV</definedName>
    <definedName name="Z_18ABB7CE_E9DD_4467_B368_D8163BDBE79F_.wvu.Cols" localSheetId="8" hidden="1">Jul!$N:$N,Jul!$JJ:$JJ,Jul!$TF:$TF,Jul!$ADB:$ADB,Jul!$AMX:$AMX,Jul!$AWT:$AWT,Jul!$BGP:$BGP,Jul!$BQL:$BQL,Jul!$CAH:$CAH,Jul!$CKD:$CKD,Jul!$CTZ:$CTZ,Jul!$DDV:$DDV,Jul!$DNR:$DNR,Jul!$DXN:$DXN,Jul!$EHJ:$EHJ,Jul!$ERF:$ERF,Jul!$FBB:$FBB,Jul!$FKX:$FKX,Jul!$FUT:$FUT,Jul!$GEP:$GEP,Jul!$GOL:$GOL,Jul!$GYH:$GYH,Jul!$HID:$HID,Jul!$HRZ:$HRZ,Jul!$IBV:$IBV,Jul!$ILR:$ILR,Jul!$IVN:$IVN,Jul!$JFJ:$JFJ,Jul!$JPF:$JPF,Jul!$JZB:$JZB,Jul!$KIX:$KIX,Jul!$KST:$KST,Jul!$LCP:$LCP,Jul!$LML:$LML,Jul!$LWH:$LWH,Jul!$MGD:$MGD,Jul!$MPZ:$MPZ,Jul!$MZV:$MZV,Jul!$NJR:$NJR,Jul!$NTN:$NTN,Jul!$ODJ:$ODJ,Jul!$ONF:$ONF,Jul!$OXB:$OXB,Jul!$PGX:$PGX,Jul!$PQT:$PQT,Jul!$QAP:$QAP,Jul!$QKL:$QKL,Jul!$QUH:$QUH,Jul!$RED:$RED,Jul!$RNZ:$RNZ,Jul!$RXV:$RXV,Jul!$SHR:$SHR,Jul!$SRN:$SRN,Jul!$TBJ:$TBJ,Jul!$TLF:$TLF,Jul!$TVB:$TVB,Jul!$UEX:$UEX,Jul!$UOT:$UOT,Jul!$UYP:$UYP,Jul!$VIL:$VIL,Jul!$VSH:$VSH,Jul!$WCD:$WCD,Jul!$WLZ:$WLZ,Jul!$WVV:$WVV</definedName>
    <definedName name="Z_18ABB7CE_E9DD_4467_B368_D8163BDBE79F_.wvu.Cols" localSheetId="7" hidden="1">Jun!$N:$N,Jun!$JJ:$JJ,Jun!$TF:$TF,Jun!$ADB:$ADB,Jun!$AMX:$AMX,Jun!$AWT:$AWT,Jun!$BGP:$BGP,Jun!$BQL:$BQL,Jun!$CAH:$CAH,Jun!$CKD:$CKD,Jun!$CTZ:$CTZ,Jun!$DDV:$DDV,Jun!$DNR:$DNR,Jun!$DXN:$DXN,Jun!$EHJ:$EHJ,Jun!$ERF:$ERF,Jun!$FBB:$FBB,Jun!$FKX:$FKX,Jun!$FUT:$FUT,Jun!$GEP:$GEP,Jun!$GOL:$GOL,Jun!$GYH:$GYH,Jun!$HID:$HID,Jun!$HRZ:$HRZ,Jun!$IBV:$IBV,Jun!$ILR:$ILR,Jun!$IVN:$IVN,Jun!$JFJ:$JFJ,Jun!$JPF:$JPF,Jun!$JZB:$JZB,Jun!$KIX:$KIX,Jun!$KST:$KST,Jun!$LCP:$LCP,Jun!$LML:$LML,Jun!$LWH:$LWH,Jun!$MGD:$MGD,Jun!$MPZ:$MPZ,Jun!$MZV:$MZV,Jun!$NJR:$NJR,Jun!$NTN:$NTN,Jun!$ODJ:$ODJ,Jun!$ONF:$ONF,Jun!$OXB:$OXB,Jun!$PGX:$PGX,Jun!$PQT:$PQT,Jun!$QAP:$QAP,Jun!$QKL:$QKL,Jun!$QUH:$QUH,Jun!$RED:$RED,Jun!$RNZ:$RNZ,Jun!$RXV:$RXV,Jun!$SHR:$SHR,Jun!$SRN:$SRN,Jun!$TBJ:$TBJ,Jun!$TLF:$TLF,Jun!$TVB:$TVB,Jun!$UEX:$UEX,Jun!$UOT:$UOT,Jun!$UYP:$UYP,Jun!$VIL:$VIL,Jun!$VSH:$VSH,Jun!$WCD:$WCD,Jun!$WLZ:$WLZ,Jun!$WVV:$WVV</definedName>
    <definedName name="Z_18ABB7CE_E9DD_4467_B368_D8163BDBE79F_.wvu.Cols" localSheetId="4" hidden="1">Mar!$N:$N,Mar!$JJ:$JJ,Mar!$TF:$TF,Mar!$ADB:$ADB,Mar!$AMX:$AMX,Mar!$AWT:$AWT,Mar!$BGP:$BGP,Mar!$BQL:$BQL,Mar!$CAH:$CAH,Mar!$CKD:$CKD,Mar!$CTZ:$CTZ,Mar!$DDV:$DDV,Mar!$DNR:$DNR,Mar!$DXN:$DXN,Mar!$EHJ:$EHJ,Mar!$ERF:$ERF,Mar!$FBB:$FBB,Mar!$FKX:$FKX,Mar!$FUT:$FUT,Mar!$GEP:$GEP,Mar!$GOL:$GOL,Mar!$GYH:$GYH,Mar!$HID:$HID,Mar!$HRZ:$HRZ,Mar!$IBV:$IBV,Mar!$ILR:$ILR,Mar!$IVN:$IVN,Mar!$JFJ:$JFJ,Mar!$JPF:$JPF,Mar!$JZB:$JZB,Mar!$KIX:$KIX,Mar!$KST:$KST,Mar!$LCP:$LCP,Mar!$LML:$LML,Mar!$LWH:$LWH,Mar!$MGD:$MGD,Mar!$MPZ:$MPZ,Mar!$MZV:$MZV,Mar!$NJR:$NJR,Mar!$NTN:$NTN,Mar!$ODJ:$ODJ,Mar!$ONF:$ONF,Mar!$OXB:$OXB,Mar!$PGX:$PGX,Mar!$PQT:$PQT,Mar!$QAP:$QAP,Mar!$QKL:$QKL,Mar!$QUH:$QUH,Mar!$RED:$RED,Mar!$RNZ:$RNZ,Mar!$RXV:$RXV,Mar!$SHR:$SHR,Mar!$SRN:$SRN,Mar!$TBJ:$TBJ,Mar!$TLF:$TLF,Mar!$TVB:$TVB,Mar!$UEX:$UEX,Mar!$UOT:$UOT,Mar!$UYP:$UYP,Mar!$VIL:$VIL,Mar!$VSH:$VSH,Mar!$WCD:$WCD,Mar!$WLZ:$WLZ,Mar!$WVV:$WVV</definedName>
    <definedName name="Z_18ABB7CE_E9DD_4467_B368_D8163BDBE79F_.wvu.Cols" localSheetId="6" hidden="1">May!$N:$N,May!$JJ:$JJ,May!$TF:$TF,May!$ADB:$ADB,May!$AMX:$AMX,May!$AWT:$AWT,May!$BGP:$BGP,May!$BQL:$BQL,May!$CAH:$CAH,May!$CKD:$CKD,May!$CTZ:$CTZ,May!$DDV:$DDV,May!$DNR:$DNR,May!$DXN:$DXN,May!$EHJ:$EHJ,May!$ERF:$ERF,May!$FBB:$FBB,May!$FKX:$FKX,May!$FUT:$FUT,May!$GEP:$GEP,May!$GOL:$GOL,May!$GYH:$GYH,May!$HID:$HID,May!$HRZ:$HRZ,May!$IBV:$IBV,May!$ILR:$ILR,May!$IVN:$IVN,May!$JFJ:$JFJ,May!$JPF:$JPF,May!$JZB:$JZB,May!$KIX:$KIX,May!$KST:$KST,May!$LCP:$LCP,May!$LML:$LML,May!$LWH:$LWH,May!$MGD:$MGD,May!$MPZ:$MPZ,May!$MZV:$MZV,May!$NJR:$NJR,May!$NTN:$NTN,May!$ODJ:$ODJ,May!$ONF:$ONF,May!$OXB:$OXB,May!$PGX:$PGX,May!$PQT:$PQT,May!$QAP:$QAP,May!$QKL:$QKL,May!$QUH:$QUH,May!$RED:$RED,May!$RNZ:$RNZ,May!$RXV:$RXV,May!$SHR:$SHR,May!$SRN:$SRN,May!$TBJ:$TBJ,May!$TLF:$TLF,May!$TVB:$TVB,May!$UEX:$UEX,May!$UOT:$UOT,May!$UYP:$UYP,May!$VIL:$VIL,May!$VSH:$VSH,May!$WCD:$WCD,May!$WLZ:$WLZ,May!$WVV:$WVV</definedName>
    <definedName name="Z_18ABB7CE_E9DD_4467_B368_D8163BDBE79F_.wvu.Cols" localSheetId="12" hidden="1">Nov!$N:$N,Nov!$JJ:$JJ,Nov!$TF:$TF,Nov!$ADB:$ADB,Nov!$AMX:$AMX,Nov!$AWT:$AWT,Nov!$BGP:$BGP,Nov!$BQL:$BQL,Nov!$CAH:$CAH,Nov!$CKD:$CKD,Nov!$CTZ:$CTZ,Nov!$DDV:$DDV,Nov!$DNR:$DNR,Nov!$DXN:$DXN,Nov!$EHJ:$EHJ,Nov!$ERF:$ERF,Nov!$FBB:$FBB,Nov!$FKX:$FKX,Nov!$FUT:$FUT,Nov!$GEP:$GEP,Nov!$GOL:$GOL,Nov!$GYH:$GYH,Nov!$HID:$HID,Nov!$HRZ:$HRZ,Nov!$IBV:$IBV,Nov!$ILR:$ILR,Nov!$IVN:$IVN,Nov!$JFJ:$JFJ,Nov!$JPF:$JPF,Nov!$JZB:$JZB,Nov!$KIX:$KIX,Nov!$KST:$KST,Nov!$LCP:$LCP,Nov!$LML:$LML,Nov!$LWH:$LWH,Nov!$MGD:$MGD,Nov!$MPZ:$MPZ,Nov!$MZV:$MZV,Nov!$NJR:$NJR,Nov!$NTN:$NTN,Nov!$ODJ:$ODJ,Nov!$ONF:$ONF,Nov!$OXB:$OXB,Nov!$PGX:$PGX,Nov!$PQT:$PQT,Nov!$QAP:$QAP,Nov!$QKL:$QKL,Nov!$QUH:$QUH,Nov!$RED:$RED,Nov!$RNZ:$RNZ,Nov!$RXV:$RXV,Nov!$SHR:$SHR,Nov!$SRN:$SRN,Nov!$TBJ:$TBJ,Nov!$TLF:$TLF,Nov!$TVB:$TVB,Nov!$UEX:$UEX,Nov!$UOT:$UOT,Nov!$UYP:$UYP,Nov!$VIL:$VIL,Nov!$VSH:$VSH,Nov!$WCD:$WCD,Nov!$WLZ:$WLZ,Nov!$WVV:$WVV</definedName>
    <definedName name="Z_18ABB7CE_E9DD_4467_B368_D8163BDBE79F_.wvu.Cols" localSheetId="11" hidden="1">Oct!$N:$N,Oct!$JJ:$JJ,Oct!$TF:$TF,Oct!$ADB:$ADB,Oct!$AMX:$AMX,Oct!$AWT:$AWT,Oct!$BGP:$BGP,Oct!$BQL:$BQL,Oct!$CAH:$CAH,Oct!$CKD:$CKD,Oct!$CTZ:$CTZ,Oct!$DDV:$DDV,Oct!$DNR:$DNR,Oct!$DXN:$DXN,Oct!$EHJ:$EHJ,Oct!$ERF:$ERF,Oct!$FBB:$FBB,Oct!$FKX:$FKX,Oct!$FUT:$FUT,Oct!$GEP:$GEP,Oct!$GOL:$GOL,Oct!$GYH:$GYH,Oct!$HID:$HID,Oct!$HRZ:$HRZ,Oct!$IBV:$IBV,Oct!$ILR:$ILR,Oct!$IVN:$IVN,Oct!$JFJ:$JFJ,Oct!$JPF:$JPF,Oct!$JZB:$JZB,Oct!$KIX:$KIX,Oct!$KST:$KST,Oct!$LCP:$LCP,Oct!$LML:$LML,Oct!$LWH:$LWH,Oct!$MGD:$MGD,Oct!$MPZ:$MPZ,Oct!$MZV:$MZV,Oct!$NJR:$NJR,Oct!$NTN:$NTN,Oct!$ODJ:$ODJ,Oct!$ONF:$ONF,Oct!$OXB:$OXB,Oct!$PGX:$PGX,Oct!$PQT:$PQT,Oct!$QAP:$QAP,Oct!$QKL:$QKL,Oct!$QUH:$QUH,Oct!$RED:$RED,Oct!$RNZ:$RNZ,Oct!$RXV:$RXV,Oct!$SHR:$SHR,Oct!$SRN:$SRN,Oct!$TBJ:$TBJ,Oct!$TLF:$TLF,Oct!$TVB:$TVB,Oct!$UEX:$UEX,Oct!$UOT:$UOT,Oct!$UYP:$UYP,Oct!$VIL:$VIL,Oct!$VSH:$VSH,Oct!$WCD:$WCD,Oct!$WLZ:$WLZ,Oct!$WVV:$WVV</definedName>
    <definedName name="Z_18ABB7CE_E9DD_4467_B368_D8163BDBE79F_.wvu.Cols" localSheetId="10" hidden="1">Sep!$N:$N,Sep!$JJ:$JJ,Sep!$TF:$TF,Sep!$ADB:$ADB,Sep!$AMX:$AMX,Sep!$AWT:$AWT,Sep!$BGP:$BGP,Sep!$BQL:$BQL,Sep!$CAH:$CAH,Sep!$CKD:$CKD,Sep!$CTZ:$CTZ,Sep!$DDV:$DDV,Sep!$DNR:$DNR,Sep!$DXN:$DXN,Sep!$EHJ:$EHJ,Sep!$ERF:$ERF,Sep!$FBB:$FBB,Sep!$FKX:$FKX,Sep!$FUT:$FUT,Sep!$GEP:$GEP,Sep!$GOL:$GOL,Sep!$GYH:$GYH,Sep!$HID:$HID,Sep!$HRZ:$HRZ,Sep!$IBV:$IBV,Sep!$ILR:$ILR,Sep!$IVN:$IVN,Sep!$JFJ:$JFJ,Sep!$JPF:$JPF,Sep!$JZB:$JZB,Sep!$KIX:$KIX,Sep!$KST:$KST,Sep!$LCP:$LCP,Sep!$LML:$LML,Sep!$LWH:$LWH,Sep!$MGD:$MGD,Sep!$MPZ:$MPZ,Sep!$MZV:$MZV,Sep!$NJR:$NJR,Sep!$NTN:$NTN,Sep!$ODJ:$ODJ,Sep!$ONF:$ONF,Sep!$OXB:$OXB,Sep!$PGX:$PGX,Sep!$PQT:$PQT,Sep!$QAP:$QAP,Sep!$QKL:$QKL,Sep!$QUH:$QUH,Sep!$RED:$RED,Sep!$RNZ:$RNZ,Sep!$RXV:$RXV,Sep!$SHR:$SHR,Sep!$SRN:$SRN,Sep!$TBJ:$TBJ,Sep!$TLF:$TLF,Sep!$TVB:$TVB,Sep!$UEX:$UEX,Sep!$UOT:$UOT,Sep!$UYP:$UYP,Sep!$VIL:$VIL,Sep!$VSH:$VSH,Sep!$WCD:$WCD,Sep!$WLZ:$WLZ,Sep!$WVV:$WVV</definedName>
    <definedName name="Z_1F53F7D0_897F_4CD0_B731_A7EAAEC631FF_.wvu.Cols" localSheetId="0" hidden="1">'2017 SECOND HALF'!$N:$N,'2017 SECOND HALF'!$JJ:$JJ,'2017 SECOND HALF'!$TF:$TF,'2017 SECOND HALF'!$ADB:$ADB,'2017 SECOND HALF'!$AMX:$AMX,'2017 SECOND HALF'!$AWT:$AWT,'2017 SECOND HALF'!$BGP:$BGP,'2017 SECOND HALF'!$BQL:$BQL,'2017 SECOND HALF'!$CAH:$CAH,'2017 SECOND HALF'!$CKD:$CKD,'2017 SECOND HALF'!$CTZ:$CTZ,'2017 SECOND HALF'!$DDV:$DDV,'2017 SECOND HALF'!$DNR:$DNR,'2017 SECOND HALF'!$DXN:$DXN,'2017 SECOND HALF'!$EHJ:$EHJ,'2017 SECOND HALF'!$ERF:$ERF,'2017 SECOND HALF'!$FBB:$FBB,'2017 SECOND HALF'!$FKX:$FKX,'2017 SECOND HALF'!$FUT:$FUT,'2017 SECOND HALF'!$GEP:$GEP,'2017 SECOND HALF'!$GOL:$GOL,'2017 SECOND HALF'!$GYH:$GYH,'2017 SECOND HALF'!$HID:$HID,'2017 SECOND HALF'!$HRZ:$HRZ,'2017 SECOND HALF'!$IBV:$IBV,'2017 SECOND HALF'!$ILR:$ILR,'2017 SECOND HALF'!$IVN:$IVN,'2017 SECOND HALF'!$JFJ:$JFJ,'2017 SECOND HALF'!$JPF:$JPF,'2017 SECOND HALF'!$JZB:$JZB,'2017 SECOND HALF'!$KIX:$KIX,'2017 SECOND HALF'!$KST:$KST,'2017 SECOND HALF'!$LCP:$LCP,'2017 SECOND HALF'!$LML:$LML,'2017 SECOND HALF'!$LWH:$LWH,'2017 SECOND HALF'!$MGD:$MGD,'2017 SECOND HALF'!$MPZ:$MPZ,'2017 SECOND HALF'!$MZV:$MZV,'2017 SECOND HALF'!$NJR:$NJR,'2017 SECOND HALF'!$NTN:$NTN,'2017 SECOND HALF'!$ODJ:$ODJ,'2017 SECOND HALF'!$ONF:$ONF,'2017 SECOND HALF'!$OXB:$OXB,'2017 SECOND HALF'!$PGX:$PGX,'2017 SECOND HALF'!$PQT:$PQT,'2017 SECOND HALF'!$QAP:$QAP,'2017 SECOND HALF'!$QKL:$QKL,'2017 SECOND HALF'!$QUH:$QUH,'2017 SECOND HALF'!$RED:$RED,'2017 SECOND HALF'!$RNZ:$RNZ,'2017 SECOND HALF'!$RXV:$RXV,'2017 SECOND HALF'!$SHR:$SHR,'2017 SECOND HALF'!$SRN:$SRN,'2017 SECOND HALF'!$TBJ:$TBJ,'2017 SECOND HALF'!$TLF:$TLF,'2017 SECOND HALF'!$TVB:$TVB,'2017 SECOND HALF'!$UEX:$UEX,'2017 SECOND HALF'!$UOT:$UOT,'2017 SECOND HALF'!$UYP:$UYP,'2017 SECOND HALF'!$VIL:$VIL,'2017 SECOND HALF'!$VSH:$VSH,'2017 SECOND HALF'!$WCD:$WCD,'2017 SECOND HALF'!$WLZ:$WLZ,'2017 SECOND HALF'!$WVV:$WVV</definedName>
    <definedName name="Z_1F53F7D0_897F_4CD0_B731_A7EAAEC631FF_.wvu.Cols" localSheetId="1" hidden="1">'2017 TOTALS'!$N:$N,'2017 TOTALS'!$JJ:$JJ,'2017 TOTALS'!$TF:$TF,'2017 TOTALS'!$ADB:$ADB,'2017 TOTALS'!$AMX:$AMX,'2017 TOTALS'!$AWT:$AWT,'2017 TOTALS'!$BGP:$BGP,'2017 TOTALS'!$BQL:$BQL,'2017 TOTALS'!$CAH:$CAH,'2017 TOTALS'!$CKD:$CKD,'2017 TOTALS'!$CTZ:$CTZ,'2017 TOTALS'!$DDV:$DDV,'2017 TOTALS'!$DNR:$DNR,'2017 TOTALS'!$DXN:$DXN,'2017 TOTALS'!$EHJ:$EHJ,'2017 TOTALS'!$ERF:$ERF,'2017 TOTALS'!$FBB:$FBB,'2017 TOTALS'!$FKX:$FKX,'2017 TOTALS'!$FUT:$FUT,'2017 TOTALS'!$GEP:$GEP,'2017 TOTALS'!$GOL:$GOL,'2017 TOTALS'!$GYH:$GYH,'2017 TOTALS'!$HID:$HID,'2017 TOTALS'!$HRZ:$HRZ,'2017 TOTALS'!$IBV:$IBV,'2017 TOTALS'!$ILR:$ILR,'2017 TOTALS'!$IVN:$IVN,'2017 TOTALS'!$JFJ:$JFJ,'2017 TOTALS'!$JPF:$JPF,'2017 TOTALS'!$JZB:$JZB,'2017 TOTALS'!$KIX:$KIX,'2017 TOTALS'!$KST:$KST,'2017 TOTALS'!$LCP:$LCP,'2017 TOTALS'!$LML:$LML,'2017 TOTALS'!$LWH:$LWH,'2017 TOTALS'!$MGD:$MGD,'2017 TOTALS'!$MPZ:$MPZ,'2017 TOTALS'!$MZV:$MZV,'2017 TOTALS'!$NJR:$NJR,'2017 TOTALS'!$NTN:$NTN,'2017 TOTALS'!$ODJ:$ODJ,'2017 TOTALS'!$ONF:$ONF,'2017 TOTALS'!$OXB:$OXB,'2017 TOTALS'!$PGX:$PGX,'2017 TOTALS'!$PQT:$PQT,'2017 TOTALS'!$QAP:$QAP,'2017 TOTALS'!$QKL:$QKL,'2017 TOTALS'!$QUH:$QUH,'2017 TOTALS'!$RED:$RED,'2017 TOTALS'!$RNZ:$RNZ,'2017 TOTALS'!$RXV:$RXV,'2017 TOTALS'!$SHR:$SHR,'2017 TOTALS'!$SRN:$SRN,'2017 TOTALS'!$TBJ:$TBJ,'2017 TOTALS'!$TLF:$TLF,'2017 TOTALS'!$TVB:$TVB,'2017 TOTALS'!$UEX:$UEX,'2017 TOTALS'!$UOT:$UOT,'2017 TOTALS'!$UYP:$UYP,'2017 TOTALS'!$VIL:$VIL,'2017 TOTALS'!$VSH:$VSH,'2017 TOTALS'!$WCD:$WCD,'2017 TOTALS'!$WLZ:$WLZ,'2017 TOTALS'!$WVV:$WVV</definedName>
    <definedName name="Z_1F53F7D0_897F_4CD0_B731_A7EAAEC631FF_.wvu.Cols" localSheetId="5" hidden="1">Apr!$N:$N,Apr!$JJ:$JJ,Apr!$TF:$TF,Apr!$ADB:$ADB,Apr!$AMX:$AMX,Apr!$AWT:$AWT,Apr!$BGP:$BGP,Apr!$BQL:$BQL,Apr!$CAH:$CAH,Apr!$CKD:$CKD,Apr!$CTZ:$CTZ,Apr!$DDV:$DDV,Apr!$DNR:$DNR,Apr!$DXN:$DXN,Apr!$EHJ:$EHJ,Apr!$ERF:$ERF,Apr!$FBB:$FBB,Apr!$FKX:$FKX,Apr!$FUT:$FUT,Apr!$GEP:$GEP,Apr!$GOL:$GOL,Apr!$GYH:$GYH,Apr!$HID:$HID,Apr!$HRZ:$HRZ,Apr!$IBV:$IBV,Apr!$ILR:$ILR,Apr!$IVN:$IVN,Apr!$JFJ:$JFJ,Apr!$JPF:$JPF,Apr!$JZB:$JZB,Apr!$KIX:$KIX,Apr!$KST:$KST,Apr!$LCP:$LCP,Apr!$LML:$LML,Apr!$LWH:$LWH,Apr!$MGD:$MGD,Apr!$MPZ:$MPZ,Apr!$MZV:$MZV,Apr!$NJR:$NJR,Apr!$NTN:$NTN,Apr!$ODJ:$ODJ,Apr!$ONF:$ONF,Apr!$OXB:$OXB,Apr!$PGX:$PGX,Apr!$PQT:$PQT,Apr!$QAP:$QAP,Apr!$QKL:$QKL,Apr!$QUH:$QUH,Apr!$RED:$RED,Apr!$RNZ:$RNZ,Apr!$RXV:$RXV,Apr!$SHR:$SHR,Apr!$SRN:$SRN,Apr!$TBJ:$TBJ,Apr!$TLF:$TLF,Apr!$TVB:$TVB,Apr!$UEX:$UEX,Apr!$UOT:$UOT,Apr!$UYP:$UYP,Apr!$VIL:$VIL,Apr!$VSH:$VSH,Apr!$WCD:$WCD,Apr!$WLZ:$WLZ,Apr!$WVV:$WVV</definedName>
    <definedName name="Z_1F53F7D0_897F_4CD0_B731_A7EAAEC631FF_.wvu.Cols" localSheetId="9" hidden="1">Aug!$N:$N,Aug!$JJ:$JJ,Aug!$TF:$TF,Aug!$ADB:$ADB,Aug!$AMX:$AMX,Aug!$AWT:$AWT,Aug!$BGP:$BGP,Aug!$BQL:$BQL,Aug!$CAH:$CAH,Aug!$CKD:$CKD,Aug!$CTZ:$CTZ,Aug!$DDV:$DDV,Aug!$DNR:$DNR,Aug!$DXN:$DXN,Aug!$EHJ:$EHJ,Aug!$ERF:$ERF,Aug!$FBB:$FBB,Aug!$FKX:$FKX,Aug!$FUT:$FUT,Aug!$GEP:$GEP,Aug!$GOL:$GOL,Aug!$GYH:$GYH,Aug!$HID:$HID,Aug!$HRZ:$HRZ,Aug!$IBV:$IBV,Aug!$ILR:$ILR,Aug!$IVN:$IVN,Aug!$JFJ:$JFJ,Aug!$JPF:$JPF,Aug!$JZB:$JZB,Aug!$KIX:$KIX,Aug!$KST:$KST,Aug!$LCP:$LCP,Aug!$LML:$LML,Aug!$LWH:$LWH,Aug!$MGD:$MGD,Aug!$MPZ:$MPZ,Aug!$MZV:$MZV,Aug!$NJR:$NJR,Aug!$NTN:$NTN,Aug!$ODJ:$ODJ,Aug!$ONF:$ONF,Aug!$OXB:$OXB,Aug!$PGX:$PGX,Aug!$PQT:$PQT,Aug!$QAP:$QAP,Aug!$QKL:$QKL,Aug!$QUH:$QUH,Aug!$RED:$RED,Aug!$RNZ:$RNZ,Aug!$RXV:$RXV,Aug!$SHR:$SHR,Aug!$SRN:$SRN,Aug!$TBJ:$TBJ,Aug!$TLF:$TLF,Aug!$TVB:$TVB,Aug!$UEX:$UEX,Aug!$UOT:$UOT,Aug!$UYP:$UYP,Aug!$VIL:$VIL,Aug!$VSH:$VSH,Aug!$WCD:$WCD,Aug!$WLZ:$WLZ,Aug!$WVV:$WVV</definedName>
    <definedName name="Z_1F53F7D0_897F_4CD0_B731_A7EAAEC631FF_.wvu.Cols" localSheetId="13" hidden="1">Dec!$N:$N,Dec!$JJ:$JJ,Dec!$TF:$TF,Dec!$ADB:$ADB,Dec!$AMX:$AMX,Dec!$AWT:$AWT,Dec!$BGP:$BGP,Dec!$BQL:$BQL,Dec!$CAH:$CAH,Dec!$CKD:$CKD,Dec!$CTZ:$CTZ,Dec!$DDV:$DDV,Dec!$DNR:$DNR,Dec!$DXN:$DXN,Dec!$EHJ:$EHJ,Dec!$ERF:$ERF,Dec!$FBB:$FBB,Dec!$FKX:$FKX,Dec!$FUT:$FUT,Dec!$GEP:$GEP,Dec!$GOL:$GOL,Dec!$GYH:$GYH,Dec!$HID:$HID,Dec!$HRZ:$HRZ,Dec!$IBV:$IBV,Dec!$ILR:$ILR,Dec!$IVN:$IVN,Dec!$JFJ:$JFJ,Dec!$JPF:$JPF,Dec!$JZB:$JZB,Dec!$KIX:$KIX,Dec!$KST:$KST,Dec!$LCP:$LCP,Dec!$LML:$LML,Dec!$LWH:$LWH,Dec!$MGD:$MGD,Dec!$MPZ:$MPZ,Dec!$MZV:$MZV,Dec!$NJR:$NJR,Dec!$NTN:$NTN,Dec!$ODJ:$ODJ,Dec!$ONF:$ONF,Dec!$OXB:$OXB,Dec!$PGX:$PGX,Dec!$PQT:$PQT,Dec!$QAP:$QAP,Dec!$QKL:$QKL,Dec!$QUH:$QUH,Dec!$RED:$RED,Dec!$RNZ:$RNZ,Dec!$RXV:$RXV,Dec!$SHR:$SHR,Dec!$SRN:$SRN,Dec!$TBJ:$TBJ,Dec!$TLF:$TLF,Dec!$TVB:$TVB,Dec!$UEX:$UEX,Dec!$UOT:$UOT,Dec!$UYP:$UYP,Dec!$VIL:$VIL,Dec!$VSH:$VSH,Dec!$WCD:$WCD,Dec!$WLZ:$WLZ,Dec!$WVV:$WVV</definedName>
    <definedName name="Z_1F53F7D0_897F_4CD0_B731_A7EAAEC631FF_.wvu.Cols" localSheetId="3" hidden="1">Feb!$N:$N,Feb!$JJ:$JJ,Feb!$TF:$TF,Feb!$ADB:$ADB,Feb!$AMX:$AMX,Feb!$AWT:$AWT,Feb!$BGP:$BGP,Feb!$BQL:$BQL,Feb!$CAH:$CAH,Feb!$CKD:$CKD,Feb!$CTZ:$CTZ,Feb!$DDV:$DDV,Feb!$DNR:$DNR,Feb!$DXN:$DXN,Feb!$EHJ:$EHJ,Feb!$ERF:$ERF,Feb!$FBB:$FBB,Feb!$FKX:$FKX,Feb!$FUT:$FUT,Feb!$GEP:$GEP,Feb!$GOL:$GOL,Feb!$GYH:$GYH,Feb!$HID:$HID,Feb!$HRZ:$HRZ,Feb!$IBV:$IBV,Feb!$ILR:$ILR,Feb!$IVN:$IVN,Feb!$JFJ:$JFJ,Feb!$JPF:$JPF,Feb!$JZB:$JZB,Feb!$KIX:$KIX,Feb!$KST:$KST,Feb!$LCP:$LCP,Feb!$LML:$LML,Feb!$LWH:$LWH,Feb!$MGD:$MGD,Feb!$MPZ:$MPZ,Feb!$MZV:$MZV,Feb!$NJR:$NJR,Feb!$NTN:$NTN,Feb!$ODJ:$ODJ,Feb!$ONF:$ONF,Feb!$OXB:$OXB,Feb!$PGX:$PGX,Feb!$PQT:$PQT,Feb!$QAP:$QAP,Feb!$QKL:$QKL,Feb!$QUH:$QUH,Feb!$RED:$RED,Feb!$RNZ:$RNZ,Feb!$RXV:$RXV,Feb!$SHR:$SHR,Feb!$SRN:$SRN,Feb!$TBJ:$TBJ,Feb!$TLF:$TLF,Feb!$TVB:$TVB,Feb!$UEX:$UEX,Feb!$UOT:$UOT,Feb!$UYP:$UYP,Feb!$VIL:$VIL,Feb!$VSH:$VSH,Feb!$WCD:$WCD,Feb!$WLZ:$WLZ,Feb!$WVV:$WVV</definedName>
    <definedName name="Z_1F53F7D0_897F_4CD0_B731_A7EAAEC631FF_.wvu.Cols" localSheetId="2" hidden="1">Jan!$N:$N,Jan!$JJ:$JJ,Jan!$TF:$TF,Jan!$ADB:$ADB,Jan!$AMX:$AMX,Jan!$AWT:$AWT,Jan!$BGP:$BGP,Jan!$BQL:$BQL,Jan!$CAH:$CAH,Jan!$CKD:$CKD,Jan!$CTZ:$CTZ,Jan!$DDV:$DDV,Jan!$DNR:$DNR,Jan!$DXN:$DXN,Jan!$EHJ:$EHJ,Jan!$ERF:$ERF,Jan!$FBB:$FBB,Jan!$FKX:$FKX,Jan!$FUT:$FUT,Jan!$GEP:$GEP,Jan!$GOL:$GOL,Jan!$GYH:$GYH,Jan!$HID:$HID,Jan!$HRZ:$HRZ,Jan!$IBV:$IBV,Jan!$ILR:$ILR,Jan!$IVN:$IVN,Jan!$JFJ:$JFJ,Jan!$JPF:$JPF,Jan!$JZB:$JZB,Jan!$KIX:$KIX,Jan!$KST:$KST,Jan!$LCP:$LCP,Jan!$LML:$LML,Jan!$LWH:$LWH,Jan!$MGD:$MGD,Jan!$MPZ:$MPZ,Jan!$MZV:$MZV,Jan!$NJR:$NJR,Jan!$NTN:$NTN,Jan!$ODJ:$ODJ,Jan!$ONF:$ONF,Jan!$OXB:$OXB,Jan!$PGX:$PGX,Jan!$PQT:$PQT,Jan!$QAP:$QAP,Jan!$QKL:$QKL,Jan!$QUH:$QUH,Jan!$RED:$RED,Jan!$RNZ:$RNZ,Jan!$RXV:$RXV,Jan!$SHR:$SHR,Jan!$SRN:$SRN,Jan!$TBJ:$TBJ,Jan!$TLF:$TLF,Jan!$TVB:$TVB,Jan!$UEX:$UEX,Jan!$UOT:$UOT,Jan!$UYP:$UYP,Jan!$VIL:$VIL,Jan!$VSH:$VSH,Jan!$WCD:$WCD,Jan!$WLZ:$WLZ,Jan!$WVV:$WVV</definedName>
    <definedName name="Z_1F53F7D0_897F_4CD0_B731_A7EAAEC631FF_.wvu.Cols" localSheetId="8" hidden="1">Jul!$N:$N,Jul!$JJ:$JJ,Jul!$TF:$TF,Jul!$ADB:$ADB,Jul!$AMX:$AMX,Jul!$AWT:$AWT,Jul!$BGP:$BGP,Jul!$BQL:$BQL,Jul!$CAH:$CAH,Jul!$CKD:$CKD,Jul!$CTZ:$CTZ,Jul!$DDV:$DDV,Jul!$DNR:$DNR,Jul!$DXN:$DXN,Jul!$EHJ:$EHJ,Jul!$ERF:$ERF,Jul!$FBB:$FBB,Jul!$FKX:$FKX,Jul!$FUT:$FUT,Jul!$GEP:$GEP,Jul!$GOL:$GOL,Jul!$GYH:$GYH,Jul!$HID:$HID,Jul!$HRZ:$HRZ,Jul!$IBV:$IBV,Jul!$ILR:$ILR,Jul!$IVN:$IVN,Jul!$JFJ:$JFJ,Jul!$JPF:$JPF,Jul!$JZB:$JZB,Jul!$KIX:$KIX,Jul!$KST:$KST,Jul!$LCP:$LCP,Jul!$LML:$LML,Jul!$LWH:$LWH,Jul!$MGD:$MGD,Jul!$MPZ:$MPZ,Jul!$MZV:$MZV,Jul!$NJR:$NJR,Jul!$NTN:$NTN,Jul!$ODJ:$ODJ,Jul!$ONF:$ONF,Jul!$OXB:$OXB,Jul!$PGX:$PGX,Jul!$PQT:$PQT,Jul!$QAP:$QAP,Jul!$QKL:$QKL,Jul!$QUH:$QUH,Jul!$RED:$RED,Jul!$RNZ:$RNZ,Jul!$RXV:$RXV,Jul!$SHR:$SHR,Jul!$SRN:$SRN,Jul!$TBJ:$TBJ,Jul!$TLF:$TLF,Jul!$TVB:$TVB,Jul!$UEX:$UEX,Jul!$UOT:$UOT,Jul!$UYP:$UYP,Jul!$VIL:$VIL,Jul!$VSH:$VSH,Jul!$WCD:$WCD,Jul!$WLZ:$WLZ,Jul!$WVV:$WVV</definedName>
    <definedName name="Z_1F53F7D0_897F_4CD0_B731_A7EAAEC631FF_.wvu.Cols" localSheetId="7" hidden="1">Jun!$N:$N,Jun!$JJ:$JJ,Jun!$TF:$TF,Jun!$ADB:$ADB,Jun!$AMX:$AMX,Jun!$AWT:$AWT,Jun!$BGP:$BGP,Jun!$BQL:$BQL,Jun!$CAH:$CAH,Jun!$CKD:$CKD,Jun!$CTZ:$CTZ,Jun!$DDV:$DDV,Jun!$DNR:$DNR,Jun!$DXN:$DXN,Jun!$EHJ:$EHJ,Jun!$ERF:$ERF,Jun!$FBB:$FBB,Jun!$FKX:$FKX,Jun!$FUT:$FUT,Jun!$GEP:$GEP,Jun!$GOL:$GOL,Jun!$GYH:$GYH,Jun!$HID:$HID,Jun!$HRZ:$HRZ,Jun!$IBV:$IBV,Jun!$ILR:$ILR,Jun!$IVN:$IVN,Jun!$JFJ:$JFJ,Jun!$JPF:$JPF,Jun!$JZB:$JZB,Jun!$KIX:$KIX,Jun!$KST:$KST,Jun!$LCP:$LCP,Jun!$LML:$LML,Jun!$LWH:$LWH,Jun!$MGD:$MGD,Jun!$MPZ:$MPZ,Jun!$MZV:$MZV,Jun!$NJR:$NJR,Jun!$NTN:$NTN,Jun!$ODJ:$ODJ,Jun!$ONF:$ONF,Jun!$OXB:$OXB,Jun!$PGX:$PGX,Jun!$PQT:$PQT,Jun!$QAP:$QAP,Jun!$QKL:$QKL,Jun!$QUH:$QUH,Jun!$RED:$RED,Jun!$RNZ:$RNZ,Jun!$RXV:$RXV,Jun!$SHR:$SHR,Jun!$SRN:$SRN,Jun!$TBJ:$TBJ,Jun!$TLF:$TLF,Jun!$TVB:$TVB,Jun!$UEX:$UEX,Jun!$UOT:$UOT,Jun!$UYP:$UYP,Jun!$VIL:$VIL,Jun!$VSH:$VSH,Jun!$WCD:$WCD,Jun!$WLZ:$WLZ,Jun!$WVV:$WVV</definedName>
    <definedName name="Z_1F53F7D0_897F_4CD0_B731_A7EAAEC631FF_.wvu.Cols" localSheetId="4" hidden="1">Mar!$N:$N,Mar!$JJ:$JJ,Mar!$TF:$TF,Mar!$ADB:$ADB,Mar!$AMX:$AMX,Mar!$AWT:$AWT,Mar!$BGP:$BGP,Mar!$BQL:$BQL,Mar!$CAH:$CAH,Mar!$CKD:$CKD,Mar!$CTZ:$CTZ,Mar!$DDV:$DDV,Mar!$DNR:$DNR,Mar!$DXN:$DXN,Mar!$EHJ:$EHJ,Mar!$ERF:$ERF,Mar!$FBB:$FBB,Mar!$FKX:$FKX,Mar!$FUT:$FUT,Mar!$GEP:$GEP,Mar!$GOL:$GOL,Mar!$GYH:$GYH,Mar!$HID:$HID,Mar!$HRZ:$HRZ,Mar!$IBV:$IBV,Mar!$ILR:$ILR,Mar!$IVN:$IVN,Mar!$JFJ:$JFJ,Mar!$JPF:$JPF,Mar!$JZB:$JZB,Mar!$KIX:$KIX,Mar!$KST:$KST,Mar!$LCP:$LCP,Mar!$LML:$LML,Mar!$LWH:$LWH,Mar!$MGD:$MGD,Mar!$MPZ:$MPZ,Mar!$MZV:$MZV,Mar!$NJR:$NJR,Mar!$NTN:$NTN,Mar!$ODJ:$ODJ,Mar!$ONF:$ONF,Mar!$OXB:$OXB,Mar!$PGX:$PGX,Mar!$PQT:$PQT,Mar!$QAP:$QAP,Mar!$QKL:$QKL,Mar!$QUH:$QUH,Mar!$RED:$RED,Mar!$RNZ:$RNZ,Mar!$RXV:$RXV,Mar!$SHR:$SHR,Mar!$SRN:$SRN,Mar!$TBJ:$TBJ,Mar!$TLF:$TLF,Mar!$TVB:$TVB,Mar!$UEX:$UEX,Mar!$UOT:$UOT,Mar!$UYP:$UYP,Mar!$VIL:$VIL,Mar!$VSH:$VSH,Mar!$WCD:$WCD,Mar!$WLZ:$WLZ,Mar!$WVV:$WVV</definedName>
    <definedName name="Z_1F53F7D0_897F_4CD0_B731_A7EAAEC631FF_.wvu.Cols" localSheetId="6" hidden="1">May!$N:$N,May!$JJ:$JJ,May!$TF:$TF,May!$ADB:$ADB,May!$AMX:$AMX,May!$AWT:$AWT,May!$BGP:$BGP,May!$BQL:$BQL,May!$CAH:$CAH,May!$CKD:$CKD,May!$CTZ:$CTZ,May!$DDV:$DDV,May!$DNR:$DNR,May!$DXN:$DXN,May!$EHJ:$EHJ,May!$ERF:$ERF,May!$FBB:$FBB,May!$FKX:$FKX,May!$FUT:$FUT,May!$GEP:$GEP,May!$GOL:$GOL,May!$GYH:$GYH,May!$HID:$HID,May!$HRZ:$HRZ,May!$IBV:$IBV,May!$ILR:$ILR,May!$IVN:$IVN,May!$JFJ:$JFJ,May!$JPF:$JPF,May!$JZB:$JZB,May!$KIX:$KIX,May!$KST:$KST,May!$LCP:$LCP,May!$LML:$LML,May!$LWH:$LWH,May!$MGD:$MGD,May!$MPZ:$MPZ,May!$MZV:$MZV,May!$NJR:$NJR,May!$NTN:$NTN,May!$ODJ:$ODJ,May!$ONF:$ONF,May!$OXB:$OXB,May!$PGX:$PGX,May!$PQT:$PQT,May!$QAP:$QAP,May!$QKL:$QKL,May!$QUH:$QUH,May!$RED:$RED,May!$RNZ:$RNZ,May!$RXV:$RXV,May!$SHR:$SHR,May!$SRN:$SRN,May!$TBJ:$TBJ,May!$TLF:$TLF,May!$TVB:$TVB,May!$UEX:$UEX,May!$UOT:$UOT,May!$UYP:$UYP,May!$VIL:$VIL,May!$VSH:$VSH,May!$WCD:$WCD,May!$WLZ:$WLZ,May!$WVV:$WVV</definedName>
    <definedName name="Z_1F53F7D0_897F_4CD0_B731_A7EAAEC631FF_.wvu.Cols" localSheetId="12" hidden="1">Nov!$N:$N,Nov!$JJ:$JJ,Nov!$TF:$TF,Nov!$ADB:$ADB,Nov!$AMX:$AMX,Nov!$AWT:$AWT,Nov!$BGP:$BGP,Nov!$BQL:$BQL,Nov!$CAH:$CAH,Nov!$CKD:$CKD,Nov!$CTZ:$CTZ,Nov!$DDV:$DDV,Nov!$DNR:$DNR,Nov!$DXN:$DXN,Nov!$EHJ:$EHJ,Nov!$ERF:$ERF,Nov!$FBB:$FBB,Nov!$FKX:$FKX,Nov!$FUT:$FUT,Nov!$GEP:$GEP,Nov!$GOL:$GOL,Nov!$GYH:$GYH,Nov!$HID:$HID,Nov!$HRZ:$HRZ,Nov!$IBV:$IBV,Nov!$ILR:$ILR,Nov!$IVN:$IVN,Nov!$JFJ:$JFJ,Nov!$JPF:$JPF,Nov!$JZB:$JZB,Nov!$KIX:$KIX,Nov!$KST:$KST,Nov!$LCP:$LCP,Nov!$LML:$LML,Nov!$LWH:$LWH,Nov!$MGD:$MGD,Nov!$MPZ:$MPZ,Nov!$MZV:$MZV,Nov!$NJR:$NJR,Nov!$NTN:$NTN,Nov!$ODJ:$ODJ,Nov!$ONF:$ONF,Nov!$OXB:$OXB,Nov!$PGX:$PGX,Nov!$PQT:$PQT,Nov!$QAP:$QAP,Nov!$QKL:$QKL,Nov!$QUH:$QUH,Nov!$RED:$RED,Nov!$RNZ:$RNZ,Nov!$RXV:$RXV,Nov!$SHR:$SHR,Nov!$SRN:$SRN,Nov!$TBJ:$TBJ,Nov!$TLF:$TLF,Nov!$TVB:$TVB,Nov!$UEX:$UEX,Nov!$UOT:$UOT,Nov!$UYP:$UYP,Nov!$VIL:$VIL,Nov!$VSH:$VSH,Nov!$WCD:$WCD,Nov!$WLZ:$WLZ,Nov!$WVV:$WVV</definedName>
    <definedName name="Z_1F53F7D0_897F_4CD0_B731_A7EAAEC631FF_.wvu.Cols" localSheetId="11" hidden="1">Oct!$N:$N,Oct!$JJ:$JJ,Oct!$TF:$TF,Oct!$ADB:$ADB,Oct!$AMX:$AMX,Oct!$AWT:$AWT,Oct!$BGP:$BGP,Oct!$BQL:$BQL,Oct!$CAH:$CAH,Oct!$CKD:$CKD,Oct!$CTZ:$CTZ,Oct!$DDV:$DDV,Oct!$DNR:$DNR,Oct!$DXN:$DXN,Oct!$EHJ:$EHJ,Oct!$ERF:$ERF,Oct!$FBB:$FBB,Oct!$FKX:$FKX,Oct!$FUT:$FUT,Oct!$GEP:$GEP,Oct!$GOL:$GOL,Oct!$GYH:$GYH,Oct!$HID:$HID,Oct!$HRZ:$HRZ,Oct!$IBV:$IBV,Oct!$ILR:$ILR,Oct!$IVN:$IVN,Oct!$JFJ:$JFJ,Oct!$JPF:$JPF,Oct!$JZB:$JZB,Oct!$KIX:$KIX,Oct!$KST:$KST,Oct!$LCP:$LCP,Oct!$LML:$LML,Oct!$LWH:$LWH,Oct!$MGD:$MGD,Oct!$MPZ:$MPZ,Oct!$MZV:$MZV,Oct!$NJR:$NJR,Oct!$NTN:$NTN,Oct!$ODJ:$ODJ,Oct!$ONF:$ONF,Oct!$OXB:$OXB,Oct!$PGX:$PGX,Oct!$PQT:$PQT,Oct!$QAP:$QAP,Oct!$QKL:$QKL,Oct!$QUH:$QUH,Oct!$RED:$RED,Oct!$RNZ:$RNZ,Oct!$RXV:$RXV,Oct!$SHR:$SHR,Oct!$SRN:$SRN,Oct!$TBJ:$TBJ,Oct!$TLF:$TLF,Oct!$TVB:$TVB,Oct!$UEX:$UEX,Oct!$UOT:$UOT,Oct!$UYP:$UYP,Oct!$VIL:$VIL,Oct!$VSH:$VSH,Oct!$WCD:$WCD,Oct!$WLZ:$WLZ,Oct!$WVV:$WVV</definedName>
    <definedName name="Z_1F53F7D0_897F_4CD0_B731_A7EAAEC631FF_.wvu.Cols" localSheetId="10" hidden="1">Sep!$N:$N,Sep!$JJ:$JJ,Sep!$TF:$TF,Sep!$ADB:$ADB,Sep!$AMX:$AMX,Sep!$AWT:$AWT,Sep!$BGP:$BGP,Sep!$BQL:$BQL,Sep!$CAH:$CAH,Sep!$CKD:$CKD,Sep!$CTZ:$CTZ,Sep!$DDV:$DDV,Sep!$DNR:$DNR,Sep!$DXN:$DXN,Sep!$EHJ:$EHJ,Sep!$ERF:$ERF,Sep!$FBB:$FBB,Sep!$FKX:$FKX,Sep!$FUT:$FUT,Sep!$GEP:$GEP,Sep!$GOL:$GOL,Sep!$GYH:$GYH,Sep!$HID:$HID,Sep!$HRZ:$HRZ,Sep!$IBV:$IBV,Sep!$ILR:$ILR,Sep!$IVN:$IVN,Sep!$JFJ:$JFJ,Sep!$JPF:$JPF,Sep!$JZB:$JZB,Sep!$KIX:$KIX,Sep!$KST:$KST,Sep!$LCP:$LCP,Sep!$LML:$LML,Sep!$LWH:$LWH,Sep!$MGD:$MGD,Sep!$MPZ:$MPZ,Sep!$MZV:$MZV,Sep!$NJR:$NJR,Sep!$NTN:$NTN,Sep!$ODJ:$ODJ,Sep!$ONF:$ONF,Sep!$OXB:$OXB,Sep!$PGX:$PGX,Sep!$PQT:$PQT,Sep!$QAP:$QAP,Sep!$QKL:$QKL,Sep!$QUH:$QUH,Sep!$RED:$RED,Sep!$RNZ:$RNZ,Sep!$RXV:$RXV,Sep!$SHR:$SHR,Sep!$SRN:$SRN,Sep!$TBJ:$TBJ,Sep!$TLF:$TLF,Sep!$TVB:$TVB,Sep!$UEX:$UEX,Sep!$UOT:$UOT,Sep!$UYP:$UYP,Sep!$VIL:$VIL,Sep!$VSH:$VSH,Sep!$WCD:$WCD,Sep!$WLZ:$WLZ,Sep!$WVV:$WVV</definedName>
    <definedName name="Z_2108F49D_F0FB_4737_BA79_3B15211A9F8F_.wvu.Cols" localSheetId="0" hidden="1">'2017 SECOND HALF'!$N:$N,'2017 SECOND HALF'!$JJ:$JJ,'2017 SECOND HALF'!$TF:$TF,'2017 SECOND HALF'!$ADB:$ADB,'2017 SECOND HALF'!$AMX:$AMX,'2017 SECOND HALF'!$AWT:$AWT,'2017 SECOND HALF'!$BGP:$BGP,'2017 SECOND HALF'!$BQL:$BQL,'2017 SECOND HALF'!$CAH:$CAH,'2017 SECOND HALF'!$CKD:$CKD,'2017 SECOND HALF'!$CTZ:$CTZ,'2017 SECOND HALF'!$DDV:$DDV,'2017 SECOND HALF'!$DNR:$DNR,'2017 SECOND HALF'!$DXN:$DXN,'2017 SECOND HALF'!$EHJ:$EHJ,'2017 SECOND HALF'!$ERF:$ERF,'2017 SECOND HALF'!$FBB:$FBB,'2017 SECOND HALF'!$FKX:$FKX,'2017 SECOND HALF'!$FUT:$FUT,'2017 SECOND HALF'!$GEP:$GEP,'2017 SECOND HALF'!$GOL:$GOL,'2017 SECOND HALF'!$GYH:$GYH,'2017 SECOND HALF'!$HID:$HID,'2017 SECOND HALF'!$HRZ:$HRZ,'2017 SECOND HALF'!$IBV:$IBV,'2017 SECOND HALF'!$ILR:$ILR,'2017 SECOND HALF'!$IVN:$IVN,'2017 SECOND HALF'!$JFJ:$JFJ,'2017 SECOND HALF'!$JPF:$JPF,'2017 SECOND HALF'!$JZB:$JZB,'2017 SECOND HALF'!$KIX:$KIX,'2017 SECOND HALF'!$KST:$KST,'2017 SECOND HALF'!$LCP:$LCP,'2017 SECOND HALF'!$LML:$LML,'2017 SECOND HALF'!$LWH:$LWH,'2017 SECOND HALF'!$MGD:$MGD,'2017 SECOND HALF'!$MPZ:$MPZ,'2017 SECOND HALF'!$MZV:$MZV,'2017 SECOND HALF'!$NJR:$NJR,'2017 SECOND HALF'!$NTN:$NTN,'2017 SECOND HALF'!$ODJ:$ODJ,'2017 SECOND HALF'!$ONF:$ONF,'2017 SECOND HALF'!$OXB:$OXB,'2017 SECOND HALF'!$PGX:$PGX,'2017 SECOND HALF'!$PQT:$PQT,'2017 SECOND HALF'!$QAP:$QAP,'2017 SECOND HALF'!$QKL:$QKL,'2017 SECOND HALF'!$QUH:$QUH,'2017 SECOND HALF'!$RED:$RED,'2017 SECOND HALF'!$RNZ:$RNZ,'2017 SECOND HALF'!$RXV:$RXV,'2017 SECOND HALF'!$SHR:$SHR,'2017 SECOND HALF'!$SRN:$SRN,'2017 SECOND HALF'!$TBJ:$TBJ,'2017 SECOND HALF'!$TLF:$TLF,'2017 SECOND HALF'!$TVB:$TVB,'2017 SECOND HALF'!$UEX:$UEX,'2017 SECOND HALF'!$UOT:$UOT,'2017 SECOND HALF'!$UYP:$UYP,'2017 SECOND HALF'!$VIL:$VIL,'2017 SECOND HALF'!$VSH:$VSH,'2017 SECOND HALF'!$WCD:$WCD,'2017 SECOND HALF'!$WLZ:$WLZ,'2017 SECOND HALF'!$WVV:$WVV</definedName>
    <definedName name="Z_2108F49D_F0FB_4737_BA79_3B15211A9F8F_.wvu.Cols" localSheetId="1" hidden="1">'2017 TOTALS'!$N:$N,'2017 TOTALS'!$JJ:$JJ,'2017 TOTALS'!$TF:$TF,'2017 TOTALS'!$ADB:$ADB,'2017 TOTALS'!$AMX:$AMX,'2017 TOTALS'!$AWT:$AWT,'2017 TOTALS'!$BGP:$BGP,'2017 TOTALS'!$BQL:$BQL,'2017 TOTALS'!$CAH:$CAH,'2017 TOTALS'!$CKD:$CKD,'2017 TOTALS'!$CTZ:$CTZ,'2017 TOTALS'!$DDV:$DDV,'2017 TOTALS'!$DNR:$DNR,'2017 TOTALS'!$DXN:$DXN,'2017 TOTALS'!$EHJ:$EHJ,'2017 TOTALS'!$ERF:$ERF,'2017 TOTALS'!$FBB:$FBB,'2017 TOTALS'!$FKX:$FKX,'2017 TOTALS'!$FUT:$FUT,'2017 TOTALS'!$GEP:$GEP,'2017 TOTALS'!$GOL:$GOL,'2017 TOTALS'!$GYH:$GYH,'2017 TOTALS'!$HID:$HID,'2017 TOTALS'!$HRZ:$HRZ,'2017 TOTALS'!$IBV:$IBV,'2017 TOTALS'!$ILR:$ILR,'2017 TOTALS'!$IVN:$IVN,'2017 TOTALS'!$JFJ:$JFJ,'2017 TOTALS'!$JPF:$JPF,'2017 TOTALS'!$JZB:$JZB,'2017 TOTALS'!$KIX:$KIX,'2017 TOTALS'!$KST:$KST,'2017 TOTALS'!$LCP:$LCP,'2017 TOTALS'!$LML:$LML,'2017 TOTALS'!$LWH:$LWH,'2017 TOTALS'!$MGD:$MGD,'2017 TOTALS'!$MPZ:$MPZ,'2017 TOTALS'!$MZV:$MZV,'2017 TOTALS'!$NJR:$NJR,'2017 TOTALS'!$NTN:$NTN,'2017 TOTALS'!$ODJ:$ODJ,'2017 TOTALS'!$ONF:$ONF,'2017 TOTALS'!$OXB:$OXB,'2017 TOTALS'!$PGX:$PGX,'2017 TOTALS'!$PQT:$PQT,'2017 TOTALS'!$QAP:$QAP,'2017 TOTALS'!$QKL:$QKL,'2017 TOTALS'!$QUH:$QUH,'2017 TOTALS'!$RED:$RED,'2017 TOTALS'!$RNZ:$RNZ,'2017 TOTALS'!$RXV:$RXV,'2017 TOTALS'!$SHR:$SHR,'2017 TOTALS'!$SRN:$SRN,'2017 TOTALS'!$TBJ:$TBJ,'2017 TOTALS'!$TLF:$TLF,'2017 TOTALS'!$TVB:$TVB,'2017 TOTALS'!$UEX:$UEX,'2017 TOTALS'!$UOT:$UOT,'2017 TOTALS'!$UYP:$UYP,'2017 TOTALS'!$VIL:$VIL,'2017 TOTALS'!$VSH:$VSH,'2017 TOTALS'!$WCD:$WCD,'2017 TOTALS'!$WLZ:$WLZ,'2017 TOTALS'!$WVV:$WVV</definedName>
    <definedName name="Z_2108F49D_F0FB_4737_BA79_3B15211A9F8F_.wvu.Cols" localSheetId="5" hidden="1">Apr!$N:$N,Apr!$JJ:$JJ,Apr!$TF:$TF,Apr!$ADB:$ADB,Apr!$AMX:$AMX,Apr!$AWT:$AWT,Apr!$BGP:$BGP,Apr!$BQL:$BQL,Apr!$CAH:$CAH,Apr!$CKD:$CKD,Apr!$CTZ:$CTZ,Apr!$DDV:$DDV,Apr!$DNR:$DNR,Apr!$DXN:$DXN,Apr!$EHJ:$EHJ,Apr!$ERF:$ERF,Apr!$FBB:$FBB,Apr!$FKX:$FKX,Apr!$FUT:$FUT,Apr!$GEP:$GEP,Apr!$GOL:$GOL,Apr!$GYH:$GYH,Apr!$HID:$HID,Apr!$HRZ:$HRZ,Apr!$IBV:$IBV,Apr!$ILR:$ILR,Apr!$IVN:$IVN,Apr!$JFJ:$JFJ,Apr!$JPF:$JPF,Apr!$JZB:$JZB,Apr!$KIX:$KIX,Apr!$KST:$KST,Apr!$LCP:$LCP,Apr!$LML:$LML,Apr!$LWH:$LWH,Apr!$MGD:$MGD,Apr!$MPZ:$MPZ,Apr!$MZV:$MZV,Apr!$NJR:$NJR,Apr!$NTN:$NTN,Apr!$ODJ:$ODJ,Apr!$ONF:$ONF,Apr!$OXB:$OXB,Apr!$PGX:$PGX,Apr!$PQT:$PQT,Apr!$QAP:$QAP,Apr!$QKL:$QKL,Apr!$QUH:$QUH,Apr!$RED:$RED,Apr!$RNZ:$RNZ,Apr!$RXV:$RXV,Apr!$SHR:$SHR,Apr!$SRN:$SRN,Apr!$TBJ:$TBJ,Apr!$TLF:$TLF,Apr!$TVB:$TVB,Apr!$UEX:$UEX,Apr!$UOT:$UOT,Apr!$UYP:$UYP,Apr!$VIL:$VIL,Apr!$VSH:$VSH,Apr!$WCD:$WCD,Apr!$WLZ:$WLZ,Apr!$WVV:$WVV</definedName>
    <definedName name="Z_2108F49D_F0FB_4737_BA79_3B15211A9F8F_.wvu.Cols" localSheetId="9" hidden="1">Aug!$N:$N,Aug!$JJ:$JJ,Aug!$TF:$TF,Aug!$ADB:$ADB,Aug!$AMX:$AMX,Aug!$AWT:$AWT,Aug!$BGP:$BGP,Aug!$BQL:$BQL,Aug!$CAH:$CAH,Aug!$CKD:$CKD,Aug!$CTZ:$CTZ,Aug!$DDV:$DDV,Aug!$DNR:$DNR,Aug!$DXN:$DXN,Aug!$EHJ:$EHJ,Aug!$ERF:$ERF,Aug!$FBB:$FBB,Aug!$FKX:$FKX,Aug!$FUT:$FUT,Aug!$GEP:$GEP,Aug!$GOL:$GOL,Aug!$GYH:$GYH,Aug!$HID:$HID,Aug!$HRZ:$HRZ,Aug!$IBV:$IBV,Aug!$ILR:$ILR,Aug!$IVN:$IVN,Aug!$JFJ:$JFJ,Aug!$JPF:$JPF,Aug!$JZB:$JZB,Aug!$KIX:$KIX,Aug!$KST:$KST,Aug!$LCP:$LCP,Aug!$LML:$LML,Aug!$LWH:$LWH,Aug!$MGD:$MGD,Aug!$MPZ:$MPZ,Aug!$MZV:$MZV,Aug!$NJR:$NJR,Aug!$NTN:$NTN,Aug!$ODJ:$ODJ,Aug!$ONF:$ONF,Aug!$OXB:$OXB,Aug!$PGX:$PGX,Aug!$PQT:$PQT,Aug!$QAP:$QAP,Aug!$QKL:$QKL,Aug!$QUH:$QUH,Aug!$RED:$RED,Aug!$RNZ:$RNZ,Aug!$RXV:$RXV,Aug!$SHR:$SHR,Aug!$SRN:$SRN,Aug!$TBJ:$TBJ,Aug!$TLF:$TLF,Aug!$TVB:$TVB,Aug!$UEX:$UEX,Aug!$UOT:$UOT,Aug!$UYP:$UYP,Aug!$VIL:$VIL,Aug!$VSH:$VSH,Aug!$WCD:$WCD,Aug!$WLZ:$WLZ,Aug!$WVV:$WVV</definedName>
    <definedName name="Z_2108F49D_F0FB_4737_BA79_3B15211A9F8F_.wvu.Cols" localSheetId="13" hidden="1">Dec!$N:$N,Dec!$JJ:$JJ,Dec!$TF:$TF,Dec!$ADB:$ADB,Dec!$AMX:$AMX,Dec!$AWT:$AWT,Dec!$BGP:$BGP,Dec!$BQL:$BQL,Dec!$CAH:$CAH,Dec!$CKD:$CKD,Dec!$CTZ:$CTZ,Dec!$DDV:$DDV,Dec!$DNR:$DNR,Dec!$DXN:$DXN,Dec!$EHJ:$EHJ,Dec!$ERF:$ERF,Dec!$FBB:$FBB,Dec!$FKX:$FKX,Dec!$FUT:$FUT,Dec!$GEP:$GEP,Dec!$GOL:$GOL,Dec!$GYH:$GYH,Dec!$HID:$HID,Dec!$HRZ:$HRZ,Dec!$IBV:$IBV,Dec!$ILR:$ILR,Dec!$IVN:$IVN,Dec!$JFJ:$JFJ,Dec!$JPF:$JPF,Dec!$JZB:$JZB,Dec!$KIX:$KIX,Dec!$KST:$KST,Dec!$LCP:$LCP,Dec!$LML:$LML,Dec!$LWH:$LWH,Dec!$MGD:$MGD,Dec!$MPZ:$MPZ,Dec!$MZV:$MZV,Dec!$NJR:$NJR,Dec!$NTN:$NTN,Dec!$ODJ:$ODJ,Dec!$ONF:$ONF,Dec!$OXB:$OXB,Dec!$PGX:$PGX,Dec!$PQT:$PQT,Dec!$QAP:$QAP,Dec!$QKL:$QKL,Dec!$QUH:$QUH,Dec!$RED:$RED,Dec!$RNZ:$RNZ,Dec!$RXV:$RXV,Dec!$SHR:$SHR,Dec!$SRN:$SRN,Dec!$TBJ:$TBJ,Dec!$TLF:$TLF,Dec!$TVB:$TVB,Dec!$UEX:$UEX,Dec!$UOT:$UOT,Dec!$UYP:$UYP,Dec!$VIL:$VIL,Dec!$VSH:$VSH,Dec!$WCD:$WCD,Dec!$WLZ:$WLZ,Dec!$WVV:$WVV</definedName>
    <definedName name="Z_2108F49D_F0FB_4737_BA79_3B15211A9F8F_.wvu.Cols" localSheetId="3" hidden="1">Feb!$N:$N,Feb!$JJ:$JJ,Feb!$TF:$TF,Feb!$ADB:$ADB,Feb!$AMX:$AMX,Feb!$AWT:$AWT,Feb!$BGP:$BGP,Feb!$BQL:$BQL,Feb!$CAH:$CAH,Feb!$CKD:$CKD,Feb!$CTZ:$CTZ,Feb!$DDV:$DDV,Feb!$DNR:$DNR,Feb!$DXN:$DXN,Feb!$EHJ:$EHJ,Feb!$ERF:$ERF,Feb!$FBB:$FBB,Feb!$FKX:$FKX,Feb!$FUT:$FUT,Feb!$GEP:$GEP,Feb!$GOL:$GOL,Feb!$GYH:$GYH,Feb!$HID:$HID,Feb!$HRZ:$HRZ,Feb!$IBV:$IBV,Feb!$ILR:$ILR,Feb!$IVN:$IVN,Feb!$JFJ:$JFJ,Feb!$JPF:$JPF,Feb!$JZB:$JZB,Feb!$KIX:$KIX,Feb!$KST:$KST,Feb!$LCP:$LCP,Feb!$LML:$LML,Feb!$LWH:$LWH,Feb!$MGD:$MGD,Feb!$MPZ:$MPZ,Feb!$MZV:$MZV,Feb!$NJR:$NJR,Feb!$NTN:$NTN,Feb!$ODJ:$ODJ,Feb!$ONF:$ONF,Feb!$OXB:$OXB,Feb!$PGX:$PGX,Feb!$PQT:$PQT,Feb!$QAP:$QAP,Feb!$QKL:$QKL,Feb!$QUH:$QUH,Feb!$RED:$RED,Feb!$RNZ:$RNZ,Feb!$RXV:$RXV,Feb!$SHR:$SHR,Feb!$SRN:$SRN,Feb!$TBJ:$TBJ,Feb!$TLF:$TLF,Feb!$TVB:$TVB,Feb!$UEX:$UEX,Feb!$UOT:$UOT,Feb!$UYP:$UYP,Feb!$VIL:$VIL,Feb!$VSH:$VSH,Feb!$WCD:$WCD,Feb!$WLZ:$WLZ,Feb!$WVV:$WVV</definedName>
    <definedName name="Z_2108F49D_F0FB_4737_BA79_3B15211A9F8F_.wvu.Cols" localSheetId="2" hidden="1">Jan!$N:$N,Jan!$JJ:$JJ,Jan!$TF:$TF,Jan!$ADB:$ADB,Jan!$AMX:$AMX,Jan!$AWT:$AWT,Jan!$BGP:$BGP,Jan!$BQL:$BQL,Jan!$CAH:$CAH,Jan!$CKD:$CKD,Jan!$CTZ:$CTZ,Jan!$DDV:$DDV,Jan!$DNR:$DNR,Jan!$DXN:$DXN,Jan!$EHJ:$EHJ,Jan!$ERF:$ERF,Jan!$FBB:$FBB,Jan!$FKX:$FKX,Jan!$FUT:$FUT,Jan!$GEP:$GEP,Jan!$GOL:$GOL,Jan!$GYH:$GYH,Jan!$HID:$HID,Jan!$HRZ:$HRZ,Jan!$IBV:$IBV,Jan!$ILR:$ILR,Jan!$IVN:$IVN,Jan!$JFJ:$JFJ,Jan!$JPF:$JPF,Jan!$JZB:$JZB,Jan!$KIX:$KIX,Jan!$KST:$KST,Jan!$LCP:$LCP,Jan!$LML:$LML,Jan!$LWH:$LWH,Jan!$MGD:$MGD,Jan!$MPZ:$MPZ,Jan!$MZV:$MZV,Jan!$NJR:$NJR,Jan!$NTN:$NTN,Jan!$ODJ:$ODJ,Jan!$ONF:$ONF,Jan!$OXB:$OXB,Jan!$PGX:$PGX,Jan!$PQT:$PQT,Jan!$QAP:$QAP,Jan!$QKL:$QKL,Jan!$QUH:$QUH,Jan!$RED:$RED,Jan!$RNZ:$RNZ,Jan!$RXV:$RXV,Jan!$SHR:$SHR,Jan!$SRN:$SRN,Jan!$TBJ:$TBJ,Jan!$TLF:$TLF,Jan!$TVB:$TVB,Jan!$UEX:$UEX,Jan!$UOT:$UOT,Jan!$UYP:$UYP,Jan!$VIL:$VIL,Jan!$VSH:$VSH,Jan!$WCD:$WCD,Jan!$WLZ:$WLZ,Jan!$WVV:$WVV</definedName>
    <definedName name="Z_2108F49D_F0FB_4737_BA79_3B15211A9F8F_.wvu.Cols" localSheetId="8" hidden="1">Jul!$N:$N,Jul!$JJ:$JJ,Jul!$TF:$TF,Jul!$ADB:$ADB,Jul!$AMX:$AMX,Jul!$AWT:$AWT,Jul!$BGP:$BGP,Jul!$BQL:$BQL,Jul!$CAH:$CAH,Jul!$CKD:$CKD,Jul!$CTZ:$CTZ,Jul!$DDV:$DDV,Jul!$DNR:$DNR,Jul!$DXN:$DXN,Jul!$EHJ:$EHJ,Jul!$ERF:$ERF,Jul!$FBB:$FBB,Jul!$FKX:$FKX,Jul!$FUT:$FUT,Jul!$GEP:$GEP,Jul!$GOL:$GOL,Jul!$GYH:$GYH,Jul!$HID:$HID,Jul!$HRZ:$HRZ,Jul!$IBV:$IBV,Jul!$ILR:$ILR,Jul!$IVN:$IVN,Jul!$JFJ:$JFJ,Jul!$JPF:$JPF,Jul!$JZB:$JZB,Jul!$KIX:$KIX,Jul!$KST:$KST,Jul!$LCP:$LCP,Jul!$LML:$LML,Jul!$LWH:$LWH,Jul!$MGD:$MGD,Jul!$MPZ:$MPZ,Jul!$MZV:$MZV,Jul!$NJR:$NJR,Jul!$NTN:$NTN,Jul!$ODJ:$ODJ,Jul!$ONF:$ONF,Jul!$OXB:$OXB,Jul!$PGX:$PGX,Jul!$PQT:$PQT,Jul!$QAP:$QAP,Jul!$QKL:$QKL,Jul!$QUH:$QUH,Jul!$RED:$RED,Jul!$RNZ:$RNZ,Jul!$RXV:$RXV,Jul!$SHR:$SHR,Jul!$SRN:$SRN,Jul!$TBJ:$TBJ,Jul!$TLF:$TLF,Jul!$TVB:$TVB,Jul!$UEX:$UEX,Jul!$UOT:$UOT,Jul!$UYP:$UYP,Jul!$VIL:$VIL,Jul!$VSH:$VSH,Jul!$WCD:$WCD,Jul!$WLZ:$WLZ,Jul!$WVV:$WVV</definedName>
    <definedName name="Z_2108F49D_F0FB_4737_BA79_3B15211A9F8F_.wvu.Cols" localSheetId="7" hidden="1">Jun!$N:$N,Jun!$JJ:$JJ,Jun!$TF:$TF,Jun!$ADB:$ADB,Jun!$AMX:$AMX,Jun!$AWT:$AWT,Jun!$BGP:$BGP,Jun!$BQL:$BQL,Jun!$CAH:$CAH,Jun!$CKD:$CKD,Jun!$CTZ:$CTZ,Jun!$DDV:$DDV,Jun!$DNR:$DNR,Jun!$DXN:$DXN,Jun!$EHJ:$EHJ,Jun!$ERF:$ERF,Jun!$FBB:$FBB,Jun!$FKX:$FKX,Jun!$FUT:$FUT,Jun!$GEP:$GEP,Jun!$GOL:$GOL,Jun!$GYH:$GYH,Jun!$HID:$HID,Jun!$HRZ:$HRZ,Jun!$IBV:$IBV,Jun!$ILR:$ILR,Jun!$IVN:$IVN,Jun!$JFJ:$JFJ,Jun!$JPF:$JPF,Jun!$JZB:$JZB,Jun!$KIX:$KIX,Jun!$KST:$KST,Jun!$LCP:$LCP,Jun!$LML:$LML,Jun!$LWH:$LWH,Jun!$MGD:$MGD,Jun!$MPZ:$MPZ,Jun!$MZV:$MZV,Jun!$NJR:$NJR,Jun!$NTN:$NTN,Jun!$ODJ:$ODJ,Jun!$ONF:$ONF,Jun!$OXB:$OXB,Jun!$PGX:$PGX,Jun!$PQT:$PQT,Jun!$QAP:$QAP,Jun!$QKL:$QKL,Jun!$QUH:$QUH,Jun!$RED:$RED,Jun!$RNZ:$RNZ,Jun!$RXV:$RXV,Jun!$SHR:$SHR,Jun!$SRN:$SRN,Jun!$TBJ:$TBJ,Jun!$TLF:$TLF,Jun!$TVB:$TVB,Jun!$UEX:$UEX,Jun!$UOT:$UOT,Jun!$UYP:$UYP,Jun!$VIL:$VIL,Jun!$VSH:$VSH,Jun!$WCD:$WCD,Jun!$WLZ:$WLZ,Jun!$WVV:$WVV</definedName>
    <definedName name="Z_2108F49D_F0FB_4737_BA79_3B15211A9F8F_.wvu.Cols" localSheetId="4" hidden="1">Mar!$N:$N,Mar!$JJ:$JJ,Mar!$TF:$TF,Mar!$ADB:$ADB,Mar!$AMX:$AMX,Mar!$AWT:$AWT,Mar!$BGP:$BGP,Mar!$BQL:$BQL,Mar!$CAH:$CAH,Mar!$CKD:$CKD,Mar!$CTZ:$CTZ,Mar!$DDV:$DDV,Mar!$DNR:$DNR,Mar!$DXN:$DXN,Mar!$EHJ:$EHJ,Mar!$ERF:$ERF,Mar!$FBB:$FBB,Mar!$FKX:$FKX,Mar!$FUT:$FUT,Mar!$GEP:$GEP,Mar!$GOL:$GOL,Mar!$GYH:$GYH,Mar!$HID:$HID,Mar!$HRZ:$HRZ,Mar!$IBV:$IBV,Mar!$ILR:$ILR,Mar!$IVN:$IVN,Mar!$JFJ:$JFJ,Mar!$JPF:$JPF,Mar!$JZB:$JZB,Mar!$KIX:$KIX,Mar!$KST:$KST,Mar!$LCP:$LCP,Mar!$LML:$LML,Mar!$LWH:$LWH,Mar!$MGD:$MGD,Mar!$MPZ:$MPZ,Mar!$MZV:$MZV,Mar!$NJR:$NJR,Mar!$NTN:$NTN,Mar!$ODJ:$ODJ,Mar!$ONF:$ONF,Mar!$OXB:$OXB,Mar!$PGX:$PGX,Mar!$PQT:$PQT,Mar!$QAP:$QAP,Mar!$QKL:$QKL,Mar!$QUH:$QUH,Mar!$RED:$RED,Mar!$RNZ:$RNZ,Mar!$RXV:$RXV,Mar!$SHR:$SHR,Mar!$SRN:$SRN,Mar!$TBJ:$TBJ,Mar!$TLF:$TLF,Mar!$TVB:$TVB,Mar!$UEX:$UEX,Mar!$UOT:$UOT,Mar!$UYP:$UYP,Mar!$VIL:$VIL,Mar!$VSH:$VSH,Mar!$WCD:$WCD,Mar!$WLZ:$WLZ,Mar!$WVV:$WVV</definedName>
    <definedName name="Z_2108F49D_F0FB_4737_BA79_3B15211A9F8F_.wvu.Cols" localSheetId="6" hidden="1">May!$N:$N,May!$JJ:$JJ,May!$TF:$TF,May!$ADB:$ADB,May!$AMX:$AMX,May!$AWT:$AWT,May!$BGP:$BGP,May!$BQL:$BQL,May!$CAH:$CAH,May!$CKD:$CKD,May!$CTZ:$CTZ,May!$DDV:$DDV,May!$DNR:$DNR,May!$DXN:$DXN,May!$EHJ:$EHJ,May!$ERF:$ERF,May!$FBB:$FBB,May!$FKX:$FKX,May!$FUT:$FUT,May!$GEP:$GEP,May!$GOL:$GOL,May!$GYH:$GYH,May!$HID:$HID,May!$HRZ:$HRZ,May!$IBV:$IBV,May!$ILR:$ILR,May!$IVN:$IVN,May!$JFJ:$JFJ,May!$JPF:$JPF,May!$JZB:$JZB,May!$KIX:$KIX,May!$KST:$KST,May!$LCP:$LCP,May!$LML:$LML,May!$LWH:$LWH,May!$MGD:$MGD,May!$MPZ:$MPZ,May!$MZV:$MZV,May!$NJR:$NJR,May!$NTN:$NTN,May!$ODJ:$ODJ,May!$ONF:$ONF,May!$OXB:$OXB,May!$PGX:$PGX,May!$PQT:$PQT,May!$QAP:$QAP,May!$QKL:$QKL,May!$QUH:$QUH,May!$RED:$RED,May!$RNZ:$RNZ,May!$RXV:$RXV,May!$SHR:$SHR,May!$SRN:$SRN,May!$TBJ:$TBJ,May!$TLF:$TLF,May!$TVB:$TVB,May!$UEX:$UEX,May!$UOT:$UOT,May!$UYP:$UYP,May!$VIL:$VIL,May!$VSH:$VSH,May!$WCD:$WCD,May!$WLZ:$WLZ,May!$WVV:$WVV</definedName>
    <definedName name="Z_2108F49D_F0FB_4737_BA79_3B15211A9F8F_.wvu.Cols" localSheetId="12" hidden="1">Nov!$N:$N,Nov!$JJ:$JJ,Nov!$TF:$TF,Nov!$ADB:$ADB,Nov!$AMX:$AMX,Nov!$AWT:$AWT,Nov!$BGP:$BGP,Nov!$BQL:$BQL,Nov!$CAH:$CAH,Nov!$CKD:$CKD,Nov!$CTZ:$CTZ,Nov!$DDV:$DDV,Nov!$DNR:$DNR,Nov!$DXN:$DXN,Nov!$EHJ:$EHJ,Nov!$ERF:$ERF,Nov!$FBB:$FBB,Nov!$FKX:$FKX,Nov!$FUT:$FUT,Nov!$GEP:$GEP,Nov!$GOL:$GOL,Nov!$GYH:$GYH,Nov!$HID:$HID,Nov!$HRZ:$HRZ,Nov!$IBV:$IBV,Nov!$ILR:$ILR,Nov!$IVN:$IVN,Nov!$JFJ:$JFJ,Nov!$JPF:$JPF,Nov!$JZB:$JZB,Nov!$KIX:$KIX,Nov!$KST:$KST,Nov!$LCP:$LCP,Nov!$LML:$LML,Nov!$LWH:$LWH,Nov!$MGD:$MGD,Nov!$MPZ:$MPZ,Nov!$MZV:$MZV,Nov!$NJR:$NJR,Nov!$NTN:$NTN,Nov!$ODJ:$ODJ,Nov!$ONF:$ONF,Nov!$OXB:$OXB,Nov!$PGX:$PGX,Nov!$PQT:$PQT,Nov!$QAP:$QAP,Nov!$QKL:$QKL,Nov!$QUH:$QUH,Nov!$RED:$RED,Nov!$RNZ:$RNZ,Nov!$RXV:$RXV,Nov!$SHR:$SHR,Nov!$SRN:$SRN,Nov!$TBJ:$TBJ,Nov!$TLF:$TLF,Nov!$TVB:$TVB,Nov!$UEX:$UEX,Nov!$UOT:$UOT,Nov!$UYP:$UYP,Nov!$VIL:$VIL,Nov!$VSH:$VSH,Nov!$WCD:$WCD,Nov!$WLZ:$WLZ,Nov!$WVV:$WVV</definedName>
    <definedName name="Z_2108F49D_F0FB_4737_BA79_3B15211A9F8F_.wvu.Cols" localSheetId="11" hidden="1">Oct!$N:$N,Oct!$JJ:$JJ,Oct!$TF:$TF,Oct!$ADB:$ADB,Oct!$AMX:$AMX,Oct!$AWT:$AWT,Oct!$BGP:$BGP,Oct!$BQL:$BQL,Oct!$CAH:$CAH,Oct!$CKD:$CKD,Oct!$CTZ:$CTZ,Oct!$DDV:$DDV,Oct!$DNR:$DNR,Oct!$DXN:$DXN,Oct!$EHJ:$EHJ,Oct!$ERF:$ERF,Oct!$FBB:$FBB,Oct!$FKX:$FKX,Oct!$FUT:$FUT,Oct!$GEP:$GEP,Oct!$GOL:$GOL,Oct!$GYH:$GYH,Oct!$HID:$HID,Oct!$HRZ:$HRZ,Oct!$IBV:$IBV,Oct!$ILR:$ILR,Oct!$IVN:$IVN,Oct!$JFJ:$JFJ,Oct!$JPF:$JPF,Oct!$JZB:$JZB,Oct!$KIX:$KIX,Oct!$KST:$KST,Oct!$LCP:$LCP,Oct!$LML:$LML,Oct!$LWH:$LWH,Oct!$MGD:$MGD,Oct!$MPZ:$MPZ,Oct!$MZV:$MZV,Oct!$NJR:$NJR,Oct!$NTN:$NTN,Oct!$ODJ:$ODJ,Oct!$ONF:$ONF,Oct!$OXB:$OXB,Oct!$PGX:$PGX,Oct!$PQT:$PQT,Oct!$QAP:$QAP,Oct!$QKL:$QKL,Oct!$QUH:$QUH,Oct!$RED:$RED,Oct!$RNZ:$RNZ,Oct!$RXV:$RXV,Oct!$SHR:$SHR,Oct!$SRN:$SRN,Oct!$TBJ:$TBJ,Oct!$TLF:$TLF,Oct!$TVB:$TVB,Oct!$UEX:$UEX,Oct!$UOT:$UOT,Oct!$UYP:$UYP,Oct!$VIL:$VIL,Oct!$VSH:$VSH,Oct!$WCD:$WCD,Oct!$WLZ:$WLZ,Oct!$WVV:$WVV</definedName>
    <definedName name="Z_2108F49D_F0FB_4737_BA79_3B15211A9F8F_.wvu.Cols" localSheetId="10" hidden="1">Sep!$N:$N,Sep!$JJ:$JJ,Sep!$TF:$TF,Sep!$ADB:$ADB,Sep!$AMX:$AMX,Sep!$AWT:$AWT,Sep!$BGP:$BGP,Sep!$BQL:$BQL,Sep!$CAH:$CAH,Sep!$CKD:$CKD,Sep!$CTZ:$CTZ,Sep!$DDV:$DDV,Sep!$DNR:$DNR,Sep!$DXN:$DXN,Sep!$EHJ:$EHJ,Sep!$ERF:$ERF,Sep!$FBB:$FBB,Sep!$FKX:$FKX,Sep!$FUT:$FUT,Sep!$GEP:$GEP,Sep!$GOL:$GOL,Sep!$GYH:$GYH,Sep!$HID:$HID,Sep!$HRZ:$HRZ,Sep!$IBV:$IBV,Sep!$ILR:$ILR,Sep!$IVN:$IVN,Sep!$JFJ:$JFJ,Sep!$JPF:$JPF,Sep!$JZB:$JZB,Sep!$KIX:$KIX,Sep!$KST:$KST,Sep!$LCP:$LCP,Sep!$LML:$LML,Sep!$LWH:$LWH,Sep!$MGD:$MGD,Sep!$MPZ:$MPZ,Sep!$MZV:$MZV,Sep!$NJR:$NJR,Sep!$NTN:$NTN,Sep!$ODJ:$ODJ,Sep!$ONF:$ONF,Sep!$OXB:$OXB,Sep!$PGX:$PGX,Sep!$PQT:$PQT,Sep!$QAP:$QAP,Sep!$QKL:$QKL,Sep!$QUH:$QUH,Sep!$RED:$RED,Sep!$RNZ:$RNZ,Sep!$RXV:$RXV,Sep!$SHR:$SHR,Sep!$SRN:$SRN,Sep!$TBJ:$TBJ,Sep!$TLF:$TLF,Sep!$TVB:$TVB,Sep!$UEX:$UEX,Sep!$UOT:$UOT,Sep!$UYP:$UYP,Sep!$VIL:$VIL,Sep!$VSH:$VSH,Sep!$WCD:$WCD,Sep!$WLZ:$WLZ,Sep!$WVV:$WVV</definedName>
    <definedName name="Z_60BFC34B_3957_423D_86B5_753FA44417D1_.wvu.Cols" localSheetId="0" hidden="1">'2017 SECOND HALF'!$N:$N,'2017 SECOND HALF'!$JJ:$JJ,'2017 SECOND HALF'!$TF:$TF,'2017 SECOND HALF'!$ADB:$ADB,'2017 SECOND HALF'!$AMX:$AMX,'2017 SECOND HALF'!$AWT:$AWT,'2017 SECOND HALF'!$BGP:$BGP,'2017 SECOND HALF'!$BQL:$BQL,'2017 SECOND HALF'!$CAH:$CAH,'2017 SECOND HALF'!$CKD:$CKD,'2017 SECOND HALF'!$CTZ:$CTZ,'2017 SECOND HALF'!$DDV:$DDV,'2017 SECOND HALF'!$DNR:$DNR,'2017 SECOND HALF'!$DXN:$DXN,'2017 SECOND HALF'!$EHJ:$EHJ,'2017 SECOND HALF'!$ERF:$ERF,'2017 SECOND HALF'!$FBB:$FBB,'2017 SECOND HALF'!$FKX:$FKX,'2017 SECOND HALF'!$FUT:$FUT,'2017 SECOND HALF'!$GEP:$GEP,'2017 SECOND HALF'!$GOL:$GOL,'2017 SECOND HALF'!$GYH:$GYH,'2017 SECOND HALF'!$HID:$HID,'2017 SECOND HALF'!$HRZ:$HRZ,'2017 SECOND HALF'!$IBV:$IBV,'2017 SECOND HALF'!$ILR:$ILR,'2017 SECOND HALF'!$IVN:$IVN,'2017 SECOND HALF'!$JFJ:$JFJ,'2017 SECOND HALF'!$JPF:$JPF,'2017 SECOND HALF'!$JZB:$JZB,'2017 SECOND HALF'!$KIX:$KIX,'2017 SECOND HALF'!$KST:$KST,'2017 SECOND HALF'!$LCP:$LCP,'2017 SECOND HALF'!$LML:$LML,'2017 SECOND HALF'!$LWH:$LWH,'2017 SECOND HALF'!$MGD:$MGD,'2017 SECOND HALF'!$MPZ:$MPZ,'2017 SECOND HALF'!$MZV:$MZV,'2017 SECOND HALF'!$NJR:$NJR,'2017 SECOND HALF'!$NTN:$NTN,'2017 SECOND HALF'!$ODJ:$ODJ,'2017 SECOND HALF'!$ONF:$ONF,'2017 SECOND HALF'!$OXB:$OXB,'2017 SECOND HALF'!$PGX:$PGX,'2017 SECOND HALF'!$PQT:$PQT,'2017 SECOND HALF'!$QAP:$QAP,'2017 SECOND HALF'!$QKL:$QKL,'2017 SECOND HALF'!$QUH:$QUH,'2017 SECOND HALF'!$RED:$RED,'2017 SECOND HALF'!$RNZ:$RNZ,'2017 SECOND HALF'!$RXV:$RXV,'2017 SECOND HALF'!$SHR:$SHR,'2017 SECOND HALF'!$SRN:$SRN,'2017 SECOND HALF'!$TBJ:$TBJ,'2017 SECOND HALF'!$TLF:$TLF,'2017 SECOND HALF'!$TVB:$TVB,'2017 SECOND HALF'!$UEX:$UEX,'2017 SECOND HALF'!$UOT:$UOT,'2017 SECOND HALF'!$UYP:$UYP,'2017 SECOND HALF'!$VIL:$VIL,'2017 SECOND HALF'!$VSH:$VSH,'2017 SECOND HALF'!$WCD:$WCD,'2017 SECOND HALF'!$WLZ:$WLZ,'2017 SECOND HALF'!$WVV:$WVV</definedName>
    <definedName name="Z_60BFC34B_3957_423D_86B5_753FA44417D1_.wvu.Cols" localSheetId="1" hidden="1">'2017 TOTALS'!$N:$N,'2017 TOTALS'!$JJ:$JJ,'2017 TOTALS'!$TF:$TF,'2017 TOTALS'!$ADB:$ADB,'2017 TOTALS'!$AMX:$AMX,'2017 TOTALS'!$AWT:$AWT,'2017 TOTALS'!$BGP:$BGP,'2017 TOTALS'!$BQL:$BQL,'2017 TOTALS'!$CAH:$CAH,'2017 TOTALS'!$CKD:$CKD,'2017 TOTALS'!$CTZ:$CTZ,'2017 TOTALS'!$DDV:$DDV,'2017 TOTALS'!$DNR:$DNR,'2017 TOTALS'!$DXN:$DXN,'2017 TOTALS'!$EHJ:$EHJ,'2017 TOTALS'!$ERF:$ERF,'2017 TOTALS'!$FBB:$FBB,'2017 TOTALS'!$FKX:$FKX,'2017 TOTALS'!$FUT:$FUT,'2017 TOTALS'!$GEP:$GEP,'2017 TOTALS'!$GOL:$GOL,'2017 TOTALS'!$GYH:$GYH,'2017 TOTALS'!$HID:$HID,'2017 TOTALS'!$HRZ:$HRZ,'2017 TOTALS'!$IBV:$IBV,'2017 TOTALS'!$ILR:$ILR,'2017 TOTALS'!$IVN:$IVN,'2017 TOTALS'!$JFJ:$JFJ,'2017 TOTALS'!$JPF:$JPF,'2017 TOTALS'!$JZB:$JZB,'2017 TOTALS'!$KIX:$KIX,'2017 TOTALS'!$KST:$KST,'2017 TOTALS'!$LCP:$LCP,'2017 TOTALS'!$LML:$LML,'2017 TOTALS'!$LWH:$LWH,'2017 TOTALS'!$MGD:$MGD,'2017 TOTALS'!$MPZ:$MPZ,'2017 TOTALS'!$MZV:$MZV,'2017 TOTALS'!$NJR:$NJR,'2017 TOTALS'!$NTN:$NTN,'2017 TOTALS'!$ODJ:$ODJ,'2017 TOTALS'!$ONF:$ONF,'2017 TOTALS'!$OXB:$OXB,'2017 TOTALS'!$PGX:$PGX,'2017 TOTALS'!$PQT:$PQT,'2017 TOTALS'!$QAP:$QAP,'2017 TOTALS'!$QKL:$QKL,'2017 TOTALS'!$QUH:$QUH,'2017 TOTALS'!$RED:$RED,'2017 TOTALS'!$RNZ:$RNZ,'2017 TOTALS'!$RXV:$RXV,'2017 TOTALS'!$SHR:$SHR,'2017 TOTALS'!$SRN:$SRN,'2017 TOTALS'!$TBJ:$TBJ,'2017 TOTALS'!$TLF:$TLF,'2017 TOTALS'!$TVB:$TVB,'2017 TOTALS'!$UEX:$UEX,'2017 TOTALS'!$UOT:$UOT,'2017 TOTALS'!$UYP:$UYP,'2017 TOTALS'!$VIL:$VIL,'2017 TOTALS'!$VSH:$VSH,'2017 TOTALS'!$WCD:$WCD,'2017 TOTALS'!$WLZ:$WLZ,'2017 TOTALS'!$WVV:$WVV</definedName>
    <definedName name="Z_60BFC34B_3957_423D_86B5_753FA44417D1_.wvu.Cols" localSheetId="5" hidden="1">Apr!$N:$N,Apr!$JJ:$JJ,Apr!$TF:$TF,Apr!$ADB:$ADB,Apr!$AMX:$AMX,Apr!$AWT:$AWT,Apr!$BGP:$BGP,Apr!$BQL:$BQL,Apr!$CAH:$CAH,Apr!$CKD:$CKD,Apr!$CTZ:$CTZ,Apr!$DDV:$DDV,Apr!$DNR:$DNR,Apr!$DXN:$DXN,Apr!$EHJ:$EHJ,Apr!$ERF:$ERF,Apr!$FBB:$FBB,Apr!$FKX:$FKX,Apr!$FUT:$FUT,Apr!$GEP:$GEP,Apr!$GOL:$GOL,Apr!$GYH:$GYH,Apr!$HID:$HID,Apr!$HRZ:$HRZ,Apr!$IBV:$IBV,Apr!$ILR:$ILR,Apr!$IVN:$IVN,Apr!$JFJ:$JFJ,Apr!$JPF:$JPF,Apr!$JZB:$JZB,Apr!$KIX:$KIX,Apr!$KST:$KST,Apr!$LCP:$LCP,Apr!$LML:$LML,Apr!$LWH:$LWH,Apr!$MGD:$MGD,Apr!$MPZ:$MPZ,Apr!$MZV:$MZV,Apr!$NJR:$NJR,Apr!$NTN:$NTN,Apr!$ODJ:$ODJ,Apr!$ONF:$ONF,Apr!$OXB:$OXB,Apr!$PGX:$PGX,Apr!$PQT:$PQT,Apr!$QAP:$QAP,Apr!$QKL:$QKL,Apr!$QUH:$QUH,Apr!$RED:$RED,Apr!$RNZ:$RNZ,Apr!$RXV:$RXV,Apr!$SHR:$SHR,Apr!$SRN:$SRN,Apr!$TBJ:$TBJ,Apr!$TLF:$TLF,Apr!$TVB:$TVB,Apr!$UEX:$UEX,Apr!$UOT:$UOT,Apr!$UYP:$UYP,Apr!$VIL:$VIL,Apr!$VSH:$VSH,Apr!$WCD:$WCD,Apr!$WLZ:$WLZ,Apr!$WVV:$WVV</definedName>
    <definedName name="Z_60BFC34B_3957_423D_86B5_753FA44417D1_.wvu.Cols" localSheetId="9" hidden="1">Aug!$N:$N,Aug!$JJ:$JJ,Aug!$TF:$TF,Aug!$ADB:$ADB,Aug!$AMX:$AMX,Aug!$AWT:$AWT,Aug!$BGP:$BGP,Aug!$BQL:$BQL,Aug!$CAH:$CAH,Aug!$CKD:$CKD,Aug!$CTZ:$CTZ,Aug!$DDV:$DDV,Aug!$DNR:$DNR,Aug!$DXN:$DXN,Aug!$EHJ:$EHJ,Aug!$ERF:$ERF,Aug!$FBB:$FBB,Aug!$FKX:$FKX,Aug!$FUT:$FUT,Aug!$GEP:$GEP,Aug!$GOL:$GOL,Aug!$GYH:$GYH,Aug!$HID:$HID,Aug!$HRZ:$HRZ,Aug!$IBV:$IBV,Aug!$ILR:$ILR,Aug!$IVN:$IVN,Aug!$JFJ:$JFJ,Aug!$JPF:$JPF,Aug!$JZB:$JZB,Aug!$KIX:$KIX,Aug!$KST:$KST,Aug!$LCP:$LCP,Aug!$LML:$LML,Aug!$LWH:$LWH,Aug!$MGD:$MGD,Aug!$MPZ:$MPZ,Aug!$MZV:$MZV,Aug!$NJR:$NJR,Aug!$NTN:$NTN,Aug!$ODJ:$ODJ,Aug!$ONF:$ONF,Aug!$OXB:$OXB,Aug!$PGX:$PGX,Aug!$PQT:$PQT,Aug!$QAP:$QAP,Aug!$QKL:$QKL,Aug!$QUH:$QUH,Aug!$RED:$RED,Aug!$RNZ:$RNZ,Aug!$RXV:$RXV,Aug!$SHR:$SHR,Aug!$SRN:$SRN,Aug!$TBJ:$TBJ,Aug!$TLF:$TLF,Aug!$TVB:$TVB,Aug!$UEX:$UEX,Aug!$UOT:$UOT,Aug!$UYP:$UYP,Aug!$VIL:$VIL,Aug!$VSH:$VSH,Aug!$WCD:$WCD,Aug!$WLZ:$WLZ,Aug!$WVV:$WVV</definedName>
    <definedName name="Z_60BFC34B_3957_423D_86B5_753FA44417D1_.wvu.Cols" localSheetId="13" hidden="1">Dec!$N:$N,Dec!$JJ:$JJ,Dec!$TF:$TF,Dec!$ADB:$ADB,Dec!$AMX:$AMX,Dec!$AWT:$AWT,Dec!$BGP:$BGP,Dec!$BQL:$BQL,Dec!$CAH:$CAH,Dec!$CKD:$CKD,Dec!$CTZ:$CTZ,Dec!$DDV:$DDV,Dec!$DNR:$DNR,Dec!$DXN:$DXN,Dec!$EHJ:$EHJ,Dec!$ERF:$ERF,Dec!$FBB:$FBB,Dec!$FKX:$FKX,Dec!$FUT:$FUT,Dec!$GEP:$GEP,Dec!$GOL:$GOL,Dec!$GYH:$GYH,Dec!$HID:$HID,Dec!$HRZ:$HRZ,Dec!$IBV:$IBV,Dec!$ILR:$ILR,Dec!$IVN:$IVN,Dec!$JFJ:$JFJ,Dec!$JPF:$JPF,Dec!$JZB:$JZB,Dec!$KIX:$KIX,Dec!$KST:$KST,Dec!$LCP:$LCP,Dec!$LML:$LML,Dec!$LWH:$LWH,Dec!$MGD:$MGD,Dec!$MPZ:$MPZ,Dec!$MZV:$MZV,Dec!$NJR:$NJR,Dec!$NTN:$NTN,Dec!$ODJ:$ODJ,Dec!$ONF:$ONF,Dec!$OXB:$OXB,Dec!$PGX:$PGX,Dec!$PQT:$PQT,Dec!$QAP:$QAP,Dec!$QKL:$QKL,Dec!$QUH:$QUH,Dec!$RED:$RED,Dec!$RNZ:$RNZ,Dec!$RXV:$RXV,Dec!$SHR:$SHR,Dec!$SRN:$SRN,Dec!$TBJ:$TBJ,Dec!$TLF:$TLF,Dec!$TVB:$TVB,Dec!$UEX:$UEX,Dec!$UOT:$UOT,Dec!$UYP:$UYP,Dec!$VIL:$VIL,Dec!$VSH:$VSH,Dec!$WCD:$WCD,Dec!$WLZ:$WLZ,Dec!$WVV:$WVV</definedName>
    <definedName name="Z_60BFC34B_3957_423D_86B5_753FA44417D1_.wvu.Cols" localSheetId="3" hidden="1">Feb!$N:$N,Feb!$JJ:$JJ,Feb!$TF:$TF,Feb!$ADB:$ADB,Feb!$AMX:$AMX,Feb!$AWT:$AWT,Feb!$BGP:$BGP,Feb!$BQL:$BQL,Feb!$CAH:$CAH,Feb!$CKD:$CKD,Feb!$CTZ:$CTZ,Feb!$DDV:$DDV,Feb!$DNR:$DNR,Feb!$DXN:$DXN,Feb!$EHJ:$EHJ,Feb!$ERF:$ERF,Feb!$FBB:$FBB,Feb!$FKX:$FKX,Feb!$FUT:$FUT,Feb!$GEP:$GEP,Feb!$GOL:$GOL,Feb!$GYH:$GYH,Feb!$HID:$HID,Feb!$HRZ:$HRZ,Feb!$IBV:$IBV,Feb!$ILR:$ILR,Feb!$IVN:$IVN,Feb!$JFJ:$JFJ,Feb!$JPF:$JPF,Feb!$JZB:$JZB,Feb!$KIX:$KIX,Feb!$KST:$KST,Feb!$LCP:$LCP,Feb!$LML:$LML,Feb!$LWH:$LWH,Feb!$MGD:$MGD,Feb!$MPZ:$MPZ,Feb!$MZV:$MZV,Feb!$NJR:$NJR,Feb!$NTN:$NTN,Feb!$ODJ:$ODJ,Feb!$ONF:$ONF,Feb!$OXB:$OXB,Feb!$PGX:$PGX,Feb!$PQT:$PQT,Feb!$QAP:$QAP,Feb!$QKL:$QKL,Feb!$QUH:$QUH,Feb!$RED:$RED,Feb!$RNZ:$RNZ,Feb!$RXV:$RXV,Feb!$SHR:$SHR,Feb!$SRN:$SRN,Feb!$TBJ:$TBJ,Feb!$TLF:$TLF,Feb!$TVB:$TVB,Feb!$UEX:$UEX,Feb!$UOT:$UOT,Feb!$UYP:$UYP,Feb!$VIL:$VIL,Feb!$VSH:$VSH,Feb!$WCD:$WCD,Feb!$WLZ:$WLZ,Feb!$WVV:$WVV</definedName>
    <definedName name="Z_60BFC34B_3957_423D_86B5_753FA44417D1_.wvu.Cols" localSheetId="2" hidden="1">Jan!$N:$N,Jan!$JJ:$JJ,Jan!$TF:$TF,Jan!$ADB:$ADB,Jan!$AMX:$AMX,Jan!$AWT:$AWT,Jan!$BGP:$BGP,Jan!$BQL:$BQL,Jan!$CAH:$CAH,Jan!$CKD:$CKD,Jan!$CTZ:$CTZ,Jan!$DDV:$DDV,Jan!$DNR:$DNR,Jan!$DXN:$DXN,Jan!$EHJ:$EHJ,Jan!$ERF:$ERF,Jan!$FBB:$FBB,Jan!$FKX:$FKX,Jan!$FUT:$FUT,Jan!$GEP:$GEP,Jan!$GOL:$GOL,Jan!$GYH:$GYH,Jan!$HID:$HID,Jan!$HRZ:$HRZ,Jan!$IBV:$IBV,Jan!$ILR:$ILR,Jan!$IVN:$IVN,Jan!$JFJ:$JFJ,Jan!$JPF:$JPF,Jan!$JZB:$JZB,Jan!$KIX:$KIX,Jan!$KST:$KST,Jan!$LCP:$LCP,Jan!$LML:$LML,Jan!$LWH:$LWH,Jan!$MGD:$MGD,Jan!$MPZ:$MPZ,Jan!$MZV:$MZV,Jan!$NJR:$NJR,Jan!$NTN:$NTN,Jan!$ODJ:$ODJ,Jan!$ONF:$ONF,Jan!$OXB:$OXB,Jan!$PGX:$PGX,Jan!$PQT:$PQT,Jan!$QAP:$QAP,Jan!$QKL:$QKL,Jan!$QUH:$QUH,Jan!$RED:$RED,Jan!$RNZ:$RNZ,Jan!$RXV:$RXV,Jan!$SHR:$SHR,Jan!$SRN:$SRN,Jan!$TBJ:$TBJ,Jan!$TLF:$TLF,Jan!$TVB:$TVB,Jan!$UEX:$UEX,Jan!$UOT:$UOT,Jan!$UYP:$UYP,Jan!$VIL:$VIL,Jan!$VSH:$VSH,Jan!$WCD:$WCD,Jan!$WLZ:$WLZ,Jan!$WVV:$WVV</definedName>
    <definedName name="Z_60BFC34B_3957_423D_86B5_753FA44417D1_.wvu.Cols" localSheetId="8" hidden="1">Jul!$N:$N,Jul!$JJ:$JJ,Jul!$TF:$TF,Jul!$ADB:$ADB,Jul!$AMX:$AMX,Jul!$AWT:$AWT,Jul!$BGP:$BGP,Jul!$BQL:$BQL,Jul!$CAH:$CAH,Jul!$CKD:$CKD,Jul!$CTZ:$CTZ,Jul!$DDV:$DDV,Jul!$DNR:$DNR,Jul!$DXN:$DXN,Jul!$EHJ:$EHJ,Jul!$ERF:$ERF,Jul!$FBB:$FBB,Jul!$FKX:$FKX,Jul!$FUT:$FUT,Jul!$GEP:$GEP,Jul!$GOL:$GOL,Jul!$GYH:$GYH,Jul!$HID:$HID,Jul!$HRZ:$HRZ,Jul!$IBV:$IBV,Jul!$ILR:$ILR,Jul!$IVN:$IVN,Jul!$JFJ:$JFJ,Jul!$JPF:$JPF,Jul!$JZB:$JZB,Jul!$KIX:$KIX,Jul!$KST:$KST,Jul!$LCP:$LCP,Jul!$LML:$LML,Jul!$LWH:$LWH,Jul!$MGD:$MGD,Jul!$MPZ:$MPZ,Jul!$MZV:$MZV,Jul!$NJR:$NJR,Jul!$NTN:$NTN,Jul!$ODJ:$ODJ,Jul!$ONF:$ONF,Jul!$OXB:$OXB,Jul!$PGX:$PGX,Jul!$PQT:$PQT,Jul!$QAP:$QAP,Jul!$QKL:$QKL,Jul!$QUH:$QUH,Jul!$RED:$RED,Jul!$RNZ:$RNZ,Jul!$RXV:$RXV,Jul!$SHR:$SHR,Jul!$SRN:$SRN,Jul!$TBJ:$TBJ,Jul!$TLF:$TLF,Jul!$TVB:$TVB,Jul!$UEX:$UEX,Jul!$UOT:$UOT,Jul!$UYP:$UYP,Jul!$VIL:$VIL,Jul!$VSH:$VSH,Jul!$WCD:$WCD,Jul!$WLZ:$WLZ,Jul!$WVV:$WVV</definedName>
    <definedName name="Z_60BFC34B_3957_423D_86B5_753FA44417D1_.wvu.Cols" localSheetId="7" hidden="1">Jun!$N:$N,Jun!$JJ:$JJ,Jun!$TF:$TF,Jun!$ADB:$ADB,Jun!$AMX:$AMX,Jun!$AWT:$AWT,Jun!$BGP:$BGP,Jun!$BQL:$BQL,Jun!$CAH:$CAH,Jun!$CKD:$CKD,Jun!$CTZ:$CTZ,Jun!$DDV:$DDV,Jun!$DNR:$DNR,Jun!$DXN:$DXN,Jun!$EHJ:$EHJ,Jun!$ERF:$ERF,Jun!$FBB:$FBB,Jun!$FKX:$FKX,Jun!$FUT:$FUT,Jun!$GEP:$GEP,Jun!$GOL:$GOL,Jun!$GYH:$GYH,Jun!$HID:$HID,Jun!$HRZ:$HRZ,Jun!$IBV:$IBV,Jun!$ILR:$ILR,Jun!$IVN:$IVN,Jun!$JFJ:$JFJ,Jun!$JPF:$JPF,Jun!$JZB:$JZB,Jun!$KIX:$KIX,Jun!$KST:$KST,Jun!$LCP:$LCP,Jun!$LML:$LML,Jun!$LWH:$LWH,Jun!$MGD:$MGD,Jun!$MPZ:$MPZ,Jun!$MZV:$MZV,Jun!$NJR:$NJR,Jun!$NTN:$NTN,Jun!$ODJ:$ODJ,Jun!$ONF:$ONF,Jun!$OXB:$OXB,Jun!$PGX:$PGX,Jun!$PQT:$PQT,Jun!$QAP:$QAP,Jun!$QKL:$QKL,Jun!$QUH:$QUH,Jun!$RED:$RED,Jun!$RNZ:$RNZ,Jun!$RXV:$RXV,Jun!$SHR:$SHR,Jun!$SRN:$SRN,Jun!$TBJ:$TBJ,Jun!$TLF:$TLF,Jun!$TVB:$TVB,Jun!$UEX:$UEX,Jun!$UOT:$UOT,Jun!$UYP:$UYP,Jun!$VIL:$VIL,Jun!$VSH:$VSH,Jun!$WCD:$WCD,Jun!$WLZ:$WLZ,Jun!$WVV:$WVV</definedName>
    <definedName name="Z_60BFC34B_3957_423D_86B5_753FA44417D1_.wvu.Cols" localSheetId="4" hidden="1">Mar!$N:$N,Mar!$JJ:$JJ,Mar!$TF:$TF,Mar!$ADB:$ADB,Mar!$AMX:$AMX,Mar!$AWT:$AWT,Mar!$BGP:$BGP,Mar!$BQL:$BQL,Mar!$CAH:$CAH,Mar!$CKD:$CKD,Mar!$CTZ:$CTZ,Mar!$DDV:$DDV,Mar!$DNR:$DNR,Mar!$DXN:$DXN,Mar!$EHJ:$EHJ,Mar!$ERF:$ERF,Mar!$FBB:$FBB,Mar!$FKX:$FKX,Mar!$FUT:$FUT,Mar!$GEP:$GEP,Mar!$GOL:$GOL,Mar!$GYH:$GYH,Mar!$HID:$HID,Mar!$HRZ:$HRZ,Mar!$IBV:$IBV,Mar!$ILR:$ILR,Mar!$IVN:$IVN,Mar!$JFJ:$JFJ,Mar!$JPF:$JPF,Mar!$JZB:$JZB,Mar!$KIX:$KIX,Mar!$KST:$KST,Mar!$LCP:$LCP,Mar!$LML:$LML,Mar!$LWH:$LWH,Mar!$MGD:$MGD,Mar!$MPZ:$MPZ,Mar!$MZV:$MZV,Mar!$NJR:$NJR,Mar!$NTN:$NTN,Mar!$ODJ:$ODJ,Mar!$ONF:$ONF,Mar!$OXB:$OXB,Mar!$PGX:$PGX,Mar!$PQT:$PQT,Mar!$QAP:$QAP,Mar!$QKL:$QKL,Mar!$QUH:$QUH,Mar!$RED:$RED,Mar!$RNZ:$RNZ,Mar!$RXV:$RXV,Mar!$SHR:$SHR,Mar!$SRN:$SRN,Mar!$TBJ:$TBJ,Mar!$TLF:$TLF,Mar!$TVB:$TVB,Mar!$UEX:$UEX,Mar!$UOT:$UOT,Mar!$UYP:$UYP,Mar!$VIL:$VIL,Mar!$VSH:$VSH,Mar!$WCD:$WCD,Mar!$WLZ:$WLZ,Mar!$WVV:$WVV</definedName>
    <definedName name="Z_60BFC34B_3957_423D_86B5_753FA44417D1_.wvu.Cols" localSheetId="6" hidden="1">May!$N:$N,May!$JJ:$JJ,May!$TF:$TF,May!$ADB:$ADB,May!$AMX:$AMX,May!$AWT:$AWT,May!$BGP:$BGP,May!$BQL:$BQL,May!$CAH:$CAH,May!$CKD:$CKD,May!$CTZ:$CTZ,May!$DDV:$DDV,May!$DNR:$DNR,May!$DXN:$DXN,May!$EHJ:$EHJ,May!$ERF:$ERF,May!$FBB:$FBB,May!$FKX:$FKX,May!$FUT:$FUT,May!$GEP:$GEP,May!$GOL:$GOL,May!$GYH:$GYH,May!$HID:$HID,May!$HRZ:$HRZ,May!$IBV:$IBV,May!$ILR:$ILR,May!$IVN:$IVN,May!$JFJ:$JFJ,May!$JPF:$JPF,May!$JZB:$JZB,May!$KIX:$KIX,May!$KST:$KST,May!$LCP:$LCP,May!$LML:$LML,May!$LWH:$LWH,May!$MGD:$MGD,May!$MPZ:$MPZ,May!$MZV:$MZV,May!$NJR:$NJR,May!$NTN:$NTN,May!$ODJ:$ODJ,May!$ONF:$ONF,May!$OXB:$OXB,May!$PGX:$PGX,May!$PQT:$PQT,May!$QAP:$QAP,May!$QKL:$QKL,May!$QUH:$QUH,May!$RED:$RED,May!$RNZ:$RNZ,May!$RXV:$RXV,May!$SHR:$SHR,May!$SRN:$SRN,May!$TBJ:$TBJ,May!$TLF:$TLF,May!$TVB:$TVB,May!$UEX:$UEX,May!$UOT:$UOT,May!$UYP:$UYP,May!$VIL:$VIL,May!$VSH:$VSH,May!$WCD:$WCD,May!$WLZ:$WLZ,May!$WVV:$WVV</definedName>
    <definedName name="Z_60BFC34B_3957_423D_86B5_753FA44417D1_.wvu.Cols" localSheetId="12" hidden="1">Nov!$N:$N,Nov!$JJ:$JJ,Nov!$TF:$TF,Nov!$ADB:$ADB,Nov!$AMX:$AMX,Nov!$AWT:$AWT,Nov!$BGP:$BGP,Nov!$BQL:$BQL,Nov!$CAH:$CAH,Nov!$CKD:$CKD,Nov!$CTZ:$CTZ,Nov!$DDV:$DDV,Nov!$DNR:$DNR,Nov!$DXN:$DXN,Nov!$EHJ:$EHJ,Nov!$ERF:$ERF,Nov!$FBB:$FBB,Nov!$FKX:$FKX,Nov!$FUT:$FUT,Nov!$GEP:$GEP,Nov!$GOL:$GOL,Nov!$GYH:$GYH,Nov!$HID:$HID,Nov!$HRZ:$HRZ,Nov!$IBV:$IBV,Nov!$ILR:$ILR,Nov!$IVN:$IVN,Nov!$JFJ:$JFJ,Nov!$JPF:$JPF,Nov!$JZB:$JZB,Nov!$KIX:$KIX,Nov!$KST:$KST,Nov!$LCP:$LCP,Nov!$LML:$LML,Nov!$LWH:$LWH,Nov!$MGD:$MGD,Nov!$MPZ:$MPZ,Nov!$MZV:$MZV,Nov!$NJR:$NJR,Nov!$NTN:$NTN,Nov!$ODJ:$ODJ,Nov!$ONF:$ONF,Nov!$OXB:$OXB,Nov!$PGX:$PGX,Nov!$PQT:$PQT,Nov!$QAP:$QAP,Nov!$QKL:$QKL,Nov!$QUH:$QUH,Nov!$RED:$RED,Nov!$RNZ:$RNZ,Nov!$RXV:$RXV,Nov!$SHR:$SHR,Nov!$SRN:$SRN,Nov!$TBJ:$TBJ,Nov!$TLF:$TLF,Nov!$TVB:$TVB,Nov!$UEX:$UEX,Nov!$UOT:$UOT,Nov!$UYP:$UYP,Nov!$VIL:$VIL,Nov!$VSH:$VSH,Nov!$WCD:$WCD,Nov!$WLZ:$WLZ,Nov!$WVV:$WVV</definedName>
    <definedName name="Z_60BFC34B_3957_423D_86B5_753FA44417D1_.wvu.Cols" localSheetId="11" hidden="1">Oct!$N:$N,Oct!$JJ:$JJ,Oct!$TF:$TF,Oct!$ADB:$ADB,Oct!$AMX:$AMX,Oct!$AWT:$AWT,Oct!$BGP:$BGP,Oct!$BQL:$BQL,Oct!$CAH:$CAH,Oct!$CKD:$CKD,Oct!$CTZ:$CTZ,Oct!$DDV:$DDV,Oct!$DNR:$DNR,Oct!$DXN:$DXN,Oct!$EHJ:$EHJ,Oct!$ERF:$ERF,Oct!$FBB:$FBB,Oct!$FKX:$FKX,Oct!$FUT:$FUT,Oct!$GEP:$GEP,Oct!$GOL:$GOL,Oct!$GYH:$GYH,Oct!$HID:$HID,Oct!$HRZ:$HRZ,Oct!$IBV:$IBV,Oct!$ILR:$ILR,Oct!$IVN:$IVN,Oct!$JFJ:$JFJ,Oct!$JPF:$JPF,Oct!$JZB:$JZB,Oct!$KIX:$KIX,Oct!$KST:$KST,Oct!$LCP:$LCP,Oct!$LML:$LML,Oct!$LWH:$LWH,Oct!$MGD:$MGD,Oct!$MPZ:$MPZ,Oct!$MZV:$MZV,Oct!$NJR:$NJR,Oct!$NTN:$NTN,Oct!$ODJ:$ODJ,Oct!$ONF:$ONF,Oct!$OXB:$OXB,Oct!$PGX:$PGX,Oct!$PQT:$PQT,Oct!$QAP:$QAP,Oct!$QKL:$QKL,Oct!$QUH:$QUH,Oct!$RED:$RED,Oct!$RNZ:$RNZ,Oct!$RXV:$RXV,Oct!$SHR:$SHR,Oct!$SRN:$SRN,Oct!$TBJ:$TBJ,Oct!$TLF:$TLF,Oct!$TVB:$TVB,Oct!$UEX:$UEX,Oct!$UOT:$UOT,Oct!$UYP:$UYP,Oct!$VIL:$VIL,Oct!$VSH:$VSH,Oct!$WCD:$WCD,Oct!$WLZ:$WLZ,Oct!$WVV:$WVV</definedName>
    <definedName name="Z_60BFC34B_3957_423D_86B5_753FA44417D1_.wvu.Cols" localSheetId="10" hidden="1">Sep!$N:$N,Sep!$JJ:$JJ,Sep!$TF:$TF,Sep!$ADB:$ADB,Sep!$AMX:$AMX,Sep!$AWT:$AWT,Sep!$BGP:$BGP,Sep!$BQL:$BQL,Sep!$CAH:$CAH,Sep!$CKD:$CKD,Sep!$CTZ:$CTZ,Sep!$DDV:$DDV,Sep!$DNR:$DNR,Sep!$DXN:$DXN,Sep!$EHJ:$EHJ,Sep!$ERF:$ERF,Sep!$FBB:$FBB,Sep!$FKX:$FKX,Sep!$FUT:$FUT,Sep!$GEP:$GEP,Sep!$GOL:$GOL,Sep!$GYH:$GYH,Sep!$HID:$HID,Sep!$HRZ:$HRZ,Sep!$IBV:$IBV,Sep!$ILR:$ILR,Sep!$IVN:$IVN,Sep!$JFJ:$JFJ,Sep!$JPF:$JPF,Sep!$JZB:$JZB,Sep!$KIX:$KIX,Sep!$KST:$KST,Sep!$LCP:$LCP,Sep!$LML:$LML,Sep!$LWH:$LWH,Sep!$MGD:$MGD,Sep!$MPZ:$MPZ,Sep!$MZV:$MZV,Sep!$NJR:$NJR,Sep!$NTN:$NTN,Sep!$ODJ:$ODJ,Sep!$ONF:$ONF,Sep!$OXB:$OXB,Sep!$PGX:$PGX,Sep!$PQT:$PQT,Sep!$QAP:$QAP,Sep!$QKL:$QKL,Sep!$QUH:$QUH,Sep!$RED:$RED,Sep!$RNZ:$RNZ,Sep!$RXV:$RXV,Sep!$SHR:$SHR,Sep!$SRN:$SRN,Sep!$TBJ:$TBJ,Sep!$TLF:$TLF,Sep!$TVB:$TVB,Sep!$UEX:$UEX,Sep!$UOT:$UOT,Sep!$UYP:$UYP,Sep!$VIL:$VIL,Sep!$VSH:$VSH,Sep!$WCD:$WCD,Sep!$WLZ:$WLZ,Sep!$WVV:$WVV</definedName>
  </definedNames>
  <calcPr calcId="152511"/>
  <customWorkbookViews>
    <customWorkbookView name="helpdesk - Personal View" guid="{18ABB7CE-E9DD-4467-B368-D8163BDBE79F}" mergeInterval="0" personalView="1" maximized="1" windowWidth="1596" windowHeight="675" activeSheetId="15"/>
    <customWorkbookView name="John Kochendorfer - Personal View" guid="{2108F49D-F0FB-4737-BA79-3B15211A9F8F}" mergeInterval="0" personalView="1" maximized="1" windowWidth="1596" windowHeight="675" activeSheetId="14"/>
    <customWorkbookView name="Rachel Butzler - Personal View" guid="{037DCF94-393F-444C-8CC8-348B9921602C}" mergeInterval="0" personalView="1" xWindow="13" yWindow="52" windowWidth="1148" windowHeight="843" activeSheetId="12"/>
    <customWorkbookView name="baustin - Personal View" guid="{1F53F7D0-897F-4CD0-B731-A7EAAEC631FF}" mergeInterval="0" personalView="1" maximized="1" xWindow="-4" yWindow="-4" windowWidth="1928" windowHeight="1044" activeSheetId="7"/>
    <customWorkbookView name="Patience Melnik - Personal View" guid="{60BFC34B-3957-423D-86B5-753FA44417D1}" mergeInterval="0" personalView="1" maximized="1" xWindow="-8" yWindow="-8" windowWidth="1296" windowHeight="100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8" l="1"/>
  <c r="B39" i="1"/>
  <c r="B39" i="18"/>
  <c r="D31" i="18" l="1"/>
  <c r="C31" i="18"/>
  <c r="B31" i="18"/>
  <c r="C28" i="18"/>
  <c r="B28" i="18"/>
  <c r="I25" i="18"/>
  <c r="H25" i="18"/>
  <c r="G25" i="18"/>
  <c r="F25" i="18"/>
  <c r="E25" i="18"/>
  <c r="D25" i="18"/>
  <c r="C25" i="18"/>
  <c r="B25" i="18"/>
  <c r="C22" i="18"/>
  <c r="B22" i="18"/>
  <c r="D22" i="18" s="1"/>
  <c r="E17" i="18"/>
  <c r="B17" i="18"/>
  <c r="B16" i="18"/>
  <c r="B15" i="18"/>
  <c r="H5" i="18"/>
  <c r="H6" i="18"/>
  <c r="H7" i="18"/>
  <c r="H8" i="18"/>
  <c r="H9" i="18"/>
  <c r="H10" i="18"/>
  <c r="H11" i="18"/>
  <c r="H12" i="18"/>
  <c r="H4" i="18"/>
  <c r="B5" i="18"/>
  <c r="C5" i="18"/>
  <c r="D5" i="18"/>
  <c r="E5" i="18"/>
  <c r="E13" i="18" s="1"/>
  <c r="F5" i="18"/>
  <c r="F13" i="18" s="1"/>
  <c r="B6" i="18"/>
  <c r="C6" i="18"/>
  <c r="D6" i="18"/>
  <c r="G6" i="18" s="1"/>
  <c r="I6" i="18" s="1"/>
  <c r="E6" i="18"/>
  <c r="F6" i="18"/>
  <c r="B7" i="18"/>
  <c r="C7" i="18"/>
  <c r="D7" i="18"/>
  <c r="E7" i="18"/>
  <c r="F7" i="18"/>
  <c r="B8" i="18"/>
  <c r="G8" i="18" s="1"/>
  <c r="C8" i="18"/>
  <c r="D8" i="18"/>
  <c r="E8" i="18"/>
  <c r="F8" i="18"/>
  <c r="B9" i="18"/>
  <c r="C9" i="18"/>
  <c r="D9" i="18"/>
  <c r="E9" i="18"/>
  <c r="F9" i="18"/>
  <c r="B10" i="18"/>
  <c r="C10" i="18"/>
  <c r="D10" i="18"/>
  <c r="G10" i="18" s="1"/>
  <c r="I10" i="18" s="1"/>
  <c r="E10" i="18"/>
  <c r="F10" i="18"/>
  <c r="B11" i="18"/>
  <c r="C11" i="18"/>
  <c r="D11" i="18"/>
  <c r="G11" i="18" s="1"/>
  <c r="E11" i="18"/>
  <c r="F11" i="18"/>
  <c r="B12" i="18"/>
  <c r="G12" i="18" s="1"/>
  <c r="C12" i="18"/>
  <c r="C13" i="18" s="1"/>
  <c r="D12" i="18"/>
  <c r="E12" i="18"/>
  <c r="F12" i="18"/>
  <c r="C4" i="18"/>
  <c r="D4" i="18"/>
  <c r="E4" i="18"/>
  <c r="F4" i="18"/>
  <c r="B4" i="18"/>
  <c r="G9" i="18"/>
  <c r="I9" i="18" s="1"/>
  <c r="G7" i="18"/>
  <c r="I7" i="18" s="1"/>
  <c r="G5" i="18"/>
  <c r="I5" i="18" s="1"/>
  <c r="E31" i="18" l="1"/>
  <c r="D28" i="18"/>
  <c r="B41" i="18" s="1"/>
  <c r="I28" i="18"/>
  <c r="I11" i="18"/>
  <c r="I12" i="18"/>
  <c r="I8" i="18"/>
  <c r="H13" i="18"/>
  <c r="D13" i="18"/>
  <c r="G4" i="18"/>
  <c r="I4" i="18" s="1"/>
  <c r="G13" i="18"/>
  <c r="B13" i="18"/>
  <c r="B22" i="1"/>
  <c r="B25" i="1"/>
  <c r="C31" i="1"/>
  <c r="D31" i="1"/>
  <c r="C28" i="1"/>
  <c r="C25" i="1"/>
  <c r="F25" i="1"/>
  <c r="G25" i="1"/>
  <c r="I25" i="1"/>
  <c r="C22" i="1"/>
  <c r="B28" i="1"/>
  <c r="E17" i="1"/>
  <c r="B16" i="1"/>
  <c r="B17" i="1"/>
  <c r="H12" i="1"/>
  <c r="H5" i="1"/>
  <c r="H4" i="1"/>
  <c r="B5" i="1"/>
  <c r="C5" i="1"/>
  <c r="D5" i="1"/>
  <c r="E5" i="1"/>
  <c r="F5" i="1"/>
  <c r="B6" i="1"/>
  <c r="C6" i="1"/>
  <c r="D6" i="1"/>
  <c r="E6" i="1"/>
  <c r="F6" i="1"/>
  <c r="B10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F12" i="1"/>
  <c r="C4" i="1"/>
  <c r="D4" i="1"/>
  <c r="E4" i="1"/>
  <c r="F4" i="1"/>
  <c r="B4" i="1"/>
  <c r="I13" i="18" l="1"/>
  <c r="B37" i="18" s="1"/>
  <c r="B35" i="18"/>
  <c r="G4" i="1"/>
  <c r="F13" i="12"/>
  <c r="B15" i="12" l="1"/>
  <c r="B43" i="18" l="1"/>
  <c r="E39" i="18" s="1"/>
  <c r="H11" i="8"/>
  <c r="H10" i="8"/>
  <c r="H9" i="8"/>
  <c r="H8" i="8"/>
  <c r="H7" i="8"/>
  <c r="H6" i="8"/>
  <c r="H11" i="7"/>
  <c r="H10" i="7"/>
  <c r="H9" i="7"/>
  <c r="H8" i="7"/>
  <c r="H7" i="7"/>
  <c r="H6" i="7"/>
  <c r="E35" i="18" l="1"/>
  <c r="E37" i="18"/>
  <c r="H11" i="3"/>
  <c r="H10" i="3"/>
  <c r="H9" i="3"/>
  <c r="H8" i="3"/>
  <c r="H7" i="3"/>
  <c r="H6" i="3"/>
  <c r="H11" i="4"/>
  <c r="H10" i="4"/>
  <c r="H9" i="4"/>
  <c r="H8" i="4"/>
  <c r="H7" i="4"/>
  <c r="H6" i="4"/>
  <c r="H11" i="5"/>
  <c r="H10" i="5"/>
  <c r="H9" i="5"/>
  <c r="H8" i="5"/>
  <c r="H7" i="5"/>
  <c r="H6" i="5"/>
  <c r="H11" i="9"/>
  <c r="H10" i="9"/>
  <c r="H9" i="9"/>
  <c r="H8" i="9"/>
  <c r="H7" i="9"/>
  <c r="H6" i="9"/>
  <c r="B9" i="9"/>
  <c r="B8" i="9"/>
  <c r="B7" i="9"/>
  <c r="E9" i="9"/>
  <c r="E8" i="9"/>
  <c r="E7" i="9"/>
  <c r="C9" i="9"/>
  <c r="C8" i="9"/>
  <c r="C7" i="9"/>
  <c r="D9" i="9"/>
  <c r="D8" i="9"/>
  <c r="D7" i="9"/>
  <c r="F9" i="9"/>
  <c r="F8" i="9"/>
  <c r="F7" i="9"/>
  <c r="B15" i="6"/>
  <c r="B15" i="7"/>
  <c r="B15" i="8"/>
  <c r="B15" i="9"/>
  <c r="H11" i="10"/>
  <c r="H10" i="10"/>
  <c r="H9" i="10"/>
  <c r="H8" i="10"/>
  <c r="H7" i="10"/>
  <c r="H6" i="10"/>
  <c r="H25" i="7" l="1"/>
  <c r="H25" i="9"/>
  <c r="D25" i="4" l="1"/>
  <c r="D25" i="2"/>
  <c r="B31" i="6"/>
  <c r="E25" i="6"/>
  <c r="E25" i="1" s="1"/>
  <c r="H25" i="6"/>
  <c r="H25" i="1" s="1"/>
  <c r="D25" i="6"/>
  <c r="D25" i="1" l="1"/>
  <c r="H11" i="6"/>
  <c r="H10" i="6"/>
  <c r="H8" i="6"/>
  <c r="H9" i="6"/>
  <c r="H7" i="6"/>
  <c r="H6" i="6"/>
  <c r="H6" i="1" s="1"/>
  <c r="B15" i="4" l="1"/>
  <c r="B15" i="5"/>
  <c r="B15" i="1" l="1"/>
  <c r="D8" i="6"/>
  <c r="D9" i="6"/>
  <c r="D7" i="6"/>
  <c r="C8" i="6"/>
  <c r="C9" i="6"/>
  <c r="C7" i="6"/>
  <c r="E8" i="6"/>
  <c r="E9" i="6"/>
  <c r="E7" i="6"/>
  <c r="E8" i="5" l="1"/>
  <c r="E9" i="5"/>
  <c r="E7" i="5"/>
  <c r="F9" i="5"/>
  <c r="F8" i="5"/>
  <c r="E8" i="3" l="1"/>
  <c r="E9" i="3"/>
  <c r="E7" i="3"/>
  <c r="E8" i="4" l="1"/>
  <c r="E9" i="4"/>
  <c r="E7" i="4"/>
  <c r="H11" i="2" l="1"/>
  <c r="H11" i="1" s="1"/>
  <c r="H10" i="2"/>
  <c r="H10" i="1" s="1"/>
  <c r="H8" i="2"/>
  <c r="H8" i="1" s="1"/>
  <c r="H9" i="2"/>
  <c r="H9" i="1" s="1"/>
  <c r="H7" i="2"/>
  <c r="H7" i="1" s="1"/>
  <c r="D8" i="2" l="1"/>
  <c r="D8" i="1" s="1"/>
  <c r="D9" i="2"/>
  <c r="D9" i="1" s="1"/>
  <c r="D7" i="2"/>
  <c r="D7" i="1" s="1"/>
  <c r="F8" i="2"/>
  <c r="F8" i="1" s="1"/>
  <c r="F9" i="2"/>
  <c r="F9" i="1" s="1"/>
  <c r="F7" i="2"/>
  <c r="F7" i="1" s="1"/>
  <c r="B8" i="2"/>
  <c r="B8" i="1" s="1"/>
  <c r="B9" i="2"/>
  <c r="B7" i="2"/>
  <c r="B7" i="1" s="1"/>
  <c r="C8" i="2"/>
  <c r="C8" i="1" s="1"/>
  <c r="C9" i="2"/>
  <c r="C9" i="1" s="1"/>
  <c r="C7" i="2"/>
  <c r="C7" i="1" s="1"/>
  <c r="E8" i="2"/>
  <c r="E8" i="1" s="1"/>
  <c r="E9" i="2"/>
  <c r="E9" i="1" s="1"/>
  <c r="E7" i="2"/>
  <c r="E7" i="1" s="1"/>
  <c r="B31" i="9"/>
  <c r="E31" i="9" s="1"/>
  <c r="D28" i="9"/>
  <c r="B41" i="9" s="1"/>
  <c r="J25" i="9"/>
  <c r="D22" i="9"/>
  <c r="H13" i="9"/>
  <c r="F13" i="9"/>
  <c r="E13" i="9"/>
  <c r="D13" i="9"/>
  <c r="C13" i="9"/>
  <c r="B13" i="9"/>
  <c r="G12" i="9"/>
  <c r="I12" i="9" s="1"/>
  <c r="G11" i="9"/>
  <c r="I11" i="9" s="1"/>
  <c r="G10" i="9"/>
  <c r="I10" i="9" s="1"/>
  <c r="G9" i="9"/>
  <c r="I9" i="9" s="1"/>
  <c r="G8" i="9"/>
  <c r="I8" i="9" s="1"/>
  <c r="G7" i="9"/>
  <c r="G6" i="9"/>
  <c r="I6" i="9" s="1"/>
  <c r="G5" i="9"/>
  <c r="I5" i="9" s="1"/>
  <c r="G4" i="9"/>
  <c r="I4" i="9" s="1"/>
  <c r="B31" i="10"/>
  <c r="E31" i="10" s="1"/>
  <c r="D28" i="10"/>
  <c r="B41" i="10" s="1"/>
  <c r="J25" i="10"/>
  <c r="D22" i="10"/>
  <c r="H13" i="10"/>
  <c r="F13" i="10"/>
  <c r="E13" i="10"/>
  <c r="D13" i="10"/>
  <c r="C13" i="10"/>
  <c r="B13" i="10"/>
  <c r="G12" i="10"/>
  <c r="I12" i="10" s="1"/>
  <c r="G11" i="10"/>
  <c r="I11" i="10" s="1"/>
  <c r="G10" i="10"/>
  <c r="I10" i="10" s="1"/>
  <c r="G9" i="10"/>
  <c r="I9" i="10" s="1"/>
  <c r="G8" i="10"/>
  <c r="I8" i="10" s="1"/>
  <c r="G7" i="10"/>
  <c r="I7" i="10" s="1"/>
  <c r="G6" i="10"/>
  <c r="I6" i="10" s="1"/>
  <c r="G5" i="10"/>
  <c r="I5" i="10" s="1"/>
  <c r="G4" i="10"/>
  <c r="I4" i="10" s="1"/>
  <c r="B31" i="11"/>
  <c r="E31" i="11" s="1"/>
  <c r="D28" i="11"/>
  <c r="B41" i="11" s="1"/>
  <c r="J25" i="11"/>
  <c r="D22" i="11"/>
  <c r="H13" i="11"/>
  <c r="F13" i="11"/>
  <c r="E13" i="11"/>
  <c r="D13" i="11"/>
  <c r="C13" i="11"/>
  <c r="B13" i="11"/>
  <c r="G12" i="11"/>
  <c r="I12" i="11" s="1"/>
  <c r="G11" i="11"/>
  <c r="I11" i="11" s="1"/>
  <c r="G10" i="11"/>
  <c r="I10" i="11" s="1"/>
  <c r="G9" i="11"/>
  <c r="I9" i="11" s="1"/>
  <c r="G8" i="11"/>
  <c r="I8" i="11" s="1"/>
  <c r="G7" i="11"/>
  <c r="I7" i="11" s="1"/>
  <c r="G6" i="11"/>
  <c r="I6" i="11" s="1"/>
  <c r="G5" i="11"/>
  <c r="I5" i="11" s="1"/>
  <c r="G4" i="11"/>
  <c r="I4" i="11" s="1"/>
  <c r="B31" i="12"/>
  <c r="E31" i="12" s="1"/>
  <c r="D28" i="12"/>
  <c r="B41" i="12" s="1"/>
  <c r="J25" i="12"/>
  <c r="D22" i="12"/>
  <c r="H13" i="12"/>
  <c r="E13" i="12"/>
  <c r="D13" i="12"/>
  <c r="C13" i="12"/>
  <c r="B13" i="12"/>
  <c r="G12" i="12"/>
  <c r="I12" i="12" s="1"/>
  <c r="G11" i="12"/>
  <c r="I11" i="12" s="1"/>
  <c r="G10" i="12"/>
  <c r="I10" i="12" s="1"/>
  <c r="G9" i="12"/>
  <c r="I9" i="12" s="1"/>
  <c r="G8" i="12"/>
  <c r="I8" i="12" s="1"/>
  <c r="G7" i="12"/>
  <c r="I7" i="12" s="1"/>
  <c r="G6" i="12"/>
  <c r="I6" i="12" s="1"/>
  <c r="G5" i="12"/>
  <c r="I5" i="12" s="1"/>
  <c r="G4" i="12"/>
  <c r="I4" i="12" s="1"/>
  <c r="B31" i="13"/>
  <c r="E31" i="13" s="1"/>
  <c r="D28" i="13"/>
  <c r="B41" i="13" s="1"/>
  <c r="J25" i="13"/>
  <c r="D22" i="13"/>
  <c r="H13" i="13"/>
  <c r="F13" i="13"/>
  <c r="E13" i="13"/>
  <c r="D13" i="13"/>
  <c r="C13" i="13"/>
  <c r="B13" i="13"/>
  <c r="G12" i="13"/>
  <c r="I12" i="13" s="1"/>
  <c r="G11" i="13"/>
  <c r="I11" i="13" s="1"/>
  <c r="G10" i="13"/>
  <c r="I10" i="13" s="1"/>
  <c r="G9" i="13"/>
  <c r="I9" i="13" s="1"/>
  <c r="G8" i="13"/>
  <c r="I8" i="13" s="1"/>
  <c r="G7" i="13"/>
  <c r="I7" i="13" s="1"/>
  <c r="G6" i="13"/>
  <c r="I6" i="13" s="1"/>
  <c r="G5" i="13"/>
  <c r="I5" i="13" s="1"/>
  <c r="G4" i="13"/>
  <c r="B31" i="8"/>
  <c r="E31" i="8" s="1"/>
  <c r="D28" i="8"/>
  <c r="B41" i="8" s="1"/>
  <c r="J25" i="8"/>
  <c r="D22" i="8"/>
  <c r="H13" i="8"/>
  <c r="F13" i="8"/>
  <c r="E13" i="8"/>
  <c r="D13" i="8"/>
  <c r="C13" i="8"/>
  <c r="B13" i="8"/>
  <c r="G12" i="8"/>
  <c r="I12" i="8" s="1"/>
  <c r="G11" i="8"/>
  <c r="I11" i="8" s="1"/>
  <c r="G10" i="8"/>
  <c r="I10" i="8" s="1"/>
  <c r="G9" i="8"/>
  <c r="I9" i="8" s="1"/>
  <c r="G8" i="8"/>
  <c r="I8" i="8" s="1"/>
  <c r="G7" i="8"/>
  <c r="G6" i="8"/>
  <c r="I6" i="8" s="1"/>
  <c r="G5" i="8"/>
  <c r="I5" i="8" s="1"/>
  <c r="G4" i="8"/>
  <c r="I4" i="8" s="1"/>
  <c r="B31" i="4"/>
  <c r="E31" i="4" s="1"/>
  <c r="D28" i="4"/>
  <c r="B41" i="4" s="1"/>
  <c r="J25" i="4"/>
  <c r="D22" i="4"/>
  <c r="H13" i="4"/>
  <c r="F13" i="4"/>
  <c r="E13" i="4"/>
  <c r="D13" i="4"/>
  <c r="C13" i="4"/>
  <c r="B13" i="4"/>
  <c r="G12" i="4"/>
  <c r="I12" i="4" s="1"/>
  <c r="G11" i="4"/>
  <c r="I11" i="4" s="1"/>
  <c r="G10" i="4"/>
  <c r="I10" i="4" s="1"/>
  <c r="G9" i="4"/>
  <c r="I9" i="4" s="1"/>
  <c r="G8" i="4"/>
  <c r="I8" i="4" s="1"/>
  <c r="G7" i="4"/>
  <c r="J7" i="4" s="1"/>
  <c r="J8" i="4" s="1"/>
  <c r="G6" i="4"/>
  <c r="I6" i="4" s="1"/>
  <c r="G5" i="4"/>
  <c r="I5" i="4" s="1"/>
  <c r="G4" i="4"/>
  <c r="I4" i="4" s="1"/>
  <c r="B31" i="5"/>
  <c r="E31" i="5" s="1"/>
  <c r="D28" i="5"/>
  <c r="B41" i="5" s="1"/>
  <c r="J25" i="5"/>
  <c r="D22" i="5"/>
  <c r="H13" i="5"/>
  <c r="F13" i="5"/>
  <c r="E13" i="5"/>
  <c r="D13" i="5"/>
  <c r="C13" i="5"/>
  <c r="B13" i="5"/>
  <c r="G12" i="5"/>
  <c r="I12" i="5" s="1"/>
  <c r="G11" i="5"/>
  <c r="I11" i="5" s="1"/>
  <c r="G10" i="5"/>
  <c r="I10" i="5" s="1"/>
  <c r="G9" i="5"/>
  <c r="I9" i="5" s="1"/>
  <c r="G8" i="5"/>
  <c r="G7" i="5"/>
  <c r="I7" i="5" s="1"/>
  <c r="G6" i="5"/>
  <c r="I6" i="5" s="1"/>
  <c r="G5" i="5"/>
  <c r="I5" i="5" s="1"/>
  <c r="G4" i="5"/>
  <c r="I4" i="5" s="1"/>
  <c r="E31" i="6"/>
  <c r="D28" i="6"/>
  <c r="B41" i="6" s="1"/>
  <c r="J25" i="6"/>
  <c r="D22" i="6"/>
  <c r="H13" i="6"/>
  <c r="F13" i="6"/>
  <c r="E13" i="6"/>
  <c r="D13" i="6"/>
  <c r="C13" i="6"/>
  <c r="B13" i="6"/>
  <c r="G12" i="6"/>
  <c r="I12" i="6" s="1"/>
  <c r="G11" i="6"/>
  <c r="I11" i="6" s="1"/>
  <c r="G10" i="6"/>
  <c r="I10" i="6" s="1"/>
  <c r="G9" i="6"/>
  <c r="I9" i="6" s="1"/>
  <c r="G8" i="6"/>
  <c r="I8" i="6" s="1"/>
  <c r="G7" i="6"/>
  <c r="G6" i="6"/>
  <c r="I6" i="6" s="1"/>
  <c r="G5" i="6"/>
  <c r="G4" i="6"/>
  <c r="I4" i="6" s="1"/>
  <c r="B31" i="7"/>
  <c r="E31" i="7" s="1"/>
  <c r="D28" i="7"/>
  <c r="B41" i="7" s="1"/>
  <c r="J25" i="7"/>
  <c r="D22" i="7"/>
  <c r="H13" i="7"/>
  <c r="F13" i="7"/>
  <c r="E13" i="7"/>
  <c r="D13" i="7"/>
  <c r="C13" i="7"/>
  <c r="B13" i="7"/>
  <c r="G12" i="7"/>
  <c r="I12" i="7" s="1"/>
  <c r="G11" i="7"/>
  <c r="I11" i="7" s="1"/>
  <c r="G10" i="7"/>
  <c r="I10" i="7" s="1"/>
  <c r="G9" i="7"/>
  <c r="I9" i="7" s="1"/>
  <c r="G8" i="7"/>
  <c r="I8" i="7" s="1"/>
  <c r="G7" i="7"/>
  <c r="G6" i="7"/>
  <c r="I6" i="7" s="1"/>
  <c r="G5" i="7"/>
  <c r="I5" i="7" s="1"/>
  <c r="G4" i="7"/>
  <c r="I4" i="7" s="1"/>
  <c r="B31" i="3"/>
  <c r="E31" i="3" s="1"/>
  <c r="D28" i="3"/>
  <c r="B41" i="3" s="1"/>
  <c r="J25" i="3"/>
  <c r="D22" i="3"/>
  <c r="H13" i="3"/>
  <c r="F13" i="3"/>
  <c r="E13" i="3"/>
  <c r="D13" i="3"/>
  <c r="C13" i="3"/>
  <c r="B13" i="3"/>
  <c r="G12" i="3"/>
  <c r="I12" i="3" s="1"/>
  <c r="G11" i="3"/>
  <c r="I11" i="3" s="1"/>
  <c r="G10" i="3"/>
  <c r="I10" i="3" s="1"/>
  <c r="G9" i="3"/>
  <c r="I9" i="3" s="1"/>
  <c r="G8" i="3"/>
  <c r="I8" i="3" s="1"/>
  <c r="G7" i="3"/>
  <c r="G6" i="3"/>
  <c r="I6" i="3" s="1"/>
  <c r="G5" i="3"/>
  <c r="G4" i="3"/>
  <c r="I4" i="3" s="1"/>
  <c r="B31" i="2"/>
  <c r="D28" i="2"/>
  <c r="B41" i="2" s="1"/>
  <c r="J25" i="2"/>
  <c r="D22" i="2"/>
  <c r="H13" i="2"/>
  <c r="D13" i="2"/>
  <c r="G12" i="2"/>
  <c r="I12" i="2" s="1"/>
  <c r="G11" i="2"/>
  <c r="I11" i="2" s="1"/>
  <c r="G10" i="2"/>
  <c r="I10" i="2" s="1"/>
  <c r="G6" i="2"/>
  <c r="I6" i="2" s="1"/>
  <c r="G5" i="2"/>
  <c r="I5" i="2" s="1"/>
  <c r="G4" i="2"/>
  <c r="I4" i="2" s="1"/>
  <c r="D28" i="1"/>
  <c r="B41" i="1" s="1"/>
  <c r="I28" i="1"/>
  <c r="D22" i="1"/>
  <c r="H13" i="1"/>
  <c r="G12" i="1"/>
  <c r="I12" i="1" s="1"/>
  <c r="G11" i="1"/>
  <c r="I11" i="1" s="1"/>
  <c r="G10" i="1"/>
  <c r="I10" i="1" s="1"/>
  <c r="G6" i="1"/>
  <c r="I6" i="1" s="1"/>
  <c r="G5" i="1"/>
  <c r="I5" i="1" s="1"/>
  <c r="I4" i="1"/>
  <c r="C13" i="2" l="1"/>
  <c r="E13" i="2"/>
  <c r="C13" i="1"/>
  <c r="F13" i="1"/>
  <c r="D13" i="1"/>
  <c r="G8" i="1"/>
  <c r="I8" i="1" s="1"/>
  <c r="E13" i="1"/>
  <c r="G7" i="2"/>
  <c r="J7" i="2" s="1"/>
  <c r="J8" i="2" s="1"/>
  <c r="E31" i="2"/>
  <c r="B31" i="1"/>
  <c r="E31" i="1" s="1"/>
  <c r="B13" i="2"/>
  <c r="B9" i="1"/>
  <c r="G9" i="1" s="1"/>
  <c r="I9" i="1" s="1"/>
  <c r="G7" i="1"/>
  <c r="I7" i="1" s="1"/>
  <c r="G8" i="2"/>
  <c r="I8" i="2" s="1"/>
  <c r="F13" i="2"/>
  <c r="G13" i="13"/>
  <c r="I4" i="13"/>
  <c r="I13" i="13" s="1"/>
  <c r="G13" i="11"/>
  <c r="G13" i="10"/>
  <c r="I7" i="8"/>
  <c r="I13" i="8" s="1"/>
  <c r="B37" i="8" s="1"/>
  <c r="J6" i="8"/>
  <c r="J7" i="8" s="1"/>
  <c r="I7" i="7"/>
  <c r="I13" i="7" s="1"/>
  <c r="B37" i="7" s="1"/>
  <c r="J7" i="7"/>
  <c r="J8" i="7" s="1"/>
  <c r="I7" i="6"/>
  <c r="J7" i="6"/>
  <c r="J8" i="6" s="1"/>
  <c r="I8" i="5"/>
  <c r="I13" i="5" s="1"/>
  <c r="J8" i="5"/>
  <c r="J9" i="5" s="1"/>
  <c r="I7" i="3"/>
  <c r="J7" i="3"/>
  <c r="J8" i="3" s="1"/>
  <c r="G13" i="9"/>
  <c r="G13" i="6"/>
  <c r="I5" i="6"/>
  <c r="G13" i="3"/>
  <c r="G13" i="4"/>
  <c r="G9" i="2"/>
  <c r="I9" i="2" s="1"/>
  <c r="I13" i="11"/>
  <c r="B37" i="11" s="1"/>
  <c r="I13" i="10"/>
  <c r="B37" i="10" s="1"/>
  <c r="I13" i="12"/>
  <c r="B37" i="12" s="1"/>
  <c r="B39" i="12" s="1"/>
  <c r="G13" i="8"/>
  <c r="G13" i="12"/>
  <c r="I7" i="9"/>
  <c r="I13" i="9" s="1"/>
  <c r="B37" i="9" s="1"/>
  <c r="I7" i="4"/>
  <c r="I13" i="4" s="1"/>
  <c r="B37" i="4" s="1"/>
  <c r="G13" i="7"/>
  <c r="G13" i="5"/>
  <c r="I5" i="3"/>
  <c r="I7" i="2" l="1"/>
  <c r="I13" i="2" s="1"/>
  <c r="I13" i="1"/>
  <c r="B37" i="5"/>
  <c r="B39" i="5" s="1"/>
  <c r="B43" i="5" s="1"/>
  <c r="E37" i="5" s="1"/>
  <c r="G13" i="1"/>
  <c r="B37" i="13"/>
  <c r="B39" i="13" s="1"/>
  <c r="B43" i="13" s="1"/>
  <c r="E37" i="13" s="1"/>
  <c r="B13" i="1"/>
  <c r="B43" i="12"/>
  <c r="E39" i="12" s="1"/>
  <c r="I13" i="6"/>
  <c r="I13" i="3"/>
  <c r="G13" i="2"/>
  <c r="B39" i="9"/>
  <c r="B39" i="11"/>
  <c r="B39" i="8"/>
  <c r="B39" i="10"/>
  <c r="B39" i="4"/>
  <c r="B39" i="7"/>
  <c r="B35" i="1" l="1"/>
  <c r="B37" i="1"/>
  <c r="B43" i="1" s="1"/>
  <c r="E39" i="1" s="1"/>
  <c r="B37" i="2"/>
  <c r="B39" i="2" s="1"/>
  <c r="B37" i="3"/>
  <c r="B39" i="3" s="1"/>
  <c r="B43" i="3" s="1"/>
  <c r="E37" i="3" s="1"/>
  <c r="B37" i="6"/>
  <c r="B39" i="6" s="1"/>
  <c r="E37" i="12"/>
  <c r="E39" i="5"/>
  <c r="E39" i="13"/>
  <c r="B43" i="10"/>
  <c r="E37" i="10" s="1"/>
  <c r="B43" i="8"/>
  <c r="E37" i="8" s="1"/>
  <c r="B43" i="11"/>
  <c r="E37" i="11" s="1"/>
  <c r="B43" i="9"/>
  <c r="E37" i="9" s="1"/>
  <c r="B43" i="7"/>
  <c r="E37" i="7" s="1"/>
  <c r="B43" i="4"/>
  <c r="E37" i="4" s="1"/>
  <c r="E37" i="1" l="1"/>
  <c r="E35" i="1"/>
  <c r="B43" i="6"/>
  <c r="E37" i="6" s="1"/>
  <c r="E39" i="6"/>
  <c r="B43" i="2"/>
  <c r="E37" i="2" s="1"/>
  <c r="E39" i="11"/>
  <c r="E39" i="10"/>
  <c r="E39" i="8"/>
  <c r="E39" i="4"/>
  <c r="E39" i="9"/>
  <c r="E39" i="3"/>
  <c r="E39" i="7"/>
  <c r="E39" i="2" l="1"/>
</calcChain>
</file>

<file path=xl/sharedStrings.xml><?xml version="1.0" encoding="utf-8"?>
<sst xmlns="http://schemas.openxmlformats.org/spreadsheetml/2006/main" count="964" uniqueCount="68">
  <si>
    <t>Goodwill</t>
  </si>
  <si>
    <t>Kroger</t>
  </si>
  <si>
    <t>Downtown</t>
  </si>
  <si>
    <t>Drop Off</t>
  </si>
  <si>
    <t>Curbside Recycling</t>
  </si>
  <si>
    <t>Magnolia &amp;</t>
  </si>
  <si>
    <t>Center</t>
  </si>
  <si>
    <t>City Wide</t>
  </si>
  <si>
    <t>Drop Off Centers</t>
  </si>
  <si>
    <t>Alice</t>
  </si>
  <si>
    <t>Moody Av.</t>
  </si>
  <si>
    <t>Western Av.</t>
  </si>
  <si>
    <t>Parkvillage</t>
  </si>
  <si>
    <t>Willow Av.</t>
  </si>
  <si>
    <t>Totals</t>
  </si>
  <si>
    <t>Aluminum</t>
  </si>
  <si>
    <t>Steel</t>
  </si>
  <si>
    <t>Plastics</t>
  </si>
  <si>
    <t>Clear Glass</t>
  </si>
  <si>
    <t>Brown Glass</t>
  </si>
  <si>
    <t>Green Glass</t>
  </si>
  <si>
    <t>Newspaper</t>
  </si>
  <si>
    <t>Mixed Paper</t>
  </si>
  <si>
    <t>Cardboard</t>
  </si>
  <si>
    <t>Drop Off Center Totals</t>
  </si>
  <si>
    <t>KPD  /  Lorain St.</t>
  </si>
  <si>
    <t>Cardboard Down Town</t>
  </si>
  <si>
    <t>Ball Park</t>
  </si>
  <si>
    <t>Downtown Curbside</t>
  </si>
  <si>
    <t>Carpet</t>
  </si>
  <si>
    <t>Goodwill Lease Containers</t>
  </si>
  <si>
    <t>Leaves</t>
  </si>
  <si>
    <t>Brush</t>
  </si>
  <si>
    <t>Total</t>
  </si>
  <si>
    <t>Mulching Site</t>
  </si>
  <si>
    <t>Scrap Metal</t>
  </si>
  <si>
    <t>Rec. Tlr.</t>
  </si>
  <si>
    <t>HHW REC.</t>
  </si>
  <si>
    <t>HHW Divert.</t>
  </si>
  <si>
    <t>C&amp;D for Class lll</t>
  </si>
  <si>
    <t>Compacted</t>
  </si>
  <si>
    <t>Computers</t>
  </si>
  <si>
    <t>Tires</t>
  </si>
  <si>
    <t>Transfer Station</t>
  </si>
  <si>
    <t>Household Trash</t>
  </si>
  <si>
    <t>Misc. Trash</t>
  </si>
  <si>
    <t>Landfill  Class I</t>
  </si>
  <si>
    <t xml:space="preserve">       </t>
  </si>
  <si>
    <t>Construction</t>
  </si>
  <si>
    <t>Codes</t>
  </si>
  <si>
    <t xml:space="preserve">Landfill  Class III </t>
  </si>
  <si>
    <t>Total Waste Recycled</t>
  </si>
  <si>
    <t>Recycling</t>
  </si>
  <si>
    <t>Total Waste Diverted, Class III &amp; Rec.</t>
  </si>
  <si>
    <t>Diversion</t>
  </si>
  <si>
    <t>Total Waste Landfilled, Class I</t>
  </si>
  <si>
    <t>* Recycling</t>
  </si>
  <si>
    <t>* Yard Waste Not Included</t>
  </si>
  <si>
    <t>Total Wastestream</t>
  </si>
  <si>
    <t>w/ just residential trash</t>
  </si>
  <si>
    <t>Annual Report  2017</t>
  </si>
  <si>
    <t>TOTALS</t>
  </si>
  <si>
    <t>`</t>
  </si>
  <si>
    <t>Total Waste Diverted, Class III &amp; HHW</t>
  </si>
  <si>
    <t>Recycling w/ mulch</t>
  </si>
  <si>
    <t>Total Waste Recycled (w/ Mulch)</t>
  </si>
  <si>
    <t>Total Waste Recycled (w/out mulch)</t>
  </si>
  <si>
    <t>Total Transfer 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</si>
</sst>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\ &quot;lbs&quot;"/>
    <numFmt numFmtId="165" formatCode="0.00\ &quot;lbs&quot;"/>
    <numFmt numFmtId="166" formatCode="0.00\ &quot;tons&quot;"/>
    <numFmt numFmtId="167" formatCode="0.00\ "/>
    <numFmt numFmtId="168" formatCode="_(* #,##0_);_(* \(#,##0\);_(* &quot;-&quot;??_);_(@_)"/>
    <numFmt numFmtId="169" formatCode="#,##0.00\ &quot;tons&quot;"/>
  </numFmts>
  <fonts count="29">
    <font>
      <sz val="11"/>
      <color theme="1"/>
      <name val="Calibri"/>
      <family val="2"/>
      <scheme val="minor"/>
    </font>
    <font>
      <b/>
      <sz val="22"/>
      <name val="Geneva"/>
    </font>
    <font>
      <b/>
      <sz val="22"/>
      <color indexed="9"/>
      <name val="Arial"/>
      <family val="2"/>
    </font>
    <font>
      <b/>
      <sz val="22"/>
      <color indexed="9"/>
      <name val="Geneva"/>
    </font>
    <font>
      <sz val="22"/>
      <name val="Geneva"/>
    </font>
    <font>
      <b/>
      <sz val="26"/>
      <name val="Geneva"/>
    </font>
    <font>
      <b/>
      <sz val="22"/>
      <color indexed="8"/>
      <name val="Calibri"/>
      <family val="2"/>
    </font>
    <font>
      <b/>
      <sz val="22"/>
      <color indexed="48"/>
      <name val="Geneva"/>
    </font>
    <font>
      <b/>
      <sz val="22"/>
      <color indexed="12"/>
      <name val="Geneva"/>
    </font>
    <font>
      <b/>
      <sz val="22"/>
      <color indexed="17"/>
      <name val="Geneva"/>
    </font>
    <font>
      <sz val="22"/>
      <name val="Arial"/>
      <family val="2"/>
    </font>
    <font>
      <b/>
      <sz val="14"/>
      <color indexed="9"/>
      <name val="Geneva"/>
    </font>
    <font>
      <b/>
      <sz val="20"/>
      <name val="Geneva"/>
    </font>
    <font>
      <sz val="13"/>
      <name val="Geneva"/>
    </font>
    <font>
      <b/>
      <sz val="14"/>
      <name val="Geneva"/>
    </font>
    <font>
      <sz val="14"/>
      <name val="Geneva"/>
    </font>
    <font>
      <b/>
      <sz val="14"/>
      <color indexed="18"/>
      <name val="Geneva"/>
    </font>
    <font>
      <sz val="10"/>
      <name val="Geneva"/>
    </font>
    <font>
      <b/>
      <sz val="22"/>
      <color indexed="8"/>
      <name val="Geneva"/>
    </font>
    <font>
      <sz val="12"/>
      <name val="Geneva"/>
    </font>
    <font>
      <b/>
      <i/>
      <sz val="22"/>
      <color indexed="9"/>
      <name val="Geneva"/>
    </font>
    <font>
      <b/>
      <i/>
      <sz val="22"/>
      <name val="Geneva"/>
    </font>
    <font>
      <b/>
      <sz val="22"/>
      <color indexed="9"/>
      <name val="New York"/>
    </font>
    <font>
      <b/>
      <sz val="14"/>
      <color indexed="8"/>
      <name val="Geneva"/>
    </font>
    <font>
      <b/>
      <i/>
      <sz val="16"/>
      <color indexed="9"/>
      <name val="Geneva"/>
    </font>
    <font>
      <b/>
      <i/>
      <sz val="20"/>
      <color indexed="9"/>
      <name val="Geneva"/>
    </font>
    <font>
      <sz val="20"/>
      <name val="Geneva"/>
    </font>
    <font>
      <sz val="26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7"/>
        <bgColor indexed="64"/>
      </patternFill>
    </fill>
    <fill>
      <patternFill patternType="gray0625"/>
    </fill>
    <fill>
      <patternFill patternType="gray0625">
        <fgColor indexed="18"/>
      </patternFill>
    </fill>
    <fill>
      <patternFill patternType="gray0625">
        <fgColor indexed="17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3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2" fontId="4" fillId="0" borderId="0" xfId="0" applyNumberFormat="1" applyFont="1" applyFill="1" applyBorder="1"/>
    <xf numFmtId="17" fontId="5" fillId="0" borderId="0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0" fontId="6" fillId="0" borderId="8" xfId="0" applyFont="1" applyFill="1" applyBorder="1"/>
    <xf numFmtId="0" fontId="6" fillId="0" borderId="0" xfId="0" applyFont="1" applyFill="1" applyBorder="1" applyAlignment="1">
      <alignment horizontal="center"/>
    </xf>
    <xf numFmtId="0" fontId="1" fillId="4" borderId="9" xfId="0" applyFont="1" applyFill="1" applyBorder="1"/>
    <xf numFmtId="164" fontId="7" fillId="0" borderId="0" xfId="0" applyNumberFormat="1" applyFont="1" applyBorder="1" applyAlignment="1">
      <alignment horizontal="center"/>
    </xf>
    <xf numFmtId="165" fontId="8" fillId="0" borderId="10" xfId="0" applyNumberFormat="1" applyFont="1" applyFill="1" applyBorder="1" applyAlignment="1">
      <alignment horizontal="right"/>
    </xf>
    <xf numFmtId="165" fontId="9" fillId="0" borderId="11" xfId="0" applyNumberFormat="1" applyFont="1" applyBorder="1" applyAlignment="1">
      <alignment horizontal="center"/>
    </xf>
    <xf numFmtId="166" fontId="1" fillId="0" borderId="10" xfId="0" applyNumberFormat="1" applyFont="1" applyFill="1" applyBorder="1" applyAlignment="1">
      <alignment horizontal="right"/>
    </xf>
    <xf numFmtId="0" fontId="4" fillId="0" borderId="8" xfId="0" applyFont="1" applyFill="1" applyBorder="1"/>
    <xf numFmtId="10" fontId="4" fillId="0" borderId="0" xfId="0" applyNumberFormat="1" applyFont="1" applyFill="1" applyBorder="1"/>
    <xf numFmtId="2" fontId="1" fillId="5" borderId="9" xfId="0" applyNumberFormat="1" applyFont="1" applyFill="1" applyBorder="1" applyAlignment="1">
      <alignment horizontal="left"/>
    </xf>
    <xf numFmtId="167" fontId="4" fillId="0" borderId="8" xfId="0" applyNumberFormat="1" applyFont="1" applyFill="1" applyBorder="1"/>
    <xf numFmtId="168" fontId="10" fillId="0" borderId="0" xfId="0" applyNumberFormat="1" applyFont="1" applyFill="1" applyBorder="1"/>
    <xf numFmtId="2" fontId="3" fillId="2" borderId="12" xfId="0" applyNumberFormat="1" applyFont="1" applyFill="1" applyBorder="1" applyAlignment="1">
      <alignment horizontal="center"/>
    </xf>
    <xf numFmtId="169" fontId="3" fillId="2" borderId="0" xfId="0" applyNumberFormat="1" applyFont="1" applyFill="1" applyBorder="1" applyAlignment="1">
      <alignment horizontal="center"/>
    </xf>
    <xf numFmtId="166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2" fontId="3" fillId="0" borderId="13" xfId="0" applyNumberFormat="1" applyFont="1" applyFill="1" applyBorder="1" applyAlignment="1">
      <alignment horizontal="center"/>
    </xf>
    <xf numFmtId="167" fontId="11" fillId="0" borderId="0" xfId="0" applyNumberFormat="1" applyFont="1" applyFill="1" applyAlignment="1">
      <alignment horizontal="right"/>
    </xf>
    <xf numFmtId="169" fontId="3" fillId="0" borderId="0" xfId="0" applyNumberFormat="1" applyFont="1" applyFill="1" applyBorder="1" applyAlignment="1">
      <alignment horizontal="center"/>
    </xf>
    <xf numFmtId="2" fontId="12" fillId="5" borderId="0" xfId="0" applyNumberFormat="1" applyFont="1" applyFill="1" applyBorder="1" applyAlignment="1">
      <alignment horizontal="left"/>
    </xf>
    <xf numFmtId="169" fontId="1" fillId="0" borderId="9" xfId="0" applyNumberFormat="1" applyFont="1" applyFill="1" applyBorder="1" applyAlignment="1">
      <alignment horizontal="right"/>
    </xf>
    <xf numFmtId="169" fontId="11" fillId="0" borderId="0" xfId="0" applyNumberFormat="1" applyFont="1" applyFill="1" applyBorder="1" applyAlignment="1">
      <alignment horizontal="right"/>
    </xf>
    <xf numFmtId="169" fontId="13" fillId="0" borderId="0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left"/>
    </xf>
    <xf numFmtId="169" fontId="3" fillId="0" borderId="0" xfId="0" applyNumberFormat="1" applyFont="1" applyFill="1" applyBorder="1" applyAlignment="1">
      <alignment horizontal="right"/>
    </xf>
    <xf numFmtId="2" fontId="1" fillId="5" borderId="13" xfId="0" applyNumberFormat="1" applyFont="1" applyFill="1" applyBorder="1" applyAlignment="1">
      <alignment horizontal="left"/>
    </xf>
    <xf numFmtId="166" fontId="1" fillId="0" borderId="14" xfId="0" applyNumberFormat="1" applyFont="1" applyBorder="1" applyAlignment="1">
      <alignment horizontal="center"/>
    </xf>
    <xf numFmtId="2" fontId="13" fillId="0" borderId="0" xfId="0" applyNumberFormat="1" applyFont="1" applyFill="1" applyBorder="1"/>
    <xf numFmtId="169" fontId="1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169" fontId="14" fillId="0" borderId="0" xfId="0" applyNumberFormat="1" applyFont="1" applyFill="1" applyBorder="1" applyAlignment="1">
      <alignment horizontal="right"/>
    </xf>
    <xf numFmtId="0" fontId="0" fillId="0" borderId="0" xfId="0" applyFill="1"/>
    <xf numFmtId="2" fontId="1" fillId="0" borderId="13" xfId="0" applyNumberFormat="1" applyFont="1" applyFill="1" applyBorder="1" applyAlignment="1">
      <alignment horizontal="left"/>
    </xf>
    <xf numFmtId="166" fontId="1" fillId="0" borderId="15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center"/>
    </xf>
    <xf numFmtId="2" fontId="4" fillId="0" borderId="0" xfId="0" applyNumberFormat="1" applyFont="1" applyBorder="1"/>
    <xf numFmtId="1" fontId="15" fillId="0" borderId="0" xfId="0" applyNumberFormat="1" applyFont="1" applyFill="1" applyBorder="1" applyAlignment="1">
      <alignment horizontal="center"/>
    </xf>
    <xf numFmtId="0" fontId="16" fillId="0" borderId="16" xfId="0" applyFont="1" applyFill="1" applyBorder="1" applyAlignment="1">
      <alignment vertical="center"/>
    </xf>
    <xf numFmtId="166" fontId="15" fillId="0" borderId="17" xfId="0" applyNumberFormat="1" applyFont="1" applyFill="1" applyBorder="1" applyAlignment="1">
      <alignment horizontal="center"/>
    </xf>
    <xf numFmtId="0" fontId="4" fillId="0" borderId="0" xfId="0" applyFont="1" applyBorder="1"/>
    <xf numFmtId="2" fontId="17" fillId="0" borderId="0" xfId="0" applyNumberFormat="1" applyFont="1" applyFill="1" applyBorder="1"/>
    <xf numFmtId="2" fontId="17" fillId="0" borderId="0" xfId="0" applyNumberFormat="1" applyFont="1" applyBorder="1"/>
    <xf numFmtId="0" fontId="18" fillId="6" borderId="18" xfId="0" applyFont="1" applyFill="1" applyBorder="1" applyAlignment="1">
      <alignment vertical="center"/>
    </xf>
    <xf numFmtId="166" fontId="1" fillId="0" borderId="19" xfId="0" applyNumberFormat="1" applyFont="1" applyBorder="1" applyAlignment="1">
      <alignment horizontal="center"/>
    </xf>
    <xf numFmtId="0" fontId="17" fillId="0" borderId="0" xfId="0" applyFont="1" applyFill="1" applyBorder="1"/>
    <xf numFmtId="0" fontId="14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0" fontId="19" fillId="0" borderId="0" xfId="0" applyFont="1" applyBorder="1"/>
    <xf numFmtId="0" fontId="20" fillId="0" borderId="4" xfId="0" applyFont="1" applyFill="1" applyBorder="1" applyAlignment="1">
      <alignment horizontal="center"/>
    </xf>
    <xf numFmtId="1" fontId="3" fillId="2" borderId="2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18" fillId="6" borderId="21" xfId="0" applyFont="1" applyFill="1" applyBorder="1" applyAlignment="1">
      <alignment vertical="center"/>
    </xf>
    <xf numFmtId="166" fontId="1" fillId="0" borderId="14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 wrapText="1"/>
    </xf>
    <xf numFmtId="1" fontId="4" fillId="0" borderId="0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2" fontId="3" fillId="2" borderId="20" xfId="0" applyNumberFormat="1" applyFont="1" applyFill="1" applyBorder="1" applyAlignment="1">
      <alignment horizontal="center" wrapText="1"/>
    </xf>
    <xf numFmtId="0" fontId="3" fillId="2" borderId="20" xfId="0" applyFont="1" applyFill="1" applyBorder="1" applyAlignment="1">
      <alignment horizontal="center"/>
    </xf>
    <xf numFmtId="2" fontId="3" fillId="2" borderId="21" xfId="0" applyNumberFormat="1" applyFont="1" applyFill="1" applyBorder="1" applyAlignment="1">
      <alignment horizontal="center" wrapText="1"/>
    </xf>
    <xf numFmtId="1" fontId="3" fillId="2" borderId="20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wrapText="1"/>
    </xf>
    <xf numFmtId="0" fontId="4" fillId="0" borderId="0" xfId="0" applyFont="1" applyBorder="1" applyAlignment="1"/>
    <xf numFmtId="0" fontId="18" fillId="6" borderId="21" xfId="0" applyFont="1" applyFill="1" applyBorder="1" applyAlignment="1">
      <alignment horizontal="left" vertical="center"/>
    </xf>
    <xf numFmtId="166" fontId="1" fillId="0" borderId="4" xfId="0" applyNumberFormat="1" applyFont="1" applyBorder="1" applyAlignment="1">
      <alignment horizontal="center"/>
    </xf>
    <xf numFmtId="166" fontId="1" fillId="0" borderId="22" xfId="0" applyNumberFormat="1" applyFont="1" applyFill="1" applyBorder="1" applyAlignment="1">
      <alignment horizontal="center"/>
    </xf>
    <xf numFmtId="166" fontId="1" fillId="0" borderId="4" xfId="0" applyNumberFormat="1" applyFont="1" applyFill="1" applyBorder="1" applyAlignment="1">
      <alignment horizontal="center"/>
    </xf>
    <xf numFmtId="169" fontId="1" fillId="0" borderId="14" xfId="0" applyNumberFormat="1" applyFont="1" applyFill="1" applyBorder="1" applyAlignment="1">
      <alignment horizontal="center" wrapText="1"/>
    </xf>
    <xf numFmtId="169" fontId="15" fillId="0" borderId="0" xfId="0" applyNumberFormat="1" applyFont="1" applyFill="1" applyBorder="1" applyAlignment="1">
      <alignment horizontal="center" wrapText="1"/>
    </xf>
    <xf numFmtId="169" fontId="15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 wrapText="1"/>
    </xf>
    <xf numFmtId="0" fontId="15" fillId="0" borderId="0" xfId="0" applyFont="1" applyBorder="1" applyAlignment="1">
      <alignment horizontal="center"/>
    </xf>
    <xf numFmtId="2" fontId="11" fillId="0" borderId="0" xfId="0" applyNumberFormat="1" applyFont="1" applyFill="1" applyBorder="1" applyAlignment="1">
      <alignment horizontal="center" wrapText="1"/>
    </xf>
    <xf numFmtId="169" fontId="15" fillId="0" borderId="0" xfId="0" applyNumberFormat="1" applyFont="1" applyFill="1" applyBorder="1" applyAlignment="1"/>
    <xf numFmtId="1" fontId="19" fillId="0" borderId="0" xfId="0" applyNumberFormat="1" applyFont="1" applyBorder="1" applyAlignment="1">
      <alignment horizontal="center"/>
    </xf>
    <xf numFmtId="0" fontId="22" fillId="0" borderId="13" xfId="0" applyFont="1" applyFill="1" applyBorder="1" applyAlignment="1">
      <alignment horizontal="center"/>
    </xf>
    <xf numFmtId="169" fontId="3" fillId="2" borderId="2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8" fillId="6" borderId="23" xfId="0" applyFont="1" applyFill="1" applyBorder="1" applyAlignment="1">
      <alignment horizontal="left" vertical="center"/>
    </xf>
    <xf numFmtId="169" fontId="1" fillId="0" borderId="14" xfId="0" applyNumberFormat="1" applyFont="1" applyFill="1" applyBorder="1" applyAlignment="1">
      <alignment horizontal="center"/>
    </xf>
    <xf numFmtId="0" fontId="23" fillId="0" borderId="0" xfId="0" applyFont="1" applyBorder="1" applyAlignment="1">
      <alignment horizontal="left" vertical="center"/>
    </xf>
    <xf numFmtId="169" fontId="15" fillId="0" borderId="13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18" fillId="0" borderId="0" xfId="0" applyFont="1" applyBorder="1" applyAlignment="1">
      <alignment horizontal="left" vertical="center"/>
    </xf>
    <xf numFmtId="169" fontId="21" fillId="0" borderId="0" xfId="0" applyNumberFormat="1" applyFont="1" applyFill="1" applyBorder="1" applyAlignment="1">
      <alignment horizontal="center"/>
    </xf>
    <xf numFmtId="169" fontId="1" fillId="0" borderId="24" xfId="0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4" xfId="0" applyFont="1" applyBorder="1"/>
    <xf numFmtId="1" fontId="15" fillId="0" borderId="0" xfId="0" applyNumberFormat="1" applyFont="1" applyBorder="1" applyAlignment="1">
      <alignment horizontal="center"/>
    </xf>
    <xf numFmtId="0" fontId="20" fillId="2" borderId="0" xfId="0" applyFont="1" applyFill="1" applyBorder="1" applyAlignment="1">
      <alignment horizontal="left"/>
    </xf>
    <xf numFmtId="166" fontId="1" fillId="0" borderId="9" xfId="0" applyNumberFormat="1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10" fontId="1" fillId="0" borderId="9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1" fontId="4" fillId="0" borderId="15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0" fillId="0" borderId="0" xfId="0" applyBorder="1"/>
    <xf numFmtId="0" fontId="24" fillId="2" borderId="0" xfId="0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left" wrapText="1"/>
    </xf>
    <xf numFmtId="169" fontId="1" fillId="0" borderId="15" xfId="0" applyNumberFormat="1" applyFont="1" applyFill="1" applyBorder="1" applyAlignment="1">
      <alignment horizontal="center"/>
    </xf>
    <xf numFmtId="0" fontId="25" fillId="2" borderId="0" xfId="0" applyFont="1" applyFill="1" applyBorder="1" applyAlignment="1">
      <alignment horizontal="left"/>
    </xf>
    <xf numFmtId="169" fontId="1" fillId="0" borderId="9" xfId="0" applyNumberFormat="1" applyFont="1" applyFill="1" applyBorder="1" applyAlignment="1">
      <alignment horizontal="center"/>
    </xf>
    <xf numFmtId="10" fontId="1" fillId="0" borderId="0" xfId="0" applyNumberFormat="1" applyFont="1" applyFill="1" applyAlignment="1">
      <alignment horizontal="center"/>
    </xf>
    <xf numFmtId="0" fontId="2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Border="1" applyAlignment="1">
      <alignment horizontal="center"/>
    </xf>
    <xf numFmtId="165" fontId="9" fillId="0" borderId="11" xfId="0" applyNumberFormat="1" applyFont="1" applyFill="1" applyBorder="1" applyAlignment="1">
      <alignment horizontal="center"/>
    </xf>
    <xf numFmtId="166" fontId="1" fillId="0" borderId="14" xfId="0" applyNumberFormat="1" applyFont="1" applyFill="1" applyBorder="1" applyAlignment="1">
      <alignment horizontal="right"/>
    </xf>
    <xf numFmtId="169" fontId="1" fillId="0" borderId="19" xfId="0" applyNumberFormat="1" applyFont="1" applyFill="1" applyBorder="1" applyAlignment="1">
      <alignment horizontal="left"/>
    </xf>
    <xf numFmtId="166" fontId="1" fillId="0" borderId="19" xfId="0" applyNumberFormat="1" applyFont="1" applyBorder="1" applyAlignment="1">
      <alignment horizontal="left"/>
    </xf>
    <xf numFmtId="166" fontId="1" fillId="0" borderId="19" xfId="0" applyNumberFormat="1" applyFont="1" applyBorder="1" applyAlignment="1">
      <alignment horizontal="right"/>
    </xf>
    <xf numFmtId="166" fontId="1" fillId="0" borderId="14" xfId="0" applyNumberFormat="1" applyFont="1" applyBorder="1" applyAlignment="1">
      <alignment horizontal="right"/>
    </xf>
    <xf numFmtId="166" fontId="1" fillId="0" borderId="15" xfId="0" applyNumberFormat="1" applyFont="1" applyBorder="1" applyAlignment="1"/>
    <xf numFmtId="164" fontId="7" fillId="0" borderId="0" xfId="0" applyNumberFormat="1" applyFont="1" applyFill="1" applyBorder="1" applyAlignment="1">
      <alignment horizontal="center"/>
    </xf>
    <xf numFmtId="169" fontId="3" fillId="2" borderId="19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2" fontId="3" fillId="2" borderId="25" xfId="0" applyNumberFormat="1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2" fontId="1" fillId="5" borderId="19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vertical="center"/>
    </xf>
    <xf numFmtId="2" fontId="12" fillId="5" borderId="19" xfId="0" applyNumberFormat="1" applyFont="1" applyFill="1" applyBorder="1" applyAlignment="1">
      <alignment horizontal="left"/>
    </xf>
    <xf numFmtId="9" fontId="1" fillId="0" borderId="9" xfId="0" applyNumberFormat="1" applyFont="1" applyFill="1" applyBorder="1" applyAlignment="1">
      <alignment horizontal="center"/>
    </xf>
    <xf numFmtId="169" fontId="6" fillId="0" borderId="8" xfId="0" applyNumberFormat="1" applyFont="1" applyFill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6" fontId="27" fillId="0" borderId="0" xfId="0" applyNumberFormat="1" applyFont="1" applyBorder="1"/>
    <xf numFmtId="166" fontId="28" fillId="0" borderId="0" xfId="0" applyNumberFormat="1" applyFont="1" applyBorder="1"/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Knoxville Solid Waste</a:t>
            </a:r>
          </a:p>
          <a:p>
            <a:pPr>
              <a:defRPr/>
            </a:pPr>
            <a:r>
              <a:rPr lang="en-US" baseline="0"/>
              <a:t> 2017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2.6807355822056352E-2"/>
                  <c:y val="1.5685916907428869E-2"/>
                </c:manualLayout>
              </c:layout>
              <c:tx>
                <c:rich>
                  <a:bodyPr/>
                  <a:lstStyle/>
                  <a:p>
                    <a:fld id="{C87C4C8F-3DEE-4D04-AB5E-1EAD0417724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fld id="{220A8D85-1D71-421C-A3C0-653509D609E9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8CA2DFC1-660C-491C-AF31-4E6D0AB25B5F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1"/>
              <c:layout>
                <c:manualLayout>
                  <c:x val="9.6810580189788539E-2"/>
                  <c:y val="-9.1371075140426208E-2"/>
                </c:manualLayout>
              </c:layout>
              <c:tx>
                <c:rich>
                  <a:bodyPr/>
                  <a:lstStyle/>
                  <a:p>
                    <a:fld id="{C1A78D6A-330A-4981-9C2E-474596612D97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, </a:t>
                    </a:r>
                  </a:p>
                  <a:p>
                    <a:fld id="{64E4168F-AECB-42B6-8AF2-07E39044A6D9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, </a:t>
                    </a:r>
                    <a:fld id="{805BF675-9F7F-4768-9A3D-834C5C3CFD4C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2"/>
              <c:layout>
                <c:manualLayout>
                  <c:x val="1.3778324372972759E-3"/>
                  <c:y val="-0.17690423359714963"/>
                </c:manualLayout>
              </c:layout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4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'2017 TOTALS'!$A$37:$A$41</c15:sqref>
                  </c15:fullRef>
                </c:ext>
              </c:extLst>
              <c:f>('2017 TOTALS'!$A$37,'2017 TOTALS'!$A$39,'2017 TOTALS'!$A$41)</c:f>
              <c:strCache>
                <c:ptCount val="3"/>
                <c:pt idx="0">
                  <c:v>Total Waste Recycled (w/ Mulch)</c:v>
                </c:pt>
                <c:pt idx="1">
                  <c:v>Total Waste Diverted, Class III &amp; HHW</c:v>
                </c:pt>
                <c:pt idx="2">
                  <c:v>Total Waste Landfilled, Class I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'2017 TOTALS'!$B$37:$B$41</c15:sqref>
                  </c15:fullRef>
                </c:ext>
              </c:extLst>
              <c:f>('2017 TOTALS'!$B$37,'2017 TOTALS'!$B$39,'2017 TOTALS'!$B$41)</c:f>
              <c:numCache>
                <c:formatCode>0</c:formatCode>
                <c:ptCount val="3"/>
                <c:pt idx="0" formatCode="0.00\ &quot;tons&quot;">
                  <c:v>37788.74519999999</c:v>
                </c:pt>
                <c:pt idx="1" formatCode="0.00\ &quot;tons&quot;">
                  <c:v>38393.222499999996</c:v>
                </c:pt>
                <c:pt idx="2" formatCode="#,##0.00\ &quot;tons&quot;">
                  <c:v>64401.510000000009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4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43</xdr:row>
      <xdr:rowOff>285749</xdr:rowOff>
    </xdr:from>
    <xdr:to>
      <xdr:col>7</xdr:col>
      <xdr:colOff>1714499</xdr:colOff>
      <xdr:row>91</xdr:row>
      <xdr:rowOff>190498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topLeftCell="A10" zoomScale="40" zoomScaleNormal="40" workbookViewId="0">
      <selection activeCell="B47" sqref="B47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40.5703125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9.285156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32.1" customHeight="1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2.1" customHeight="1">
      <c r="A2" s="6" t="s">
        <v>61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32.1" customHeight="1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47"/>
      <c r="L3" s="147"/>
    </row>
    <row r="4" spans="1:16" s="5" customFormat="1" ht="32.1" customHeight="1">
      <c r="A4" s="16" t="s">
        <v>15</v>
      </c>
      <c r="B4" s="17">
        <f>SUM(Jul!B4,Aug!B4,Sep!B4,Oct!B4,Nov!B4,Dec!B4)</f>
        <v>6300</v>
      </c>
      <c r="C4" s="17">
        <f>SUM(Jul!C4,Aug!C4,Sep!C4,Oct!C4,Nov!C4,Dec!C4)</f>
        <v>2840</v>
      </c>
      <c r="D4" s="17">
        <f>SUM(Jul!D4,Aug!D4,Sep!D4,Oct!D4,Nov!D4,Dec!D4)</f>
        <v>1980</v>
      </c>
      <c r="E4" s="17">
        <f>SUM(Jul!E4,Aug!E4,Sep!E4,Oct!E4,Nov!E4,Dec!E4)</f>
        <v>25060</v>
      </c>
      <c r="F4" s="17">
        <f>SUM(Jul!F4,Aug!F4,Sep!F4,Oct!F4,Nov!F4,Dec!F4)</f>
        <v>1880</v>
      </c>
      <c r="G4" s="18">
        <f t="shared" ref="G4:G12" si="0">SUM(B4:F4)</f>
        <v>38060</v>
      </c>
      <c r="H4" s="17">
        <f>SUM(Jul!H4,Aug!H4,Sep!H4,Oct!H4,Nov!H4,Dec!H4)</f>
        <v>20090</v>
      </c>
      <c r="I4" s="20">
        <f>SUM(H4,G4)/2000</f>
        <v>29.074999999999999</v>
      </c>
      <c r="J4" s="21"/>
      <c r="L4" s="22"/>
    </row>
    <row r="5" spans="1:16" s="5" customFormat="1" ht="32.1" customHeight="1">
      <c r="A5" s="23" t="s">
        <v>16</v>
      </c>
      <c r="B5" s="17">
        <f>SUM(Jul!B5,Aug!B5,Sep!B5,Oct!B5,Nov!B5,Dec!B5)</f>
        <v>3460</v>
      </c>
      <c r="C5" s="17">
        <f>SUM(Jul!C5,Aug!C5,Sep!C5,Oct!C5,Nov!C5,Dec!C5)</f>
        <v>4520</v>
      </c>
      <c r="D5" s="17">
        <f>SUM(Jul!D5,Aug!D5,Sep!D5,Oct!D5,Nov!D5,Dec!D5)</f>
        <v>4900</v>
      </c>
      <c r="E5" s="17">
        <f>SUM(Jul!E5,Aug!E5,Sep!E5,Oct!E5,Nov!E5,Dec!E5)</f>
        <v>15260</v>
      </c>
      <c r="F5" s="17">
        <f>SUM(Jul!F5,Aug!F5,Sep!F5,Oct!F5,Nov!F5,Dec!F5)</f>
        <v>4280</v>
      </c>
      <c r="G5" s="18">
        <f t="shared" si="0"/>
        <v>32420</v>
      </c>
      <c r="H5" s="17">
        <f>SUM(Jul!H5,Aug!H5,Sep!H5,Oct!H5,Nov!H5,Dec!H5)</f>
        <v>60264</v>
      </c>
      <c r="I5" s="20">
        <f t="shared" ref="I5:I12" si="1">SUM(H5,G5)/2000</f>
        <v>46.341999999999999</v>
      </c>
      <c r="J5" s="21"/>
      <c r="L5" s="22"/>
    </row>
    <row r="6" spans="1:16" s="5" customFormat="1" ht="32.1" customHeight="1">
      <c r="A6" s="16" t="s">
        <v>17</v>
      </c>
      <c r="B6" s="17">
        <f>SUM(Jul!B6,Aug!B6,Sep!B6,Oct!B6,Nov!B6,Dec!B6)</f>
        <v>32420</v>
      </c>
      <c r="C6" s="17">
        <f>SUM(Jul!C6,Aug!C6,Sep!C6,Oct!C6,Nov!C6,Dec!C6)</f>
        <v>54048</v>
      </c>
      <c r="D6" s="17">
        <f>SUM(Jul!D6,Aug!D6,Sep!D6,Oct!D6,Nov!D6,Dec!D6)</f>
        <v>34240</v>
      </c>
      <c r="E6" s="17">
        <f>SUM(Jul!E6,Aug!E6,Sep!E6,Oct!E6,Nov!E6,Dec!E6)</f>
        <v>172390</v>
      </c>
      <c r="F6" s="17">
        <f>SUM(Jul!F6,Aug!F6,Sep!F6,Oct!F6,Nov!F6,Dec!F6)</f>
        <v>22680</v>
      </c>
      <c r="G6" s="18">
        <f t="shared" si="0"/>
        <v>315778</v>
      </c>
      <c r="H6" s="17">
        <f>SUM(Jul!H6,Aug!H6,Sep!H6,Oct!H6,Nov!H6,Dec!H6)</f>
        <v>261144</v>
      </c>
      <c r="I6" s="20">
        <f t="shared" si="1"/>
        <v>288.46100000000001</v>
      </c>
      <c r="J6" s="21"/>
      <c r="L6" s="22"/>
    </row>
    <row r="7" spans="1:16" s="5" customFormat="1" ht="32.1" customHeight="1">
      <c r="A7" s="16" t="s">
        <v>18</v>
      </c>
      <c r="B7" s="17">
        <f>SUM(Jul!B7,Aug!B7,Sep!B7,Oct!B7,Nov!B7,Dec!B7)</f>
        <v>16979.666666666664</v>
      </c>
      <c r="C7" s="17">
        <f>SUM(Jul!C7,Aug!C7,Sep!C7,Oct!C7,Nov!C7,Dec!C7)</f>
        <v>34213</v>
      </c>
      <c r="D7" s="17">
        <f>SUM(Jul!D7,Aug!D7,Sep!D7,Oct!D7,Nov!D7,Dec!D7)</f>
        <v>27941.333333333332</v>
      </c>
      <c r="E7" s="17">
        <f>SUM(Jul!E7,Aug!E7,Sep!E7,Oct!E7,Nov!E7,Dec!E7)</f>
        <v>82212.333333333343</v>
      </c>
      <c r="F7" s="17">
        <f>SUM(Jul!F7,Aug!F7,Sep!F7,Oct!F7,Nov!F7,Dec!F7)</f>
        <v>33947</v>
      </c>
      <c r="G7" s="18">
        <f t="shared" si="0"/>
        <v>195293.33333333334</v>
      </c>
      <c r="H7" s="17">
        <f>SUM(Jul!H7,Aug!H7,Sep!H7,Oct!H7,Nov!H7,Dec!H7)</f>
        <v>180792</v>
      </c>
      <c r="I7" s="20">
        <f t="shared" si="1"/>
        <v>188.04266666666669</v>
      </c>
      <c r="J7" s="21"/>
      <c r="L7" s="22"/>
    </row>
    <row r="8" spans="1:16" s="5" customFormat="1" ht="32.1" customHeight="1">
      <c r="A8" s="16" t="s">
        <v>19</v>
      </c>
      <c r="B8" s="17">
        <f>SUM(Jul!B8,Aug!B8,Sep!B8,Oct!B8,Nov!B8,Dec!B8)</f>
        <v>16979.666666666664</v>
      </c>
      <c r="C8" s="17">
        <f>SUM(Jul!C8,Aug!C8,Sep!C8,Oct!C8,Nov!C8,Dec!C8)</f>
        <v>34213</v>
      </c>
      <c r="D8" s="17">
        <f>SUM(Jul!D8,Aug!D8,Sep!D8,Oct!D8,Nov!D8,Dec!D8)</f>
        <v>27941.333333333332</v>
      </c>
      <c r="E8" s="17">
        <f>SUM(Jul!E8,Aug!E8,Sep!E8,Oct!E8,Nov!E8,Dec!E8)</f>
        <v>82212.333333333343</v>
      </c>
      <c r="F8" s="17">
        <f>SUM(Jul!F8,Aug!F8,Sep!F8,Oct!F8,Nov!F8,Dec!F8)</f>
        <v>33947</v>
      </c>
      <c r="G8" s="18">
        <f t="shared" si="0"/>
        <v>195293.33333333334</v>
      </c>
      <c r="H8" s="17">
        <f>SUM(Jul!H8,Aug!H8,Sep!H8,Oct!H8,Nov!H8,Dec!H8)</f>
        <v>180792</v>
      </c>
      <c r="I8" s="20">
        <f t="shared" si="1"/>
        <v>188.04266666666669</v>
      </c>
      <c r="J8" s="21"/>
      <c r="L8" s="22"/>
    </row>
    <row r="9" spans="1:16" s="5" customFormat="1" ht="32.1" customHeight="1">
      <c r="A9" s="16" t="s">
        <v>20</v>
      </c>
      <c r="B9" s="17">
        <f>SUM(Jul!B9,Aug!B9,Sep!B9,Oct!B9,Nov!B9,Dec!B9)</f>
        <v>16979.666666666664</v>
      </c>
      <c r="C9" s="17">
        <f>SUM(Jul!C9,Aug!C9,Sep!C9,Oct!C9,Nov!C9,Dec!C9)</f>
        <v>34213</v>
      </c>
      <c r="D9" s="17">
        <f>SUM(Jul!D9,Aug!D9,Sep!D9,Oct!D9,Nov!D9,Dec!D9)</f>
        <v>27941.333333333332</v>
      </c>
      <c r="E9" s="17">
        <f>SUM(Jul!E9,Aug!E9,Sep!E9,Oct!E9,Nov!E9,Dec!E9)</f>
        <v>82212.333333333343</v>
      </c>
      <c r="F9" s="17">
        <f>SUM(Jul!F9,Aug!F9,Sep!F9,Oct!F9,Nov!F9,Dec!F9)</f>
        <v>33947</v>
      </c>
      <c r="G9" s="18">
        <f t="shared" si="0"/>
        <v>195293.33333333334</v>
      </c>
      <c r="H9" s="17">
        <f>SUM(Jul!H9,Aug!H9,Sep!H9,Oct!H9,Nov!H9,Dec!H9)</f>
        <v>180792</v>
      </c>
      <c r="I9" s="20">
        <f t="shared" si="1"/>
        <v>188.04266666666669</v>
      </c>
      <c r="J9" s="24"/>
      <c r="L9" s="22"/>
    </row>
    <row r="10" spans="1:16" s="25" customFormat="1" ht="31.5" customHeight="1">
      <c r="A10" s="16" t="s">
        <v>21</v>
      </c>
      <c r="B10" s="17">
        <f>SUM(Jul!B10,Aug!B10,Sep!B10,Oct!B10,Nov!B10,Dec!B10)</f>
        <v>30800</v>
      </c>
      <c r="C10" s="17">
        <f>SUM(Jul!C10,Aug!C10,Sep!C10,Oct!C10,Nov!C10,Dec!C10)</f>
        <v>119320</v>
      </c>
      <c r="D10" s="17">
        <f>SUM(Jul!D10,Aug!D10,Sep!D10,Oct!D10,Nov!D10,Dec!D10)</f>
        <v>30840</v>
      </c>
      <c r="E10" s="17">
        <f>SUM(Jul!E10,Aug!E10,Sep!E10,Oct!E10,Nov!E10,Dec!E10)</f>
        <v>128620</v>
      </c>
      <c r="F10" s="17">
        <f>SUM(Jul!F10,Aug!F10,Sep!F10,Oct!F10,Nov!F10,Dec!F10)</f>
        <v>9300</v>
      </c>
      <c r="G10" s="18">
        <f t="shared" si="0"/>
        <v>318880</v>
      </c>
      <c r="H10" s="17">
        <f>SUM(Jul!H10,Aug!H10,Sep!H10,Oct!H10,Nov!H10,Dec!H10)</f>
        <v>1205280</v>
      </c>
      <c r="I10" s="20">
        <f>SUM(H10,G10)/2000</f>
        <v>762.08</v>
      </c>
      <c r="J10" s="21"/>
      <c r="K10" s="5"/>
      <c r="L10" s="22"/>
    </row>
    <row r="11" spans="1:16" s="5" customFormat="1" ht="32.1" customHeight="1">
      <c r="A11" s="16" t="s">
        <v>22</v>
      </c>
      <c r="B11" s="17">
        <f>SUM(Jul!B11,Aug!B11,Sep!B11,Oct!B11,Nov!B11,Dec!B11)</f>
        <v>47760</v>
      </c>
      <c r="C11" s="17">
        <f>SUM(Jul!C11,Aug!C11,Sep!C11,Oct!C11,Nov!C11,Dec!C11)</f>
        <v>69040</v>
      </c>
      <c r="D11" s="17">
        <f>SUM(Jul!D11,Aug!D11,Sep!D11,Oct!D11,Nov!D11,Dec!D11)</f>
        <v>59200</v>
      </c>
      <c r="E11" s="17">
        <f>SUM(Jul!E11,Aug!E11,Sep!E11,Oct!E11,Nov!E11,Dec!E11)</f>
        <v>347520</v>
      </c>
      <c r="F11" s="17">
        <f>SUM(Jul!F11,Aug!F11,Sep!F11,Oct!F11,Nov!F11,Dec!F11)</f>
        <v>46320</v>
      </c>
      <c r="G11" s="18">
        <f t="shared" si="0"/>
        <v>569840</v>
      </c>
      <c r="H11" s="17">
        <f>SUM(Jul!H11,Aug!H11,Sep!H11,Oct!H11,Nov!H11,Dec!H11)</f>
        <v>1205280</v>
      </c>
      <c r="I11" s="20">
        <f>SUM(H11,G11)/2000</f>
        <v>887.56</v>
      </c>
      <c r="J11" s="21"/>
      <c r="L11" s="22"/>
    </row>
    <row r="12" spans="1:16" s="5" customFormat="1" ht="32.1" customHeight="1">
      <c r="A12" s="16" t="s">
        <v>23</v>
      </c>
      <c r="B12" s="17">
        <f>SUM(Jul!B12,Aug!B12,Sep!B12,Oct!B12,Nov!B12,Dec!B12)</f>
        <v>52100</v>
      </c>
      <c r="C12" s="17">
        <f>SUM(Jul!C12,Aug!C12,Sep!C12,Oct!C12,Nov!C12,Dec!C12)</f>
        <v>56520</v>
      </c>
      <c r="D12" s="17">
        <f>SUM(Jul!D12,Aug!D12,Sep!D12,Oct!D12,Nov!D12,Dec!D12)</f>
        <v>59840</v>
      </c>
      <c r="E12" s="17">
        <f>SUM(Jul!E12,Aug!E12,Sep!E12,Oct!E12,Nov!E12,Dec!E12)</f>
        <v>218710</v>
      </c>
      <c r="F12" s="17">
        <f>SUM(Jul!F12,Aug!F12,Sep!F12,Oct!F12,Nov!F12,Dec!F12)</f>
        <v>52860</v>
      </c>
      <c r="G12" s="18">
        <f t="shared" si="0"/>
        <v>440030</v>
      </c>
      <c r="H12" s="17">
        <f>SUM(Jul!H12,Aug!H12,Sep!H12,Oct!H12,Nov!H12,Dec!H12)</f>
        <v>526035</v>
      </c>
      <c r="I12" s="20">
        <f t="shared" si="1"/>
        <v>483.03250000000003</v>
      </c>
      <c r="J12" s="21"/>
      <c r="L12" s="22"/>
    </row>
    <row r="13" spans="1:16" s="5" customFormat="1" ht="32.1" customHeight="1">
      <c r="A13" s="26" t="s">
        <v>24</v>
      </c>
      <c r="B13" s="27">
        <f t="shared" ref="B13:H13" si="2">SUM(B4:B12)/2000</f>
        <v>111.8895</v>
      </c>
      <c r="C13" s="27">
        <f t="shared" si="2"/>
        <v>204.46350000000001</v>
      </c>
      <c r="D13" s="27">
        <f t="shared" si="2"/>
        <v>137.41200000000001</v>
      </c>
      <c r="E13" s="27">
        <f t="shared" si="2"/>
        <v>577.09849999999994</v>
      </c>
      <c r="F13" s="27">
        <f t="shared" si="2"/>
        <v>119.5805</v>
      </c>
      <c r="G13" s="27">
        <f t="shared" si="2"/>
        <v>1150.444</v>
      </c>
      <c r="H13" s="27">
        <f t="shared" si="2"/>
        <v>1910.2345</v>
      </c>
      <c r="I13" s="28">
        <f>SUM(I4:I12)</f>
        <v>3060.6785</v>
      </c>
      <c r="J13" s="146"/>
      <c r="K13" s="29"/>
      <c r="L13" s="22"/>
    </row>
    <row r="14" spans="1:16" s="5" customFormat="1" ht="32.1" customHeight="1">
      <c r="A14" s="142"/>
      <c r="B14" s="17"/>
      <c r="K14" s="31"/>
      <c r="M14" s="32"/>
      <c r="N14" s="32"/>
    </row>
    <row r="15" spans="1:16" s="5" customFormat="1" ht="32.1" customHeight="1">
      <c r="A15" s="144" t="s">
        <v>25</v>
      </c>
      <c r="B15" s="140">
        <f>SUM(Jul!B15,Aug!B15,Sep!B15,Oct!B15,Nov!B15,Dec!B15)</f>
        <v>9.7995000000000001</v>
      </c>
      <c r="C15" s="17"/>
      <c r="D15" s="17"/>
      <c r="E15" s="17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32.1" customHeight="1">
      <c r="A16" s="141" t="s">
        <v>26</v>
      </c>
      <c r="B16" s="140">
        <f>SUM(Jul!B16,Aug!B16,Sep!B16,Oct!B16,Nov!B16,Dec!B16)</f>
        <v>46.949999999999996</v>
      </c>
      <c r="C16" s="41"/>
      <c r="D16" s="42"/>
      <c r="E16" s="140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>
      <c r="A17" s="141" t="s">
        <v>28</v>
      </c>
      <c r="B17" s="140">
        <f>SUM(Jul!B17,Aug!B17,Sep!B17,Oct!B17,Nov!B17,Dec!B17)</f>
        <v>177.25</v>
      </c>
      <c r="C17" s="41"/>
      <c r="D17" s="48" t="s">
        <v>29</v>
      </c>
      <c r="E17" s="140">
        <f>SUM(Jul!E17,Aug!E17,Sep!E17,Oct!E17,Nov!E17,Dec!E17)</f>
        <v>27.12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143"/>
      <c r="B18" s="17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/>
      <c r="B19" s="1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17"/>
      <c r="C20" s="50"/>
      <c r="D20" s="50"/>
      <c r="E20" s="50"/>
      <c r="F20" s="50"/>
      <c r="H20" s="50"/>
      <c r="I20" s="50"/>
      <c r="J20" s="50"/>
      <c r="K20" s="61"/>
      <c r="L20" s="61"/>
      <c r="M20" s="50"/>
      <c r="N20" s="50"/>
      <c r="O20" s="50"/>
      <c r="P20" s="62"/>
    </row>
    <row r="21" spans="1:18" s="53" customFormat="1" ht="32.1" customHeight="1" thickBot="1">
      <c r="A21" s="63"/>
      <c r="B21" s="139" t="s">
        <v>31</v>
      </c>
      <c r="C21" s="139" t="s">
        <v>32</v>
      </c>
      <c r="D21" s="64" t="s">
        <v>33</v>
      </c>
      <c r="E21" s="65"/>
      <c r="F21" s="61"/>
      <c r="H21" s="61"/>
      <c r="I21" s="61"/>
      <c r="J21" s="61"/>
      <c r="K21" s="61"/>
      <c r="L21" s="106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140">
        <f>SUM(Jul!B22,Aug!B22,Sep!B22,Oct!B22,Nov!B22,Dec!B22)</f>
        <v>2368.9500000000003</v>
      </c>
      <c r="C22" s="140">
        <f>SUM(Jul!C22,Aug!C22,Sep!C22,Oct!C22,Nov!C22,Dec!C22)</f>
        <v>10812.160000000002</v>
      </c>
      <c r="D22" s="48">
        <f>SUM(B22:C22)</f>
        <v>13181.110000000002</v>
      </c>
      <c r="E22" s="69"/>
      <c r="F22" s="61"/>
      <c r="H22" s="61"/>
      <c r="I22" s="61"/>
      <c r="J22" s="61"/>
      <c r="K22" s="50"/>
      <c r="L22" s="111"/>
      <c r="M22" s="61"/>
      <c r="N22" s="61"/>
      <c r="O22" s="61"/>
      <c r="P22" s="60"/>
    </row>
    <row r="23" spans="1:18" s="60" customFormat="1" ht="32.1" customHeight="1" thickBot="1">
      <c r="A23" s="59"/>
      <c r="B23" s="17"/>
      <c r="C23" s="70"/>
      <c r="D23" s="71"/>
      <c r="E23" s="50"/>
      <c r="F23" s="50"/>
      <c r="H23" s="50"/>
      <c r="I23" s="50"/>
      <c r="J23" s="50"/>
      <c r="K23" s="72"/>
      <c r="L23" s="111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136" t="s">
        <v>35</v>
      </c>
      <c r="C24" s="137" t="s">
        <v>36</v>
      </c>
      <c r="D24" s="136" t="s">
        <v>37</v>
      </c>
      <c r="E24" s="138" t="s">
        <v>38</v>
      </c>
      <c r="F24" s="79" t="s">
        <v>39</v>
      </c>
      <c r="G24" s="79" t="s">
        <v>40</v>
      </c>
      <c r="H24" s="79" t="s">
        <v>41</v>
      </c>
      <c r="I24" s="79" t="s">
        <v>42</v>
      </c>
      <c r="K24" s="72"/>
      <c r="L24" s="111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140">
        <f>SUM(Jul!B25,Aug!B25,Sep!B25,Oct!B25,Nov!B25,Dec!B25)</f>
        <v>208.07</v>
      </c>
      <c r="C25" s="140">
        <f>SUM(Jul!C25,Aug!C25,Sep!C25,Oct!C25,Nov!C25,Dec!C25)</f>
        <v>0</v>
      </c>
      <c r="D25" s="140">
        <f>SUM(Jul!D25,Aug!D25,Sep!D25,Oct!D25,Nov!D25,Dec!D25)</f>
        <v>21.434000000000001</v>
      </c>
      <c r="E25" s="140">
        <f>SUM(Jul!E25,Aug!E25,Sep!E25,Oct!E25,Nov!E25,Dec!E25)</f>
        <v>3.335</v>
      </c>
      <c r="F25" s="140">
        <f>SUM(Jul!F25,Aug!F25,Sep!F25,Oct!F25,Nov!F25,Dec!F25)</f>
        <v>13481.989999999998</v>
      </c>
      <c r="G25" s="140">
        <f>SUM(Jul!G25,Aug!G25,Sep!G25,Oct!G25,Nov!G25,Dec!G25)</f>
        <v>5755.04</v>
      </c>
      <c r="H25" s="140">
        <f>SUM(Jul!H25,Aug!H25,Sep!H25,Oct!H25,Nov!H25,Dec!H25)</f>
        <v>10.36</v>
      </c>
      <c r="I25" s="140">
        <f>SUM(Jul!I25,Aug!I25,Sep!I25,Oct!I25,Nov!I25,Dec!I25)</f>
        <v>40.199999999999996</v>
      </c>
      <c r="K25" s="86"/>
      <c r="L25" s="111"/>
      <c r="M25" s="88"/>
      <c r="N25" s="73"/>
    </row>
    <row r="26" spans="1:18" s="53" customFormat="1" ht="32.1" customHeight="1" thickBot="1">
      <c r="A26" s="89"/>
      <c r="B26" s="17"/>
      <c r="C26" s="50"/>
      <c r="D26" s="50"/>
      <c r="E26" s="90"/>
      <c r="F26" s="50"/>
      <c r="G26" s="66"/>
      <c r="H26" s="50"/>
      <c r="I26" s="50"/>
      <c r="J26" s="50"/>
      <c r="K26" s="61"/>
      <c r="L26" s="61"/>
      <c r="M26" s="50"/>
      <c r="N26" s="50"/>
      <c r="O26" s="91"/>
      <c r="P26" s="92"/>
    </row>
    <row r="27" spans="1:18" s="53" customFormat="1" ht="32.1" customHeight="1" thickBot="1">
      <c r="A27" s="93"/>
      <c r="B27" s="79" t="s">
        <v>44</v>
      </c>
      <c r="C27" s="79" t="s">
        <v>45</v>
      </c>
      <c r="D27" s="135" t="s">
        <v>33</v>
      </c>
      <c r="E27" s="69"/>
      <c r="F27" s="61"/>
      <c r="G27" s="61"/>
      <c r="H27" s="61"/>
      <c r="I27" s="79" t="s">
        <v>67</v>
      </c>
      <c r="J27" s="61"/>
      <c r="K27" s="148"/>
      <c r="L27" s="106"/>
      <c r="M27" s="148"/>
      <c r="N27" s="148"/>
      <c r="O27" s="50"/>
      <c r="P27" s="66"/>
    </row>
    <row r="28" spans="1:18" s="53" customFormat="1" ht="32.1" customHeight="1" thickBot="1">
      <c r="A28" s="96" t="s">
        <v>46</v>
      </c>
      <c r="B28" s="140">
        <f>SUM(Jul!B28,Aug!B28,Sep!B28,Oct!B28,Nov!B28,Dec!B28)</f>
        <v>20544.899999999998</v>
      </c>
      <c r="C28" s="140">
        <f>SUM(Jul!C28,Aug!C28,Sep!C28,Oct!C28,Nov!C28,Dec!C28)</f>
        <v>10.67</v>
      </c>
      <c r="D28" s="48">
        <f>SUM(B28:C28,G25)</f>
        <v>26310.609999999997</v>
      </c>
      <c r="E28" s="61"/>
      <c r="F28" s="61"/>
      <c r="G28" s="61"/>
      <c r="H28" s="61"/>
      <c r="I28" s="48">
        <f>SUM(B25:I25)</f>
        <v>19520.429</v>
      </c>
      <c r="J28" s="61"/>
      <c r="K28" s="50"/>
      <c r="L28" s="111"/>
      <c r="M28" s="148"/>
      <c r="N28" s="148"/>
      <c r="O28" s="148"/>
      <c r="P28" s="60"/>
    </row>
    <row r="29" spans="1:18" s="53" customFormat="1" ht="32.1" customHeight="1">
      <c r="A29" s="98"/>
      <c r="B29" s="17"/>
      <c r="C29" s="87"/>
      <c r="D29" s="87"/>
      <c r="E29" s="87"/>
      <c r="F29" s="87"/>
      <c r="G29" s="87"/>
      <c r="H29" s="50"/>
      <c r="I29" s="50"/>
      <c r="J29" s="50"/>
      <c r="K29" s="61"/>
      <c r="L29" s="111"/>
      <c r="M29" s="50"/>
      <c r="N29" s="50"/>
      <c r="O29" s="100"/>
    </row>
    <row r="30" spans="1:18" s="53" customFormat="1" ht="32.1" customHeight="1" thickBot="1">
      <c r="A30" s="101" t="s">
        <v>47</v>
      </c>
      <c r="B30" s="134" t="s">
        <v>43</v>
      </c>
      <c r="C30" s="134" t="s">
        <v>48</v>
      </c>
      <c r="D30" s="134" t="s">
        <v>49</v>
      </c>
      <c r="E30" s="134" t="s">
        <v>33</v>
      </c>
      <c r="F30" s="102"/>
      <c r="G30" s="69"/>
      <c r="H30" s="61"/>
      <c r="I30" s="61"/>
      <c r="J30" s="61"/>
      <c r="K30" s="61"/>
      <c r="L30" s="11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40">
        <f>SUM(Jul!B31,Aug!B31,Sep!B31,Oct!B31,Nov!B31,Dec!B31)</f>
        <v>13481.989999999998</v>
      </c>
      <c r="C31" s="140">
        <f>SUM(Jul!C31,Aug!C31,Sep!C31,Oct!C31,Nov!C31,Dec!C31)</f>
        <v>3369.7900000000004</v>
      </c>
      <c r="D31" s="140">
        <f>SUM(Jul!D31,Aug!D31,Sep!D31,Oct!D31,Nov!D31,Dec!D31)</f>
        <v>2293.4299999999998</v>
      </c>
      <c r="E31" s="48">
        <f>SUM(B31:D31)</f>
        <v>19145.21</v>
      </c>
      <c r="F31" s="69"/>
      <c r="G31" s="69" t="s">
        <v>62</v>
      </c>
      <c r="H31" s="61"/>
      <c r="I31" s="61"/>
      <c r="J31" s="61"/>
      <c r="K31" s="61"/>
      <c r="L31" s="111"/>
      <c r="M31" s="61"/>
      <c r="N31" s="61"/>
      <c r="O31" s="61"/>
    </row>
    <row r="32" spans="1:18" s="53" customFormat="1" ht="32.1" customHeight="1">
      <c r="A32" s="148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32.1" customHeight="1">
      <c r="F33" s="61"/>
      <c r="G33" s="61"/>
      <c r="H33" s="61"/>
      <c r="I33" s="61"/>
      <c r="J33" s="61"/>
      <c r="K33" s="61"/>
      <c r="L33" s="106"/>
      <c r="M33" s="61"/>
      <c r="N33" s="61"/>
      <c r="O33" s="61"/>
    </row>
    <row r="34" spans="1:16" s="53" customFormat="1" ht="32.1" customHeight="1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32.1" customHeight="1">
      <c r="A35" s="107" t="s">
        <v>66</v>
      </c>
      <c r="B35" s="108">
        <f>SUM(I13+B15+B16+B17+B19+L26+C25+D25+H25+I25+E17)</f>
        <v>3393.7919999999999</v>
      </c>
      <c r="D35" s="107" t="s">
        <v>52</v>
      </c>
      <c r="E35" s="145">
        <f>B35/B43</f>
        <v>5.006398005272146E-2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32.1" customHeight="1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32.1" customHeight="1">
      <c r="A37" s="107" t="s">
        <v>65</v>
      </c>
      <c r="B37" s="108">
        <f>SUM(I13+B15+B16+B17+B19+D22+L26+C25+D25+H25+I25+E17)</f>
        <v>16574.902000000002</v>
      </c>
      <c r="C37" s="61"/>
      <c r="D37" s="109" t="s">
        <v>64</v>
      </c>
      <c r="E37" s="110">
        <f>B37/B43</f>
        <v>0.2445069005713412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31.5" customHeight="1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5.5" customHeight="1">
      <c r="A39" s="116" t="s">
        <v>63</v>
      </c>
      <c r="B39" s="108">
        <f>SUM(E25+E31)</f>
        <v>19148.544999999998</v>
      </c>
      <c r="C39" s="117"/>
      <c r="D39" s="109" t="s">
        <v>54</v>
      </c>
      <c r="E39" s="110">
        <f>B39/B43</f>
        <v>0.28247234212309985</v>
      </c>
    </row>
    <row r="40" spans="1:16" ht="31.5" customHeight="1">
      <c r="A40" s="118"/>
      <c r="B40" s="119"/>
      <c r="C40" s="61"/>
      <c r="D40" s="61"/>
      <c r="E40" s="61"/>
    </row>
    <row r="41" spans="1:16" ht="26.1" customHeight="1">
      <c r="A41" s="120" t="s">
        <v>55</v>
      </c>
      <c r="B41" s="121">
        <f>SUM(G25+D28)</f>
        <v>32065.649999999998</v>
      </c>
      <c r="C41" s="61"/>
      <c r="D41" s="122"/>
      <c r="E41" s="122"/>
    </row>
    <row r="42" spans="1:16" ht="31.5" customHeight="1">
      <c r="A42" s="112"/>
      <c r="B42" s="119"/>
      <c r="C42" s="61"/>
      <c r="D42" s="123"/>
      <c r="E42" s="104"/>
    </row>
    <row r="43" spans="1:16" ht="26.1" customHeight="1">
      <c r="A43" s="107" t="s">
        <v>58</v>
      </c>
      <c r="B43" s="121">
        <f>B39+B41+B37</f>
        <v>67789.096999999994</v>
      </c>
      <c r="C43" s="61"/>
      <c r="D43" s="124"/>
      <c r="E43" s="122"/>
      <c r="F43" s="115"/>
    </row>
    <row r="44" spans="1:16" ht="31.5" customHeight="1">
      <c r="A44" s="115"/>
      <c r="B44" s="115"/>
      <c r="C44" s="115"/>
      <c r="D44" s="124"/>
      <c r="E44" s="115"/>
      <c r="F44" s="115"/>
    </row>
    <row r="45" spans="1:16" ht="26.1" customHeight="1">
      <c r="A45" s="115"/>
      <c r="B45" s="115"/>
      <c r="C45" s="115"/>
      <c r="D45" s="115"/>
      <c r="E45" s="115"/>
      <c r="F45" s="115"/>
    </row>
    <row r="46" spans="1:16" ht="26.1" customHeight="1">
      <c r="A46" s="115"/>
      <c r="B46" s="115"/>
      <c r="C46" s="115"/>
      <c r="D46" s="115"/>
      <c r="E46" s="115"/>
      <c r="F46" s="115"/>
    </row>
    <row r="47" spans="1:16" ht="26.1" customHeight="1">
      <c r="A47" s="115"/>
      <c r="B47" s="149">
        <f>SUM(B37:B39)</f>
        <v>35723.447</v>
      </c>
      <c r="C47" s="115"/>
      <c r="D47" s="115"/>
      <c r="E47" s="115"/>
      <c r="F47" s="115"/>
    </row>
    <row r="48" spans="1:16" ht="26.1" customHeight="1">
      <c r="A48" s="115"/>
      <c r="B48" s="150"/>
      <c r="C48" s="115"/>
      <c r="D48" s="115"/>
      <c r="E48" s="115"/>
      <c r="F48" s="115"/>
    </row>
    <row r="49" s="115" customFormat="1" ht="26.1" customHeight="1"/>
    <row r="50" s="115" customFormat="1" ht="26.1" customHeight="1"/>
    <row r="51" s="115" customFormat="1" ht="26.1" customHeight="1"/>
    <row r="52" s="115" customFormat="1" ht="26.1" customHeight="1"/>
    <row r="53" s="115" customFormat="1" ht="26.1" customHeight="1"/>
    <row r="54" s="115" customFormat="1" ht="26.1" customHeight="1"/>
    <row r="55" s="115" customFormat="1" ht="26.1" customHeight="1"/>
  </sheetData>
  <mergeCells count="1">
    <mergeCell ref="J2:L2"/>
  </mergeCells>
  <pageMargins left="0.25" right="0.25" top="0.75" bottom="0.75" header="0.3" footer="0.3"/>
  <pageSetup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42948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4820</v>
      </c>
      <c r="C4" s="17">
        <v>320</v>
      </c>
      <c r="D4" s="17">
        <v>380</v>
      </c>
      <c r="E4" s="17">
        <v>3140</v>
      </c>
      <c r="F4" s="17"/>
      <c r="G4" s="18">
        <f t="shared" ref="G4:G12" si="0">SUM(B4:F4)</f>
        <v>8660</v>
      </c>
      <c r="H4" s="19">
        <v>3906</v>
      </c>
      <c r="I4" s="20">
        <f>SUM(H4,G4)/2000</f>
        <v>6.2830000000000004</v>
      </c>
      <c r="J4" s="21"/>
      <c r="L4" s="22"/>
    </row>
    <row r="5" spans="1:16" s="5" customFormat="1" ht="27.75">
      <c r="A5" s="23" t="s">
        <v>16</v>
      </c>
      <c r="B5" s="17">
        <v>460</v>
      </c>
      <c r="C5" s="17">
        <v>460</v>
      </c>
      <c r="D5" s="17">
        <v>1000</v>
      </c>
      <c r="E5" s="17">
        <v>2240</v>
      </c>
      <c r="F5" s="17">
        <v>780</v>
      </c>
      <c r="G5" s="18">
        <f t="shared" si="0"/>
        <v>4940</v>
      </c>
      <c r="H5" s="19">
        <v>11717</v>
      </c>
      <c r="I5" s="20">
        <f t="shared" ref="I5:I12" si="1">SUM(H5,G5)/2000</f>
        <v>8.3285</v>
      </c>
      <c r="J5" s="21"/>
      <c r="L5" s="22"/>
    </row>
    <row r="6" spans="1:16" s="5" customFormat="1" ht="27.75">
      <c r="A6" s="16" t="s">
        <v>17</v>
      </c>
      <c r="B6" s="17">
        <v>8240</v>
      </c>
      <c r="C6" s="17">
        <v>8960</v>
      </c>
      <c r="D6" s="17">
        <v>8020</v>
      </c>
      <c r="E6" s="17">
        <v>27440</v>
      </c>
      <c r="F6" s="17">
        <v>4220</v>
      </c>
      <c r="G6" s="18">
        <f t="shared" si="0"/>
        <v>56880</v>
      </c>
      <c r="H6" s="19">
        <f>23435+11717+15623</f>
        <v>50775</v>
      </c>
      <c r="I6" s="20">
        <f t="shared" si="1"/>
        <v>53.827500000000001</v>
      </c>
      <c r="J6" s="21"/>
      <c r="L6" s="22"/>
    </row>
    <row r="7" spans="1:16" s="5" customFormat="1" ht="27.75">
      <c r="A7" s="16" t="s">
        <v>18</v>
      </c>
      <c r="B7" s="17">
        <f>10640/3</f>
        <v>3546.6666666666665</v>
      </c>
      <c r="C7" s="17">
        <f>13200/3</f>
        <v>4400</v>
      </c>
      <c r="D7" s="17">
        <f>14440/3</f>
        <v>4813.333333333333</v>
      </c>
      <c r="E7" s="17">
        <f>41380/3</f>
        <v>13793.333333333334</v>
      </c>
      <c r="F7" s="17">
        <f>15480/3</f>
        <v>5160</v>
      </c>
      <c r="G7" s="18">
        <f t="shared" si="0"/>
        <v>31713.333333333336</v>
      </c>
      <c r="H7" s="19">
        <f>105457/3</f>
        <v>35152.333333333336</v>
      </c>
      <c r="I7" s="20">
        <f t="shared" si="1"/>
        <v>33.432833333333335</v>
      </c>
      <c r="J7" s="21"/>
      <c r="L7" s="22"/>
    </row>
    <row r="8" spans="1:16" s="5" customFormat="1" ht="27.75">
      <c r="A8" s="16" t="s">
        <v>19</v>
      </c>
      <c r="B8" s="17">
        <f>10640/3</f>
        <v>3546.6666666666665</v>
      </c>
      <c r="C8" s="17">
        <f>13200/3</f>
        <v>4400</v>
      </c>
      <c r="D8" s="17">
        <f>14440/3</f>
        <v>4813.333333333333</v>
      </c>
      <c r="E8" s="17">
        <f>41380/3</f>
        <v>13793.333333333334</v>
      </c>
      <c r="F8" s="17">
        <f>15480/3</f>
        <v>5160</v>
      </c>
      <c r="G8" s="18">
        <f t="shared" si="0"/>
        <v>31713.333333333336</v>
      </c>
      <c r="H8" s="19">
        <f>105457/3</f>
        <v>35152.333333333336</v>
      </c>
      <c r="I8" s="20">
        <f t="shared" si="1"/>
        <v>33.432833333333335</v>
      </c>
      <c r="J8" s="21"/>
      <c r="L8" s="22"/>
    </row>
    <row r="9" spans="1:16" s="5" customFormat="1" ht="27.75">
      <c r="A9" s="16" t="s">
        <v>20</v>
      </c>
      <c r="B9" s="17">
        <f>10640/3</f>
        <v>3546.6666666666665</v>
      </c>
      <c r="C9" s="17">
        <f>13200/3</f>
        <v>4400</v>
      </c>
      <c r="D9" s="17">
        <f>14440/3</f>
        <v>4813.333333333333</v>
      </c>
      <c r="E9" s="17">
        <f>41380/3</f>
        <v>13793.333333333334</v>
      </c>
      <c r="F9" s="17">
        <f>15480/3</f>
        <v>5160</v>
      </c>
      <c r="G9" s="18">
        <f t="shared" si="0"/>
        <v>31713.333333333336</v>
      </c>
      <c r="H9" s="19">
        <f>105457/3</f>
        <v>35152.333333333336</v>
      </c>
      <c r="I9" s="20">
        <f t="shared" si="1"/>
        <v>33.432833333333335</v>
      </c>
      <c r="J9" s="24"/>
      <c r="L9" s="22"/>
    </row>
    <row r="10" spans="1:16" s="25" customFormat="1" ht="27.75">
      <c r="A10" s="16" t="s">
        <v>21</v>
      </c>
      <c r="B10" s="17">
        <v>9280</v>
      </c>
      <c r="C10" s="17">
        <v>6940</v>
      </c>
      <c r="D10" s="17">
        <v>7680</v>
      </c>
      <c r="E10" s="17">
        <v>27380</v>
      </c>
      <c r="F10" s="17">
        <v>5880</v>
      </c>
      <c r="G10" s="18">
        <f t="shared" si="0"/>
        <v>57160</v>
      </c>
      <c r="H10" s="19">
        <f>468696/2</f>
        <v>234348</v>
      </c>
      <c r="I10" s="20">
        <f>SUM(H10,G10)/2000</f>
        <v>145.75399999999999</v>
      </c>
      <c r="J10" s="21"/>
      <c r="K10" s="5"/>
      <c r="L10" s="22"/>
    </row>
    <row r="11" spans="1:16" s="5" customFormat="1" ht="27.75">
      <c r="A11" s="16" t="s">
        <v>22</v>
      </c>
      <c r="B11" s="17">
        <v>9080</v>
      </c>
      <c r="C11" s="17">
        <v>9420</v>
      </c>
      <c r="D11" s="17">
        <v>9260</v>
      </c>
      <c r="E11" s="17">
        <v>55340</v>
      </c>
      <c r="F11" s="17">
        <v>6960</v>
      </c>
      <c r="G11" s="18">
        <f t="shared" si="0"/>
        <v>90060</v>
      </c>
      <c r="H11" s="19">
        <f>468696/2</f>
        <v>234348</v>
      </c>
      <c r="I11" s="20">
        <f>SUM(H11,G11)/2000</f>
        <v>162.20400000000001</v>
      </c>
      <c r="J11" s="21"/>
      <c r="L11" s="22"/>
    </row>
    <row r="12" spans="1:16" s="5" customFormat="1" ht="27.75">
      <c r="A12" s="16" t="s">
        <v>23</v>
      </c>
      <c r="B12" s="17">
        <v>8240</v>
      </c>
      <c r="C12" s="17">
        <v>9240</v>
      </c>
      <c r="D12" s="17">
        <v>10420</v>
      </c>
      <c r="E12" s="17">
        <v>34920</v>
      </c>
      <c r="F12" s="17">
        <v>9040</v>
      </c>
      <c r="G12" s="18">
        <f t="shared" si="0"/>
        <v>71860</v>
      </c>
      <c r="H12" s="19">
        <v>117174</v>
      </c>
      <c r="I12" s="20">
        <f t="shared" si="1"/>
        <v>94.516999999999996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25.38</v>
      </c>
      <c r="C13" s="27">
        <f t="shared" si="2"/>
        <v>24.27</v>
      </c>
      <c r="D13" s="27">
        <f t="shared" si="2"/>
        <v>25.6</v>
      </c>
      <c r="E13" s="27">
        <f t="shared" si="2"/>
        <v>95.92</v>
      </c>
      <c r="F13" s="27">
        <f t="shared" si="2"/>
        <v>21.18</v>
      </c>
      <c r="G13" s="27">
        <f t="shared" si="2"/>
        <v>192.35</v>
      </c>
      <c r="H13" s="27">
        <f t="shared" si="2"/>
        <v>378.86250000000001</v>
      </c>
      <c r="I13" s="28">
        <f>SUM(I4:I12)</f>
        <v>571.21249999999998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f>(3032+0)/2000</f>
        <v>1.516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40">
        <v>10.5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37.590000000000003</v>
      </c>
      <c r="C17" s="41"/>
      <c r="D17" s="48" t="s">
        <v>29</v>
      </c>
      <c r="E17" s="69">
        <v>5.77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/>
      <c r="C22" s="40">
        <v>2581.5300000000002</v>
      </c>
      <c r="D22" s="68">
        <f>SUM(B22:C22)</f>
        <v>2581.5300000000002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40.53</v>
      </c>
      <c r="C25" s="40">
        <v>0</v>
      </c>
      <c r="D25" s="40">
        <v>5.1989999999999998</v>
      </c>
      <c r="E25" s="82">
        <v>2.0750000000000002</v>
      </c>
      <c r="F25" s="68">
        <v>2550.35</v>
      </c>
      <c r="G25" s="68">
        <v>1111.04</v>
      </c>
      <c r="H25" s="83">
        <f>5740/2000</f>
        <v>2.87</v>
      </c>
      <c r="I25" s="84">
        <v>11.16</v>
      </c>
      <c r="J25" s="85">
        <f>SUM(B25:I25)</f>
        <v>3723.2239999999997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3806.11</v>
      </c>
      <c r="C28" s="40">
        <v>1.75</v>
      </c>
      <c r="D28" s="97">
        <f>SUM(B28:C28,G25)</f>
        <v>4918.8999999999996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2550.35</v>
      </c>
      <c r="C31" s="40">
        <v>327.98</v>
      </c>
      <c r="D31" s="40">
        <v>431.8</v>
      </c>
      <c r="E31" s="97">
        <f>SUM(B31:D31)</f>
        <v>3310.13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3267.8775000000001</v>
      </c>
      <c r="C37" s="61"/>
      <c r="D37" s="109" t="s">
        <v>52</v>
      </c>
      <c r="E37" s="110">
        <f>B37/B43</f>
        <v>0.25914922039195409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6580.0825000000004</v>
      </c>
      <c r="C39" s="117"/>
      <c r="D39" s="109" t="s">
        <v>54</v>
      </c>
      <c r="E39" s="110">
        <f>B39/B43</f>
        <v>0.52181370017381024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6029.94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12610.022499999999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H31" sqref="H31"/>
      <pageMargins left="0.7" right="0.7" top="0.75" bottom="0.75" header="0.3" footer="0.3"/>
    </customSheetView>
    <customSheetView guid="{2108F49D-F0FB-4737-BA79-3B15211A9F8F}" scale="40" hiddenColumns="1">
      <selection activeCell="G32" sqref="G32"/>
      <pageMargins left="0.7" right="0.7" top="0.75" bottom="0.75" header="0.3" footer="0.3"/>
    </customSheetView>
    <customSheetView guid="{037DCF94-393F-444C-8CC8-348B9921602C}" scale="40" hiddenColumns="1">
      <selection activeCell="F25" sqref="F25"/>
      <pageMargins left="0.7" right="0.7" top="0.75" bottom="0.75" header="0.3" footer="0.3"/>
    </customSheetView>
    <customSheetView guid="{1F53F7D0-897F-4CD0-B731-A7EAAEC631FF}" scale="40" hiddenColumns="1">
      <selection activeCell="G18" sqref="G18"/>
      <pageMargins left="0.7" right="0.7" top="0.75" bottom="0.75" header="0.3" footer="0.3"/>
    </customSheetView>
    <customSheetView guid="{60BFC34B-3957-423D-86B5-753FA44417D1}" scale="40" hiddenColumns="1">
      <selection activeCell="F25" sqref="F25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42979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33">
        <v>440</v>
      </c>
      <c r="C4" s="133">
        <v>1080</v>
      </c>
      <c r="D4" s="133">
        <v>0</v>
      </c>
      <c r="E4" s="133">
        <v>2480</v>
      </c>
      <c r="F4" s="133">
        <v>320</v>
      </c>
      <c r="G4" s="18">
        <f t="shared" ref="G4:G12" si="0">SUM(B4:F4)</f>
        <v>4320</v>
      </c>
      <c r="H4" s="19">
        <v>3342</v>
      </c>
      <c r="I4" s="20">
        <f>SUM(H4,G4)/2000</f>
        <v>3.831</v>
      </c>
      <c r="J4" s="21"/>
      <c r="L4" s="22"/>
    </row>
    <row r="5" spans="1:16" s="5" customFormat="1" ht="27.75">
      <c r="A5" s="23" t="s">
        <v>16</v>
      </c>
      <c r="B5" s="133">
        <v>1020</v>
      </c>
      <c r="C5" s="133">
        <v>1100</v>
      </c>
      <c r="D5" s="133">
        <v>0</v>
      </c>
      <c r="E5" s="133">
        <v>2100</v>
      </c>
      <c r="F5" s="133">
        <v>1360</v>
      </c>
      <c r="G5" s="18">
        <f t="shared" si="0"/>
        <v>5580</v>
      </c>
      <c r="H5" s="19">
        <v>10025</v>
      </c>
      <c r="I5" s="20">
        <f t="shared" ref="I5:I12" si="1">SUM(H5,G5)/2000</f>
        <v>7.8025000000000002</v>
      </c>
      <c r="J5" s="21"/>
      <c r="L5" s="22"/>
    </row>
    <row r="6" spans="1:16" s="5" customFormat="1" ht="27.75">
      <c r="A6" s="16" t="s">
        <v>17</v>
      </c>
      <c r="B6" s="133">
        <v>5360</v>
      </c>
      <c r="C6" s="133">
        <v>9840</v>
      </c>
      <c r="D6" s="133">
        <v>4860</v>
      </c>
      <c r="E6" s="133">
        <v>27620</v>
      </c>
      <c r="F6" s="133">
        <v>4220</v>
      </c>
      <c r="G6" s="18">
        <f t="shared" si="0"/>
        <v>51900</v>
      </c>
      <c r="H6" s="19">
        <f>20050+10025+13366</f>
        <v>43441</v>
      </c>
      <c r="I6" s="20">
        <f t="shared" si="1"/>
        <v>47.670499999999997</v>
      </c>
      <c r="J6" s="21"/>
      <c r="L6" s="22"/>
    </row>
    <row r="7" spans="1:16" s="5" customFormat="1" ht="27.75">
      <c r="A7" s="16" t="s">
        <v>18</v>
      </c>
      <c r="B7" s="133">
        <v>2407</v>
      </c>
      <c r="C7" s="133">
        <v>5553</v>
      </c>
      <c r="D7" s="133">
        <v>3287</v>
      </c>
      <c r="E7" s="133">
        <v>14533</v>
      </c>
      <c r="F7" s="133">
        <v>4727</v>
      </c>
      <c r="G7" s="18">
        <f t="shared" si="0"/>
        <v>30507</v>
      </c>
      <c r="H7" s="19">
        <f>90223/3</f>
        <v>30074.333333333332</v>
      </c>
      <c r="I7" s="20">
        <f t="shared" si="1"/>
        <v>30.290666666666663</v>
      </c>
      <c r="J7" s="21"/>
      <c r="L7" s="22"/>
    </row>
    <row r="8" spans="1:16" s="5" customFormat="1" ht="27.75">
      <c r="A8" s="16" t="s">
        <v>19</v>
      </c>
      <c r="B8" s="133">
        <v>2407</v>
      </c>
      <c r="C8" s="133">
        <v>5553</v>
      </c>
      <c r="D8" s="133">
        <v>3287</v>
      </c>
      <c r="E8" s="133">
        <v>14533</v>
      </c>
      <c r="F8" s="133">
        <v>4727</v>
      </c>
      <c r="G8" s="18">
        <f t="shared" si="0"/>
        <v>30507</v>
      </c>
      <c r="H8" s="19">
        <f>90223/3</f>
        <v>30074.333333333332</v>
      </c>
      <c r="I8" s="20">
        <f t="shared" si="1"/>
        <v>30.290666666666663</v>
      </c>
      <c r="J8" s="21"/>
      <c r="L8" s="22"/>
    </row>
    <row r="9" spans="1:16" s="5" customFormat="1" ht="27.75">
      <c r="A9" s="16" t="s">
        <v>20</v>
      </c>
      <c r="B9" s="133">
        <v>2407</v>
      </c>
      <c r="C9" s="133">
        <v>5553</v>
      </c>
      <c r="D9" s="133">
        <v>3287</v>
      </c>
      <c r="E9" s="133">
        <v>14533</v>
      </c>
      <c r="F9" s="133">
        <v>4727</v>
      </c>
      <c r="G9" s="18">
        <f t="shared" si="0"/>
        <v>30507</v>
      </c>
      <c r="H9" s="19">
        <f>90223/3</f>
        <v>30074.333333333332</v>
      </c>
      <c r="I9" s="20">
        <f t="shared" si="1"/>
        <v>30.290666666666663</v>
      </c>
      <c r="J9" s="24"/>
      <c r="L9" s="22"/>
    </row>
    <row r="10" spans="1:16" s="25" customFormat="1" ht="27.75">
      <c r="A10" s="16" t="s">
        <v>21</v>
      </c>
      <c r="B10" s="133">
        <v>0</v>
      </c>
      <c r="C10" s="133">
        <v>28320</v>
      </c>
      <c r="D10" s="133">
        <v>8800</v>
      </c>
      <c r="E10" s="133">
        <v>18220</v>
      </c>
      <c r="F10" s="133">
        <v>0</v>
      </c>
      <c r="G10" s="18">
        <f t="shared" si="0"/>
        <v>55340</v>
      </c>
      <c r="H10" s="19">
        <f>400992/2</f>
        <v>200496</v>
      </c>
      <c r="I10" s="20">
        <f>SUM(H10,G10)/2000</f>
        <v>127.91800000000001</v>
      </c>
      <c r="J10" s="21"/>
      <c r="K10" s="5"/>
      <c r="L10" s="22"/>
    </row>
    <row r="11" spans="1:16" s="5" customFormat="1" ht="27.75">
      <c r="A11" s="16" t="s">
        <v>22</v>
      </c>
      <c r="B11" s="133">
        <v>4300</v>
      </c>
      <c r="C11" s="133">
        <v>11520</v>
      </c>
      <c r="D11" s="133">
        <v>12380</v>
      </c>
      <c r="E11" s="133">
        <v>50460</v>
      </c>
      <c r="F11" s="133">
        <v>7040</v>
      </c>
      <c r="G11" s="18">
        <f t="shared" si="0"/>
        <v>85700</v>
      </c>
      <c r="H11" s="19">
        <f>400992/2</f>
        <v>200496</v>
      </c>
      <c r="I11" s="20">
        <f>SUM(H11,G11)/2000</f>
        <v>143.09800000000001</v>
      </c>
      <c r="J11" s="21"/>
      <c r="L11" s="22"/>
    </row>
    <row r="12" spans="1:16" s="5" customFormat="1" ht="27.75">
      <c r="A12" s="16" t="s">
        <v>23</v>
      </c>
      <c r="B12" s="133">
        <v>6520</v>
      </c>
      <c r="C12" s="133">
        <v>11340</v>
      </c>
      <c r="D12" s="133">
        <v>10580</v>
      </c>
      <c r="E12" s="133">
        <v>34640</v>
      </c>
      <c r="F12" s="133">
        <v>7180</v>
      </c>
      <c r="G12" s="18">
        <f t="shared" si="0"/>
        <v>70260</v>
      </c>
      <c r="H12" s="19">
        <v>100248</v>
      </c>
      <c r="I12" s="20">
        <f t="shared" si="1"/>
        <v>85.254000000000005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12.4305</v>
      </c>
      <c r="C13" s="27">
        <f t="shared" si="2"/>
        <v>39.929499999999997</v>
      </c>
      <c r="D13" s="27">
        <f t="shared" si="2"/>
        <v>23.240500000000001</v>
      </c>
      <c r="E13" s="27">
        <f t="shared" si="2"/>
        <v>89.5595</v>
      </c>
      <c r="F13" s="27">
        <f t="shared" si="2"/>
        <v>17.150500000000001</v>
      </c>
      <c r="G13" s="27">
        <f t="shared" si="2"/>
        <v>182.31049999999999</v>
      </c>
      <c r="H13" s="27">
        <f t="shared" si="2"/>
        <v>324.13549999999998</v>
      </c>
      <c r="I13" s="28">
        <f>SUM(I4:I12)</f>
        <v>506.44600000000003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v>1.41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127">
        <v>10.97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24.03</v>
      </c>
      <c r="C17" s="41"/>
      <c r="D17" s="48" t="s">
        <v>29</v>
      </c>
      <c r="E17" s="69">
        <v>5.63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/>
      <c r="C22" s="40">
        <v>1917.88</v>
      </c>
      <c r="D22" s="68">
        <f>SUM(B22:C22)</f>
        <v>1917.88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30.29</v>
      </c>
      <c r="C25" s="40">
        <v>0</v>
      </c>
      <c r="D25" s="40">
        <v>2.7549999999999999</v>
      </c>
      <c r="E25" s="82">
        <v>0</v>
      </c>
      <c r="F25" s="68">
        <v>2306.9299999999998</v>
      </c>
      <c r="G25" s="68">
        <v>989.05</v>
      </c>
      <c r="H25" s="83">
        <v>2.87</v>
      </c>
      <c r="I25" s="84">
        <v>7.57</v>
      </c>
      <c r="J25" s="85">
        <f>SUM(B25:I25)</f>
        <v>3339.4649999999997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97">
        <v>3203.73</v>
      </c>
      <c r="C28" s="97">
        <v>1.76</v>
      </c>
      <c r="D28" s="97">
        <f>SUM(B28:C28,G25)</f>
        <v>4194.54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2306.9299999999998</v>
      </c>
      <c r="C31" s="103">
        <v>481.24</v>
      </c>
      <c r="D31" s="97">
        <v>104.56</v>
      </c>
      <c r="E31" s="97">
        <f>SUM(B31:D31)</f>
        <v>2892.73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2509.8510000000001</v>
      </c>
      <c r="C37" s="61"/>
      <c r="D37" s="109" t="s">
        <v>52</v>
      </c>
      <c r="E37" s="110">
        <f>B37/B43</f>
        <v>0.23708770621596797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5402.5810000000001</v>
      </c>
      <c r="C39" s="117"/>
      <c r="D39" s="109" t="s">
        <v>54</v>
      </c>
      <c r="E39" s="110">
        <f>B39/B43</f>
        <v>0.51034325819977777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5183.59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10586.171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F29" sqref="F29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A3" sqref="A3"/>
      <pageMargins left="0.7" right="0.7" top="0.75" bottom="0.75" header="0.3" footer="0.3"/>
    </customSheetView>
    <customSheetView guid="{1F53F7D0-897F-4CD0-B731-A7EAAEC631FF}" scale="40" hiddenColumns="1">
      <selection activeCell="B15" sqref="B15"/>
      <pageMargins left="0.7" right="0.7" top="0.75" bottom="0.75" header="0.3" footer="0.3"/>
    </customSheetView>
    <customSheetView guid="{60BFC34B-3957-423D-86B5-753FA44417D1}" scale="40" hiddenColumns="1">
      <selection activeCell="B10" sqref="B10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43009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0</v>
      </c>
      <c r="C4" s="17">
        <v>160</v>
      </c>
      <c r="D4" s="17">
        <v>360</v>
      </c>
      <c r="E4" s="17">
        <v>2780</v>
      </c>
      <c r="F4" s="17">
        <v>260</v>
      </c>
      <c r="G4" s="18">
        <f t="shared" ref="G4:G12" si="0">SUM(B4:F4)</f>
        <v>3560</v>
      </c>
      <c r="H4" s="19">
        <v>3426</v>
      </c>
      <c r="I4" s="20">
        <f>SUM(H4,G4)/2000</f>
        <v>3.4929999999999999</v>
      </c>
      <c r="J4" s="21"/>
      <c r="L4" s="22"/>
    </row>
    <row r="5" spans="1:16" s="5" customFormat="1" ht="27.75">
      <c r="A5" s="23" t="s">
        <v>16</v>
      </c>
      <c r="B5" s="17">
        <v>0</v>
      </c>
      <c r="C5" s="17">
        <v>540</v>
      </c>
      <c r="D5" s="17">
        <v>1160</v>
      </c>
      <c r="E5" s="17">
        <v>3080</v>
      </c>
      <c r="F5" s="17">
        <v>600</v>
      </c>
      <c r="G5" s="18">
        <f t="shared" si="0"/>
        <v>5380</v>
      </c>
      <c r="H5" s="19">
        <v>10277</v>
      </c>
      <c r="I5" s="20">
        <f t="shared" ref="I5:I12" si="1">SUM(H5,G5)/2000</f>
        <v>7.8285</v>
      </c>
      <c r="J5" s="21"/>
      <c r="L5" s="22"/>
    </row>
    <row r="6" spans="1:16" s="5" customFormat="1" ht="27.75">
      <c r="A6" s="16" t="s">
        <v>17</v>
      </c>
      <c r="B6" s="17">
        <v>5440</v>
      </c>
      <c r="C6" s="17">
        <v>9020</v>
      </c>
      <c r="D6" s="17">
        <v>5160</v>
      </c>
      <c r="E6" s="17">
        <v>29940</v>
      </c>
      <c r="F6" s="17">
        <v>3640</v>
      </c>
      <c r="G6" s="18">
        <f>SUM(B6:F6)</f>
        <v>53200</v>
      </c>
      <c r="H6" s="19">
        <v>44532</v>
      </c>
      <c r="I6" s="20">
        <f t="shared" si="1"/>
        <v>48.866</v>
      </c>
      <c r="J6" s="21"/>
      <c r="L6" s="22"/>
    </row>
    <row r="7" spans="1:16" s="5" customFormat="1" ht="27.75">
      <c r="A7" s="16" t="s">
        <v>18</v>
      </c>
      <c r="B7" s="17">
        <v>3407</v>
      </c>
      <c r="C7" s="17">
        <v>8000</v>
      </c>
      <c r="D7" s="17">
        <v>6007</v>
      </c>
      <c r="E7" s="17">
        <v>14680</v>
      </c>
      <c r="F7" s="17">
        <v>6520</v>
      </c>
      <c r="G7" s="18">
        <f t="shared" si="0"/>
        <v>38614</v>
      </c>
      <c r="H7" s="19">
        <v>30830</v>
      </c>
      <c r="I7" s="20">
        <f t="shared" si="1"/>
        <v>34.722000000000001</v>
      </c>
      <c r="J7" s="21"/>
      <c r="L7" s="22"/>
    </row>
    <row r="8" spans="1:16" s="5" customFormat="1" ht="27.75">
      <c r="A8" s="16" t="s">
        <v>19</v>
      </c>
      <c r="B8" s="17">
        <v>3407</v>
      </c>
      <c r="C8" s="17">
        <v>8000</v>
      </c>
      <c r="D8" s="17">
        <v>6007</v>
      </c>
      <c r="E8" s="17">
        <v>14680</v>
      </c>
      <c r="F8" s="17">
        <v>6520</v>
      </c>
      <c r="G8" s="18">
        <f t="shared" si="0"/>
        <v>38614</v>
      </c>
      <c r="H8" s="19">
        <v>30830</v>
      </c>
      <c r="I8" s="20">
        <f t="shared" si="1"/>
        <v>34.722000000000001</v>
      </c>
      <c r="J8" s="21"/>
      <c r="L8" s="22"/>
    </row>
    <row r="9" spans="1:16" s="5" customFormat="1" ht="27.75">
      <c r="A9" s="16" t="s">
        <v>20</v>
      </c>
      <c r="B9" s="17">
        <v>3407</v>
      </c>
      <c r="C9" s="17">
        <v>8000</v>
      </c>
      <c r="D9" s="17">
        <v>6007</v>
      </c>
      <c r="E9" s="17">
        <v>14680</v>
      </c>
      <c r="F9" s="17">
        <v>6520</v>
      </c>
      <c r="G9" s="18">
        <f t="shared" si="0"/>
        <v>38614</v>
      </c>
      <c r="H9" s="19">
        <v>30830</v>
      </c>
      <c r="I9" s="20">
        <f t="shared" si="1"/>
        <v>34.722000000000001</v>
      </c>
      <c r="J9" s="24"/>
      <c r="L9" s="22"/>
    </row>
    <row r="10" spans="1:16" s="25" customFormat="1" ht="27.75">
      <c r="A10" s="16" t="s">
        <v>21</v>
      </c>
      <c r="B10" s="17">
        <v>9260</v>
      </c>
      <c r="C10" s="17">
        <v>17800</v>
      </c>
      <c r="D10" s="17">
        <v>0</v>
      </c>
      <c r="E10" s="17">
        <v>24200</v>
      </c>
      <c r="F10" s="17">
        <v>0</v>
      </c>
      <c r="G10" s="18">
        <f t="shared" si="0"/>
        <v>51260</v>
      </c>
      <c r="H10" s="19">
        <v>205530</v>
      </c>
      <c r="I10" s="20">
        <f>SUM(H10,G10)/2000</f>
        <v>128.39500000000001</v>
      </c>
      <c r="J10" s="21"/>
      <c r="K10" s="5"/>
      <c r="L10" s="22"/>
    </row>
    <row r="11" spans="1:16" s="5" customFormat="1" ht="27.75">
      <c r="A11" s="16" t="s">
        <v>22</v>
      </c>
      <c r="B11" s="17">
        <v>7720</v>
      </c>
      <c r="C11" s="17">
        <v>12840</v>
      </c>
      <c r="D11" s="17">
        <v>7400</v>
      </c>
      <c r="E11" s="17">
        <v>59080</v>
      </c>
      <c r="F11" s="17">
        <v>8100</v>
      </c>
      <c r="G11" s="18">
        <f t="shared" si="0"/>
        <v>95140</v>
      </c>
      <c r="H11" s="19">
        <v>205530</v>
      </c>
      <c r="I11" s="20">
        <f>SUM(H11,G11)/2000</f>
        <v>150.33500000000001</v>
      </c>
      <c r="J11" s="21"/>
      <c r="L11" s="22"/>
    </row>
    <row r="12" spans="1:16" s="5" customFormat="1" ht="27.75">
      <c r="A12" s="16" t="s">
        <v>23</v>
      </c>
      <c r="B12" s="17">
        <v>11280</v>
      </c>
      <c r="C12" s="17">
        <v>8160</v>
      </c>
      <c r="D12" s="17">
        <v>9560</v>
      </c>
      <c r="E12" s="17">
        <v>35840</v>
      </c>
      <c r="F12" s="17">
        <v>9040</v>
      </c>
      <c r="G12" s="18">
        <f t="shared" si="0"/>
        <v>73880</v>
      </c>
      <c r="H12" s="126">
        <v>26160</v>
      </c>
      <c r="I12" s="20">
        <f t="shared" si="1"/>
        <v>50.02</v>
      </c>
      <c r="J12" s="21"/>
      <c r="L12" s="22"/>
    </row>
    <row r="13" spans="1:16" s="5" customFormat="1" ht="28.5">
      <c r="A13" s="26" t="s">
        <v>24</v>
      </c>
      <c r="B13" s="27">
        <f>SUM(B5:B12)/2000</f>
        <v>21.9605</v>
      </c>
      <c r="C13" s="27">
        <f t="shared" ref="C13:H13" si="2">SUM(C4:C12)/2000</f>
        <v>36.26</v>
      </c>
      <c r="D13" s="27">
        <f t="shared" si="2"/>
        <v>20.830500000000001</v>
      </c>
      <c r="E13" s="27">
        <f t="shared" si="2"/>
        <v>99.48</v>
      </c>
      <c r="F13" s="27">
        <f t="shared" si="2"/>
        <v>20.6</v>
      </c>
      <c r="G13" s="27">
        <f t="shared" si="2"/>
        <v>199.131</v>
      </c>
      <c r="H13" s="27">
        <f t="shared" si="2"/>
        <v>293.97250000000003</v>
      </c>
      <c r="I13" s="28">
        <f>SUM(I4:I12)</f>
        <v>493.10350000000005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v>2.0499999999999998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127">
        <v>13.08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27.89</v>
      </c>
      <c r="C17" s="41"/>
      <c r="D17" s="48" t="s">
        <v>29</v>
      </c>
      <c r="E17" s="48">
        <v>3.69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68"/>
      <c r="C22" s="47">
        <v>2071.81</v>
      </c>
      <c r="D22" s="68">
        <f>SUM(B22:C22)</f>
        <v>2071.81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42.31</v>
      </c>
      <c r="C25" s="40">
        <v>0</v>
      </c>
      <c r="D25" s="40">
        <v>2.84</v>
      </c>
      <c r="E25" s="82">
        <v>0</v>
      </c>
      <c r="F25" s="82">
        <v>2456.6999999999998</v>
      </c>
      <c r="G25" s="68">
        <v>992.36</v>
      </c>
      <c r="H25" s="83">
        <v>2.09</v>
      </c>
      <c r="I25" s="84">
        <v>5.54</v>
      </c>
      <c r="J25" s="85">
        <f>SUM(B25:I25)</f>
        <v>3501.84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>
        <v>2.84</v>
      </c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97">
        <v>3230.87</v>
      </c>
      <c r="C28" s="97">
        <v>1.08</v>
      </c>
      <c r="D28" s="97">
        <f>SUM(B28:C28,G25)</f>
        <v>4224.3099999999995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2456.6999999999998</v>
      </c>
      <c r="C31" s="103">
        <v>617.24</v>
      </c>
      <c r="D31" s="97">
        <v>449.32</v>
      </c>
      <c r="E31" s="97">
        <f>SUM(B31:D31)</f>
        <v>3523.2599999999998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2664.4035000000003</v>
      </c>
      <c r="C37" s="61"/>
      <c r="D37" s="109" t="s">
        <v>52</v>
      </c>
      <c r="E37" s="110">
        <f>B37/B43</f>
        <v>0.23363079482023216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6187.6635000000006</v>
      </c>
      <c r="C39" s="117"/>
      <c r="D39" s="109" t="s">
        <v>54</v>
      </c>
      <c r="E39" s="110">
        <f>B39/B43</f>
        <v>0.54257125153346319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5216.6699999999992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11404.333500000001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E37" sqref="E37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A3" sqref="A3"/>
      <pageMargins left="0.7" right="0.7" top="0.75" bottom="0.75" header="0.3" footer="0.3"/>
    </customSheetView>
    <customSheetView guid="{1F53F7D0-897F-4CD0-B731-A7EAAEC631FF}" scale="40" hiddenColumns="1">
      <selection activeCell="A3" sqref="A3"/>
      <pageMargins left="0.7" right="0.7" top="0.75" bottom="0.75" header="0.3" footer="0.3"/>
    </customSheetView>
    <customSheetView guid="{60BFC34B-3957-423D-86B5-753FA44417D1}" scale="40" hiddenColumns="1">
      <selection activeCell="B18" sqref="B18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43040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320</v>
      </c>
      <c r="C4" s="17">
        <v>300</v>
      </c>
      <c r="D4" s="17">
        <v>0</v>
      </c>
      <c r="E4" s="17">
        <v>2740</v>
      </c>
      <c r="F4" s="17">
        <v>180</v>
      </c>
      <c r="G4" s="18">
        <f t="shared" ref="G4:G12" si="0">SUM(B4:F4)</f>
        <v>3540</v>
      </c>
      <c r="H4" s="19">
        <v>3823</v>
      </c>
      <c r="I4" s="20">
        <f>SUM(H4,G4)/2000</f>
        <v>3.6815000000000002</v>
      </c>
      <c r="J4" s="21"/>
      <c r="L4" s="22"/>
    </row>
    <row r="5" spans="1:16" s="5" customFormat="1" ht="27.75">
      <c r="A5" s="23" t="s">
        <v>16</v>
      </c>
      <c r="B5" s="17">
        <v>1080</v>
      </c>
      <c r="C5" s="17">
        <v>880</v>
      </c>
      <c r="D5" s="17">
        <v>0</v>
      </c>
      <c r="E5" s="17">
        <v>2680</v>
      </c>
      <c r="F5" s="17">
        <v>740</v>
      </c>
      <c r="G5" s="18">
        <f t="shared" si="0"/>
        <v>5380</v>
      </c>
      <c r="H5" s="19">
        <v>11468</v>
      </c>
      <c r="I5" s="20">
        <f t="shared" ref="I5:I12" si="1">SUM(H5,G5)/2000</f>
        <v>8.4239999999999995</v>
      </c>
      <c r="J5" s="21"/>
      <c r="L5" s="22"/>
    </row>
    <row r="6" spans="1:16" s="5" customFormat="1" ht="27.75">
      <c r="A6" s="16" t="s">
        <v>17</v>
      </c>
      <c r="B6" s="17">
        <v>4560</v>
      </c>
      <c r="C6" s="17">
        <v>9440</v>
      </c>
      <c r="D6" s="17">
        <v>5720</v>
      </c>
      <c r="E6" s="17">
        <v>27280</v>
      </c>
      <c r="F6" s="17">
        <v>3700</v>
      </c>
      <c r="G6" s="18">
        <f t="shared" si="0"/>
        <v>50700</v>
      </c>
      <c r="H6" s="19">
        <v>49694</v>
      </c>
      <c r="I6" s="20">
        <f t="shared" si="1"/>
        <v>50.197000000000003</v>
      </c>
      <c r="J6" s="21"/>
      <c r="L6" s="22"/>
    </row>
    <row r="7" spans="1:16" s="5" customFormat="1" ht="27.75">
      <c r="A7" s="16" t="s">
        <v>18</v>
      </c>
      <c r="B7" s="17">
        <v>2293</v>
      </c>
      <c r="C7" s="17">
        <v>5500</v>
      </c>
      <c r="D7" s="17">
        <v>5527</v>
      </c>
      <c r="E7" s="17">
        <v>13433</v>
      </c>
      <c r="F7" s="17">
        <v>6067</v>
      </c>
      <c r="G7" s="18">
        <f t="shared" si="0"/>
        <v>32820</v>
      </c>
      <c r="H7" s="19">
        <v>34403</v>
      </c>
      <c r="I7" s="20">
        <f t="shared" si="1"/>
        <v>33.611499999999999</v>
      </c>
      <c r="J7" s="21"/>
      <c r="L7" s="22"/>
    </row>
    <row r="8" spans="1:16" s="5" customFormat="1" ht="27.75">
      <c r="A8" s="16" t="s">
        <v>19</v>
      </c>
      <c r="B8" s="17">
        <v>2293</v>
      </c>
      <c r="C8" s="17">
        <v>5500</v>
      </c>
      <c r="D8" s="17">
        <v>5527</v>
      </c>
      <c r="E8" s="17">
        <v>13433</v>
      </c>
      <c r="F8" s="17">
        <v>6067</v>
      </c>
      <c r="G8" s="18">
        <f>SUM(B8:F8)</f>
        <v>32820</v>
      </c>
      <c r="H8" s="19">
        <v>34403</v>
      </c>
      <c r="I8" s="20">
        <f t="shared" si="1"/>
        <v>33.611499999999999</v>
      </c>
      <c r="J8" s="21"/>
      <c r="L8" s="22"/>
    </row>
    <row r="9" spans="1:16" s="5" customFormat="1" ht="27.75">
      <c r="A9" s="16" t="s">
        <v>20</v>
      </c>
      <c r="B9" s="17">
        <v>2293</v>
      </c>
      <c r="C9" s="17">
        <v>5500</v>
      </c>
      <c r="D9" s="17">
        <v>5527</v>
      </c>
      <c r="E9" s="17">
        <v>13433</v>
      </c>
      <c r="F9" s="17">
        <v>6067</v>
      </c>
      <c r="G9" s="18">
        <f t="shared" si="0"/>
        <v>32820</v>
      </c>
      <c r="H9" s="19">
        <v>34403</v>
      </c>
      <c r="I9" s="20">
        <f t="shared" si="1"/>
        <v>33.611499999999999</v>
      </c>
      <c r="J9" s="24"/>
      <c r="L9" s="22"/>
    </row>
    <row r="10" spans="1:16" s="25" customFormat="1" ht="27.75">
      <c r="A10" s="16" t="s">
        <v>21</v>
      </c>
      <c r="B10" s="17">
        <v>7180</v>
      </c>
      <c r="C10" s="17">
        <v>27080</v>
      </c>
      <c r="D10" s="17">
        <v>0</v>
      </c>
      <c r="E10" s="17">
        <v>19680</v>
      </c>
      <c r="F10" s="17">
        <v>3420</v>
      </c>
      <c r="G10" s="18">
        <f t="shared" si="0"/>
        <v>57360</v>
      </c>
      <c r="H10" s="19">
        <v>229356</v>
      </c>
      <c r="I10" s="20">
        <f>SUM(H10,G10)/2000</f>
        <v>143.358</v>
      </c>
      <c r="J10" s="21"/>
      <c r="K10" s="5"/>
      <c r="L10" s="22"/>
    </row>
    <row r="11" spans="1:16" s="5" customFormat="1" ht="27.75">
      <c r="A11" s="16" t="s">
        <v>22</v>
      </c>
      <c r="B11" s="17">
        <v>7380</v>
      </c>
      <c r="C11" s="17">
        <v>14800</v>
      </c>
      <c r="D11" s="17">
        <v>9920</v>
      </c>
      <c r="E11" s="17">
        <v>66340</v>
      </c>
      <c r="F11" s="17">
        <v>7300</v>
      </c>
      <c r="G11" s="18">
        <f t="shared" si="0"/>
        <v>105740</v>
      </c>
      <c r="H11" s="19">
        <v>229356</v>
      </c>
      <c r="I11" s="20">
        <f>SUM(H11,G11)/2000</f>
        <v>167.548</v>
      </c>
      <c r="J11" s="21"/>
      <c r="L11" s="22"/>
    </row>
    <row r="12" spans="1:16" s="5" customFormat="1" ht="27.75">
      <c r="A12" s="16" t="s">
        <v>23</v>
      </c>
      <c r="B12" s="17">
        <v>6880</v>
      </c>
      <c r="C12" s="17">
        <v>10040</v>
      </c>
      <c r="D12" s="17">
        <v>9280</v>
      </c>
      <c r="E12" s="17">
        <v>33330</v>
      </c>
      <c r="F12" s="17">
        <v>7020</v>
      </c>
      <c r="G12" s="18">
        <f t="shared" si="0"/>
        <v>66550</v>
      </c>
      <c r="H12" s="19">
        <v>114678</v>
      </c>
      <c r="I12" s="20">
        <f t="shared" si="1"/>
        <v>90.614000000000004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17.139500000000002</v>
      </c>
      <c r="C13" s="27">
        <f t="shared" si="2"/>
        <v>39.520000000000003</v>
      </c>
      <c r="D13" s="27">
        <f t="shared" si="2"/>
        <v>20.750499999999999</v>
      </c>
      <c r="E13" s="27">
        <f t="shared" si="2"/>
        <v>96.174499999999995</v>
      </c>
      <c r="F13" s="27">
        <f t="shared" si="2"/>
        <v>20.2805</v>
      </c>
      <c r="G13" s="27">
        <f t="shared" si="2"/>
        <v>193.86500000000001</v>
      </c>
      <c r="H13" s="27">
        <f t="shared" si="2"/>
        <v>370.79199999999997</v>
      </c>
      <c r="I13" s="28">
        <f>SUM(I4:I12)</f>
        <v>564.65700000000004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f>3298/2000</f>
        <v>1.649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127">
        <v>5.3</v>
      </c>
      <c r="C16" s="41"/>
      <c r="D16" s="128" t="s">
        <v>27</v>
      </c>
      <c r="E16" s="130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31.21</v>
      </c>
      <c r="C17" s="41"/>
      <c r="D17" s="129" t="s">
        <v>29</v>
      </c>
      <c r="E17" s="130">
        <v>5.91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68">
        <v>298.07</v>
      </c>
      <c r="C22" s="68">
        <v>1088.52</v>
      </c>
      <c r="D22" s="68">
        <f>SUM(B22:C22)</f>
        <v>1386.59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23.31</v>
      </c>
      <c r="C25" s="40">
        <v>0</v>
      </c>
      <c r="D25" s="40">
        <v>10.14</v>
      </c>
      <c r="E25" s="82">
        <v>1.26</v>
      </c>
      <c r="F25" s="82">
        <v>2082.5500000000002</v>
      </c>
      <c r="G25" s="68">
        <v>879.83</v>
      </c>
      <c r="H25" s="83">
        <v>0</v>
      </c>
      <c r="I25" s="84">
        <v>9.2799999999999994</v>
      </c>
      <c r="J25" s="85">
        <f>SUM(B25:I25)</f>
        <v>3006.3700000000003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97">
        <v>3545.66</v>
      </c>
      <c r="C28" s="97">
        <v>1.49</v>
      </c>
      <c r="D28" s="97">
        <f>SUM(B28:C28,G25)</f>
        <v>4426.9799999999996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2082.5500000000002</v>
      </c>
      <c r="C31" s="103">
        <v>610.54999999999995</v>
      </c>
      <c r="D31" s="103">
        <v>353.35</v>
      </c>
      <c r="E31" s="97">
        <f>SUM(B31:D31)</f>
        <v>3046.4500000000003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2038.046</v>
      </c>
      <c r="C37" s="61"/>
      <c r="D37" s="109" t="s">
        <v>52</v>
      </c>
      <c r="E37" s="110">
        <f>B37/B43</f>
        <v>0.19610613971563906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5085.7560000000003</v>
      </c>
      <c r="C39" s="117"/>
      <c r="D39" s="109" t="s">
        <v>54</v>
      </c>
      <c r="E39" s="110">
        <f>B39/B43</f>
        <v>0.48936480172461749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5306.8099999999995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10392.565999999999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A3" sqref="A3"/>
      <pageMargins left="0.7" right="0.7" top="0.75" bottom="0.75" header="0.3" footer="0.3"/>
    </customSheetView>
    <customSheetView guid="{2108F49D-F0FB-4737-BA79-3B15211A9F8F}" scale="40" hiddenColumns="1">
      <selection activeCell="H1" sqref="H1"/>
      <pageMargins left="0.7" right="0.7" top="0.75" bottom="0.75" header="0.3" footer="0.3"/>
    </customSheetView>
    <customSheetView guid="{037DCF94-393F-444C-8CC8-348B9921602C}" scale="40" hiddenColumns="1">
      <selection activeCell="E6" sqref="E6"/>
      <pageMargins left="0.7" right="0.7" top="0.75" bottom="0.75" header="0.3" footer="0.3"/>
    </customSheetView>
    <customSheetView guid="{1F53F7D0-897F-4CD0-B731-A7EAAEC631FF}" scale="40" hiddenColumns="1">
      <selection activeCell="A3" sqref="A3"/>
      <pageMargins left="0.7" right="0.7" top="0.75" bottom="0.75" header="0.3" footer="0.3"/>
    </customSheetView>
    <customSheetView guid="{60BFC34B-3957-423D-86B5-753FA44417D1}" scale="40" hiddenColumns="1">
      <selection activeCell="I20" sqref="I20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43070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500</v>
      </c>
      <c r="C4" s="17">
        <v>640</v>
      </c>
      <c r="D4" s="17">
        <v>700</v>
      </c>
      <c r="E4" s="17">
        <v>10960</v>
      </c>
      <c r="F4" s="17">
        <v>180</v>
      </c>
      <c r="G4" s="18">
        <f t="shared" ref="G4:G11" si="0">SUM(B4:F4)</f>
        <v>12980</v>
      </c>
      <c r="H4" s="19">
        <v>3500</v>
      </c>
      <c r="I4" s="20">
        <f>SUM(H4,G4)/2000</f>
        <v>8.24</v>
      </c>
      <c r="J4" s="21"/>
      <c r="L4" s="22"/>
    </row>
    <row r="5" spans="1:16" s="5" customFormat="1" ht="27.75">
      <c r="A5" s="23" t="s">
        <v>16</v>
      </c>
      <c r="B5" s="17">
        <v>500</v>
      </c>
      <c r="C5" s="17">
        <v>860</v>
      </c>
      <c r="D5" s="17">
        <v>1220</v>
      </c>
      <c r="E5" s="17">
        <v>3540</v>
      </c>
      <c r="F5" s="17">
        <v>800</v>
      </c>
      <c r="G5" s="18">
        <f t="shared" si="0"/>
        <v>6920</v>
      </c>
      <c r="H5" s="19">
        <v>10499</v>
      </c>
      <c r="I5" s="20">
        <f t="shared" ref="I5:I12" si="1">SUM(H5,G5)/2000</f>
        <v>8.7095000000000002</v>
      </c>
      <c r="J5" s="21"/>
      <c r="L5" s="22"/>
    </row>
    <row r="6" spans="1:16" s="5" customFormat="1" ht="27.75">
      <c r="A6" s="16" t="s">
        <v>17</v>
      </c>
      <c r="B6" s="17">
        <v>4280</v>
      </c>
      <c r="C6" s="17">
        <v>7848</v>
      </c>
      <c r="D6" s="17">
        <v>5740</v>
      </c>
      <c r="E6" s="17">
        <v>27270</v>
      </c>
      <c r="F6" s="17">
        <v>4440</v>
      </c>
      <c r="G6" s="18">
        <f t="shared" si="0"/>
        <v>49578</v>
      </c>
      <c r="H6" s="19">
        <v>45497</v>
      </c>
      <c r="I6" s="20">
        <f t="shared" si="1"/>
        <v>47.537500000000001</v>
      </c>
      <c r="J6" s="21"/>
      <c r="L6" s="22"/>
    </row>
    <row r="7" spans="1:16" s="5" customFormat="1" ht="27.75">
      <c r="A7" s="16" t="s">
        <v>18</v>
      </c>
      <c r="B7" s="17">
        <v>2993</v>
      </c>
      <c r="C7" s="17">
        <v>3840</v>
      </c>
      <c r="D7" s="17">
        <v>2707</v>
      </c>
      <c r="E7" s="17">
        <v>12747</v>
      </c>
      <c r="F7" s="17">
        <v>4673</v>
      </c>
      <c r="G7" s="18">
        <f t="shared" si="0"/>
        <v>26960</v>
      </c>
      <c r="H7" s="19">
        <v>31498</v>
      </c>
      <c r="I7" s="20">
        <f t="shared" si="1"/>
        <v>29.228999999999999</v>
      </c>
      <c r="J7" s="21"/>
      <c r="L7" s="22"/>
    </row>
    <row r="8" spans="1:16" s="5" customFormat="1" ht="27.75">
      <c r="A8" s="16" t="s">
        <v>19</v>
      </c>
      <c r="B8" s="17">
        <v>2993</v>
      </c>
      <c r="C8" s="17">
        <v>3840</v>
      </c>
      <c r="D8" s="17">
        <v>2707</v>
      </c>
      <c r="E8" s="17">
        <v>12747</v>
      </c>
      <c r="F8" s="17">
        <v>4673</v>
      </c>
      <c r="G8" s="18">
        <f t="shared" si="0"/>
        <v>26960</v>
      </c>
      <c r="H8" s="19">
        <v>31498</v>
      </c>
      <c r="I8" s="20">
        <f t="shared" si="1"/>
        <v>29.228999999999999</v>
      </c>
      <c r="J8" s="21"/>
      <c r="L8" s="22"/>
    </row>
    <row r="9" spans="1:16" s="5" customFormat="1" ht="27.75">
      <c r="A9" s="16" t="s">
        <v>20</v>
      </c>
      <c r="B9" s="17">
        <v>2993</v>
      </c>
      <c r="C9" s="17">
        <v>3840</v>
      </c>
      <c r="D9" s="17">
        <v>2707</v>
      </c>
      <c r="E9" s="17">
        <v>12747</v>
      </c>
      <c r="F9" s="17">
        <v>4673</v>
      </c>
      <c r="G9" s="18">
        <f t="shared" si="0"/>
        <v>26960</v>
      </c>
      <c r="H9" s="19">
        <v>31498</v>
      </c>
      <c r="I9" s="20">
        <f t="shared" si="1"/>
        <v>29.228999999999999</v>
      </c>
      <c r="J9" s="24"/>
      <c r="L9" s="22"/>
    </row>
    <row r="10" spans="1:16" s="25" customFormat="1" ht="27.75">
      <c r="A10" s="16" t="s">
        <v>21</v>
      </c>
      <c r="B10" s="17">
        <v>5080</v>
      </c>
      <c r="C10" s="17">
        <v>19480</v>
      </c>
      <c r="D10" s="17">
        <v>14360</v>
      </c>
      <c r="E10" s="17">
        <v>22220</v>
      </c>
      <c r="F10" s="17">
        <v>0</v>
      </c>
      <c r="G10" s="18">
        <f t="shared" si="0"/>
        <v>61140</v>
      </c>
      <c r="H10" s="19">
        <v>209988</v>
      </c>
      <c r="I10" s="20">
        <f>SUM(H10,G10)/2000</f>
        <v>135.56399999999999</v>
      </c>
      <c r="J10" s="21"/>
      <c r="K10" s="5"/>
      <c r="L10" s="22"/>
    </row>
    <row r="11" spans="1:16" s="5" customFormat="1" ht="27.75">
      <c r="A11" s="16" t="s">
        <v>22</v>
      </c>
      <c r="B11" s="17">
        <v>10900</v>
      </c>
      <c r="C11" s="17">
        <v>10720</v>
      </c>
      <c r="D11" s="17">
        <v>9440</v>
      </c>
      <c r="E11" s="17">
        <v>58340</v>
      </c>
      <c r="F11" s="17">
        <v>9860</v>
      </c>
      <c r="G11" s="18">
        <f t="shared" si="0"/>
        <v>99260</v>
      </c>
      <c r="H11" s="19">
        <v>209988</v>
      </c>
      <c r="I11" s="20">
        <f>SUM(H11,G11)/2000</f>
        <v>154.624</v>
      </c>
      <c r="J11" s="21"/>
      <c r="L11" s="22"/>
    </row>
    <row r="12" spans="1:16" s="5" customFormat="1" ht="27.75">
      <c r="A12" s="16" t="s">
        <v>23</v>
      </c>
      <c r="B12" s="17">
        <v>7100</v>
      </c>
      <c r="C12" s="17">
        <v>8220</v>
      </c>
      <c r="D12" s="17">
        <v>9480</v>
      </c>
      <c r="E12" s="17">
        <v>38820</v>
      </c>
      <c r="F12" s="17">
        <v>12920</v>
      </c>
      <c r="G12" s="18">
        <f>SUM(B12:F12)</f>
        <v>76540</v>
      </c>
      <c r="H12" s="19">
        <v>104994</v>
      </c>
      <c r="I12" s="20">
        <f t="shared" si="1"/>
        <v>90.766999999999996</v>
      </c>
      <c r="J12" s="21"/>
      <c r="L12" s="22"/>
    </row>
    <row r="13" spans="1:16" s="5" customFormat="1" ht="28.5">
      <c r="A13" s="26" t="s">
        <v>24</v>
      </c>
      <c r="B13" s="27">
        <f>SUM(B4:B12)/2000</f>
        <v>18.669499999999999</v>
      </c>
      <c r="C13" s="27">
        <f t="shared" ref="C13:H13" si="2">SUM(C4:C12)/2000</f>
        <v>29.643999999999998</v>
      </c>
      <c r="D13" s="27">
        <f>SUM(D4:D12)/2000</f>
        <v>24.5305</v>
      </c>
      <c r="E13" s="27">
        <f t="shared" si="2"/>
        <v>99.695499999999996</v>
      </c>
      <c r="F13" s="27">
        <f t="shared" si="2"/>
        <v>21.109500000000001</v>
      </c>
      <c r="G13" s="27">
        <f t="shared" si="2"/>
        <v>193.649</v>
      </c>
      <c r="H13" s="27">
        <f t="shared" si="2"/>
        <v>339.48</v>
      </c>
      <c r="I13" s="28">
        <f>SUM(I4:I12)</f>
        <v>533.12899999999991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v>2.27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131">
        <v>2.64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30.34</v>
      </c>
      <c r="C17" s="41"/>
      <c r="D17" s="48" t="s">
        <v>29</v>
      </c>
      <c r="E17" s="48">
        <v>2.93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68">
        <v>2070.88</v>
      </c>
      <c r="C22" s="68">
        <v>883.12</v>
      </c>
      <c r="D22" s="68">
        <f>SUM(B22:C22)</f>
        <v>2954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1.5" customHeight="1" thickBot="1">
      <c r="A25" s="81" t="s">
        <v>43</v>
      </c>
      <c r="B25" s="40">
        <v>42.31</v>
      </c>
      <c r="C25" s="40">
        <v>0</v>
      </c>
      <c r="D25" s="40">
        <v>0.5</v>
      </c>
      <c r="E25" s="82">
        <v>0</v>
      </c>
      <c r="F25" s="82">
        <v>1490.77</v>
      </c>
      <c r="G25" s="68">
        <v>834.49</v>
      </c>
      <c r="H25" s="83">
        <v>2.5299999999999998</v>
      </c>
      <c r="I25" s="84">
        <v>6.65</v>
      </c>
      <c r="J25" s="85">
        <f>SUM(B25:I25)</f>
        <v>2377.25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97">
        <v>3283.23</v>
      </c>
      <c r="C28" s="97">
        <v>2.77</v>
      </c>
      <c r="D28" s="97">
        <f>SUM(B28:C28,G25)</f>
        <v>4120.49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1490.77</v>
      </c>
      <c r="C31" s="103">
        <v>366.9</v>
      </c>
      <c r="D31" s="97">
        <v>211.98</v>
      </c>
      <c r="E31" s="97">
        <f>SUM(B31:D31)</f>
        <v>2069.65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3577.299</v>
      </c>
      <c r="C37" s="61"/>
      <c r="D37" s="109" t="s">
        <v>52</v>
      </c>
      <c r="E37" s="110">
        <f>B37/B43</f>
        <v>0.33741963372891859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5646.9490000000005</v>
      </c>
      <c r="C39" s="117"/>
      <c r="D39" s="109" t="s">
        <v>54</v>
      </c>
      <c r="E39" s="110">
        <f>B39/B43</f>
        <v>0.53263410837782454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4954.9799999999996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10601.929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G13" sqref="G13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A3" sqref="A3"/>
      <pageMargins left="0.7" right="0.7" top="0.75" bottom="0.75" header="0.3" footer="0.3"/>
    </customSheetView>
    <customSheetView guid="{1F53F7D0-897F-4CD0-B731-A7EAAEC631FF}" scale="40" hiddenColumns="1">
      <selection activeCell="A3" sqref="A3"/>
      <pageMargins left="0.7" right="0.7" top="0.75" bottom="0.75" header="0.3" footer="0.3"/>
    </customSheetView>
    <customSheetView guid="{60BFC34B-3957-423D-86B5-753FA44417D1}" scale="40" hiddenColumns="1">
      <selection activeCell="A3" sqref="A3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tabSelected="1" topLeftCell="A32" zoomScale="40" zoomScaleNormal="40" workbookViewId="0">
      <selection activeCell="G35" sqref="G35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40.5703125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9.285156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32.1" customHeight="1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2.1" customHeight="1">
      <c r="A2" s="6" t="s">
        <v>61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32.1" customHeight="1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32.1" customHeight="1">
      <c r="A4" s="16" t="s">
        <v>15</v>
      </c>
      <c r="B4" s="17">
        <f>SUM(Jan!B4,Feb!B4,Mar!B4,Apr!B4,May!B4,Jun!B4,Jul!B4,Aug!B4,Sep!B4,Oct!B4,Nov!B4,Dec!B4)</f>
        <v>7800</v>
      </c>
      <c r="C4" s="17">
        <f>SUM(Jan!C4,Feb!C4,Mar!C4,Apr!C4,May!C4,Jun!C4,Jul!C4,Aug!C4,Sep!C4,Oct!C4,Nov!C4,Dec!C4)</f>
        <v>7050</v>
      </c>
      <c r="D4" s="17">
        <f>SUM(Jan!D4,Feb!D4,Mar!D4,Apr!D4,May!D4,Jun!D4,Jul!D4,Aug!D4,Sep!D4,Oct!D4,Nov!D4,Dec!D4)</f>
        <v>3860</v>
      </c>
      <c r="E4" s="17">
        <f>SUM(Jan!E4,Feb!E4,Mar!E4,Apr!E4,May!E4,Jun!E4,Jul!E4,Aug!E4,Sep!E4,Oct!E4,Nov!E4,Dec!E4)</f>
        <v>39320</v>
      </c>
      <c r="F4" s="17">
        <f>SUM(Jan!F4,Feb!F4,Mar!F4,Apr!F4,May!F4,Jun!F4,Jul!F4,Aug!F4,Sep!F4,Oct!F4,Nov!F4,Dec!F4)</f>
        <v>3330</v>
      </c>
      <c r="G4" s="18">
        <f t="shared" ref="G4:G12" si="0">SUM(B4:F4)</f>
        <v>61360</v>
      </c>
      <c r="H4" s="17">
        <f>SUM(Jan!H4,Feb!H4,Mar!H4,Apr!H4,May!H4,Jun!H4,Jul!H4,Aug!H4,Sep!H4,Oct!H4,Nov!H4,Dec!H4)</f>
        <v>41606.199999999997</v>
      </c>
      <c r="I4" s="20">
        <f>SUM(H4,G4)/2000</f>
        <v>51.4831</v>
      </c>
      <c r="J4" s="21"/>
      <c r="L4" s="22"/>
    </row>
    <row r="5" spans="1:16" s="5" customFormat="1" ht="32.1" customHeight="1">
      <c r="A5" s="23" t="s">
        <v>16</v>
      </c>
      <c r="B5" s="17">
        <f>SUM(Jan!B5,Feb!B5,Mar!B5,Apr!B5,May!B5,Jun!B5,Jul!B5,Aug!B5,Sep!B5,Oct!B5,Nov!B5,Dec!B5)</f>
        <v>6140</v>
      </c>
      <c r="C5" s="17">
        <f>SUM(Jan!C5,Feb!C5,Mar!C5,Apr!C5,May!C5,Jun!C5,Jul!C5,Aug!C5,Sep!C5,Oct!C5,Nov!C5,Dec!C5)</f>
        <v>8990</v>
      </c>
      <c r="D5" s="17">
        <f>SUM(Jan!D5,Feb!D5,Mar!D5,Apr!D5,May!D5,Jun!D5,Jul!D5,Aug!D5,Sep!D5,Oct!D5,Nov!D5,Dec!D5)</f>
        <v>8500</v>
      </c>
      <c r="E5" s="17">
        <f>SUM(Jan!E5,Feb!E5,Mar!E5,Apr!E5,May!E5,Jun!E5,Jul!E5,Aug!E5,Sep!E5,Oct!E5,Nov!E5,Dec!E5)</f>
        <v>30760</v>
      </c>
      <c r="F5" s="17">
        <f>SUM(Jan!F5,Feb!F5,Mar!F5,Apr!F5,May!F5,Jun!F5,Jul!F5,Aug!F5,Sep!F5,Oct!F5,Nov!F5,Dec!F5)</f>
        <v>8490</v>
      </c>
      <c r="G5" s="18">
        <f t="shared" si="0"/>
        <v>62880</v>
      </c>
      <c r="H5" s="17">
        <f>SUM(Jan!H5,Feb!H5,Mar!H5,Apr!H5,May!H5,Jun!H5,Jul!H5,Aug!H5,Sep!H5,Oct!H5,Nov!H5,Dec!H5)</f>
        <v>124812.6</v>
      </c>
      <c r="I5" s="20">
        <f t="shared" ref="I5:I12" si="1">SUM(H5,G5)/2000</f>
        <v>93.846299999999999</v>
      </c>
      <c r="J5" s="21"/>
      <c r="L5" s="22"/>
    </row>
    <row r="6" spans="1:16" s="5" customFormat="1" ht="32.1" customHeight="1">
      <c r="A6" s="16" t="s">
        <v>17</v>
      </c>
      <c r="B6" s="17">
        <f>SUM(Jan!B6,Feb!B6,Mar!B6,Apr!B6,May!B6,Jun!B6,Jul!B6,Aug!B6,Sep!B6,Oct!B6,Nov!B6,Dec!B6)</f>
        <v>60360</v>
      </c>
      <c r="C6" s="17">
        <f>SUM(Jan!C6,Feb!C6,Mar!C6,Apr!C6,May!C6,Jun!C6,Jul!C6,Aug!C6,Sep!C6,Oct!C6,Nov!C6,Dec!C6)</f>
        <v>106428</v>
      </c>
      <c r="D6" s="17">
        <f>SUM(Jan!D6,Feb!D6,Mar!D6,Apr!D6,May!D6,Jun!D6,Jul!D6,Aug!D6,Sep!D6,Oct!D6,Nov!D6,Dec!D6)</f>
        <v>70360</v>
      </c>
      <c r="E6" s="17">
        <f>SUM(Jan!E6,Feb!E6,Mar!E6,Apr!E6,May!E6,Jun!E6,Jul!E6,Aug!E6,Sep!E6,Oct!E6,Nov!E6,Dec!E6)</f>
        <v>349030</v>
      </c>
      <c r="F6" s="17">
        <f>SUM(Jan!F6,Feb!F6,Mar!F6,Apr!F6,May!F6,Jun!F6,Jul!F6,Aug!F6,Sep!F6,Oct!F6,Nov!F6,Dec!F6)</f>
        <v>43360</v>
      </c>
      <c r="G6" s="18">
        <f t="shared" si="0"/>
        <v>629538</v>
      </c>
      <c r="H6" s="17">
        <f>SUM(Jan!H6,Feb!H6,Mar!H6,Apr!H6,May!H6,Jun!H6,Jul!H6,Aug!H6,Sep!H6,Oct!H6,Nov!H6,Dec!H6)</f>
        <v>533606.6</v>
      </c>
      <c r="I6" s="20">
        <f t="shared" si="1"/>
        <v>581.57230000000004</v>
      </c>
      <c r="J6" s="21"/>
      <c r="L6" s="22"/>
    </row>
    <row r="7" spans="1:16" s="5" customFormat="1" ht="32.1" customHeight="1">
      <c r="A7" s="16" t="s">
        <v>18</v>
      </c>
      <c r="B7" s="17">
        <f>SUM(Jan!B7,Feb!B7,Mar!B7,Apr!B7,May!B7,Jun!B7,Jul!B7,Aug!B7,Sep!B7,Oct!B7,Nov!B7,Dec!B7)</f>
        <v>35546.333333333328</v>
      </c>
      <c r="C7" s="17">
        <f>SUM(Jan!C7,Feb!C7,Mar!C7,Apr!C7,May!C7,Jun!C7,Jul!C7,Aug!C7,Sep!C7,Oct!C7,Nov!C7,Dec!C7)</f>
        <v>64299.666666666672</v>
      </c>
      <c r="D7" s="17">
        <f>SUM(Jan!D7,Feb!D7,Mar!D7,Apr!D7,May!D7,Jun!D7,Jul!D7,Aug!D7,Sep!D7,Oct!D7,Nov!D7,Dec!D7)</f>
        <v>52901</v>
      </c>
      <c r="E7" s="17">
        <f>SUM(Jan!E7,Feb!E7,Mar!E7,Apr!E7,May!E7,Jun!E7,Jul!E7,Aug!E7,Sep!E7,Oct!E7,Nov!E7,Dec!E7)</f>
        <v>164405.33333333331</v>
      </c>
      <c r="F7" s="17">
        <f>SUM(Jan!F7,Feb!F7,Mar!F7,Apr!F7,May!F7,Jun!F7,Jul!F7,Aug!F7,Sep!F7,Oct!F7,Nov!F7,Dec!F7)</f>
        <v>65460</v>
      </c>
      <c r="G7" s="18">
        <f t="shared" si="0"/>
        <v>382612.33333333331</v>
      </c>
      <c r="H7" s="17">
        <f>SUM(Jan!H7,Feb!H7,Mar!H7,Apr!H7,May!H7,Jun!H7,Jul!H7,Aug!H7,Sep!H7,Oct!H7,Nov!H7,Dec!H7)</f>
        <v>374434.66666666669</v>
      </c>
      <c r="I7" s="20">
        <f t="shared" si="1"/>
        <v>378.52350000000001</v>
      </c>
      <c r="J7" s="21"/>
      <c r="L7" s="22"/>
    </row>
    <row r="8" spans="1:16" s="5" customFormat="1" ht="32.1" customHeight="1">
      <c r="A8" s="16" t="s">
        <v>19</v>
      </c>
      <c r="B8" s="17">
        <f>SUM(Jan!B8,Feb!B8,Mar!B8,Apr!B8,May!B8,Jun!B8,Jul!B8,Aug!B8,Sep!B8,Oct!B8,Nov!B8,Dec!B8)</f>
        <v>35546.333333333328</v>
      </c>
      <c r="C8" s="17">
        <f>SUM(Jan!C8,Feb!C8,Mar!C8,Apr!C8,May!C8,Jun!C8,Jul!C8,Aug!C8,Sep!C8,Oct!C8,Nov!C8,Dec!C8)</f>
        <v>64299.666666666672</v>
      </c>
      <c r="D8" s="17">
        <f>SUM(Jan!D8,Feb!D8,Mar!D8,Apr!D8,May!D8,Jun!D8,Jul!D8,Aug!D8,Sep!D8,Oct!D8,Nov!D8,Dec!D8)</f>
        <v>52901</v>
      </c>
      <c r="E8" s="17">
        <f>SUM(Jan!E8,Feb!E8,Mar!E8,Apr!E8,May!E8,Jun!E8,Jul!E8,Aug!E8,Sep!E8,Oct!E8,Nov!E8,Dec!E8)</f>
        <v>164405.33333333331</v>
      </c>
      <c r="F8" s="17">
        <f>SUM(Jan!F8,Feb!F8,Mar!F8,Apr!F8,May!F8,Jun!F8,Jul!F8,Aug!F8,Sep!F8,Oct!F8,Nov!F8,Dec!F8)</f>
        <v>65460</v>
      </c>
      <c r="G8" s="18">
        <f t="shared" si="0"/>
        <v>382612.33333333331</v>
      </c>
      <c r="H8" s="17">
        <f>SUM(Jan!H8,Feb!H8,Mar!H8,Apr!H8,May!H8,Jun!H8,Jul!H8,Aug!H8,Sep!H8,Oct!H8,Nov!H8,Dec!H8)</f>
        <v>374434.66666666669</v>
      </c>
      <c r="I8" s="20">
        <f t="shared" si="1"/>
        <v>378.52350000000001</v>
      </c>
      <c r="J8" s="21"/>
      <c r="L8" s="22"/>
    </row>
    <row r="9" spans="1:16" s="5" customFormat="1" ht="32.1" customHeight="1">
      <c r="A9" s="16" t="s">
        <v>20</v>
      </c>
      <c r="B9" s="17">
        <f>SUM(Jan!B9,Feb!B9,Mar!B9,Apr!B9,May!B9,Jun!B9,Jul!B9,Aug!B9,Sep!B9,Oct!B9,Nov!B9,Dec!B9)</f>
        <v>35546.333333333328</v>
      </c>
      <c r="C9" s="17">
        <f>SUM(Jan!C9,Feb!C9,Mar!C9,Apr!C9,May!C9,Jun!C9,Jul!C9,Aug!C9,Sep!C9,Oct!C9,Nov!C9,Dec!C9)</f>
        <v>64299.666666666672</v>
      </c>
      <c r="D9" s="17">
        <f>SUM(Jan!D9,Feb!D9,Mar!D9,Apr!D9,May!D9,Jun!D9,Jul!D9,Aug!D9,Sep!D9,Oct!D9,Nov!D9,Dec!D9)</f>
        <v>52901</v>
      </c>
      <c r="E9" s="17">
        <f>SUM(Jan!E9,Feb!E9,Mar!E9,Apr!E9,May!E9,Jun!E9,Jul!E9,Aug!E9,Sep!E9,Oct!E9,Nov!E9,Dec!E9)</f>
        <v>164405.33333333331</v>
      </c>
      <c r="F9" s="17">
        <f>SUM(Jan!F9,Feb!F9,Mar!F9,Apr!F9,May!F9,Jun!F9,Jul!F9,Aug!F9,Sep!F9,Oct!F9,Nov!F9,Dec!F9)</f>
        <v>65460</v>
      </c>
      <c r="G9" s="18">
        <f t="shared" si="0"/>
        <v>382612.33333333331</v>
      </c>
      <c r="H9" s="17">
        <f>SUM(Jan!H9,Feb!H9,Mar!H9,Apr!H9,May!H9,Jun!H9,Jul!H9,Aug!H9,Sep!H9,Oct!H9,Nov!H9,Dec!H9)</f>
        <v>374434.66666666669</v>
      </c>
      <c r="I9" s="20">
        <f t="shared" si="1"/>
        <v>378.52350000000001</v>
      </c>
      <c r="J9" s="24"/>
      <c r="L9" s="22"/>
    </row>
    <row r="10" spans="1:16" s="25" customFormat="1" ht="31.5" customHeight="1">
      <c r="A10" s="16" t="s">
        <v>21</v>
      </c>
      <c r="B10" s="17">
        <f>SUM(Jan!B10,Feb!B10,Mar!B10,Apr!B10,May!B10,Jun!B10,Jul!B10,Aug!B10,Sep!B10,Oct!B10,Nov!B10,Dec!B10)</f>
        <v>68860</v>
      </c>
      <c r="C10" s="17">
        <f>SUM(Jan!C10,Feb!C10,Mar!C10,Apr!C10,May!C10,Jun!C10,Jul!C10,Aug!C10,Sep!C10,Oct!C10,Nov!C10,Dec!C10)</f>
        <v>223040</v>
      </c>
      <c r="D10" s="17">
        <f>SUM(Jan!D10,Feb!D10,Mar!D10,Apr!D10,May!D10,Jun!D10,Jul!D10,Aug!D10,Sep!D10,Oct!D10,Nov!D10,Dec!D10)</f>
        <v>64420</v>
      </c>
      <c r="E10" s="17">
        <f>SUM(Jan!E10,Feb!E10,Mar!E10,Apr!E10,May!E10,Jun!E10,Jul!E10,Aug!E10,Sep!E10,Oct!E10,Nov!E10,Dec!E10)</f>
        <v>274220</v>
      </c>
      <c r="F10" s="17">
        <f>SUM(Jan!F10,Feb!F10,Mar!F10,Apr!F10,May!F10,Jun!F10,Jul!F10,Aug!F10,Sep!F10,Oct!F10,Nov!F10,Dec!F10)</f>
        <v>18980</v>
      </c>
      <c r="G10" s="18">
        <f t="shared" si="0"/>
        <v>649520</v>
      </c>
      <c r="H10" s="17">
        <f>SUM(Jan!H10,Feb!H10,Mar!H10,Apr!H10,May!H10,Jun!H10,Jul!H10,Aug!H10,Sep!H10,Oct!H10,Nov!H10,Dec!H10)</f>
        <v>2496234</v>
      </c>
      <c r="I10" s="20">
        <f>SUM(H10,G10)/2000</f>
        <v>1572.877</v>
      </c>
      <c r="J10" s="21"/>
      <c r="K10" s="5"/>
      <c r="L10" s="22"/>
    </row>
    <row r="11" spans="1:16" s="5" customFormat="1" ht="32.1" customHeight="1">
      <c r="A11" s="16" t="s">
        <v>22</v>
      </c>
      <c r="B11" s="17">
        <f>SUM(Jan!B11,Feb!B11,Mar!B11,Apr!B11,May!B11,Jun!B11,Jul!B11,Aug!B11,Sep!B11,Oct!B11,Nov!B11,Dec!B11)</f>
        <v>105040</v>
      </c>
      <c r="C11" s="17">
        <f>SUM(Jan!C11,Feb!C11,Mar!C11,Apr!C11,May!C11,Jun!C11,Jul!C11,Aug!C11,Sep!C11,Oct!C11,Nov!C11,Dec!C11)</f>
        <v>147420</v>
      </c>
      <c r="D11" s="17">
        <f>SUM(Jan!D11,Feb!D11,Mar!D11,Apr!D11,May!D11,Jun!D11,Jul!D11,Aug!D11,Sep!D11,Oct!D11,Nov!D11,Dec!D11)</f>
        <v>128980</v>
      </c>
      <c r="E11" s="17">
        <f>SUM(Jan!E11,Feb!E11,Mar!E11,Apr!E11,May!E11,Jun!E11,Jul!E11,Aug!E11,Sep!E11,Oct!E11,Nov!E11,Dec!E11)</f>
        <v>705770</v>
      </c>
      <c r="F11" s="17">
        <f>SUM(Jan!F11,Feb!F11,Mar!F11,Apr!F11,May!F11,Jun!F11,Jul!F11,Aug!F11,Sep!F11,Oct!F11,Nov!F11,Dec!F11)</f>
        <v>108640</v>
      </c>
      <c r="G11" s="18">
        <f t="shared" si="0"/>
        <v>1195850</v>
      </c>
      <c r="H11" s="17">
        <f>SUM(Jan!H11,Feb!H11,Mar!H11,Apr!H11,May!H11,Jun!H11,Jul!H11,Aug!H11,Sep!H11,Oct!H11,Nov!H11,Dec!H11)</f>
        <v>2496234</v>
      </c>
      <c r="I11" s="20">
        <f>SUM(H11,G11)/2000</f>
        <v>1846.0419999999999</v>
      </c>
      <c r="J11" s="21"/>
      <c r="L11" s="22"/>
    </row>
    <row r="12" spans="1:16" s="5" customFormat="1" ht="32.1" customHeight="1">
      <c r="A12" s="16" t="s">
        <v>23</v>
      </c>
      <c r="B12" s="17">
        <f>SUM(Jan!B12,Feb!B12,Mar!B12,Apr!B12,May!B12,Jun!B12,Jul!B12,Aug!B12,Sep!B12,Oct!B12,Nov!B12,Dec!B12)</f>
        <v>103680</v>
      </c>
      <c r="C12" s="17">
        <f>SUM(Jan!C12,Feb!C12,Mar!C12,Apr!C12,May!C12,Jun!C12,Jul!C12,Aug!C12,Sep!C12,Oct!C12,Nov!C12,Dec!C12)</f>
        <v>118660</v>
      </c>
      <c r="D12" s="17">
        <f>SUM(Jan!D12,Feb!D12,Mar!D12,Apr!D12,May!D12,Jun!D12,Jul!D12,Aug!D12,Sep!D12,Oct!D12,Nov!D12,Dec!D12)</f>
        <v>121848</v>
      </c>
      <c r="E12" s="17">
        <f>SUM(Jan!E12,Feb!E12,Mar!E12,Apr!E12,May!E12,Jun!E12,Jul!E12,Aug!E12,Sep!E12,Oct!E12,Nov!E12,Dec!E12)</f>
        <v>448430</v>
      </c>
      <c r="F12" s="17">
        <f>SUM(Jan!F12,Feb!F12,Mar!F12,Apr!F12,May!F12,Jun!F12,Jul!F12,Aug!F12,Sep!F12,Oct!F12,Nov!F12,Dec!F12)</f>
        <v>113520</v>
      </c>
      <c r="G12" s="18">
        <f t="shared" si="0"/>
        <v>906138</v>
      </c>
      <c r="H12" s="17">
        <f>SUM(Jan!H12,Feb!H12,Mar!H12,Apr!H12,May!H12,Jun!H12,Jul!H12,Aug!H12,Sep!H12,Oct!H12,Nov!H12,Dec!H12)</f>
        <v>1171512</v>
      </c>
      <c r="I12" s="20">
        <f t="shared" si="1"/>
        <v>1038.825</v>
      </c>
      <c r="J12" s="21"/>
      <c r="L12" s="22"/>
    </row>
    <row r="13" spans="1:16" s="5" customFormat="1" ht="32.1" customHeight="1">
      <c r="A13" s="26" t="s">
        <v>24</v>
      </c>
      <c r="B13" s="27">
        <f t="shared" ref="B13:H13" si="2">SUM(B4:B12)/2000</f>
        <v>229.2595</v>
      </c>
      <c r="C13" s="27">
        <f t="shared" si="2"/>
        <v>402.24349999999998</v>
      </c>
      <c r="D13" s="27">
        <f t="shared" si="2"/>
        <v>278.33550000000002</v>
      </c>
      <c r="E13" s="27">
        <f t="shared" si="2"/>
        <v>1170.373</v>
      </c>
      <c r="F13" s="27">
        <f t="shared" si="2"/>
        <v>246.35</v>
      </c>
      <c r="G13" s="27">
        <f t="shared" si="2"/>
        <v>2326.5614999999998</v>
      </c>
      <c r="H13" s="27">
        <f t="shared" si="2"/>
        <v>3993.6547</v>
      </c>
      <c r="I13" s="28">
        <f>SUM(I4:I12)</f>
        <v>6320.2161999999998</v>
      </c>
      <c r="J13" s="146"/>
      <c r="K13" s="29"/>
      <c r="L13" s="22"/>
    </row>
    <row r="14" spans="1:16" s="5" customFormat="1" ht="32.1" customHeight="1">
      <c r="A14" s="142"/>
      <c r="B14" s="17"/>
      <c r="K14" s="31"/>
      <c r="M14" s="32"/>
      <c r="N14" s="32"/>
    </row>
    <row r="15" spans="1:16" s="5" customFormat="1" ht="32.1" customHeight="1">
      <c r="A15" s="144" t="s">
        <v>25</v>
      </c>
      <c r="B15" s="140">
        <f>SUM(Jan!B15,Feb!B15,Mar!B15,Apr!B15,May!B15,Jun!B15,Jul!B15,Aug!B15,Sep!B15,Oct!B15,Nov!B15,Dec!B15)</f>
        <v>17.939</v>
      </c>
      <c r="C15" s="17"/>
      <c r="D15" s="17"/>
      <c r="E15" s="17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32.1" customHeight="1">
      <c r="A16" s="141" t="s">
        <v>26</v>
      </c>
      <c r="B16" s="140">
        <f>SUM(Jan!B16,Feb!B16,Mar!B16,Apr!B16,May!B16,Jun!B16,Jul!B16,Aug!B16,Sep!B16,Oct!B16,Nov!B16,Dec!B16)</f>
        <v>87.899999999999991</v>
      </c>
      <c r="C16" s="41"/>
      <c r="D16" s="42"/>
      <c r="E16" s="140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>
      <c r="A17" s="141" t="s">
        <v>28</v>
      </c>
      <c r="B17" s="140">
        <f>SUM(Jan!B17,Feb!B17,Mar!B17,Apr!B17,May!B17,Jun!B17,Jul!B17,Aug!B17,Sep!B17,Oct!B17,Nov!B17,Dec!B17)</f>
        <v>308.00999999999993</v>
      </c>
      <c r="C17" s="41"/>
      <c r="D17" s="48" t="s">
        <v>29</v>
      </c>
      <c r="E17" s="140">
        <f>SUM(Jan!E17,Feb!E17,Mar!E17,Apr!E17,May!E17,Jun!E17,Jul!E17,Aug!E17,Sep!E17,Oct!E17,Nov!E17,Dec!E17)</f>
        <v>58.840000000000011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143"/>
      <c r="B18" s="17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/>
      <c r="B19" s="1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17"/>
      <c r="C20" s="50"/>
      <c r="D20" s="50"/>
      <c r="E20" s="50"/>
      <c r="F20" s="50"/>
      <c r="H20" s="50"/>
      <c r="I20" s="50"/>
      <c r="J20" s="50"/>
      <c r="K20" s="61"/>
      <c r="L20" s="61"/>
      <c r="M20" s="50"/>
      <c r="N20" s="50"/>
      <c r="O20" s="50"/>
      <c r="P20" s="62"/>
    </row>
    <row r="21" spans="1:18" s="53" customFormat="1" ht="32.1" customHeight="1" thickBot="1">
      <c r="A21" s="63"/>
      <c r="B21" s="139" t="s">
        <v>31</v>
      </c>
      <c r="C21" s="139" t="s">
        <v>32</v>
      </c>
      <c r="D21" s="64" t="s">
        <v>33</v>
      </c>
      <c r="E21" s="65"/>
      <c r="F21" s="61"/>
      <c r="H21" s="61"/>
      <c r="I21" s="61"/>
      <c r="J21" s="61"/>
      <c r="K21" s="61"/>
      <c r="L21" s="106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140">
        <f>SUM(Jan!B22,Feb!B22,Mar!B22,Apr!B22,May!B22,Jun!B22,Jul!B22,Aug!B22,Sep!B22,Oct!B22,Nov!B22,Dec!B22)</f>
        <v>4579.5</v>
      </c>
      <c r="C22" s="140">
        <f>SUM(Jan!C22,Feb!C22,Mar!C22,Apr!C22,May!C22,Jun!C22,Jul!C22,Aug!C22,Sep!C22,Oct!C22,Nov!C22,Dec!C22)</f>
        <v>26256.77</v>
      </c>
      <c r="D22" s="48">
        <f>SUM(B22:C22)</f>
        <v>30836.27</v>
      </c>
      <c r="E22" s="69"/>
      <c r="F22" s="61"/>
      <c r="H22" s="61"/>
      <c r="I22" s="61"/>
      <c r="J22" s="61"/>
      <c r="K22" s="50"/>
      <c r="L22" s="111"/>
      <c r="M22" s="61"/>
      <c r="N22" s="61"/>
      <c r="O22" s="61"/>
      <c r="P22" s="60"/>
    </row>
    <row r="23" spans="1:18" s="60" customFormat="1" ht="32.1" customHeight="1" thickBot="1">
      <c r="A23" s="59"/>
      <c r="B23" s="17"/>
      <c r="C23" s="70"/>
      <c r="D23" s="71"/>
      <c r="E23" s="50"/>
      <c r="F23" s="50"/>
      <c r="H23" s="50"/>
      <c r="I23" s="50"/>
      <c r="J23" s="50"/>
      <c r="K23" s="72"/>
      <c r="L23" s="111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136" t="s">
        <v>35</v>
      </c>
      <c r="C24" s="137" t="s">
        <v>36</v>
      </c>
      <c r="D24" s="136" t="s">
        <v>37</v>
      </c>
      <c r="E24" s="138" t="s">
        <v>38</v>
      </c>
      <c r="F24" s="79" t="s">
        <v>39</v>
      </c>
      <c r="G24" s="79" t="s">
        <v>40</v>
      </c>
      <c r="H24" s="79" t="s">
        <v>41</v>
      </c>
      <c r="I24" s="79" t="s">
        <v>42</v>
      </c>
      <c r="K24" s="72"/>
      <c r="L24" s="111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140">
        <f>SUM(Jan!B25,Feb!B25,Mar!B25,Apr!B25,May!B25,Jun!B25,Jul!B25,Aug!B25,Sep!B25,Oct!B25,Nov!B25,Dec!B25)</f>
        <v>398.84000000000003</v>
      </c>
      <c r="C25" s="140">
        <f>SUM(Jan!C25,Feb!C25,Mar!C25,Apr!C25,May!C25,Jun!C25,Jul!C25,Aug!C25,Sep!C25,Oct!C25,Nov!C25,Dec!C25)</f>
        <v>0</v>
      </c>
      <c r="D25" s="140">
        <f>SUM(Jan!D25,Feb!D25,Mar!D25,Apr!D25,May!D25,Jun!D25,Jul!D25,Aug!D25,Sep!D25,Oct!D25,Nov!D25,Dec!D25)</f>
        <v>44.17</v>
      </c>
      <c r="E25" s="140">
        <f>SUM(Jan!E25,Feb!E25,Mar!E25,Apr!E25,May!E25,Jun!E25,Jul!E25,Aug!E25,Sep!E25,Oct!E25,Nov!E25,Dec!E25)</f>
        <v>5.6225000000000005</v>
      </c>
      <c r="F25" s="140">
        <f>SUM(Jan!F25,Feb!F25,Mar!F25,Apr!F25,May!F25,Jun!F25,Jul!F25,Aug!F25,Sep!F25,Oct!F25,Nov!F25,Dec!F25)</f>
        <v>26976.070000000003</v>
      </c>
      <c r="G25" s="140">
        <f>SUM(Jan!G25,Feb!G25,Mar!G25,Apr!G25,May!G25,Jun!G25,Jul!G25,Aug!G25,Sep!G25,Oct!G25,Nov!G25,Dec!G25)</f>
        <v>11496.12</v>
      </c>
      <c r="H25" s="140">
        <f>SUM(Jan!H25,Feb!H25,Mar!H25,Apr!H25,May!H25,Jun!H25,Jul!H25,Aug!H25,Sep!H25,Oct!H25,Nov!H25,Dec!H25)</f>
        <v>16.270000000000003</v>
      </c>
      <c r="I25" s="140">
        <f>SUM(Jan!I25,Feb!I25,Mar!I25,Apr!I25,May!I25,Jun!I25,Jul!I25,Aug!I25,Sep!I25,Oct!I25,Nov!I25,Dec!I25)</f>
        <v>99.13000000000001</v>
      </c>
      <c r="K25" s="86"/>
      <c r="L25" s="111"/>
      <c r="M25" s="88"/>
      <c r="N25" s="73"/>
    </row>
    <row r="26" spans="1:18" s="53" customFormat="1" ht="32.1" customHeight="1" thickBot="1">
      <c r="A26" s="89"/>
      <c r="B26" s="17"/>
      <c r="C26" s="50"/>
      <c r="D26" s="50"/>
      <c r="E26" s="90"/>
      <c r="F26" s="50"/>
      <c r="G26" s="66"/>
      <c r="H26" s="50"/>
      <c r="I26" s="50"/>
      <c r="J26" s="50"/>
      <c r="K26" s="61"/>
      <c r="L26" s="61"/>
      <c r="M26" s="50"/>
      <c r="N26" s="50"/>
      <c r="O26" s="91"/>
      <c r="P26" s="92"/>
    </row>
    <row r="27" spans="1:18" s="53" customFormat="1" ht="32.1" customHeight="1" thickBot="1">
      <c r="A27" s="93"/>
      <c r="B27" s="79" t="s">
        <v>44</v>
      </c>
      <c r="C27" s="79" t="s">
        <v>45</v>
      </c>
      <c r="D27" s="135" t="s">
        <v>33</v>
      </c>
      <c r="E27" s="69"/>
      <c r="F27" s="61"/>
      <c r="G27" s="61"/>
      <c r="H27" s="61"/>
      <c r="I27" s="79" t="s">
        <v>67</v>
      </c>
      <c r="J27" s="61"/>
      <c r="K27" s="95"/>
      <c r="L27" s="106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140">
        <f>SUM(Jan!B28,Feb!B28,Mar!B28,Apr!B28,May!B28,Jun!B28,Jul!B28,Aug!B28,Sep!B28,Oct!B28,Nov!B28,Dec!B28)</f>
        <v>41384.980000000003</v>
      </c>
      <c r="C28" s="140">
        <f>SUM(Jan!C28,Feb!C28,Mar!C28,Apr!C28,May!C28,Jun!C28,Jul!C28,Aug!C28,Sep!C28,Oct!C28,Nov!C28,Dec!C28)</f>
        <v>24.29</v>
      </c>
      <c r="D28" s="48">
        <f>SUM(B28:C28,G25)</f>
        <v>52905.390000000007</v>
      </c>
      <c r="E28" s="61"/>
      <c r="F28" s="61"/>
      <c r="G28" s="61"/>
      <c r="H28" s="61"/>
      <c r="I28" s="48">
        <f>SUM(B25:I25)</f>
        <v>39036.222499999996</v>
      </c>
      <c r="J28" s="61"/>
      <c r="K28" s="50"/>
      <c r="L28" s="111"/>
      <c r="M28" s="95"/>
      <c r="N28" s="95"/>
      <c r="O28" s="95"/>
      <c r="P28" s="60"/>
    </row>
    <row r="29" spans="1:18" s="53" customFormat="1" ht="32.1" customHeight="1">
      <c r="A29" s="98"/>
      <c r="B29" s="17"/>
      <c r="C29" s="87"/>
      <c r="D29" s="87"/>
      <c r="E29" s="87"/>
      <c r="F29" s="87"/>
      <c r="G29" s="87"/>
      <c r="H29" s="50"/>
      <c r="I29" s="50"/>
      <c r="J29" s="50"/>
      <c r="K29" s="61"/>
      <c r="L29" s="111"/>
      <c r="M29" s="50"/>
      <c r="N29" s="50"/>
      <c r="O29" s="100"/>
    </row>
    <row r="30" spans="1:18" s="53" customFormat="1" ht="32.1" customHeight="1" thickBot="1">
      <c r="A30" s="101" t="s">
        <v>47</v>
      </c>
      <c r="B30" s="134" t="s">
        <v>43</v>
      </c>
      <c r="C30" s="134" t="s">
        <v>48</v>
      </c>
      <c r="D30" s="134" t="s">
        <v>49</v>
      </c>
      <c r="E30" s="134" t="s">
        <v>33</v>
      </c>
      <c r="F30" s="102"/>
      <c r="G30" s="69"/>
      <c r="H30" s="61"/>
      <c r="I30" s="61"/>
      <c r="J30" s="61"/>
      <c r="K30" s="61"/>
      <c r="L30" s="11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40">
        <f>SUM(Jan!B31,Feb!B31,Mar!B31,Apr!B31,May!B31,Jun!B31,Jul!B31,Aug!B31,Sep!B31,Oct!B31,Nov!B31,Dec!B31)</f>
        <v>26976.070000000003</v>
      </c>
      <c r="C31" s="140">
        <f>SUM(Jan!C31,Feb!C31,Mar!C31,Apr!C31,May!C31,Jun!C31,Jul!C31,Aug!C31,Sep!C31,Oct!C31,Nov!C31,Dec!C31)</f>
        <v>6972.86</v>
      </c>
      <c r="D31" s="140">
        <f>SUM(Jan!D31,Feb!D31,Mar!D31,Apr!D31,May!D31,Jun!D31,Jul!D31,Aug!D31,Sep!D31,Oct!D31,Nov!D31,Dec!D31)</f>
        <v>4438.67</v>
      </c>
      <c r="E31" s="48">
        <f>SUM(B31:D31)</f>
        <v>38387.599999999999</v>
      </c>
      <c r="F31" s="69"/>
      <c r="G31" s="69" t="s">
        <v>62</v>
      </c>
      <c r="H31" s="61"/>
      <c r="I31" s="61"/>
      <c r="J31" s="61"/>
      <c r="K31" s="61"/>
      <c r="L31" s="11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32.1" customHeight="1">
      <c r="F33" s="61"/>
      <c r="G33" s="61"/>
      <c r="H33" s="61"/>
      <c r="I33" s="61"/>
      <c r="J33" s="61"/>
      <c r="K33" s="61"/>
      <c r="L33" s="106"/>
      <c r="M33" s="61"/>
      <c r="N33" s="61"/>
      <c r="O33" s="61"/>
    </row>
    <row r="34" spans="1:16" s="53" customFormat="1" ht="32.1" customHeight="1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32.1" customHeight="1">
      <c r="A35" s="107" t="s">
        <v>66</v>
      </c>
      <c r="B35" s="108">
        <f>SUM(I13+B15+B16+B17+B19+L26+C25+D25+H25+I25+E17)</f>
        <v>6952.4752000000008</v>
      </c>
      <c r="D35" s="107" t="s">
        <v>52</v>
      </c>
      <c r="E35" s="145">
        <f>B35/B43</f>
        <v>4.9454426037434704E-2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32.1" customHeight="1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32.1" customHeight="1">
      <c r="A37" s="107" t="s">
        <v>65</v>
      </c>
      <c r="B37" s="108">
        <f>SUM(I13+B15+B16+B17+B19+D22+L26+C25+D25+H25+I25+E17)</f>
        <v>37788.74519999999</v>
      </c>
      <c r="C37" s="61"/>
      <c r="D37" s="109" t="s">
        <v>64</v>
      </c>
      <c r="E37" s="110">
        <f>B37/B43</f>
        <v>0.26879933416243829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31.5" customHeight="1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5.5" customHeight="1">
      <c r="A39" s="116" t="s">
        <v>63</v>
      </c>
      <c r="B39" s="108">
        <f>SUM(E25+E31)</f>
        <v>38393.222499999996</v>
      </c>
      <c r="C39" s="117"/>
      <c r="D39" s="109" t="s">
        <v>54</v>
      </c>
      <c r="E39" s="110">
        <f>B39/B43</f>
        <v>0.2730991090000614</v>
      </c>
    </row>
    <row r="40" spans="1:16" ht="31.5" customHeight="1">
      <c r="A40" s="118"/>
      <c r="B40" s="119"/>
      <c r="C40" s="61"/>
      <c r="D40" s="61"/>
      <c r="E40" s="61"/>
    </row>
    <row r="41" spans="1:16" ht="26.1" customHeight="1">
      <c r="A41" s="120" t="s">
        <v>55</v>
      </c>
      <c r="B41" s="121">
        <f>SUM(G25+D28)</f>
        <v>64401.510000000009</v>
      </c>
      <c r="C41" s="61"/>
      <c r="D41" s="122"/>
      <c r="E41" s="122"/>
    </row>
    <row r="42" spans="1:16" ht="31.5" customHeight="1">
      <c r="A42" s="112"/>
      <c r="B42" s="119"/>
      <c r="C42" s="61"/>
      <c r="D42" s="123"/>
      <c r="E42" s="104"/>
    </row>
    <row r="43" spans="1:16" ht="26.1" customHeight="1">
      <c r="A43" s="107" t="s">
        <v>58</v>
      </c>
      <c r="B43" s="121">
        <f>B39+B41+B37</f>
        <v>140583.47769999999</v>
      </c>
      <c r="C43" s="61"/>
      <c r="D43" s="124"/>
      <c r="E43" s="122"/>
      <c r="F43" s="115"/>
    </row>
    <row r="44" spans="1:16" ht="31.5" customHeight="1">
      <c r="A44" s="115"/>
      <c r="B44" s="115"/>
      <c r="C44" s="115"/>
      <c r="D44" s="124"/>
      <c r="E44" s="115"/>
      <c r="F44" s="115"/>
    </row>
    <row r="45" spans="1:16" ht="26.1" customHeight="1">
      <c r="A45" s="115"/>
      <c r="B45" s="115"/>
      <c r="C45" s="115"/>
      <c r="D45" s="115"/>
      <c r="E45" s="115"/>
      <c r="F45" s="115"/>
    </row>
    <row r="46" spans="1:16" ht="26.1" customHeight="1">
      <c r="A46" s="115"/>
      <c r="B46" s="115"/>
      <c r="C46" s="115"/>
      <c r="D46" s="115"/>
      <c r="E46" s="115"/>
      <c r="F46" s="115"/>
    </row>
    <row r="47" spans="1:16" ht="26.1" customHeight="1">
      <c r="A47" s="115"/>
      <c r="B47" s="115"/>
      <c r="C47" s="115"/>
      <c r="D47" s="115"/>
      <c r="E47" s="115"/>
      <c r="F47" s="115"/>
    </row>
    <row r="48" spans="1:16" ht="26.1" customHeight="1">
      <c r="A48" s="115"/>
      <c r="B48" s="115"/>
      <c r="C48" s="115"/>
      <c r="D48" s="115"/>
      <c r="E48" s="115"/>
      <c r="F48" s="115"/>
    </row>
    <row r="49" s="115" customFormat="1" ht="26.1" customHeight="1"/>
    <row r="50" s="115" customFormat="1" ht="26.1" customHeight="1"/>
    <row r="51" s="115" customFormat="1" ht="26.1" customHeight="1"/>
    <row r="52" s="115" customFormat="1" ht="26.1" customHeight="1"/>
    <row r="53" s="115" customFormat="1" ht="26.1" customHeight="1"/>
    <row r="54" s="115" customFormat="1" ht="26.1" customHeight="1"/>
    <row r="55" s="115" customFormat="1" ht="26.1" customHeight="1"/>
  </sheetData>
  <customSheetViews>
    <customSheetView guid="{18ABB7CE-E9DD-4467-B368-D8163BDBE79F}" scale="40" hiddenColumns="1">
      <selection activeCell="F49" sqref="F49"/>
      <pageMargins left="0.7" right="0.7" top="0.75" bottom="0.75" header="0.3" footer="0.3"/>
    </customSheetView>
    <customSheetView guid="{2108F49D-F0FB-4737-BA79-3B15211A9F8F}" scale="40" hiddenColumns="1">
      <selection activeCell="C18" sqref="A1:XFD1048576"/>
      <pageMargins left="0.7" right="0.7" top="0.75" bottom="0.75" header="0.3" footer="0.3"/>
      <pageSetup orientation="portrait" horizontalDpi="4294967293" verticalDpi="0" r:id="rId1"/>
    </customSheetView>
    <customSheetView guid="{037DCF94-393F-444C-8CC8-348B9921602C}" scale="40" hiddenColumns="1">
      <selection sqref="A1:XFD1048576"/>
      <pageMargins left="0.7" right="0.7" top="0.75" bottom="0.75" header="0.3" footer="0.3"/>
    </customSheetView>
    <customSheetView guid="{1F53F7D0-897F-4CD0-B731-A7EAAEC631FF}" scale="40" hiddenColumns="1">
      <selection sqref="A1:XFD1048576"/>
      <pageMargins left="0.7" right="0.7" top="0.75" bottom="0.75" header="0.3" footer="0.3"/>
    </customSheetView>
    <customSheetView guid="{60BFC34B-3957-423D-86B5-753FA44417D1}" scale="40" hiddenColumns="1">
      <selection activeCell="H20" sqref="H20"/>
      <pageMargins left="0.7" right="0.7" top="0.75" bottom="0.75" header="0.3" footer="0.3"/>
    </customSheetView>
  </customSheetViews>
  <mergeCells count="1">
    <mergeCell ref="J2:L2"/>
  </mergeCells>
  <pageMargins left="0.25" right="0.25" top="0.75" bottom="0.75" header="0.3" footer="0.3"/>
  <pageSetup scale="35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topLeftCell="A10"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32.1" customHeight="1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2.1" customHeight="1">
      <c r="A2" s="6">
        <v>42736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32.1" customHeight="1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32.1" customHeight="1">
      <c r="A4" s="16" t="s">
        <v>15</v>
      </c>
      <c r="B4" s="17">
        <v>520</v>
      </c>
      <c r="C4" s="17">
        <v>950</v>
      </c>
      <c r="D4" s="17">
        <v>400</v>
      </c>
      <c r="E4" s="17">
        <v>3060</v>
      </c>
      <c r="F4" s="17">
        <v>220</v>
      </c>
      <c r="G4" s="18">
        <f t="shared" ref="G4:G12" si="0">SUM(B4:F4)</f>
        <v>5150</v>
      </c>
      <c r="H4" s="19">
        <v>4160.2</v>
      </c>
      <c r="I4" s="20">
        <f>SUM(H4,G4)/2000</f>
        <v>4.6551</v>
      </c>
      <c r="J4" s="21"/>
      <c r="L4" s="22"/>
    </row>
    <row r="5" spans="1:16" s="5" customFormat="1" ht="32.1" customHeight="1">
      <c r="A5" s="23" t="s">
        <v>16</v>
      </c>
      <c r="B5" s="17">
        <v>660</v>
      </c>
      <c r="C5" s="17">
        <v>950</v>
      </c>
      <c r="D5" s="17">
        <v>940</v>
      </c>
      <c r="E5" s="17">
        <v>3400</v>
      </c>
      <c r="F5" s="17">
        <v>800</v>
      </c>
      <c r="G5" s="18">
        <f t="shared" si="0"/>
        <v>6750</v>
      </c>
      <c r="H5" s="19">
        <v>12480.599999999999</v>
      </c>
      <c r="I5" s="20">
        <f t="shared" ref="I5:I12" si="1">SUM(H5,G5)/2000</f>
        <v>9.6152999999999995</v>
      </c>
      <c r="J5" s="21"/>
      <c r="L5" s="22"/>
    </row>
    <row r="6" spans="1:16" s="5" customFormat="1" ht="32.1" customHeight="1">
      <c r="A6" s="16" t="s">
        <v>17</v>
      </c>
      <c r="B6" s="17">
        <v>5000</v>
      </c>
      <c r="C6" s="17">
        <v>7040</v>
      </c>
      <c r="D6" s="17">
        <v>4700</v>
      </c>
      <c r="E6" s="17">
        <v>31000</v>
      </c>
      <c r="F6" s="17">
        <v>3560</v>
      </c>
      <c r="G6" s="18">
        <f t="shared" si="0"/>
        <v>51300</v>
      </c>
      <c r="H6" s="19">
        <v>54082.599999999991</v>
      </c>
      <c r="I6" s="20">
        <f t="shared" si="1"/>
        <v>52.691299999999998</v>
      </c>
      <c r="J6" s="21"/>
      <c r="L6" s="22"/>
    </row>
    <row r="7" spans="1:16" s="5" customFormat="1" ht="32.1" customHeight="1">
      <c r="A7" s="16" t="s">
        <v>18</v>
      </c>
      <c r="B7" s="17">
        <f>10640/3</f>
        <v>3546.6666666666665</v>
      </c>
      <c r="C7" s="17">
        <f>15060/3</f>
        <v>5020</v>
      </c>
      <c r="D7" s="17">
        <f>8700/3</f>
        <v>2900</v>
      </c>
      <c r="E7" s="17">
        <f>42520/3</f>
        <v>14173.333333333334</v>
      </c>
      <c r="F7" s="17">
        <f>13560/3</f>
        <v>4520</v>
      </c>
      <c r="G7" s="18">
        <f t="shared" si="0"/>
        <v>30160</v>
      </c>
      <c r="H7" s="19">
        <f>112325/3</f>
        <v>37441.666666666664</v>
      </c>
      <c r="I7" s="20">
        <f t="shared" si="1"/>
        <v>33.80083333333333</v>
      </c>
      <c r="J7" s="21">
        <f>G7*3</f>
        <v>90480</v>
      </c>
      <c r="L7" s="22"/>
    </row>
    <row r="8" spans="1:16" s="5" customFormat="1" ht="32.1" customHeight="1">
      <c r="A8" s="16" t="s">
        <v>19</v>
      </c>
      <c r="B8" s="17">
        <f>10640/3</f>
        <v>3546.6666666666665</v>
      </c>
      <c r="C8" s="17">
        <f>15060/3</f>
        <v>5020</v>
      </c>
      <c r="D8" s="17">
        <f>8700/3</f>
        <v>2900</v>
      </c>
      <c r="E8" s="17">
        <f>42520/3</f>
        <v>14173.333333333334</v>
      </c>
      <c r="F8" s="17">
        <f>13560/3</f>
        <v>4520</v>
      </c>
      <c r="G8" s="18">
        <f t="shared" si="0"/>
        <v>30160</v>
      </c>
      <c r="H8" s="19">
        <f>112325/3</f>
        <v>37441.666666666664</v>
      </c>
      <c r="I8" s="20">
        <f t="shared" si="1"/>
        <v>33.80083333333333</v>
      </c>
      <c r="J8" s="21">
        <f>J7/2000</f>
        <v>45.24</v>
      </c>
      <c r="L8" s="22"/>
    </row>
    <row r="9" spans="1:16" s="5" customFormat="1" ht="32.1" customHeight="1">
      <c r="A9" s="16" t="s">
        <v>20</v>
      </c>
      <c r="B9" s="17">
        <f>10640/3</f>
        <v>3546.6666666666665</v>
      </c>
      <c r="C9" s="17">
        <f>15060/3</f>
        <v>5020</v>
      </c>
      <c r="D9" s="17">
        <f>8700/3</f>
        <v>2900</v>
      </c>
      <c r="E9" s="17">
        <f>42520/3</f>
        <v>14173.333333333334</v>
      </c>
      <c r="F9" s="17">
        <f>13560/3</f>
        <v>4520</v>
      </c>
      <c r="G9" s="18">
        <f t="shared" si="0"/>
        <v>30160</v>
      </c>
      <c r="H9" s="19">
        <f>112325/3</f>
        <v>37441.666666666664</v>
      </c>
      <c r="I9" s="20">
        <f t="shared" si="1"/>
        <v>33.80083333333333</v>
      </c>
      <c r="J9" s="24"/>
      <c r="L9" s="22"/>
    </row>
    <row r="10" spans="1:16" s="25" customFormat="1" ht="31.5" customHeight="1">
      <c r="A10" s="16" t="s">
        <v>21</v>
      </c>
      <c r="B10" s="17">
        <v>7220</v>
      </c>
      <c r="C10" s="17">
        <v>18660</v>
      </c>
      <c r="D10" s="17">
        <v>0</v>
      </c>
      <c r="E10" s="17">
        <v>33600</v>
      </c>
      <c r="F10" s="17">
        <v>2860</v>
      </c>
      <c r="G10" s="18">
        <f t="shared" si="0"/>
        <v>62340</v>
      </c>
      <c r="H10" s="19">
        <f>499224/2</f>
        <v>249612</v>
      </c>
      <c r="I10" s="20">
        <f>SUM(H10,G10)/2000</f>
        <v>155.976</v>
      </c>
      <c r="J10" s="21"/>
      <c r="K10" s="5"/>
      <c r="L10" s="22"/>
    </row>
    <row r="11" spans="1:16" s="5" customFormat="1" ht="32.1" customHeight="1">
      <c r="A11" s="16" t="s">
        <v>22</v>
      </c>
      <c r="B11" s="17">
        <v>8180</v>
      </c>
      <c r="C11" s="17">
        <v>12720</v>
      </c>
      <c r="D11" s="17">
        <v>12120</v>
      </c>
      <c r="E11" s="17">
        <v>68700</v>
      </c>
      <c r="F11" s="17">
        <v>8380</v>
      </c>
      <c r="G11" s="18">
        <f t="shared" si="0"/>
        <v>110100</v>
      </c>
      <c r="H11" s="19">
        <f>499224/2</f>
        <v>249612</v>
      </c>
      <c r="I11" s="20">
        <f>SUM(H11,G11)/2000</f>
        <v>179.85599999999999</v>
      </c>
      <c r="J11" s="21"/>
      <c r="L11" s="22"/>
    </row>
    <row r="12" spans="1:16" s="5" customFormat="1" ht="32.1" customHeight="1">
      <c r="A12" s="16" t="s">
        <v>23</v>
      </c>
      <c r="B12" s="17">
        <v>9680</v>
      </c>
      <c r="C12" s="17">
        <v>10820</v>
      </c>
      <c r="D12" s="17">
        <v>11120</v>
      </c>
      <c r="E12" s="17">
        <v>47620</v>
      </c>
      <c r="F12" s="17">
        <v>6580</v>
      </c>
      <c r="G12" s="18">
        <f t="shared" si="0"/>
        <v>85820</v>
      </c>
      <c r="H12" s="19">
        <v>124806</v>
      </c>
      <c r="I12" s="20">
        <f t="shared" si="1"/>
        <v>105.313</v>
      </c>
      <c r="J12" s="21"/>
      <c r="L12" s="22"/>
    </row>
    <row r="13" spans="1:16" s="5" customFormat="1" ht="32.1" customHeight="1">
      <c r="A13" s="26" t="s">
        <v>24</v>
      </c>
      <c r="B13" s="27">
        <f t="shared" ref="B13:H13" si="2">SUM(B4:B12)/2000</f>
        <v>20.95</v>
      </c>
      <c r="C13" s="27">
        <f t="shared" si="2"/>
        <v>33.1</v>
      </c>
      <c r="D13" s="27">
        <f t="shared" si="2"/>
        <v>18.989999999999998</v>
      </c>
      <c r="E13" s="27">
        <f t="shared" si="2"/>
        <v>114.95</v>
      </c>
      <c r="F13" s="27">
        <f t="shared" si="2"/>
        <v>17.98</v>
      </c>
      <c r="G13" s="27">
        <f t="shared" si="2"/>
        <v>205.97</v>
      </c>
      <c r="H13" s="27">
        <f t="shared" si="2"/>
        <v>403.53919999999994</v>
      </c>
      <c r="I13" s="28">
        <f>SUM(I4:I12)</f>
        <v>609.50919999999996</v>
      </c>
      <c r="J13" s="14"/>
      <c r="K13" s="29"/>
      <c r="L13" s="22"/>
    </row>
    <row r="14" spans="1:16" s="5" customFormat="1" ht="32.1" customHeight="1" thickBot="1">
      <c r="A14" s="30"/>
      <c r="K14" s="31"/>
      <c r="M14" s="32"/>
      <c r="N14" s="32"/>
    </row>
    <row r="15" spans="1:16" s="5" customFormat="1" ht="32.1" customHeight="1">
      <c r="A15" s="33" t="s">
        <v>25</v>
      </c>
      <c r="B15" s="34">
        <v>2.1280000000000001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32.1" customHeight="1" thickBot="1">
      <c r="A16" s="39" t="s">
        <v>26</v>
      </c>
      <c r="B16" s="40">
        <v>6.11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23.28</v>
      </c>
      <c r="C17" s="41"/>
      <c r="D17" s="48" t="s">
        <v>29</v>
      </c>
      <c r="E17" s="36"/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>
        <v>1581.84</v>
      </c>
      <c r="C22" s="40">
        <v>1269.98</v>
      </c>
      <c r="D22" s="68">
        <f>SUM(B22:C22)</f>
        <v>2851.8199999999997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27.29</v>
      </c>
      <c r="C25" s="40">
        <v>0</v>
      </c>
      <c r="D25" s="40">
        <f>(2200+4000)/2000</f>
        <v>3.1</v>
      </c>
      <c r="E25" s="82">
        <v>0</v>
      </c>
      <c r="F25" s="68">
        <v>1920.96</v>
      </c>
      <c r="G25" s="68">
        <v>815.78</v>
      </c>
      <c r="H25" s="83">
        <v>0</v>
      </c>
      <c r="I25" s="84">
        <v>15.89</v>
      </c>
      <c r="J25" s="85">
        <f>SUM(B25:I25)</f>
        <v>2783.02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3620.17</v>
      </c>
      <c r="C28" s="40">
        <v>2.1800000000000002</v>
      </c>
      <c r="D28" s="97">
        <f>SUM(B28:C28,G25)</f>
        <v>4438.13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1920.96</v>
      </c>
      <c r="C31" s="40">
        <v>577.99</v>
      </c>
      <c r="D31" s="40">
        <v>92.07</v>
      </c>
      <c r="E31" s="97">
        <f>SUM(B31:D31)</f>
        <v>2591.02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32.1" customHeight="1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32.1" customHeight="1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32.1" customHeight="1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32.1" customHeight="1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32.1" customHeight="1">
      <c r="A37" s="107" t="s">
        <v>51</v>
      </c>
      <c r="B37" s="108">
        <f>SUM(I13+B15+B16+B17+B19+D22+B25+C25+D25+H25+I25+E17)</f>
        <v>3539.1271999999994</v>
      </c>
      <c r="C37" s="61"/>
      <c r="D37" s="109" t="s">
        <v>52</v>
      </c>
      <c r="E37" s="110">
        <f>B37/B43</f>
        <v>0.31088452366525354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31.5" customHeight="1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5.5" customHeight="1">
      <c r="A39" s="116" t="s">
        <v>53</v>
      </c>
      <c r="B39" s="108">
        <f>SUM(E25+E31+B37)</f>
        <v>6130.1471999999994</v>
      </c>
      <c r="C39" s="117"/>
      <c r="D39" s="109" t="s">
        <v>54</v>
      </c>
      <c r="E39" s="110">
        <f>B39/B43</f>
        <v>0.53848527746329311</v>
      </c>
    </row>
    <row r="40" spans="1:16" ht="31.5" customHeight="1">
      <c r="A40" s="118"/>
      <c r="B40" s="119"/>
      <c r="C40" s="61"/>
      <c r="D40" s="61"/>
      <c r="E40" s="61"/>
    </row>
    <row r="41" spans="1:16" ht="26.1" customHeight="1">
      <c r="A41" s="120" t="s">
        <v>55</v>
      </c>
      <c r="B41" s="121">
        <f>SUM(G25+D28)</f>
        <v>5253.91</v>
      </c>
      <c r="C41" s="61"/>
      <c r="D41" s="109" t="s">
        <v>56</v>
      </c>
      <c r="E41" s="122"/>
    </row>
    <row r="42" spans="1:16" ht="31.5" customHeight="1">
      <c r="A42" s="112"/>
      <c r="B42" s="119"/>
      <c r="C42" s="61"/>
      <c r="D42" s="123" t="s">
        <v>57</v>
      </c>
      <c r="E42" s="104"/>
    </row>
    <row r="43" spans="1:16" ht="26.1" customHeight="1">
      <c r="A43" s="107" t="s">
        <v>58</v>
      </c>
      <c r="B43" s="121">
        <f>B39+B41</f>
        <v>11384.057199999999</v>
      </c>
      <c r="C43" s="61"/>
      <c r="D43" s="124" t="s">
        <v>59</v>
      </c>
      <c r="E43" s="122"/>
      <c r="F43" s="115"/>
    </row>
    <row r="44" spans="1:16" ht="31.5" customHeight="1">
      <c r="A44" s="115"/>
      <c r="B44" s="115"/>
      <c r="C44" s="115"/>
      <c r="D44" s="124"/>
      <c r="E44" s="115"/>
      <c r="F44" s="115"/>
    </row>
    <row r="45" spans="1:16" ht="26.1" customHeight="1">
      <c r="A45" s="115"/>
      <c r="B45" s="115"/>
      <c r="C45" s="115"/>
      <c r="D45" s="115"/>
      <c r="E45" s="115"/>
      <c r="F45" s="115"/>
    </row>
    <row r="46" spans="1:16" ht="26.1" customHeight="1">
      <c r="A46" s="115"/>
      <c r="B46" s="115"/>
      <c r="C46" s="115"/>
      <c r="D46" s="115"/>
      <c r="E46" s="115"/>
      <c r="F46" s="115"/>
    </row>
    <row r="47" spans="1:16" ht="26.1" customHeight="1">
      <c r="A47" s="115"/>
      <c r="B47" s="115"/>
      <c r="C47" s="115"/>
      <c r="D47" s="115"/>
      <c r="E47" s="115"/>
      <c r="F47" s="115"/>
    </row>
    <row r="48" spans="1:16" ht="26.1" customHeight="1">
      <c r="A48" s="115"/>
      <c r="B48" s="115"/>
      <c r="C48" s="115"/>
      <c r="D48" s="115"/>
      <c r="E48" s="115"/>
      <c r="F48" s="115"/>
    </row>
    <row r="49" spans="1:6" ht="26.1" customHeight="1">
      <c r="A49" s="115"/>
      <c r="B49" s="115"/>
      <c r="C49" s="115"/>
      <c r="D49" s="115"/>
      <c r="E49" s="115"/>
      <c r="F49" s="115"/>
    </row>
    <row r="50" spans="1:6" ht="26.1" customHeight="1">
      <c r="A50" s="115"/>
      <c r="B50" s="115"/>
      <c r="C50" s="115"/>
      <c r="D50" s="115"/>
      <c r="E50" s="115"/>
      <c r="F50" s="115"/>
    </row>
    <row r="51" spans="1:6" ht="26.1" customHeight="1">
      <c r="A51" s="115"/>
      <c r="B51" s="115"/>
      <c r="C51" s="115"/>
      <c r="D51" s="115"/>
      <c r="E51" s="115"/>
      <c r="F51" s="115"/>
    </row>
    <row r="52" spans="1:6" ht="26.1" customHeight="1">
      <c r="A52" s="115"/>
      <c r="B52" s="115"/>
      <c r="C52" s="115"/>
      <c r="D52" s="115"/>
      <c r="E52" s="115"/>
      <c r="F52" s="115"/>
    </row>
    <row r="53" spans="1:6" ht="26.1" customHeight="1">
      <c r="A53" s="115"/>
      <c r="B53" s="115"/>
      <c r="C53" s="115"/>
      <c r="D53" s="115"/>
      <c r="E53" s="115"/>
      <c r="F53" s="115"/>
    </row>
    <row r="54" spans="1:6" ht="26.1" customHeight="1">
      <c r="A54" s="115"/>
      <c r="B54" s="115"/>
      <c r="C54" s="115"/>
      <c r="D54" s="115"/>
      <c r="E54" s="115"/>
      <c r="F54" s="115"/>
    </row>
    <row r="55" spans="1:6" ht="26.1" customHeight="1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 topLeftCell="A4">
      <selection activeCell="G37" sqref="G37"/>
      <pageMargins left="0.7" right="0.7" top="0.75" bottom="0.75" header="0.3" footer="0.3"/>
    </customSheetView>
    <customSheetView guid="{2108F49D-F0FB-4737-BA79-3B15211A9F8F}" scale="40" hiddenColumns="1">
      <selection activeCell="H13" sqref="H13"/>
      <pageMargins left="0.7" right="0.7" top="0.75" bottom="0.75" header="0.3" footer="0.3"/>
    </customSheetView>
    <customSheetView guid="{037DCF94-393F-444C-8CC8-348B9921602C}" scale="40" hiddenColumns="1" topLeftCell="C1">
      <selection activeCell="C26" sqref="C26"/>
      <pageMargins left="0.7" right="0.7" top="0.75" bottom="0.75" header="0.3" footer="0.3"/>
    </customSheetView>
    <customSheetView guid="{1F53F7D0-897F-4CD0-B731-A7EAAEC631FF}" scale="40" hiddenColumns="1">
      <selection activeCell="D25" sqref="D25"/>
      <pageMargins left="0.7" right="0.7" top="0.75" bottom="0.75" header="0.3" footer="0.3"/>
    </customSheetView>
    <customSheetView guid="{60BFC34B-3957-423D-86B5-753FA44417D1}" scale="40" hiddenColumns="1" topLeftCell="C1">
      <selection activeCell="C26" sqref="C26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topLeftCell="A10"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42767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180</v>
      </c>
      <c r="C4" s="17">
        <v>620</v>
      </c>
      <c r="D4" s="17">
        <v>660</v>
      </c>
      <c r="E4" s="17">
        <v>2640</v>
      </c>
      <c r="F4" s="17">
        <v>50</v>
      </c>
      <c r="G4" s="18">
        <f t="shared" ref="G4:G12" si="0">SUM(B4:F4)</f>
        <v>4150</v>
      </c>
      <c r="H4" s="19">
        <v>3008</v>
      </c>
      <c r="I4" s="20">
        <f>SUM(H4,G4)/2000</f>
        <v>3.5790000000000002</v>
      </c>
      <c r="J4" s="21"/>
      <c r="L4" s="22"/>
    </row>
    <row r="5" spans="1:16" s="5" customFormat="1" ht="27.75">
      <c r="A5" s="23" t="s">
        <v>16</v>
      </c>
      <c r="B5" s="17">
        <v>500</v>
      </c>
      <c r="C5" s="17">
        <v>620</v>
      </c>
      <c r="D5" s="17">
        <v>1020</v>
      </c>
      <c r="E5" s="17">
        <v>2680</v>
      </c>
      <c r="F5" s="17">
        <v>890</v>
      </c>
      <c r="G5" s="18">
        <f t="shared" si="0"/>
        <v>5710</v>
      </c>
      <c r="H5" s="19">
        <v>9024</v>
      </c>
      <c r="I5" s="20">
        <f t="shared" ref="I5:I12" si="1">SUM(H5,G5)/2000</f>
        <v>7.367</v>
      </c>
      <c r="J5" s="21"/>
      <c r="L5" s="22"/>
    </row>
    <row r="6" spans="1:16" s="5" customFormat="1" ht="27.75">
      <c r="A6" s="16" t="s">
        <v>17</v>
      </c>
      <c r="B6" s="17">
        <v>4560</v>
      </c>
      <c r="C6" s="17">
        <v>8200</v>
      </c>
      <c r="D6" s="17">
        <v>6400</v>
      </c>
      <c r="E6" s="17">
        <v>27280</v>
      </c>
      <c r="F6" s="17">
        <v>3260</v>
      </c>
      <c r="G6" s="18">
        <f t="shared" si="0"/>
        <v>49700</v>
      </c>
      <c r="H6" s="19">
        <f>18048+9024+12032</f>
        <v>39104</v>
      </c>
      <c r="I6" s="20">
        <f t="shared" si="1"/>
        <v>44.402000000000001</v>
      </c>
      <c r="J6" s="21"/>
      <c r="L6" s="22"/>
    </row>
    <row r="7" spans="1:16" s="5" customFormat="1" ht="27.75">
      <c r="A7" s="16" t="s">
        <v>18</v>
      </c>
      <c r="B7" s="17">
        <v>1893.3333333333333</v>
      </c>
      <c r="C7" s="17">
        <v>4193.333333333333</v>
      </c>
      <c r="D7" s="17">
        <v>4046.6666666666665</v>
      </c>
      <c r="E7" s="17">
        <f>36560/3</f>
        <v>12186.666666666666</v>
      </c>
      <c r="F7" s="17">
        <v>5220</v>
      </c>
      <c r="G7" s="18">
        <f t="shared" si="0"/>
        <v>27540</v>
      </c>
      <c r="H7" s="19">
        <f>81216/3</f>
        <v>27072</v>
      </c>
      <c r="I7" s="20">
        <f t="shared" si="1"/>
        <v>27.306000000000001</v>
      </c>
      <c r="J7" s="21">
        <f>G7*3</f>
        <v>82620</v>
      </c>
      <c r="L7" s="22"/>
    </row>
    <row r="8" spans="1:16" s="5" customFormat="1" ht="27.75">
      <c r="A8" s="16" t="s">
        <v>19</v>
      </c>
      <c r="B8" s="17">
        <v>1893.3333333333333</v>
      </c>
      <c r="C8" s="17">
        <v>4193.333333333333</v>
      </c>
      <c r="D8" s="17">
        <v>4046.6666666666665</v>
      </c>
      <c r="E8" s="17">
        <f>36560/3</f>
        <v>12186.666666666666</v>
      </c>
      <c r="F8" s="17">
        <v>5220</v>
      </c>
      <c r="G8" s="18">
        <f t="shared" si="0"/>
        <v>27540</v>
      </c>
      <c r="H8" s="19">
        <f>81216/3</f>
        <v>27072</v>
      </c>
      <c r="I8" s="20">
        <f t="shared" si="1"/>
        <v>27.306000000000001</v>
      </c>
      <c r="J8" s="21">
        <f>J7/2000</f>
        <v>41.31</v>
      </c>
      <c r="L8" s="22"/>
    </row>
    <row r="9" spans="1:16" s="5" customFormat="1" ht="27.75">
      <c r="A9" s="16" t="s">
        <v>20</v>
      </c>
      <c r="B9" s="17">
        <v>1893.3333333333333</v>
      </c>
      <c r="C9" s="17">
        <v>4193.333333333333</v>
      </c>
      <c r="D9" s="17">
        <v>4046.6666666666665</v>
      </c>
      <c r="E9" s="17">
        <f>36560/3</f>
        <v>12186.666666666666</v>
      </c>
      <c r="F9" s="17">
        <v>5220</v>
      </c>
      <c r="G9" s="18">
        <f t="shared" si="0"/>
        <v>27540</v>
      </c>
      <c r="H9" s="19">
        <f>81216/3</f>
        <v>27072</v>
      </c>
      <c r="I9" s="20">
        <f t="shared" si="1"/>
        <v>27.306000000000001</v>
      </c>
      <c r="J9" s="24"/>
      <c r="L9" s="22"/>
    </row>
    <row r="10" spans="1:16" s="25" customFormat="1" ht="27.75">
      <c r="A10" s="16" t="s">
        <v>21</v>
      </c>
      <c r="B10" s="17">
        <v>0</v>
      </c>
      <c r="C10" s="17">
        <v>17180</v>
      </c>
      <c r="D10" s="17">
        <v>10640</v>
      </c>
      <c r="E10" s="17">
        <v>23620</v>
      </c>
      <c r="F10" s="17">
        <v>0</v>
      </c>
      <c r="G10" s="18">
        <f t="shared" si="0"/>
        <v>51440</v>
      </c>
      <c r="H10" s="19">
        <f>360960/2</f>
        <v>180480</v>
      </c>
      <c r="I10" s="20">
        <f>SUM(H10,G10)/2000</f>
        <v>115.96</v>
      </c>
      <c r="J10" s="21"/>
      <c r="K10" s="5"/>
      <c r="L10" s="22"/>
    </row>
    <row r="11" spans="1:16" s="5" customFormat="1" ht="27.75">
      <c r="A11" s="16" t="s">
        <v>22</v>
      </c>
      <c r="B11" s="17">
        <v>13540</v>
      </c>
      <c r="C11" s="17">
        <v>11260</v>
      </c>
      <c r="D11" s="17">
        <v>12200</v>
      </c>
      <c r="E11" s="17">
        <v>63660</v>
      </c>
      <c r="F11" s="17">
        <v>10200</v>
      </c>
      <c r="G11" s="18">
        <f t="shared" si="0"/>
        <v>110860</v>
      </c>
      <c r="H11" s="19">
        <f>360960/2</f>
        <v>180480</v>
      </c>
      <c r="I11" s="20">
        <f>SUM(H11,G11)/2000</f>
        <v>145.66999999999999</v>
      </c>
      <c r="J11" s="21"/>
      <c r="L11" s="22"/>
    </row>
    <row r="12" spans="1:16" s="5" customFormat="1" ht="27.75">
      <c r="A12" s="16" t="s">
        <v>23</v>
      </c>
      <c r="B12" s="17">
        <v>5960</v>
      </c>
      <c r="C12" s="17">
        <v>7420</v>
      </c>
      <c r="D12" s="17">
        <v>8888</v>
      </c>
      <c r="E12" s="17">
        <v>35420</v>
      </c>
      <c r="F12" s="17">
        <v>6640</v>
      </c>
      <c r="G12" s="18">
        <f t="shared" si="0"/>
        <v>64328</v>
      </c>
      <c r="H12" s="19">
        <v>90240</v>
      </c>
      <c r="I12" s="20">
        <f t="shared" si="1"/>
        <v>77.284000000000006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15.21</v>
      </c>
      <c r="C13" s="27">
        <f t="shared" si="2"/>
        <v>28.94</v>
      </c>
      <c r="D13" s="27">
        <f t="shared" si="2"/>
        <v>25.974</v>
      </c>
      <c r="E13" s="27">
        <f t="shared" si="2"/>
        <v>95.93</v>
      </c>
      <c r="F13" s="27">
        <f t="shared" si="2"/>
        <v>18.350000000000001</v>
      </c>
      <c r="G13" s="27">
        <f t="shared" si="2"/>
        <v>184.404</v>
      </c>
      <c r="H13" s="27">
        <f t="shared" si="2"/>
        <v>291.77600000000001</v>
      </c>
      <c r="I13" s="28">
        <f>SUM(I4:I12)</f>
        <v>476.17999999999995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v>1.9684999999999999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40">
        <v>5.84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15.55</v>
      </c>
      <c r="C17" s="41"/>
      <c r="D17" s="48" t="s">
        <v>29</v>
      </c>
      <c r="E17" s="36"/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>
        <v>487.29</v>
      </c>
      <c r="C22" s="40">
        <v>1887.37</v>
      </c>
      <c r="D22" s="68">
        <f>SUM(B22:C22)</f>
        <v>2374.66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33.479999999999997</v>
      </c>
      <c r="C25" s="40">
        <v>0</v>
      </c>
      <c r="D25" s="68">
        <v>0</v>
      </c>
      <c r="E25" s="84">
        <v>0</v>
      </c>
      <c r="F25" s="68">
        <v>2053.75</v>
      </c>
      <c r="G25" s="68">
        <v>875.59</v>
      </c>
      <c r="H25" s="83">
        <v>0</v>
      </c>
      <c r="I25" s="84">
        <v>0</v>
      </c>
      <c r="J25" s="85">
        <f>SUM(B25:I25)</f>
        <v>2962.82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3121.17</v>
      </c>
      <c r="C28" s="40">
        <v>2.57</v>
      </c>
      <c r="D28" s="97">
        <f>SUM(B28:C28,G25)</f>
        <v>3999.3300000000004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2053.75</v>
      </c>
      <c r="C31" s="40">
        <v>848.4</v>
      </c>
      <c r="D31" s="40">
        <v>297.64</v>
      </c>
      <c r="E31" s="97">
        <f>SUM(B31:D31)</f>
        <v>3199.79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2907.6785</v>
      </c>
      <c r="C37" s="61"/>
      <c r="D37" s="109" t="s">
        <v>52</v>
      </c>
      <c r="E37" s="110">
        <f>B37/B43</f>
        <v>0.26475829916233612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6107.4684999999999</v>
      </c>
      <c r="C39" s="117"/>
      <c r="D39" s="109" t="s">
        <v>54</v>
      </c>
      <c r="E39" s="110">
        <f>B39/B43</f>
        <v>0.55611477412222299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4874.92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10982.388500000001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 topLeftCell="A13">
      <selection activeCell="G43" sqref="G43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G35" sqref="G35"/>
      <pageMargins left="0.7" right="0.7" top="0.75" bottom="0.75" header="0.3" footer="0.3"/>
    </customSheetView>
    <customSheetView guid="{1F53F7D0-897F-4CD0-B731-A7EAAEC631FF}" scale="40" hiddenColumns="1">
      <selection activeCell="F36" sqref="F36"/>
      <pageMargins left="0.7" right="0.7" top="0.75" bottom="0.75" header="0.3" footer="0.3"/>
    </customSheetView>
    <customSheetView guid="{60BFC34B-3957-423D-86B5-753FA44417D1}" scale="40" hiddenColumns="1">
      <selection activeCell="G35" sqref="G35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topLeftCell="A10"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42795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580</v>
      </c>
      <c r="C4" s="17">
        <v>280</v>
      </c>
      <c r="D4" s="17">
        <v>360</v>
      </c>
      <c r="E4" s="17">
        <v>1940</v>
      </c>
      <c r="F4" s="17">
        <v>120</v>
      </c>
      <c r="G4" s="18">
        <f t="shared" ref="G4:G12" si="0">SUM(B4:F4)</f>
        <v>3280</v>
      </c>
      <c r="H4" s="19">
        <v>3623</v>
      </c>
      <c r="I4" s="20">
        <f>SUM(H4,G4)/2000</f>
        <v>3.4514999999999998</v>
      </c>
      <c r="J4" s="21"/>
      <c r="L4" s="22"/>
    </row>
    <row r="5" spans="1:16" s="5" customFormat="1" ht="27.75">
      <c r="A5" s="23" t="s">
        <v>16</v>
      </c>
      <c r="B5" s="17">
        <v>680</v>
      </c>
      <c r="C5" s="17">
        <v>1360</v>
      </c>
      <c r="D5" s="17">
        <v>740</v>
      </c>
      <c r="E5" s="17">
        <v>2940</v>
      </c>
      <c r="F5" s="17">
        <v>800</v>
      </c>
      <c r="G5" s="18">
        <f t="shared" si="0"/>
        <v>6520</v>
      </c>
      <c r="H5" s="19">
        <v>10869</v>
      </c>
      <c r="I5" s="20">
        <f t="shared" ref="I5:I12" si="1">SUM(H5,G5)/2000</f>
        <v>8.6944999999999997</v>
      </c>
      <c r="J5" s="21"/>
      <c r="L5" s="22"/>
    </row>
    <row r="6" spans="1:16" s="5" customFormat="1" ht="27.75">
      <c r="A6" s="16" t="s">
        <v>17</v>
      </c>
      <c r="B6" s="17">
        <v>4260</v>
      </c>
      <c r="C6" s="17">
        <v>10060</v>
      </c>
      <c r="D6" s="17">
        <v>6120</v>
      </c>
      <c r="E6" s="17">
        <v>29720</v>
      </c>
      <c r="F6" s="17">
        <v>3720</v>
      </c>
      <c r="G6" s="18">
        <f t="shared" si="0"/>
        <v>53880</v>
      </c>
      <c r="H6" s="19">
        <f>21737+10869+14492</f>
        <v>47098</v>
      </c>
      <c r="I6" s="20">
        <f t="shared" si="1"/>
        <v>50.488999999999997</v>
      </c>
      <c r="J6" s="21"/>
      <c r="L6" s="22"/>
    </row>
    <row r="7" spans="1:16" s="5" customFormat="1" ht="27.75">
      <c r="A7" s="16" t="s">
        <v>18</v>
      </c>
      <c r="B7" s="17">
        <v>2960</v>
      </c>
      <c r="C7" s="17">
        <v>5820</v>
      </c>
      <c r="D7" s="17">
        <v>4246.666666666667</v>
      </c>
      <c r="E7" s="17">
        <f>43740/3</f>
        <v>14580</v>
      </c>
      <c r="F7" s="17">
        <v>5446.666666666667</v>
      </c>
      <c r="G7" s="18">
        <f t="shared" si="0"/>
        <v>33053.333333333336</v>
      </c>
      <c r="H7" s="19">
        <f>97818/3</f>
        <v>32606</v>
      </c>
      <c r="I7" s="20">
        <f t="shared" si="1"/>
        <v>32.829666666666668</v>
      </c>
      <c r="J7" s="21">
        <f>G7*3</f>
        <v>99160</v>
      </c>
      <c r="L7" s="22"/>
    </row>
    <row r="8" spans="1:16" s="5" customFormat="1" ht="27.75">
      <c r="A8" s="16" t="s">
        <v>19</v>
      </c>
      <c r="B8" s="17">
        <v>2960</v>
      </c>
      <c r="C8" s="17">
        <v>5820</v>
      </c>
      <c r="D8" s="17">
        <v>4246.666666666667</v>
      </c>
      <c r="E8" s="17">
        <f>43740/3</f>
        <v>14580</v>
      </c>
      <c r="F8" s="17">
        <v>5446.666666666667</v>
      </c>
      <c r="G8" s="18">
        <f t="shared" si="0"/>
        <v>33053.333333333336</v>
      </c>
      <c r="H8" s="19">
        <f>97818/3</f>
        <v>32606</v>
      </c>
      <c r="I8" s="20">
        <f t="shared" si="1"/>
        <v>32.829666666666668</v>
      </c>
      <c r="J8" s="21">
        <f>J7/2000</f>
        <v>49.58</v>
      </c>
      <c r="L8" s="22"/>
    </row>
    <row r="9" spans="1:16" s="5" customFormat="1" ht="27.75">
      <c r="A9" s="16" t="s">
        <v>20</v>
      </c>
      <c r="B9" s="17">
        <v>2960</v>
      </c>
      <c r="C9" s="17">
        <v>5820</v>
      </c>
      <c r="D9" s="17">
        <v>4246.666666666667</v>
      </c>
      <c r="E9" s="17">
        <f>43740/3</f>
        <v>14580</v>
      </c>
      <c r="F9" s="17">
        <v>5446.666666666667</v>
      </c>
      <c r="G9" s="18">
        <f t="shared" si="0"/>
        <v>33053.333333333336</v>
      </c>
      <c r="H9" s="19">
        <f>97818/3</f>
        <v>32606</v>
      </c>
      <c r="I9" s="20">
        <f t="shared" si="1"/>
        <v>32.829666666666668</v>
      </c>
      <c r="J9" s="24"/>
      <c r="L9" s="22"/>
    </row>
    <row r="10" spans="1:16" s="25" customFormat="1" ht="27.75">
      <c r="A10" s="16" t="s">
        <v>21</v>
      </c>
      <c r="B10" s="17">
        <v>8820</v>
      </c>
      <c r="C10" s="17">
        <v>21880</v>
      </c>
      <c r="D10" s="17">
        <v>0</v>
      </c>
      <c r="E10" s="17">
        <v>24180</v>
      </c>
      <c r="F10" s="17">
        <v>0</v>
      </c>
      <c r="G10" s="18">
        <f t="shared" si="0"/>
        <v>54880</v>
      </c>
      <c r="H10" s="19">
        <f>434748/2</f>
        <v>217374</v>
      </c>
      <c r="I10" s="20">
        <f>SUM(H10,G10)/2000</f>
        <v>136.12700000000001</v>
      </c>
      <c r="J10" s="21"/>
      <c r="K10" s="5"/>
      <c r="L10" s="22"/>
    </row>
    <row r="11" spans="1:16" s="5" customFormat="1" ht="27.75">
      <c r="A11" s="16" t="s">
        <v>22</v>
      </c>
      <c r="B11" s="17">
        <v>9720</v>
      </c>
      <c r="C11" s="17">
        <v>14040</v>
      </c>
      <c r="D11" s="17">
        <v>12980</v>
      </c>
      <c r="E11" s="17">
        <v>60600</v>
      </c>
      <c r="F11" s="17">
        <v>9220</v>
      </c>
      <c r="G11" s="18">
        <f t="shared" si="0"/>
        <v>106560</v>
      </c>
      <c r="H11" s="19">
        <f>434748/2</f>
        <v>217374</v>
      </c>
      <c r="I11" s="20">
        <f>SUM(H11,G11)/2000</f>
        <v>161.96700000000001</v>
      </c>
      <c r="J11" s="21"/>
      <c r="L11" s="22"/>
    </row>
    <row r="12" spans="1:16" s="5" customFormat="1" ht="27.75">
      <c r="A12" s="16" t="s">
        <v>23</v>
      </c>
      <c r="B12" s="17">
        <v>7040</v>
      </c>
      <c r="C12" s="17">
        <v>7180</v>
      </c>
      <c r="D12" s="17">
        <v>11060</v>
      </c>
      <c r="E12" s="17">
        <v>32880</v>
      </c>
      <c r="F12" s="17">
        <v>7200</v>
      </c>
      <c r="G12" s="18">
        <f t="shared" si="0"/>
        <v>65360</v>
      </c>
      <c r="H12" s="19">
        <v>108687</v>
      </c>
      <c r="I12" s="20">
        <f t="shared" si="1"/>
        <v>87.023499999999999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19.989999999999998</v>
      </c>
      <c r="C13" s="27">
        <f t="shared" si="2"/>
        <v>36.130000000000003</v>
      </c>
      <c r="D13" s="27">
        <f t="shared" si="2"/>
        <v>22</v>
      </c>
      <c r="E13" s="27">
        <f t="shared" si="2"/>
        <v>98</v>
      </c>
      <c r="F13" s="27">
        <f t="shared" si="2"/>
        <v>18.7</v>
      </c>
      <c r="G13" s="27">
        <f t="shared" si="2"/>
        <v>194.82</v>
      </c>
      <c r="H13" s="27">
        <f t="shared" si="2"/>
        <v>351.42149999999998</v>
      </c>
      <c r="I13" s="28">
        <f>SUM(I4:I12)</f>
        <v>546.24149999999997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f>1862/2000</f>
        <v>0.93100000000000005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40">
        <v>8.4499999999999993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20.149999999999999</v>
      </c>
      <c r="C17" s="41">
        <v>360.58</v>
      </c>
      <c r="D17" s="48" t="s">
        <v>29</v>
      </c>
      <c r="E17" s="69">
        <v>10.48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>
        <v>141.41999999999999</v>
      </c>
      <c r="C22" s="40">
        <v>2638.75</v>
      </c>
      <c r="D22" s="68">
        <f>SUM(B22:C22)</f>
        <v>2780.17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34.15</v>
      </c>
      <c r="C25" s="40">
        <v>0</v>
      </c>
      <c r="D25" s="40">
        <f>360/2000</f>
        <v>0.18</v>
      </c>
      <c r="E25" s="82">
        <v>0</v>
      </c>
      <c r="F25" s="68">
        <v>2161.65</v>
      </c>
      <c r="G25" s="68">
        <v>908.29</v>
      </c>
      <c r="H25" s="83">
        <v>1.48</v>
      </c>
      <c r="I25" s="84">
        <v>15.83</v>
      </c>
      <c r="J25" s="85">
        <f>SUM(B25:I25)</f>
        <v>3121.58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3734.97</v>
      </c>
      <c r="C28" s="40">
        <v>2.57</v>
      </c>
      <c r="D28" s="97">
        <f>SUM(B28:C28,G25)</f>
        <v>4645.83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2161.65</v>
      </c>
      <c r="C31" s="40">
        <v>689.33</v>
      </c>
      <c r="D31" s="40">
        <v>785.79</v>
      </c>
      <c r="E31" s="97">
        <f>SUM(B31:D31)</f>
        <v>3636.77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3418.0625</v>
      </c>
      <c r="C37" s="61"/>
      <c r="D37" s="109" t="s">
        <v>52</v>
      </c>
      <c r="E37" s="110">
        <f>B37/B43</f>
        <v>0.27108219338600886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7054.8325000000004</v>
      </c>
      <c r="C39" s="117"/>
      <c r="D39" s="109" t="s">
        <v>54</v>
      </c>
      <c r="E39" s="110">
        <f>B39/B43</f>
        <v>0.5595098006753535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5554.12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12608.952499999999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H31" sqref="H31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F25" sqref="F25"/>
      <pageMargins left="0.7" right="0.7" top="0.75" bottom="0.75" header="0.3" footer="0.3"/>
    </customSheetView>
    <customSheetView guid="{1F53F7D0-897F-4CD0-B731-A7EAAEC631FF}" scale="40" hiddenColumns="1">
      <selection activeCell="H13" sqref="H13"/>
      <pageMargins left="0.7" right="0.7" top="0.75" bottom="0.75" header="0.3" footer="0.3"/>
    </customSheetView>
    <customSheetView guid="{60BFC34B-3957-423D-86B5-753FA44417D1}" scale="40" hiddenColumns="1">
      <selection activeCell="F25" sqref="F25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42826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0</v>
      </c>
      <c r="C4" s="17">
        <v>980</v>
      </c>
      <c r="D4" s="17">
        <v>0</v>
      </c>
      <c r="E4" s="17">
        <v>1760</v>
      </c>
      <c r="F4" s="17">
        <v>200</v>
      </c>
      <c r="G4" s="18">
        <f t="shared" ref="G4:G12" si="0">SUM(B4:F4)</f>
        <v>2940</v>
      </c>
      <c r="H4" s="19">
        <v>3623</v>
      </c>
      <c r="I4" s="20">
        <f>SUM(H4,G4)/2000</f>
        <v>3.2814999999999999</v>
      </c>
      <c r="J4" s="21"/>
      <c r="L4" s="22"/>
    </row>
    <row r="5" spans="1:16" s="5" customFormat="1" ht="27.75">
      <c r="A5" s="23" t="s">
        <v>16</v>
      </c>
      <c r="B5" s="17">
        <v>0</v>
      </c>
      <c r="C5" s="17">
        <v>0</v>
      </c>
      <c r="D5" s="17">
        <v>0</v>
      </c>
      <c r="E5" s="17">
        <v>1840</v>
      </c>
      <c r="F5" s="17">
        <v>620</v>
      </c>
      <c r="G5" s="18">
        <f t="shared" si="0"/>
        <v>2460</v>
      </c>
      <c r="H5" s="19">
        <v>10869</v>
      </c>
      <c r="I5" s="20">
        <f t="shared" ref="I5:I12" si="1">SUM(H5,G5)/2000</f>
        <v>6.6645000000000003</v>
      </c>
      <c r="J5" s="21"/>
      <c r="L5" s="22"/>
    </row>
    <row r="6" spans="1:16" s="5" customFormat="1" ht="27.75">
      <c r="A6" s="16" t="s">
        <v>17</v>
      </c>
      <c r="B6" s="17">
        <v>4480</v>
      </c>
      <c r="C6" s="17">
        <v>8600</v>
      </c>
      <c r="D6" s="17">
        <v>5780</v>
      </c>
      <c r="E6" s="17">
        <v>27100</v>
      </c>
      <c r="F6" s="17">
        <v>3060</v>
      </c>
      <c r="G6" s="18">
        <f t="shared" si="0"/>
        <v>49020</v>
      </c>
      <c r="H6" s="19">
        <f>10869+14492+14492</f>
        <v>39853</v>
      </c>
      <c r="I6" s="20">
        <f t="shared" si="1"/>
        <v>44.436500000000002</v>
      </c>
      <c r="J6" s="21"/>
      <c r="L6" s="22"/>
    </row>
    <row r="7" spans="1:16" s="5" customFormat="1" ht="27.75">
      <c r="A7" s="16" t="s">
        <v>18</v>
      </c>
      <c r="B7" s="17">
        <v>2486.6666666666665</v>
      </c>
      <c r="C7" s="17">
        <v>3486.6666666666665</v>
      </c>
      <c r="D7" s="17">
        <v>4900</v>
      </c>
      <c r="E7" s="17">
        <f>33780/3</f>
        <v>11260</v>
      </c>
      <c r="F7" s="17">
        <v>2986.6666666666665</v>
      </c>
      <c r="G7" s="18">
        <f t="shared" si="0"/>
        <v>25120</v>
      </c>
      <c r="H7" s="19">
        <f>97818/3</f>
        <v>32606</v>
      </c>
      <c r="I7" s="20">
        <f t="shared" si="1"/>
        <v>28.863</v>
      </c>
      <c r="J7" s="21"/>
      <c r="L7" s="22"/>
    </row>
    <row r="8" spans="1:16" s="5" customFormat="1" ht="27.75">
      <c r="A8" s="16" t="s">
        <v>19</v>
      </c>
      <c r="B8" s="17">
        <v>2486.6666666666665</v>
      </c>
      <c r="C8" s="17">
        <v>3486.6666666666665</v>
      </c>
      <c r="D8" s="17">
        <v>4900</v>
      </c>
      <c r="E8" s="17">
        <f>33780/3</f>
        <v>11260</v>
      </c>
      <c r="F8" s="17">
        <f>F7</f>
        <v>2986.6666666666665</v>
      </c>
      <c r="G8" s="18">
        <f t="shared" si="0"/>
        <v>25120</v>
      </c>
      <c r="H8" s="19">
        <f>97818/3</f>
        <v>32606</v>
      </c>
      <c r="I8" s="20">
        <f t="shared" si="1"/>
        <v>28.863</v>
      </c>
      <c r="J8" s="21">
        <f>G8*3</f>
        <v>75360</v>
      </c>
      <c r="L8" s="22"/>
    </row>
    <row r="9" spans="1:16" s="5" customFormat="1" ht="27.75">
      <c r="A9" s="16" t="s">
        <v>20</v>
      </c>
      <c r="B9" s="17">
        <v>2486.6666666666665</v>
      </c>
      <c r="C9" s="17">
        <v>3486.6666666666665</v>
      </c>
      <c r="D9" s="17">
        <v>4900</v>
      </c>
      <c r="E9" s="17">
        <f>33780/3</f>
        <v>11260</v>
      </c>
      <c r="F9" s="17">
        <f>F7</f>
        <v>2986.6666666666665</v>
      </c>
      <c r="G9" s="18">
        <f t="shared" si="0"/>
        <v>25120</v>
      </c>
      <c r="H9" s="19">
        <f>97818/3</f>
        <v>32606</v>
      </c>
      <c r="I9" s="20">
        <f t="shared" si="1"/>
        <v>28.863</v>
      </c>
      <c r="J9" s="24">
        <f>J8/2000</f>
        <v>37.68</v>
      </c>
      <c r="L9" s="22"/>
    </row>
    <row r="10" spans="1:16" s="25" customFormat="1" ht="27.75">
      <c r="A10" s="16" t="s">
        <v>21</v>
      </c>
      <c r="B10" s="17">
        <v>7560</v>
      </c>
      <c r="C10" s="17">
        <v>17240</v>
      </c>
      <c r="D10" s="17">
        <v>11760</v>
      </c>
      <c r="E10" s="17">
        <v>18340</v>
      </c>
      <c r="F10" s="17">
        <v>2960</v>
      </c>
      <c r="G10" s="18">
        <f t="shared" si="0"/>
        <v>57860</v>
      </c>
      <c r="H10" s="19">
        <f>434748/2</f>
        <v>217374</v>
      </c>
      <c r="I10" s="20">
        <f>SUM(H10,G10)/2000</f>
        <v>137.61699999999999</v>
      </c>
      <c r="J10" s="21"/>
      <c r="K10" s="5"/>
      <c r="L10" s="22"/>
    </row>
    <row r="11" spans="1:16" s="5" customFormat="1" ht="27.75">
      <c r="A11" s="16" t="s">
        <v>22</v>
      </c>
      <c r="B11" s="17">
        <v>4760</v>
      </c>
      <c r="C11" s="17">
        <v>12000</v>
      </c>
      <c r="D11" s="17">
        <v>12920</v>
      </c>
      <c r="E11" s="17">
        <v>47780</v>
      </c>
      <c r="F11" s="17">
        <v>9580</v>
      </c>
      <c r="G11" s="18">
        <f t="shared" si="0"/>
        <v>87040</v>
      </c>
      <c r="H11" s="19">
        <f>434748/2</f>
        <v>217374</v>
      </c>
      <c r="I11" s="20">
        <f>SUM(H11,G11)/2000</f>
        <v>152.20699999999999</v>
      </c>
      <c r="J11" s="21"/>
      <c r="L11" s="22"/>
    </row>
    <row r="12" spans="1:16" s="5" customFormat="1" ht="27.75">
      <c r="A12" s="16" t="s">
        <v>23</v>
      </c>
      <c r="B12" s="17">
        <v>5580</v>
      </c>
      <c r="C12" s="17">
        <v>14980</v>
      </c>
      <c r="D12" s="17">
        <v>9280</v>
      </c>
      <c r="E12" s="17">
        <v>36120</v>
      </c>
      <c r="F12" s="17">
        <v>12280</v>
      </c>
      <c r="G12" s="18">
        <f t="shared" si="0"/>
        <v>78240</v>
      </c>
      <c r="H12" s="19">
        <v>108687</v>
      </c>
      <c r="I12" s="20">
        <f t="shared" si="1"/>
        <v>93.463499999999996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14.92</v>
      </c>
      <c r="C13" s="27">
        <f t="shared" si="2"/>
        <v>32.130000000000003</v>
      </c>
      <c r="D13" s="27">
        <f t="shared" si="2"/>
        <v>27.22</v>
      </c>
      <c r="E13" s="27">
        <f t="shared" si="2"/>
        <v>83.36</v>
      </c>
      <c r="F13" s="27">
        <f t="shared" si="2"/>
        <v>18.829999999999998</v>
      </c>
      <c r="G13" s="27">
        <f t="shared" si="2"/>
        <v>176.46</v>
      </c>
      <c r="H13" s="27">
        <f t="shared" si="2"/>
        <v>347.79899999999998</v>
      </c>
      <c r="I13" s="28">
        <f>SUM(I4:I12)</f>
        <v>524.2589999999999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f>1809/2000</f>
        <v>0.90449999999999997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40">
        <v>7.21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20.82</v>
      </c>
      <c r="C17" s="41"/>
      <c r="D17" s="48" t="s">
        <v>29</v>
      </c>
      <c r="E17" s="69">
        <v>5.89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/>
      <c r="C22" s="40">
        <v>3402.01</v>
      </c>
      <c r="D22" s="68">
        <f>SUM(B22:C22)</f>
        <v>3402.01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24.99</v>
      </c>
      <c r="C25" s="40">
        <v>0</v>
      </c>
      <c r="D25" s="40">
        <v>0.28999999999999998</v>
      </c>
      <c r="E25" s="82">
        <v>0</v>
      </c>
      <c r="F25" s="68">
        <v>1977.14</v>
      </c>
      <c r="G25" s="68">
        <v>1086.58</v>
      </c>
      <c r="H25" s="83">
        <v>0</v>
      </c>
      <c r="I25" s="84">
        <v>10.98</v>
      </c>
      <c r="J25" s="85">
        <f>SUM(B25:I25)</f>
        <v>3099.98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3275.96</v>
      </c>
      <c r="C28" s="40">
        <v>1.84</v>
      </c>
      <c r="D28" s="97">
        <f>SUM(B28:C28,G25)</f>
        <v>4364.38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1977.14</v>
      </c>
      <c r="C31" s="40">
        <v>483.78</v>
      </c>
      <c r="D31" s="40">
        <v>0</v>
      </c>
      <c r="E31" s="97">
        <f>SUM(B31:D31)</f>
        <v>2460.92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3997.3534999999997</v>
      </c>
      <c r="C37" s="61"/>
      <c r="D37" s="109" t="s">
        <v>52</v>
      </c>
      <c r="E37" s="110">
        <f>B37/B43</f>
        <v>0.33565161855294889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6458.2734999999993</v>
      </c>
      <c r="C39" s="117"/>
      <c r="D39" s="109" t="s">
        <v>54</v>
      </c>
      <c r="E39" s="110">
        <f>B39/B43</f>
        <v>0.5422912818024771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5450.96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11909.233499999998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G30" sqref="G30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G14" sqref="G14"/>
      <pageMargins left="0.7" right="0.7" top="0.75" bottom="0.75" header="0.3" footer="0.3"/>
    </customSheetView>
    <customSheetView guid="{1F53F7D0-897F-4CD0-B731-A7EAAEC631FF}" scale="40" hiddenColumns="1">
      <selection activeCell="G19" sqref="G19"/>
      <pageMargins left="0.7" right="0.7" top="0.75" bottom="0.75" header="0.3" footer="0.3"/>
    </customSheetView>
    <customSheetView guid="{60BFC34B-3957-423D-86B5-753FA44417D1}" scale="40" hiddenColumns="1">
      <selection activeCell="G14" sqref="G14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topLeftCell="A7"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42856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220</v>
      </c>
      <c r="C4" s="17">
        <v>560</v>
      </c>
      <c r="D4" s="17">
        <v>460</v>
      </c>
      <c r="E4" s="17">
        <v>2420</v>
      </c>
      <c r="F4" s="17">
        <v>80</v>
      </c>
      <c r="G4" s="18">
        <f t="shared" ref="G4:G12" si="0">SUM(B4:F4)</f>
        <v>3740</v>
      </c>
      <c r="H4" s="19">
        <v>3743</v>
      </c>
      <c r="I4" s="20">
        <f>SUM(H4,G4)/2000</f>
        <v>3.7414999999999998</v>
      </c>
      <c r="J4" s="21"/>
      <c r="L4" s="22"/>
    </row>
    <row r="5" spans="1:16" s="5" customFormat="1" ht="27.75">
      <c r="A5" s="23" t="s">
        <v>16</v>
      </c>
      <c r="B5" s="17">
        <v>840</v>
      </c>
      <c r="C5" s="17">
        <v>1120</v>
      </c>
      <c r="D5" s="17">
        <v>900</v>
      </c>
      <c r="E5" s="17">
        <v>2400</v>
      </c>
      <c r="F5" s="17">
        <v>1100</v>
      </c>
      <c r="G5" s="18">
        <f t="shared" si="0"/>
        <v>6360</v>
      </c>
      <c r="H5" s="19">
        <v>11230</v>
      </c>
      <c r="I5" s="20">
        <f t="shared" ref="I5:I12" si="1">SUM(H5,G5)/2000</f>
        <v>8.7949999999999999</v>
      </c>
      <c r="J5" s="21"/>
      <c r="L5" s="22"/>
    </row>
    <row r="6" spans="1:16" s="5" customFormat="1" ht="27.75">
      <c r="A6" s="16" t="s">
        <v>17</v>
      </c>
      <c r="B6" s="17">
        <v>4700</v>
      </c>
      <c r="C6" s="17">
        <v>7680</v>
      </c>
      <c r="D6" s="17">
        <v>5900</v>
      </c>
      <c r="E6" s="17">
        <v>32300</v>
      </c>
      <c r="F6" s="17">
        <v>4640</v>
      </c>
      <c r="G6" s="18">
        <f t="shared" si="0"/>
        <v>55220</v>
      </c>
      <c r="H6" s="19">
        <f>22459+11230+14973</f>
        <v>48662</v>
      </c>
      <c r="I6" s="20">
        <f t="shared" si="1"/>
        <v>51.941000000000003</v>
      </c>
      <c r="J6" s="21"/>
      <c r="L6" s="22"/>
    </row>
    <row r="7" spans="1:16" s="5" customFormat="1" ht="27.75">
      <c r="A7" s="16" t="s">
        <v>18</v>
      </c>
      <c r="B7" s="17">
        <v>3920</v>
      </c>
      <c r="C7" s="17">
        <f>20300/3</f>
        <v>6766.666666666667</v>
      </c>
      <c r="D7" s="17">
        <f>18100/3</f>
        <v>6033.333333333333</v>
      </c>
      <c r="E7" s="17">
        <f>43260/3</f>
        <v>14420</v>
      </c>
      <c r="F7" s="17">
        <v>8466.6666666666661</v>
      </c>
      <c r="G7" s="18">
        <f t="shared" si="0"/>
        <v>39606.666666666664</v>
      </c>
      <c r="H7" s="19">
        <f>101066/3</f>
        <v>33688.666666666664</v>
      </c>
      <c r="I7" s="20">
        <f t="shared" si="1"/>
        <v>36.647666666666666</v>
      </c>
      <c r="J7" s="21">
        <f>G7*3</f>
        <v>118820</v>
      </c>
      <c r="L7" s="22"/>
    </row>
    <row r="8" spans="1:16" s="5" customFormat="1" ht="27.75">
      <c r="A8" s="16" t="s">
        <v>19</v>
      </c>
      <c r="B8" s="17">
        <v>3920</v>
      </c>
      <c r="C8" s="17">
        <f>20300/3</f>
        <v>6766.666666666667</v>
      </c>
      <c r="D8" s="17">
        <f>18100/3</f>
        <v>6033.333333333333</v>
      </c>
      <c r="E8" s="17">
        <f>43260/3</f>
        <v>14420</v>
      </c>
      <c r="F8" s="17">
        <v>8466.6666666666661</v>
      </c>
      <c r="G8" s="18">
        <f t="shared" si="0"/>
        <v>39606.666666666664</v>
      </c>
      <c r="H8" s="19">
        <f>101066/3</f>
        <v>33688.666666666664</v>
      </c>
      <c r="I8" s="20">
        <f t="shared" si="1"/>
        <v>36.647666666666666</v>
      </c>
      <c r="J8" s="21">
        <f>J7/2000</f>
        <v>59.41</v>
      </c>
      <c r="L8" s="22"/>
    </row>
    <row r="9" spans="1:16" s="5" customFormat="1" ht="27.75">
      <c r="A9" s="16" t="s">
        <v>20</v>
      </c>
      <c r="B9" s="17">
        <v>3920</v>
      </c>
      <c r="C9" s="17">
        <f>20300/3</f>
        <v>6766.666666666667</v>
      </c>
      <c r="D9" s="17">
        <f>18100/3</f>
        <v>6033.333333333333</v>
      </c>
      <c r="E9" s="17">
        <f>43260/3</f>
        <v>14420</v>
      </c>
      <c r="F9" s="17">
        <v>8466.6666666666661</v>
      </c>
      <c r="G9" s="18">
        <f t="shared" si="0"/>
        <v>39606.666666666664</v>
      </c>
      <c r="H9" s="19">
        <f>101066/3</f>
        <v>33688.666666666664</v>
      </c>
      <c r="I9" s="20">
        <f t="shared" si="1"/>
        <v>36.647666666666666</v>
      </c>
      <c r="J9" s="24"/>
      <c r="L9" s="22"/>
    </row>
    <row r="10" spans="1:16" s="25" customFormat="1" ht="27.75">
      <c r="A10" s="16" t="s">
        <v>21</v>
      </c>
      <c r="B10" s="17">
        <v>6340</v>
      </c>
      <c r="C10" s="17">
        <v>21760</v>
      </c>
      <c r="D10" s="17">
        <v>0</v>
      </c>
      <c r="E10" s="17">
        <v>25020</v>
      </c>
      <c r="F10" s="17">
        <v>0</v>
      </c>
      <c r="G10" s="18">
        <f t="shared" si="0"/>
        <v>53120</v>
      </c>
      <c r="H10" s="19">
        <f>449184/2</f>
        <v>224592</v>
      </c>
      <c r="I10" s="20">
        <f>SUM(H10,G10)/2000</f>
        <v>138.85599999999999</v>
      </c>
      <c r="J10" s="21"/>
      <c r="K10" s="5"/>
      <c r="L10" s="22"/>
    </row>
    <row r="11" spans="1:16" s="5" customFormat="1" ht="27.75">
      <c r="A11" s="16" t="s">
        <v>22</v>
      </c>
      <c r="B11" s="17">
        <v>11920</v>
      </c>
      <c r="C11" s="17">
        <v>15360</v>
      </c>
      <c r="D11" s="17">
        <v>11620</v>
      </c>
      <c r="E11" s="17">
        <v>61860</v>
      </c>
      <c r="F11" s="17">
        <v>11320</v>
      </c>
      <c r="G11" s="18">
        <f t="shared" si="0"/>
        <v>112080</v>
      </c>
      <c r="H11" s="19">
        <f>449184/2</f>
        <v>224592</v>
      </c>
      <c r="I11" s="20">
        <f>SUM(H11,G11)/2000</f>
        <v>168.33600000000001</v>
      </c>
      <c r="J11" s="21"/>
      <c r="L11" s="22"/>
    </row>
    <row r="12" spans="1:16" s="5" customFormat="1" ht="27.75">
      <c r="A12" s="16" t="s">
        <v>23</v>
      </c>
      <c r="B12" s="17">
        <v>8160</v>
      </c>
      <c r="C12" s="17">
        <v>10380</v>
      </c>
      <c r="D12" s="17">
        <v>9020</v>
      </c>
      <c r="E12" s="17">
        <v>38320</v>
      </c>
      <c r="F12" s="17">
        <v>20440</v>
      </c>
      <c r="G12" s="18">
        <f t="shared" si="0"/>
        <v>86320</v>
      </c>
      <c r="H12" s="19">
        <v>112296</v>
      </c>
      <c r="I12" s="20">
        <f t="shared" si="1"/>
        <v>99.308000000000007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21.97</v>
      </c>
      <c r="C13" s="27">
        <f t="shared" si="2"/>
        <v>38.58</v>
      </c>
      <c r="D13" s="27">
        <f t="shared" si="2"/>
        <v>23</v>
      </c>
      <c r="E13" s="27">
        <f t="shared" si="2"/>
        <v>102.79</v>
      </c>
      <c r="F13" s="27">
        <f t="shared" si="2"/>
        <v>31.49</v>
      </c>
      <c r="G13" s="27">
        <f t="shared" si="2"/>
        <v>217.83</v>
      </c>
      <c r="H13" s="27">
        <f t="shared" si="2"/>
        <v>363.09050000000002</v>
      </c>
      <c r="I13" s="28">
        <f>SUM(I4:I12)</f>
        <v>580.92050000000006</v>
      </c>
      <c r="J13" s="14"/>
      <c r="K13" s="29"/>
      <c r="L13" s="22"/>
    </row>
    <row r="14" spans="1:16" s="5" customFormat="1" ht="28.5" thickBot="1">
      <c r="A14" s="30"/>
      <c r="K14" s="31"/>
      <c r="M14" s="32"/>
      <c r="N14" s="32"/>
    </row>
    <row r="15" spans="1:16" s="5" customFormat="1" ht="27.75">
      <c r="A15" s="33" t="s">
        <v>25</v>
      </c>
      <c r="B15" s="34">
        <f>(2500+0)/2000</f>
        <v>1.25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40">
        <v>7.62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23.42</v>
      </c>
      <c r="C17" s="41"/>
      <c r="D17" s="48" t="s">
        <v>29</v>
      </c>
      <c r="E17" s="69">
        <v>5.89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/>
      <c r="C22" s="40">
        <v>3014.1</v>
      </c>
      <c r="D22" s="68">
        <f>SUM(B22:C22)</f>
        <v>3014.1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33.979999999999997</v>
      </c>
      <c r="C25" s="40">
        <v>0</v>
      </c>
      <c r="D25" s="40">
        <f>(3500+12960+2072)/2000</f>
        <v>9.266</v>
      </c>
      <c r="E25" s="82">
        <f>(150+425+300+1200)/2000</f>
        <v>1.0375000000000001</v>
      </c>
      <c r="F25" s="68">
        <v>2656.55</v>
      </c>
      <c r="G25" s="68">
        <v>1016.88</v>
      </c>
      <c r="H25" s="83">
        <f>5840/2000</f>
        <v>2.92</v>
      </c>
      <c r="I25" s="84">
        <v>9.5299999999999994</v>
      </c>
      <c r="J25" s="85">
        <f>SUM(B25:I25)</f>
        <v>3730.1635000000006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3515.15</v>
      </c>
      <c r="C28" s="40">
        <v>2.6</v>
      </c>
      <c r="D28" s="97">
        <f>SUM(B28:C28,G25)</f>
        <v>4534.63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2656.55</v>
      </c>
      <c r="C31" s="40">
        <v>446.23</v>
      </c>
      <c r="D31" s="40">
        <v>385.36</v>
      </c>
      <c r="E31" s="97">
        <f>SUM(B31:D31)</f>
        <v>3488.1400000000003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3688.8965000000003</v>
      </c>
      <c r="C37" s="61"/>
      <c r="D37" s="109" t="s">
        <v>52</v>
      </c>
      <c r="E37" s="110">
        <f>B37/B43</f>
        <v>0.2897892421307719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7178.0740000000005</v>
      </c>
      <c r="C39" s="117"/>
      <c r="D39" s="109" t="s">
        <v>54</v>
      </c>
      <c r="E39" s="110">
        <f>B39/B43</f>
        <v>0.56388912630609145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5551.51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12729.584000000001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G30" sqref="G30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F25" sqref="F25"/>
      <pageMargins left="0.7" right="0.7" top="0.75" bottom="0.75" header="0.3" footer="0.3"/>
    </customSheetView>
    <customSheetView guid="{1F53F7D0-897F-4CD0-B731-A7EAAEC631FF}" scale="40" hiddenColumns="1">
      <selection activeCell="B16" sqref="B16"/>
      <pageMargins left="0.7" right="0.7" top="0.75" bottom="0.75" header="0.3" footer="0.3"/>
    </customSheetView>
    <customSheetView guid="{60BFC34B-3957-423D-86B5-753FA44417D1}" scale="40" hiddenColumns="1">
      <selection activeCell="F25" sqref="F25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42887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/>
      <c r="C4" s="17">
        <v>820</v>
      </c>
      <c r="D4" s="17"/>
      <c r="E4" s="17">
        <v>2440</v>
      </c>
      <c r="F4" s="17">
        <v>780</v>
      </c>
      <c r="G4" s="18">
        <f t="shared" ref="G4:G12" si="0">SUM(B4:F4)</f>
        <v>4040</v>
      </c>
      <c r="H4" s="19">
        <v>3359</v>
      </c>
      <c r="I4" s="20">
        <f>SUM(H4,G4)/2000</f>
        <v>3.6995</v>
      </c>
      <c r="J4" s="21"/>
      <c r="L4" s="22"/>
    </row>
    <row r="5" spans="1:16" s="5" customFormat="1" ht="27.75">
      <c r="A5" s="23" t="s">
        <v>16</v>
      </c>
      <c r="B5" s="17"/>
      <c r="C5" s="17">
        <v>420</v>
      </c>
      <c r="D5" s="17"/>
      <c r="E5" s="17">
        <v>2240</v>
      </c>
      <c r="F5" s="17"/>
      <c r="G5" s="18">
        <f t="shared" si="0"/>
        <v>2660</v>
      </c>
      <c r="H5" s="19">
        <v>10076</v>
      </c>
      <c r="I5" s="20">
        <f t="shared" ref="I5:I12" si="1">SUM(H5,G5)/2000</f>
        <v>6.3680000000000003</v>
      </c>
      <c r="J5" s="21"/>
      <c r="L5" s="22"/>
    </row>
    <row r="6" spans="1:16" s="5" customFormat="1" ht="27.75">
      <c r="A6" s="16" t="s">
        <v>17</v>
      </c>
      <c r="B6" s="17">
        <v>4940</v>
      </c>
      <c r="C6" s="17">
        <v>10800</v>
      </c>
      <c r="D6" s="17">
        <v>7220</v>
      </c>
      <c r="E6" s="17">
        <v>29240</v>
      </c>
      <c r="F6" s="17">
        <v>2440</v>
      </c>
      <c r="G6" s="18">
        <f t="shared" si="0"/>
        <v>54640</v>
      </c>
      <c r="H6" s="19">
        <f>20152+10076+13435</f>
        <v>43663</v>
      </c>
      <c r="I6" s="20">
        <f t="shared" si="1"/>
        <v>49.151499999999999</v>
      </c>
      <c r="J6" s="21"/>
      <c r="L6" s="22"/>
    </row>
    <row r="7" spans="1:16" s="5" customFormat="1" ht="27.75">
      <c r="A7" s="16" t="s">
        <v>18</v>
      </c>
      <c r="B7" s="17">
        <v>3760</v>
      </c>
      <c r="C7" s="17">
        <v>4800</v>
      </c>
      <c r="D7" s="17">
        <v>2833</v>
      </c>
      <c r="E7" s="17">
        <v>15573</v>
      </c>
      <c r="F7" s="17">
        <v>4873</v>
      </c>
      <c r="G7" s="18">
        <f t="shared" si="0"/>
        <v>31839</v>
      </c>
      <c r="H7" s="19">
        <f>90685/3</f>
        <v>30228.333333333332</v>
      </c>
      <c r="I7" s="20">
        <f t="shared" si="1"/>
        <v>31.033666666666665</v>
      </c>
      <c r="J7" s="21">
        <f>G7*3</f>
        <v>95517</v>
      </c>
      <c r="L7" s="22"/>
    </row>
    <row r="8" spans="1:16" s="5" customFormat="1" ht="27.75">
      <c r="A8" s="16" t="s">
        <v>19</v>
      </c>
      <c r="B8" s="17">
        <v>3760</v>
      </c>
      <c r="C8" s="17">
        <v>4800</v>
      </c>
      <c r="D8" s="17">
        <v>2833</v>
      </c>
      <c r="E8" s="17">
        <v>15573</v>
      </c>
      <c r="F8" s="17">
        <v>4873</v>
      </c>
      <c r="G8" s="18">
        <f t="shared" si="0"/>
        <v>31839</v>
      </c>
      <c r="H8" s="19">
        <f>90685/3</f>
        <v>30228.333333333332</v>
      </c>
      <c r="I8" s="20">
        <f t="shared" si="1"/>
        <v>31.033666666666665</v>
      </c>
      <c r="J8" s="21">
        <f>J7/2000</f>
        <v>47.758499999999998</v>
      </c>
      <c r="L8" s="22"/>
    </row>
    <row r="9" spans="1:16" s="5" customFormat="1" ht="27.75">
      <c r="A9" s="16" t="s">
        <v>20</v>
      </c>
      <c r="B9" s="17">
        <v>3760</v>
      </c>
      <c r="C9" s="17">
        <v>4800</v>
      </c>
      <c r="D9" s="17">
        <v>2833</v>
      </c>
      <c r="E9" s="17">
        <v>15573</v>
      </c>
      <c r="F9" s="17">
        <v>4873</v>
      </c>
      <c r="G9" s="18">
        <f t="shared" si="0"/>
        <v>31839</v>
      </c>
      <c r="H9" s="19">
        <f>90685/3</f>
        <v>30228.333333333332</v>
      </c>
      <c r="I9" s="20">
        <f t="shared" si="1"/>
        <v>31.033666666666665</v>
      </c>
      <c r="J9" s="24"/>
      <c r="L9" s="22"/>
    </row>
    <row r="10" spans="1:16" s="25" customFormat="1" ht="27.75">
      <c r="A10" s="16" t="s">
        <v>21</v>
      </c>
      <c r="B10" s="17">
        <v>8120</v>
      </c>
      <c r="C10" s="17">
        <v>7000</v>
      </c>
      <c r="D10" s="17">
        <v>11180</v>
      </c>
      <c r="E10" s="17">
        <v>20840</v>
      </c>
      <c r="F10" s="17">
        <v>3860</v>
      </c>
      <c r="G10" s="18">
        <f t="shared" si="0"/>
        <v>51000</v>
      </c>
      <c r="H10" s="19">
        <f>403044/2</f>
        <v>201522</v>
      </c>
      <c r="I10" s="20">
        <f>SUM(H10,G10)/2000</f>
        <v>126.261</v>
      </c>
      <c r="J10" s="21"/>
      <c r="K10" s="5"/>
      <c r="L10" s="22"/>
    </row>
    <row r="11" spans="1:16" s="5" customFormat="1" ht="27.75">
      <c r="A11" s="16" t="s">
        <v>22</v>
      </c>
      <c r="B11" s="17">
        <v>9160</v>
      </c>
      <c r="C11" s="17">
        <v>13000</v>
      </c>
      <c r="D11" s="17">
        <v>7940</v>
      </c>
      <c r="E11" s="17">
        <v>55650</v>
      </c>
      <c r="F11" s="17">
        <v>13620</v>
      </c>
      <c r="G11" s="18">
        <f t="shared" si="0"/>
        <v>99370</v>
      </c>
      <c r="H11" s="19">
        <f>403044/2</f>
        <v>201522</v>
      </c>
      <c r="I11" s="20">
        <f>SUM(H11,G11)/2000</f>
        <v>150.446</v>
      </c>
      <c r="J11" s="21"/>
      <c r="L11" s="22"/>
    </row>
    <row r="12" spans="1:16" s="5" customFormat="1" ht="27.75">
      <c r="A12" s="16" t="s">
        <v>23</v>
      </c>
      <c r="B12" s="17">
        <v>15160</v>
      </c>
      <c r="C12" s="17">
        <v>11360</v>
      </c>
      <c r="D12" s="17">
        <v>12640</v>
      </c>
      <c r="E12" s="17">
        <v>39360</v>
      </c>
      <c r="F12" s="17">
        <v>7520</v>
      </c>
      <c r="G12" s="18">
        <f t="shared" si="0"/>
        <v>86040</v>
      </c>
      <c r="H12" s="19">
        <v>100761</v>
      </c>
      <c r="I12" s="20">
        <f t="shared" si="1"/>
        <v>93.400499999999994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24.33</v>
      </c>
      <c r="C13" s="27">
        <f t="shared" si="2"/>
        <v>28.9</v>
      </c>
      <c r="D13" s="27">
        <f t="shared" si="2"/>
        <v>23.7395</v>
      </c>
      <c r="E13" s="27">
        <f t="shared" si="2"/>
        <v>98.244500000000002</v>
      </c>
      <c r="F13" s="27">
        <f t="shared" si="2"/>
        <v>21.419499999999999</v>
      </c>
      <c r="G13" s="27">
        <f t="shared" si="2"/>
        <v>196.6335</v>
      </c>
      <c r="H13" s="27">
        <f t="shared" si="2"/>
        <v>325.79399999999998</v>
      </c>
      <c r="I13" s="28">
        <f>SUM(I4:I12)</f>
        <v>522.42750000000001</v>
      </c>
      <c r="J13" s="14"/>
      <c r="K13" s="29"/>
      <c r="L13" s="22"/>
    </row>
    <row r="14" spans="1:16" s="5" customFormat="1" ht="28.5" thickBot="1">
      <c r="A14" s="30"/>
      <c r="H14" s="5">
        <v>329.33</v>
      </c>
      <c r="K14" s="31"/>
      <c r="M14" s="32"/>
      <c r="N14" s="32"/>
    </row>
    <row r="15" spans="1:16" s="5" customFormat="1" ht="27.75">
      <c r="A15" s="33" t="s">
        <v>25</v>
      </c>
      <c r="B15" s="34">
        <f>(1915+0)/2000</f>
        <v>0.95750000000000002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127">
        <v>5.72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132">
        <v>27.54</v>
      </c>
      <c r="C17" s="41"/>
      <c r="D17" s="48" t="s">
        <v>29</v>
      </c>
      <c r="E17" s="69">
        <v>9.4600000000000009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/>
      <c r="C22" s="40">
        <v>3232.4</v>
      </c>
      <c r="D22" s="68">
        <f>SUM(B22:C22)</f>
        <v>3232.4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36.880000000000003</v>
      </c>
      <c r="C25" s="40">
        <v>0</v>
      </c>
      <c r="D25" s="40">
        <v>9.9</v>
      </c>
      <c r="E25" s="82">
        <v>1.25</v>
      </c>
      <c r="F25" s="68">
        <v>2724.03</v>
      </c>
      <c r="G25" s="68">
        <v>1037.96</v>
      </c>
      <c r="H25" s="83">
        <f>3020/2000</f>
        <v>1.51</v>
      </c>
      <c r="I25" s="84">
        <v>6.7</v>
      </c>
      <c r="J25" s="85">
        <f>SUM(B25:I25)</f>
        <v>3818.2300000000005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3572.66</v>
      </c>
      <c r="C28" s="40">
        <v>1.86</v>
      </c>
      <c r="D28" s="97">
        <f>SUM(B28:C28,G25)</f>
        <v>4612.4799999999996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2724.03</v>
      </c>
      <c r="C31" s="40">
        <v>557.34</v>
      </c>
      <c r="D31" s="40">
        <v>584.38</v>
      </c>
      <c r="E31" s="97">
        <f>SUM(B31:D31)</f>
        <v>3865.7500000000005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3853.4950000000003</v>
      </c>
      <c r="C37" s="61"/>
      <c r="D37" s="109" t="s">
        <v>52</v>
      </c>
      <c r="E37" s="110">
        <f>B37/B43</f>
        <v>0.28819936676081365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7720.4950000000008</v>
      </c>
      <c r="C39" s="117"/>
      <c r="D39" s="109" t="s">
        <v>54</v>
      </c>
      <c r="E39" s="110">
        <f>B39/B43</f>
        <v>0.57740876012036557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5650.44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13370.935000000001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F36" sqref="F36"/>
      <pageMargins left="0.7" right="0.7" top="0.75" bottom="0.75" header="0.3" footer="0.3"/>
    </customSheetView>
    <customSheetView guid="{2108F49D-F0FB-4737-BA79-3B15211A9F8F}" scale="40" hiddenColumns="1">
      <selection activeCell="B38" sqref="B38"/>
      <pageMargins left="0.7" right="0.7" top="0.75" bottom="0.75" header="0.3" footer="0.3"/>
    </customSheetView>
    <customSheetView guid="{037DCF94-393F-444C-8CC8-348B9921602C}" scale="40" hiddenColumns="1">
      <selection activeCell="F29" sqref="F29"/>
      <pageMargins left="0.7" right="0.7" top="0.75" bottom="0.75" header="0.3" footer="0.3"/>
    </customSheetView>
    <customSheetView guid="{1F53F7D0-897F-4CD0-B731-A7EAAEC631FF}" scale="40" hiddenColumns="1">
      <selection activeCell="H13" sqref="H13"/>
      <pageMargins left="0.7" right="0.7" top="0.75" bottom="0.75" header="0.3" footer="0.3"/>
    </customSheetView>
    <customSheetView guid="{60BFC34B-3957-423D-86B5-753FA44417D1}" scale="40" hiddenColumns="1">
      <selection activeCell="F29" sqref="F29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V55"/>
  <sheetViews>
    <sheetView zoomScale="40" zoomScaleNormal="40" workbookViewId="0">
      <selection activeCell="B43" sqref="B43"/>
    </sheetView>
  </sheetViews>
  <sheetFormatPr defaultColWidth="10.7109375" defaultRowHeight="15"/>
  <cols>
    <col min="1" max="1" width="78.28515625" style="125" customWidth="1"/>
    <col min="2" max="2" width="42.42578125" style="111" customWidth="1"/>
    <col min="3" max="3" width="31.5703125" style="111" customWidth="1"/>
    <col min="4" max="4" width="37" style="111" customWidth="1"/>
    <col min="5" max="5" width="33.85546875" style="111" customWidth="1"/>
    <col min="6" max="6" width="35.5703125" style="111" customWidth="1"/>
    <col min="7" max="7" width="36.28515625" style="111" customWidth="1"/>
    <col min="8" max="8" width="40.7109375" style="111" customWidth="1"/>
    <col min="9" max="9" width="33.5703125" style="111" customWidth="1"/>
    <col min="10" max="10" width="43.140625" style="111" customWidth="1"/>
    <col min="11" max="11" width="44" style="111" customWidth="1"/>
    <col min="12" max="12" width="43" style="111" customWidth="1"/>
    <col min="13" max="13" width="30.42578125" style="111" customWidth="1"/>
    <col min="14" max="14" width="47.42578125" style="111" hidden="1" customWidth="1"/>
    <col min="15" max="15" width="34.85546875" style="111" customWidth="1"/>
    <col min="16" max="16" width="32.42578125" style="115" customWidth="1"/>
    <col min="17" max="256" width="10.7109375" style="115"/>
    <col min="257" max="257" width="78.28515625" style="115" customWidth="1"/>
    <col min="258" max="258" width="42.42578125" style="115" customWidth="1"/>
    <col min="259" max="259" width="31.5703125" style="115" customWidth="1"/>
    <col min="260" max="260" width="37" style="115" customWidth="1"/>
    <col min="261" max="261" width="33.85546875" style="115" customWidth="1"/>
    <col min="262" max="262" width="35.5703125" style="115" customWidth="1"/>
    <col min="263" max="263" width="36.28515625" style="115" customWidth="1"/>
    <col min="264" max="264" width="40.7109375" style="115" customWidth="1"/>
    <col min="265" max="265" width="33.5703125" style="115" customWidth="1"/>
    <col min="266" max="266" width="43.140625" style="115" customWidth="1"/>
    <col min="267" max="267" width="44" style="115" customWidth="1"/>
    <col min="268" max="268" width="43" style="115" customWidth="1"/>
    <col min="269" max="269" width="30.42578125" style="115" customWidth="1"/>
    <col min="270" max="270" width="10.7109375" style="115" hidden="1" customWidth="1"/>
    <col min="271" max="271" width="34.85546875" style="115" customWidth="1"/>
    <col min="272" max="272" width="32.42578125" style="115" customWidth="1"/>
    <col min="273" max="512" width="10.7109375" style="115"/>
    <col min="513" max="513" width="78.28515625" style="115" customWidth="1"/>
    <col min="514" max="514" width="42.42578125" style="115" customWidth="1"/>
    <col min="515" max="515" width="31.5703125" style="115" customWidth="1"/>
    <col min="516" max="516" width="37" style="115" customWidth="1"/>
    <col min="517" max="517" width="33.85546875" style="115" customWidth="1"/>
    <col min="518" max="518" width="35.5703125" style="115" customWidth="1"/>
    <col min="519" max="519" width="36.28515625" style="115" customWidth="1"/>
    <col min="520" max="520" width="40.7109375" style="115" customWidth="1"/>
    <col min="521" max="521" width="33.5703125" style="115" customWidth="1"/>
    <col min="522" max="522" width="43.140625" style="115" customWidth="1"/>
    <col min="523" max="523" width="44" style="115" customWidth="1"/>
    <col min="524" max="524" width="43" style="115" customWidth="1"/>
    <col min="525" max="525" width="30.42578125" style="115" customWidth="1"/>
    <col min="526" max="526" width="10.7109375" style="115" hidden="1" customWidth="1"/>
    <col min="527" max="527" width="34.85546875" style="115" customWidth="1"/>
    <col min="528" max="528" width="32.42578125" style="115" customWidth="1"/>
    <col min="529" max="768" width="10.7109375" style="115"/>
    <col min="769" max="769" width="78.28515625" style="115" customWidth="1"/>
    <col min="770" max="770" width="42.42578125" style="115" customWidth="1"/>
    <col min="771" max="771" width="31.5703125" style="115" customWidth="1"/>
    <col min="772" max="772" width="37" style="115" customWidth="1"/>
    <col min="773" max="773" width="33.85546875" style="115" customWidth="1"/>
    <col min="774" max="774" width="35.5703125" style="115" customWidth="1"/>
    <col min="775" max="775" width="36.28515625" style="115" customWidth="1"/>
    <col min="776" max="776" width="40.7109375" style="115" customWidth="1"/>
    <col min="777" max="777" width="33.5703125" style="115" customWidth="1"/>
    <col min="778" max="778" width="43.140625" style="115" customWidth="1"/>
    <col min="779" max="779" width="44" style="115" customWidth="1"/>
    <col min="780" max="780" width="43" style="115" customWidth="1"/>
    <col min="781" max="781" width="30.42578125" style="115" customWidth="1"/>
    <col min="782" max="782" width="10.7109375" style="115" hidden="1" customWidth="1"/>
    <col min="783" max="783" width="34.85546875" style="115" customWidth="1"/>
    <col min="784" max="784" width="32.42578125" style="115" customWidth="1"/>
    <col min="785" max="1024" width="10.7109375" style="115"/>
    <col min="1025" max="1025" width="78.28515625" style="115" customWidth="1"/>
    <col min="1026" max="1026" width="42.42578125" style="115" customWidth="1"/>
    <col min="1027" max="1027" width="31.5703125" style="115" customWidth="1"/>
    <col min="1028" max="1028" width="37" style="115" customWidth="1"/>
    <col min="1029" max="1029" width="33.85546875" style="115" customWidth="1"/>
    <col min="1030" max="1030" width="35.5703125" style="115" customWidth="1"/>
    <col min="1031" max="1031" width="36.28515625" style="115" customWidth="1"/>
    <col min="1032" max="1032" width="40.7109375" style="115" customWidth="1"/>
    <col min="1033" max="1033" width="33.5703125" style="115" customWidth="1"/>
    <col min="1034" max="1034" width="43.140625" style="115" customWidth="1"/>
    <col min="1035" max="1035" width="44" style="115" customWidth="1"/>
    <col min="1036" max="1036" width="43" style="115" customWidth="1"/>
    <col min="1037" max="1037" width="30.42578125" style="115" customWidth="1"/>
    <col min="1038" max="1038" width="10.7109375" style="115" hidden="1" customWidth="1"/>
    <col min="1039" max="1039" width="34.85546875" style="115" customWidth="1"/>
    <col min="1040" max="1040" width="32.42578125" style="115" customWidth="1"/>
    <col min="1041" max="1280" width="10.7109375" style="115"/>
    <col min="1281" max="1281" width="78.28515625" style="115" customWidth="1"/>
    <col min="1282" max="1282" width="42.42578125" style="115" customWidth="1"/>
    <col min="1283" max="1283" width="31.5703125" style="115" customWidth="1"/>
    <col min="1284" max="1284" width="37" style="115" customWidth="1"/>
    <col min="1285" max="1285" width="33.85546875" style="115" customWidth="1"/>
    <col min="1286" max="1286" width="35.5703125" style="115" customWidth="1"/>
    <col min="1287" max="1287" width="36.28515625" style="115" customWidth="1"/>
    <col min="1288" max="1288" width="40.7109375" style="115" customWidth="1"/>
    <col min="1289" max="1289" width="33.5703125" style="115" customWidth="1"/>
    <col min="1290" max="1290" width="43.140625" style="115" customWidth="1"/>
    <col min="1291" max="1291" width="44" style="115" customWidth="1"/>
    <col min="1292" max="1292" width="43" style="115" customWidth="1"/>
    <col min="1293" max="1293" width="30.42578125" style="115" customWidth="1"/>
    <col min="1294" max="1294" width="10.7109375" style="115" hidden="1" customWidth="1"/>
    <col min="1295" max="1295" width="34.85546875" style="115" customWidth="1"/>
    <col min="1296" max="1296" width="32.42578125" style="115" customWidth="1"/>
    <col min="1297" max="1536" width="10.7109375" style="115"/>
    <col min="1537" max="1537" width="78.28515625" style="115" customWidth="1"/>
    <col min="1538" max="1538" width="42.42578125" style="115" customWidth="1"/>
    <col min="1539" max="1539" width="31.5703125" style="115" customWidth="1"/>
    <col min="1540" max="1540" width="37" style="115" customWidth="1"/>
    <col min="1541" max="1541" width="33.85546875" style="115" customWidth="1"/>
    <col min="1542" max="1542" width="35.5703125" style="115" customWidth="1"/>
    <col min="1543" max="1543" width="36.28515625" style="115" customWidth="1"/>
    <col min="1544" max="1544" width="40.7109375" style="115" customWidth="1"/>
    <col min="1545" max="1545" width="33.5703125" style="115" customWidth="1"/>
    <col min="1546" max="1546" width="43.140625" style="115" customWidth="1"/>
    <col min="1547" max="1547" width="44" style="115" customWidth="1"/>
    <col min="1548" max="1548" width="43" style="115" customWidth="1"/>
    <col min="1549" max="1549" width="30.42578125" style="115" customWidth="1"/>
    <col min="1550" max="1550" width="10.7109375" style="115" hidden="1" customWidth="1"/>
    <col min="1551" max="1551" width="34.85546875" style="115" customWidth="1"/>
    <col min="1552" max="1552" width="32.42578125" style="115" customWidth="1"/>
    <col min="1553" max="1792" width="10.7109375" style="115"/>
    <col min="1793" max="1793" width="78.28515625" style="115" customWidth="1"/>
    <col min="1794" max="1794" width="42.42578125" style="115" customWidth="1"/>
    <col min="1795" max="1795" width="31.5703125" style="115" customWidth="1"/>
    <col min="1796" max="1796" width="37" style="115" customWidth="1"/>
    <col min="1797" max="1797" width="33.85546875" style="115" customWidth="1"/>
    <col min="1798" max="1798" width="35.5703125" style="115" customWidth="1"/>
    <col min="1799" max="1799" width="36.28515625" style="115" customWidth="1"/>
    <col min="1800" max="1800" width="40.7109375" style="115" customWidth="1"/>
    <col min="1801" max="1801" width="33.5703125" style="115" customWidth="1"/>
    <col min="1802" max="1802" width="43.140625" style="115" customWidth="1"/>
    <col min="1803" max="1803" width="44" style="115" customWidth="1"/>
    <col min="1804" max="1804" width="43" style="115" customWidth="1"/>
    <col min="1805" max="1805" width="30.42578125" style="115" customWidth="1"/>
    <col min="1806" max="1806" width="10.7109375" style="115" hidden="1" customWidth="1"/>
    <col min="1807" max="1807" width="34.85546875" style="115" customWidth="1"/>
    <col min="1808" max="1808" width="32.42578125" style="115" customWidth="1"/>
    <col min="1809" max="2048" width="10.7109375" style="115"/>
    <col min="2049" max="2049" width="78.28515625" style="115" customWidth="1"/>
    <col min="2050" max="2050" width="42.42578125" style="115" customWidth="1"/>
    <col min="2051" max="2051" width="31.5703125" style="115" customWidth="1"/>
    <col min="2052" max="2052" width="37" style="115" customWidth="1"/>
    <col min="2053" max="2053" width="33.85546875" style="115" customWidth="1"/>
    <col min="2054" max="2054" width="35.5703125" style="115" customWidth="1"/>
    <col min="2055" max="2055" width="36.28515625" style="115" customWidth="1"/>
    <col min="2056" max="2056" width="40.7109375" style="115" customWidth="1"/>
    <col min="2057" max="2057" width="33.5703125" style="115" customWidth="1"/>
    <col min="2058" max="2058" width="43.140625" style="115" customWidth="1"/>
    <col min="2059" max="2059" width="44" style="115" customWidth="1"/>
    <col min="2060" max="2060" width="43" style="115" customWidth="1"/>
    <col min="2061" max="2061" width="30.42578125" style="115" customWidth="1"/>
    <col min="2062" max="2062" width="10.7109375" style="115" hidden="1" customWidth="1"/>
    <col min="2063" max="2063" width="34.85546875" style="115" customWidth="1"/>
    <col min="2064" max="2064" width="32.42578125" style="115" customWidth="1"/>
    <col min="2065" max="2304" width="10.7109375" style="115"/>
    <col min="2305" max="2305" width="78.28515625" style="115" customWidth="1"/>
    <col min="2306" max="2306" width="42.42578125" style="115" customWidth="1"/>
    <col min="2307" max="2307" width="31.5703125" style="115" customWidth="1"/>
    <col min="2308" max="2308" width="37" style="115" customWidth="1"/>
    <col min="2309" max="2309" width="33.85546875" style="115" customWidth="1"/>
    <col min="2310" max="2310" width="35.5703125" style="115" customWidth="1"/>
    <col min="2311" max="2311" width="36.28515625" style="115" customWidth="1"/>
    <col min="2312" max="2312" width="40.7109375" style="115" customWidth="1"/>
    <col min="2313" max="2313" width="33.5703125" style="115" customWidth="1"/>
    <col min="2314" max="2314" width="43.140625" style="115" customWidth="1"/>
    <col min="2315" max="2315" width="44" style="115" customWidth="1"/>
    <col min="2316" max="2316" width="43" style="115" customWidth="1"/>
    <col min="2317" max="2317" width="30.42578125" style="115" customWidth="1"/>
    <col min="2318" max="2318" width="10.7109375" style="115" hidden="1" customWidth="1"/>
    <col min="2319" max="2319" width="34.85546875" style="115" customWidth="1"/>
    <col min="2320" max="2320" width="32.42578125" style="115" customWidth="1"/>
    <col min="2321" max="2560" width="10.7109375" style="115"/>
    <col min="2561" max="2561" width="78.28515625" style="115" customWidth="1"/>
    <col min="2562" max="2562" width="42.42578125" style="115" customWidth="1"/>
    <col min="2563" max="2563" width="31.5703125" style="115" customWidth="1"/>
    <col min="2564" max="2564" width="37" style="115" customWidth="1"/>
    <col min="2565" max="2565" width="33.85546875" style="115" customWidth="1"/>
    <col min="2566" max="2566" width="35.5703125" style="115" customWidth="1"/>
    <col min="2567" max="2567" width="36.28515625" style="115" customWidth="1"/>
    <col min="2568" max="2568" width="40.7109375" style="115" customWidth="1"/>
    <col min="2569" max="2569" width="33.5703125" style="115" customWidth="1"/>
    <col min="2570" max="2570" width="43.140625" style="115" customWidth="1"/>
    <col min="2571" max="2571" width="44" style="115" customWidth="1"/>
    <col min="2572" max="2572" width="43" style="115" customWidth="1"/>
    <col min="2573" max="2573" width="30.42578125" style="115" customWidth="1"/>
    <col min="2574" max="2574" width="10.7109375" style="115" hidden="1" customWidth="1"/>
    <col min="2575" max="2575" width="34.85546875" style="115" customWidth="1"/>
    <col min="2576" max="2576" width="32.42578125" style="115" customWidth="1"/>
    <col min="2577" max="2816" width="10.7109375" style="115"/>
    <col min="2817" max="2817" width="78.28515625" style="115" customWidth="1"/>
    <col min="2818" max="2818" width="42.42578125" style="115" customWidth="1"/>
    <col min="2819" max="2819" width="31.5703125" style="115" customWidth="1"/>
    <col min="2820" max="2820" width="37" style="115" customWidth="1"/>
    <col min="2821" max="2821" width="33.85546875" style="115" customWidth="1"/>
    <col min="2822" max="2822" width="35.5703125" style="115" customWidth="1"/>
    <col min="2823" max="2823" width="36.28515625" style="115" customWidth="1"/>
    <col min="2824" max="2824" width="40.7109375" style="115" customWidth="1"/>
    <col min="2825" max="2825" width="33.5703125" style="115" customWidth="1"/>
    <col min="2826" max="2826" width="43.140625" style="115" customWidth="1"/>
    <col min="2827" max="2827" width="44" style="115" customWidth="1"/>
    <col min="2828" max="2828" width="43" style="115" customWidth="1"/>
    <col min="2829" max="2829" width="30.42578125" style="115" customWidth="1"/>
    <col min="2830" max="2830" width="10.7109375" style="115" hidden="1" customWidth="1"/>
    <col min="2831" max="2831" width="34.85546875" style="115" customWidth="1"/>
    <col min="2832" max="2832" width="32.42578125" style="115" customWidth="1"/>
    <col min="2833" max="3072" width="10.7109375" style="115"/>
    <col min="3073" max="3073" width="78.28515625" style="115" customWidth="1"/>
    <col min="3074" max="3074" width="42.42578125" style="115" customWidth="1"/>
    <col min="3075" max="3075" width="31.5703125" style="115" customWidth="1"/>
    <col min="3076" max="3076" width="37" style="115" customWidth="1"/>
    <col min="3077" max="3077" width="33.85546875" style="115" customWidth="1"/>
    <col min="3078" max="3078" width="35.5703125" style="115" customWidth="1"/>
    <col min="3079" max="3079" width="36.28515625" style="115" customWidth="1"/>
    <col min="3080" max="3080" width="40.7109375" style="115" customWidth="1"/>
    <col min="3081" max="3081" width="33.5703125" style="115" customWidth="1"/>
    <col min="3082" max="3082" width="43.140625" style="115" customWidth="1"/>
    <col min="3083" max="3083" width="44" style="115" customWidth="1"/>
    <col min="3084" max="3084" width="43" style="115" customWidth="1"/>
    <col min="3085" max="3085" width="30.42578125" style="115" customWidth="1"/>
    <col min="3086" max="3086" width="10.7109375" style="115" hidden="1" customWidth="1"/>
    <col min="3087" max="3087" width="34.85546875" style="115" customWidth="1"/>
    <col min="3088" max="3088" width="32.42578125" style="115" customWidth="1"/>
    <col min="3089" max="3328" width="10.7109375" style="115"/>
    <col min="3329" max="3329" width="78.28515625" style="115" customWidth="1"/>
    <col min="3330" max="3330" width="42.42578125" style="115" customWidth="1"/>
    <col min="3331" max="3331" width="31.5703125" style="115" customWidth="1"/>
    <col min="3332" max="3332" width="37" style="115" customWidth="1"/>
    <col min="3333" max="3333" width="33.85546875" style="115" customWidth="1"/>
    <col min="3334" max="3334" width="35.5703125" style="115" customWidth="1"/>
    <col min="3335" max="3335" width="36.28515625" style="115" customWidth="1"/>
    <col min="3336" max="3336" width="40.7109375" style="115" customWidth="1"/>
    <col min="3337" max="3337" width="33.5703125" style="115" customWidth="1"/>
    <col min="3338" max="3338" width="43.140625" style="115" customWidth="1"/>
    <col min="3339" max="3339" width="44" style="115" customWidth="1"/>
    <col min="3340" max="3340" width="43" style="115" customWidth="1"/>
    <col min="3341" max="3341" width="30.42578125" style="115" customWidth="1"/>
    <col min="3342" max="3342" width="10.7109375" style="115" hidden="1" customWidth="1"/>
    <col min="3343" max="3343" width="34.85546875" style="115" customWidth="1"/>
    <col min="3344" max="3344" width="32.42578125" style="115" customWidth="1"/>
    <col min="3345" max="3584" width="10.7109375" style="115"/>
    <col min="3585" max="3585" width="78.28515625" style="115" customWidth="1"/>
    <col min="3586" max="3586" width="42.42578125" style="115" customWidth="1"/>
    <col min="3587" max="3587" width="31.5703125" style="115" customWidth="1"/>
    <col min="3588" max="3588" width="37" style="115" customWidth="1"/>
    <col min="3589" max="3589" width="33.85546875" style="115" customWidth="1"/>
    <col min="3590" max="3590" width="35.5703125" style="115" customWidth="1"/>
    <col min="3591" max="3591" width="36.28515625" style="115" customWidth="1"/>
    <col min="3592" max="3592" width="40.7109375" style="115" customWidth="1"/>
    <col min="3593" max="3593" width="33.5703125" style="115" customWidth="1"/>
    <col min="3594" max="3594" width="43.140625" style="115" customWidth="1"/>
    <col min="3595" max="3595" width="44" style="115" customWidth="1"/>
    <col min="3596" max="3596" width="43" style="115" customWidth="1"/>
    <col min="3597" max="3597" width="30.42578125" style="115" customWidth="1"/>
    <col min="3598" max="3598" width="10.7109375" style="115" hidden="1" customWidth="1"/>
    <col min="3599" max="3599" width="34.85546875" style="115" customWidth="1"/>
    <col min="3600" max="3600" width="32.42578125" style="115" customWidth="1"/>
    <col min="3601" max="3840" width="10.7109375" style="115"/>
    <col min="3841" max="3841" width="78.28515625" style="115" customWidth="1"/>
    <col min="3842" max="3842" width="42.42578125" style="115" customWidth="1"/>
    <col min="3843" max="3843" width="31.5703125" style="115" customWidth="1"/>
    <col min="3844" max="3844" width="37" style="115" customWidth="1"/>
    <col min="3845" max="3845" width="33.85546875" style="115" customWidth="1"/>
    <col min="3846" max="3846" width="35.5703125" style="115" customWidth="1"/>
    <col min="3847" max="3847" width="36.28515625" style="115" customWidth="1"/>
    <col min="3848" max="3848" width="40.7109375" style="115" customWidth="1"/>
    <col min="3849" max="3849" width="33.5703125" style="115" customWidth="1"/>
    <col min="3850" max="3850" width="43.140625" style="115" customWidth="1"/>
    <col min="3851" max="3851" width="44" style="115" customWidth="1"/>
    <col min="3852" max="3852" width="43" style="115" customWidth="1"/>
    <col min="3853" max="3853" width="30.42578125" style="115" customWidth="1"/>
    <col min="3854" max="3854" width="10.7109375" style="115" hidden="1" customWidth="1"/>
    <col min="3855" max="3855" width="34.85546875" style="115" customWidth="1"/>
    <col min="3856" max="3856" width="32.42578125" style="115" customWidth="1"/>
    <col min="3857" max="4096" width="10.7109375" style="115"/>
    <col min="4097" max="4097" width="78.28515625" style="115" customWidth="1"/>
    <col min="4098" max="4098" width="42.42578125" style="115" customWidth="1"/>
    <col min="4099" max="4099" width="31.5703125" style="115" customWidth="1"/>
    <col min="4100" max="4100" width="37" style="115" customWidth="1"/>
    <col min="4101" max="4101" width="33.85546875" style="115" customWidth="1"/>
    <col min="4102" max="4102" width="35.5703125" style="115" customWidth="1"/>
    <col min="4103" max="4103" width="36.28515625" style="115" customWidth="1"/>
    <col min="4104" max="4104" width="40.7109375" style="115" customWidth="1"/>
    <col min="4105" max="4105" width="33.5703125" style="115" customWidth="1"/>
    <col min="4106" max="4106" width="43.140625" style="115" customWidth="1"/>
    <col min="4107" max="4107" width="44" style="115" customWidth="1"/>
    <col min="4108" max="4108" width="43" style="115" customWidth="1"/>
    <col min="4109" max="4109" width="30.42578125" style="115" customWidth="1"/>
    <col min="4110" max="4110" width="10.7109375" style="115" hidden="1" customWidth="1"/>
    <col min="4111" max="4111" width="34.85546875" style="115" customWidth="1"/>
    <col min="4112" max="4112" width="32.42578125" style="115" customWidth="1"/>
    <col min="4113" max="4352" width="10.7109375" style="115"/>
    <col min="4353" max="4353" width="78.28515625" style="115" customWidth="1"/>
    <col min="4354" max="4354" width="42.42578125" style="115" customWidth="1"/>
    <col min="4355" max="4355" width="31.5703125" style="115" customWidth="1"/>
    <col min="4356" max="4356" width="37" style="115" customWidth="1"/>
    <col min="4357" max="4357" width="33.85546875" style="115" customWidth="1"/>
    <col min="4358" max="4358" width="35.5703125" style="115" customWidth="1"/>
    <col min="4359" max="4359" width="36.28515625" style="115" customWidth="1"/>
    <col min="4360" max="4360" width="40.7109375" style="115" customWidth="1"/>
    <col min="4361" max="4361" width="33.5703125" style="115" customWidth="1"/>
    <col min="4362" max="4362" width="43.140625" style="115" customWidth="1"/>
    <col min="4363" max="4363" width="44" style="115" customWidth="1"/>
    <col min="4364" max="4364" width="43" style="115" customWidth="1"/>
    <col min="4365" max="4365" width="30.42578125" style="115" customWidth="1"/>
    <col min="4366" max="4366" width="10.7109375" style="115" hidden="1" customWidth="1"/>
    <col min="4367" max="4367" width="34.85546875" style="115" customWidth="1"/>
    <col min="4368" max="4368" width="32.42578125" style="115" customWidth="1"/>
    <col min="4369" max="4608" width="10.7109375" style="115"/>
    <col min="4609" max="4609" width="78.28515625" style="115" customWidth="1"/>
    <col min="4610" max="4610" width="42.42578125" style="115" customWidth="1"/>
    <col min="4611" max="4611" width="31.5703125" style="115" customWidth="1"/>
    <col min="4612" max="4612" width="37" style="115" customWidth="1"/>
    <col min="4613" max="4613" width="33.85546875" style="115" customWidth="1"/>
    <col min="4614" max="4614" width="35.5703125" style="115" customWidth="1"/>
    <col min="4615" max="4615" width="36.28515625" style="115" customWidth="1"/>
    <col min="4616" max="4616" width="40.7109375" style="115" customWidth="1"/>
    <col min="4617" max="4617" width="33.5703125" style="115" customWidth="1"/>
    <col min="4618" max="4618" width="43.140625" style="115" customWidth="1"/>
    <col min="4619" max="4619" width="44" style="115" customWidth="1"/>
    <col min="4620" max="4620" width="43" style="115" customWidth="1"/>
    <col min="4621" max="4621" width="30.42578125" style="115" customWidth="1"/>
    <col min="4622" max="4622" width="10.7109375" style="115" hidden="1" customWidth="1"/>
    <col min="4623" max="4623" width="34.85546875" style="115" customWidth="1"/>
    <col min="4624" max="4624" width="32.42578125" style="115" customWidth="1"/>
    <col min="4625" max="4864" width="10.7109375" style="115"/>
    <col min="4865" max="4865" width="78.28515625" style="115" customWidth="1"/>
    <col min="4866" max="4866" width="42.42578125" style="115" customWidth="1"/>
    <col min="4867" max="4867" width="31.5703125" style="115" customWidth="1"/>
    <col min="4868" max="4868" width="37" style="115" customWidth="1"/>
    <col min="4869" max="4869" width="33.85546875" style="115" customWidth="1"/>
    <col min="4870" max="4870" width="35.5703125" style="115" customWidth="1"/>
    <col min="4871" max="4871" width="36.28515625" style="115" customWidth="1"/>
    <col min="4872" max="4872" width="40.7109375" style="115" customWidth="1"/>
    <col min="4873" max="4873" width="33.5703125" style="115" customWidth="1"/>
    <col min="4874" max="4874" width="43.140625" style="115" customWidth="1"/>
    <col min="4875" max="4875" width="44" style="115" customWidth="1"/>
    <col min="4876" max="4876" width="43" style="115" customWidth="1"/>
    <col min="4877" max="4877" width="30.42578125" style="115" customWidth="1"/>
    <col min="4878" max="4878" width="10.7109375" style="115" hidden="1" customWidth="1"/>
    <col min="4879" max="4879" width="34.85546875" style="115" customWidth="1"/>
    <col min="4880" max="4880" width="32.42578125" style="115" customWidth="1"/>
    <col min="4881" max="5120" width="10.7109375" style="115"/>
    <col min="5121" max="5121" width="78.28515625" style="115" customWidth="1"/>
    <col min="5122" max="5122" width="42.42578125" style="115" customWidth="1"/>
    <col min="5123" max="5123" width="31.5703125" style="115" customWidth="1"/>
    <col min="5124" max="5124" width="37" style="115" customWidth="1"/>
    <col min="5125" max="5125" width="33.85546875" style="115" customWidth="1"/>
    <col min="5126" max="5126" width="35.5703125" style="115" customWidth="1"/>
    <col min="5127" max="5127" width="36.28515625" style="115" customWidth="1"/>
    <col min="5128" max="5128" width="40.7109375" style="115" customWidth="1"/>
    <col min="5129" max="5129" width="33.5703125" style="115" customWidth="1"/>
    <col min="5130" max="5130" width="43.140625" style="115" customWidth="1"/>
    <col min="5131" max="5131" width="44" style="115" customWidth="1"/>
    <col min="5132" max="5132" width="43" style="115" customWidth="1"/>
    <col min="5133" max="5133" width="30.42578125" style="115" customWidth="1"/>
    <col min="5134" max="5134" width="10.7109375" style="115" hidden="1" customWidth="1"/>
    <col min="5135" max="5135" width="34.85546875" style="115" customWidth="1"/>
    <col min="5136" max="5136" width="32.42578125" style="115" customWidth="1"/>
    <col min="5137" max="5376" width="10.7109375" style="115"/>
    <col min="5377" max="5377" width="78.28515625" style="115" customWidth="1"/>
    <col min="5378" max="5378" width="42.42578125" style="115" customWidth="1"/>
    <col min="5379" max="5379" width="31.5703125" style="115" customWidth="1"/>
    <col min="5380" max="5380" width="37" style="115" customWidth="1"/>
    <col min="5381" max="5381" width="33.85546875" style="115" customWidth="1"/>
    <col min="5382" max="5382" width="35.5703125" style="115" customWidth="1"/>
    <col min="5383" max="5383" width="36.28515625" style="115" customWidth="1"/>
    <col min="5384" max="5384" width="40.7109375" style="115" customWidth="1"/>
    <col min="5385" max="5385" width="33.5703125" style="115" customWidth="1"/>
    <col min="5386" max="5386" width="43.140625" style="115" customWidth="1"/>
    <col min="5387" max="5387" width="44" style="115" customWidth="1"/>
    <col min="5388" max="5388" width="43" style="115" customWidth="1"/>
    <col min="5389" max="5389" width="30.42578125" style="115" customWidth="1"/>
    <col min="5390" max="5390" width="10.7109375" style="115" hidden="1" customWidth="1"/>
    <col min="5391" max="5391" width="34.85546875" style="115" customWidth="1"/>
    <col min="5392" max="5392" width="32.42578125" style="115" customWidth="1"/>
    <col min="5393" max="5632" width="10.7109375" style="115"/>
    <col min="5633" max="5633" width="78.28515625" style="115" customWidth="1"/>
    <col min="5634" max="5634" width="42.42578125" style="115" customWidth="1"/>
    <col min="5635" max="5635" width="31.5703125" style="115" customWidth="1"/>
    <col min="5636" max="5636" width="37" style="115" customWidth="1"/>
    <col min="5637" max="5637" width="33.85546875" style="115" customWidth="1"/>
    <col min="5638" max="5638" width="35.5703125" style="115" customWidth="1"/>
    <col min="5639" max="5639" width="36.28515625" style="115" customWidth="1"/>
    <col min="5640" max="5640" width="40.7109375" style="115" customWidth="1"/>
    <col min="5641" max="5641" width="33.5703125" style="115" customWidth="1"/>
    <col min="5642" max="5642" width="43.140625" style="115" customWidth="1"/>
    <col min="5643" max="5643" width="44" style="115" customWidth="1"/>
    <col min="5644" max="5644" width="43" style="115" customWidth="1"/>
    <col min="5645" max="5645" width="30.42578125" style="115" customWidth="1"/>
    <col min="5646" max="5646" width="10.7109375" style="115" hidden="1" customWidth="1"/>
    <col min="5647" max="5647" width="34.85546875" style="115" customWidth="1"/>
    <col min="5648" max="5648" width="32.42578125" style="115" customWidth="1"/>
    <col min="5649" max="5888" width="10.7109375" style="115"/>
    <col min="5889" max="5889" width="78.28515625" style="115" customWidth="1"/>
    <col min="5890" max="5890" width="42.42578125" style="115" customWidth="1"/>
    <col min="5891" max="5891" width="31.5703125" style="115" customWidth="1"/>
    <col min="5892" max="5892" width="37" style="115" customWidth="1"/>
    <col min="5893" max="5893" width="33.85546875" style="115" customWidth="1"/>
    <col min="5894" max="5894" width="35.5703125" style="115" customWidth="1"/>
    <col min="5895" max="5895" width="36.28515625" style="115" customWidth="1"/>
    <col min="5896" max="5896" width="40.7109375" style="115" customWidth="1"/>
    <col min="5897" max="5897" width="33.5703125" style="115" customWidth="1"/>
    <col min="5898" max="5898" width="43.140625" style="115" customWidth="1"/>
    <col min="5899" max="5899" width="44" style="115" customWidth="1"/>
    <col min="5900" max="5900" width="43" style="115" customWidth="1"/>
    <col min="5901" max="5901" width="30.42578125" style="115" customWidth="1"/>
    <col min="5902" max="5902" width="10.7109375" style="115" hidden="1" customWidth="1"/>
    <col min="5903" max="5903" width="34.85546875" style="115" customWidth="1"/>
    <col min="5904" max="5904" width="32.42578125" style="115" customWidth="1"/>
    <col min="5905" max="6144" width="10.7109375" style="115"/>
    <col min="6145" max="6145" width="78.28515625" style="115" customWidth="1"/>
    <col min="6146" max="6146" width="42.42578125" style="115" customWidth="1"/>
    <col min="6147" max="6147" width="31.5703125" style="115" customWidth="1"/>
    <col min="6148" max="6148" width="37" style="115" customWidth="1"/>
    <col min="6149" max="6149" width="33.85546875" style="115" customWidth="1"/>
    <col min="6150" max="6150" width="35.5703125" style="115" customWidth="1"/>
    <col min="6151" max="6151" width="36.28515625" style="115" customWidth="1"/>
    <col min="6152" max="6152" width="40.7109375" style="115" customWidth="1"/>
    <col min="6153" max="6153" width="33.5703125" style="115" customWidth="1"/>
    <col min="6154" max="6154" width="43.140625" style="115" customWidth="1"/>
    <col min="6155" max="6155" width="44" style="115" customWidth="1"/>
    <col min="6156" max="6156" width="43" style="115" customWidth="1"/>
    <col min="6157" max="6157" width="30.42578125" style="115" customWidth="1"/>
    <col min="6158" max="6158" width="10.7109375" style="115" hidden="1" customWidth="1"/>
    <col min="6159" max="6159" width="34.85546875" style="115" customWidth="1"/>
    <col min="6160" max="6160" width="32.42578125" style="115" customWidth="1"/>
    <col min="6161" max="6400" width="10.7109375" style="115"/>
    <col min="6401" max="6401" width="78.28515625" style="115" customWidth="1"/>
    <col min="6402" max="6402" width="42.42578125" style="115" customWidth="1"/>
    <col min="6403" max="6403" width="31.5703125" style="115" customWidth="1"/>
    <col min="6404" max="6404" width="37" style="115" customWidth="1"/>
    <col min="6405" max="6405" width="33.85546875" style="115" customWidth="1"/>
    <col min="6406" max="6406" width="35.5703125" style="115" customWidth="1"/>
    <col min="6407" max="6407" width="36.28515625" style="115" customWidth="1"/>
    <col min="6408" max="6408" width="40.7109375" style="115" customWidth="1"/>
    <col min="6409" max="6409" width="33.5703125" style="115" customWidth="1"/>
    <col min="6410" max="6410" width="43.140625" style="115" customWidth="1"/>
    <col min="6411" max="6411" width="44" style="115" customWidth="1"/>
    <col min="6412" max="6412" width="43" style="115" customWidth="1"/>
    <col min="6413" max="6413" width="30.42578125" style="115" customWidth="1"/>
    <col min="6414" max="6414" width="10.7109375" style="115" hidden="1" customWidth="1"/>
    <col min="6415" max="6415" width="34.85546875" style="115" customWidth="1"/>
    <col min="6416" max="6416" width="32.42578125" style="115" customWidth="1"/>
    <col min="6417" max="6656" width="10.7109375" style="115"/>
    <col min="6657" max="6657" width="78.28515625" style="115" customWidth="1"/>
    <col min="6658" max="6658" width="42.42578125" style="115" customWidth="1"/>
    <col min="6659" max="6659" width="31.5703125" style="115" customWidth="1"/>
    <col min="6660" max="6660" width="37" style="115" customWidth="1"/>
    <col min="6661" max="6661" width="33.85546875" style="115" customWidth="1"/>
    <col min="6662" max="6662" width="35.5703125" style="115" customWidth="1"/>
    <col min="6663" max="6663" width="36.28515625" style="115" customWidth="1"/>
    <col min="6664" max="6664" width="40.7109375" style="115" customWidth="1"/>
    <col min="6665" max="6665" width="33.5703125" style="115" customWidth="1"/>
    <col min="6666" max="6666" width="43.140625" style="115" customWidth="1"/>
    <col min="6667" max="6667" width="44" style="115" customWidth="1"/>
    <col min="6668" max="6668" width="43" style="115" customWidth="1"/>
    <col min="6669" max="6669" width="30.42578125" style="115" customWidth="1"/>
    <col min="6670" max="6670" width="10.7109375" style="115" hidden="1" customWidth="1"/>
    <col min="6671" max="6671" width="34.85546875" style="115" customWidth="1"/>
    <col min="6672" max="6672" width="32.42578125" style="115" customWidth="1"/>
    <col min="6673" max="6912" width="10.7109375" style="115"/>
    <col min="6913" max="6913" width="78.28515625" style="115" customWidth="1"/>
    <col min="6914" max="6914" width="42.42578125" style="115" customWidth="1"/>
    <col min="6915" max="6915" width="31.5703125" style="115" customWidth="1"/>
    <col min="6916" max="6916" width="37" style="115" customWidth="1"/>
    <col min="6917" max="6917" width="33.85546875" style="115" customWidth="1"/>
    <col min="6918" max="6918" width="35.5703125" style="115" customWidth="1"/>
    <col min="6919" max="6919" width="36.28515625" style="115" customWidth="1"/>
    <col min="6920" max="6920" width="40.7109375" style="115" customWidth="1"/>
    <col min="6921" max="6921" width="33.5703125" style="115" customWidth="1"/>
    <col min="6922" max="6922" width="43.140625" style="115" customWidth="1"/>
    <col min="6923" max="6923" width="44" style="115" customWidth="1"/>
    <col min="6924" max="6924" width="43" style="115" customWidth="1"/>
    <col min="6925" max="6925" width="30.42578125" style="115" customWidth="1"/>
    <col min="6926" max="6926" width="10.7109375" style="115" hidden="1" customWidth="1"/>
    <col min="6927" max="6927" width="34.85546875" style="115" customWidth="1"/>
    <col min="6928" max="6928" width="32.42578125" style="115" customWidth="1"/>
    <col min="6929" max="7168" width="10.7109375" style="115"/>
    <col min="7169" max="7169" width="78.28515625" style="115" customWidth="1"/>
    <col min="7170" max="7170" width="42.42578125" style="115" customWidth="1"/>
    <col min="7171" max="7171" width="31.5703125" style="115" customWidth="1"/>
    <col min="7172" max="7172" width="37" style="115" customWidth="1"/>
    <col min="7173" max="7173" width="33.85546875" style="115" customWidth="1"/>
    <col min="7174" max="7174" width="35.5703125" style="115" customWidth="1"/>
    <col min="7175" max="7175" width="36.28515625" style="115" customWidth="1"/>
    <col min="7176" max="7176" width="40.7109375" style="115" customWidth="1"/>
    <col min="7177" max="7177" width="33.5703125" style="115" customWidth="1"/>
    <col min="7178" max="7178" width="43.140625" style="115" customWidth="1"/>
    <col min="7179" max="7179" width="44" style="115" customWidth="1"/>
    <col min="7180" max="7180" width="43" style="115" customWidth="1"/>
    <col min="7181" max="7181" width="30.42578125" style="115" customWidth="1"/>
    <col min="7182" max="7182" width="10.7109375" style="115" hidden="1" customWidth="1"/>
    <col min="7183" max="7183" width="34.85546875" style="115" customWidth="1"/>
    <col min="7184" max="7184" width="32.42578125" style="115" customWidth="1"/>
    <col min="7185" max="7424" width="10.7109375" style="115"/>
    <col min="7425" max="7425" width="78.28515625" style="115" customWidth="1"/>
    <col min="7426" max="7426" width="42.42578125" style="115" customWidth="1"/>
    <col min="7427" max="7427" width="31.5703125" style="115" customWidth="1"/>
    <col min="7428" max="7428" width="37" style="115" customWidth="1"/>
    <col min="7429" max="7429" width="33.85546875" style="115" customWidth="1"/>
    <col min="7430" max="7430" width="35.5703125" style="115" customWidth="1"/>
    <col min="7431" max="7431" width="36.28515625" style="115" customWidth="1"/>
    <col min="7432" max="7432" width="40.7109375" style="115" customWidth="1"/>
    <col min="7433" max="7433" width="33.5703125" style="115" customWidth="1"/>
    <col min="7434" max="7434" width="43.140625" style="115" customWidth="1"/>
    <col min="7435" max="7435" width="44" style="115" customWidth="1"/>
    <col min="7436" max="7436" width="43" style="115" customWidth="1"/>
    <col min="7437" max="7437" width="30.42578125" style="115" customWidth="1"/>
    <col min="7438" max="7438" width="10.7109375" style="115" hidden="1" customWidth="1"/>
    <col min="7439" max="7439" width="34.85546875" style="115" customWidth="1"/>
    <col min="7440" max="7440" width="32.42578125" style="115" customWidth="1"/>
    <col min="7441" max="7680" width="10.7109375" style="115"/>
    <col min="7681" max="7681" width="78.28515625" style="115" customWidth="1"/>
    <col min="7682" max="7682" width="42.42578125" style="115" customWidth="1"/>
    <col min="7683" max="7683" width="31.5703125" style="115" customWidth="1"/>
    <col min="7684" max="7684" width="37" style="115" customWidth="1"/>
    <col min="7685" max="7685" width="33.85546875" style="115" customWidth="1"/>
    <col min="7686" max="7686" width="35.5703125" style="115" customWidth="1"/>
    <col min="7687" max="7687" width="36.28515625" style="115" customWidth="1"/>
    <col min="7688" max="7688" width="40.7109375" style="115" customWidth="1"/>
    <col min="7689" max="7689" width="33.5703125" style="115" customWidth="1"/>
    <col min="7690" max="7690" width="43.140625" style="115" customWidth="1"/>
    <col min="7691" max="7691" width="44" style="115" customWidth="1"/>
    <col min="7692" max="7692" width="43" style="115" customWidth="1"/>
    <col min="7693" max="7693" width="30.42578125" style="115" customWidth="1"/>
    <col min="7694" max="7694" width="10.7109375" style="115" hidden="1" customWidth="1"/>
    <col min="7695" max="7695" width="34.85546875" style="115" customWidth="1"/>
    <col min="7696" max="7696" width="32.42578125" style="115" customWidth="1"/>
    <col min="7697" max="7936" width="10.7109375" style="115"/>
    <col min="7937" max="7937" width="78.28515625" style="115" customWidth="1"/>
    <col min="7938" max="7938" width="42.42578125" style="115" customWidth="1"/>
    <col min="7939" max="7939" width="31.5703125" style="115" customWidth="1"/>
    <col min="7940" max="7940" width="37" style="115" customWidth="1"/>
    <col min="7941" max="7941" width="33.85546875" style="115" customWidth="1"/>
    <col min="7942" max="7942" width="35.5703125" style="115" customWidth="1"/>
    <col min="7943" max="7943" width="36.28515625" style="115" customWidth="1"/>
    <col min="7944" max="7944" width="40.7109375" style="115" customWidth="1"/>
    <col min="7945" max="7945" width="33.5703125" style="115" customWidth="1"/>
    <col min="7946" max="7946" width="43.140625" style="115" customWidth="1"/>
    <col min="7947" max="7947" width="44" style="115" customWidth="1"/>
    <col min="7948" max="7948" width="43" style="115" customWidth="1"/>
    <col min="7949" max="7949" width="30.42578125" style="115" customWidth="1"/>
    <col min="7950" max="7950" width="10.7109375" style="115" hidden="1" customWidth="1"/>
    <col min="7951" max="7951" width="34.85546875" style="115" customWidth="1"/>
    <col min="7952" max="7952" width="32.42578125" style="115" customWidth="1"/>
    <col min="7953" max="8192" width="10.7109375" style="115"/>
    <col min="8193" max="8193" width="78.28515625" style="115" customWidth="1"/>
    <col min="8194" max="8194" width="42.42578125" style="115" customWidth="1"/>
    <col min="8195" max="8195" width="31.5703125" style="115" customWidth="1"/>
    <col min="8196" max="8196" width="37" style="115" customWidth="1"/>
    <col min="8197" max="8197" width="33.85546875" style="115" customWidth="1"/>
    <col min="8198" max="8198" width="35.5703125" style="115" customWidth="1"/>
    <col min="8199" max="8199" width="36.28515625" style="115" customWidth="1"/>
    <col min="8200" max="8200" width="40.7109375" style="115" customWidth="1"/>
    <col min="8201" max="8201" width="33.5703125" style="115" customWidth="1"/>
    <col min="8202" max="8202" width="43.140625" style="115" customWidth="1"/>
    <col min="8203" max="8203" width="44" style="115" customWidth="1"/>
    <col min="8204" max="8204" width="43" style="115" customWidth="1"/>
    <col min="8205" max="8205" width="30.42578125" style="115" customWidth="1"/>
    <col min="8206" max="8206" width="10.7109375" style="115" hidden="1" customWidth="1"/>
    <col min="8207" max="8207" width="34.85546875" style="115" customWidth="1"/>
    <col min="8208" max="8208" width="32.42578125" style="115" customWidth="1"/>
    <col min="8209" max="8448" width="10.7109375" style="115"/>
    <col min="8449" max="8449" width="78.28515625" style="115" customWidth="1"/>
    <col min="8450" max="8450" width="42.42578125" style="115" customWidth="1"/>
    <col min="8451" max="8451" width="31.5703125" style="115" customWidth="1"/>
    <col min="8452" max="8452" width="37" style="115" customWidth="1"/>
    <col min="8453" max="8453" width="33.85546875" style="115" customWidth="1"/>
    <col min="8454" max="8454" width="35.5703125" style="115" customWidth="1"/>
    <col min="8455" max="8455" width="36.28515625" style="115" customWidth="1"/>
    <col min="8456" max="8456" width="40.7109375" style="115" customWidth="1"/>
    <col min="8457" max="8457" width="33.5703125" style="115" customWidth="1"/>
    <col min="8458" max="8458" width="43.140625" style="115" customWidth="1"/>
    <col min="8459" max="8459" width="44" style="115" customWidth="1"/>
    <col min="8460" max="8460" width="43" style="115" customWidth="1"/>
    <col min="8461" max="8461" width="30.42578125" style="115" customWidth="1"/>
    <col min="8462" max="8462" width="10.7109375" style="115" hidden="1" customWidth="1"/>
    <col min="8463" max="8463" width="34.85546875" style="115" customWidth="1"/>
    <col min="8464" max="8464" width="32.42578125" style="115" customWidth="1"/>
    <col min="8465" max="8704" width="10.7109375" style="115"/>
    <col min="8705" max="8705" width="78.28515625" style="115" customWidth="1"/>
    <col min="8706" max="8706" width="42.42578125" style="115" customWidth="1"/>
    <col min="8707" max="8707" width="31.5703125" style="115" customWidth="1"/>
    <col min="8708" max="8708" width="37" style="115" customWidth="1"/>
    <col min="8709" max="8709" width="33.85546875" style="115" customWidth="1"/>
    <col min="8710" max="8710" width="35.5703125" style="115" customWidth="1"/>
    <col min="8711" max="8711" width="36.28515625" style="115" customWidth="1"/>
    <col min="8712" max="8712" width="40.7109375" style="115" customWidth="1"/>
    <col min="8713" max="8713" width="33.5703125" style="115" customWidth="1"/>
    <col min="8714" max="8714" width="43.140625" style="115" customWidth="1"/>
    <col min="8715" max="8715" width="44" style="115" customWidth="1"/>
    <col min="8716" max="8716" width="43" style="115" customWidth="1"/>
    <col min="8717" max="8717" width="30.42578125" style="115" customWidth="1"/>
    <col min="8718" max="8718" width="10.7109375" style="115" hidden="1" customWidth="1"/>
    <col min="8719" max="8719" width="34.85546875" style="115" customWidth="1"/>
    <col min="8720" max="8720" width="32.42578125" style="115" customWidth="1"/>
    <col min="8721" max="8960" width="10.7109375" style="115"/>
    <col min="8961" max="8961" width="78.28515625" style="115" customWidth="1"/>
    <col min="8962" max="8962" width="42.42578125" style="115" customWidth="1"/>
    <col min="8963" max="8963" width="31.5703125" style="115" customWidth="1"/>
    <col min="8964" max="8964" width="37" style="115" customWidth="1"/>
    <col min="8965" max="8965" width="33.85546875" style="115" customWidth="1"/>
    <col min="8966" max="8966" width="35.5703125" style="115" customWidth="1"/>
    <col min="8967" max="8967" width="36.28515625" style="115" customWidth="1"/>
    <col min="8968" max="8968" width="40.7109375" style="115" customWidth="1"/>
    <col min="8969" max="8969" width="33.5703125" style="115" customWidth="1"/>
    <col min="8970" max="8970" width="43.140625" style="115" customWidth="1"/>
    <col min="8971" max="8971" width="44" style="115" customWidth="1"/>
    <col min="8972" max="8972" width="43" style="115" customWidth="1"/>
    <col min="8973" max="8973" width="30.42578125" style="115" customWidth="1"/>
    <col min="8974" max="8974" width="10.7109375" style="115" hidden="1" customWidth="1"/>
    <col min="8975" max="8975" width="34.85546875" style="115" customWidth="1"/>
    <col min="8976" max="8976" width="32.42578125" style="115" customWidth="1"/>
    <col min="8977" max="9216" width="10.7109375" style="115"/>
    <col min="9217" max="9217" width="78.28515625" style="115" customWidth="1"/>
    <col min="9218" max="9218" width="42.42578125" style="115" customWidth="1"/>
    <col min="9219" max="9219" width="31.5703125" style="115" customWidth="1"/>
    <col min="9220" max="9220" width="37" style="115" customWidth="1"/>
    <col min="9221" max="9221" width="33.85546875" style="115" customWidth="1"/>
    <col min="9222" max="9222" width="35.5703125" style="115" customWidth="1"/>
    <col min="9223" max="9223" width="36.28515625" style="115" customWidth="1"/>
    <col min="9224" max="9224" width="40.7109375" style="115" customWidth="1"/>
    <col min="9225" max="9225" width="33.5703125" style="115" customWidth="1"/>
    <col min="9226" max="9226" width="43.140625" style="115" customWidth="1"/>
    <col min="9227" max="9227" width="44" style="115" customWidth="1"/>
    <col min="9228" max="9228" width="43" style="115" customWidth="1"/>
    <col min="9229" max="9229" width="30.42578125" style="115" customWidth="1"/>
    <col min="9230" max="9230" width="10.7109375" style="115" hidden="1" customWidth="1"/>
    <col min="9231" max="9231" width="34.85546875" style="115" customWidth="1"/>
    <col min="9232" max="9232" width="32.42578125" style="115" customWidth="1"/>
    <col min="9233" max="9472" width="10.7109375" style="115"/>
    <col min="9473" max="9473" width="78.28515625" style="115" customWidth="1"/>
    <col min="9474" max="9474" width="42.42578125" style="115" customWidth="1"/>
    <col min="9475" max="9475" width="31.5703125" style="115" customWidth="1"/>
    <col min="9476" max="9476" width="37" style="115" customWidth="1"/>
    <col min="9477" max="9477" width="33.85546875" style="115" customWidth="1"/>
    <col min="9478" max="9478" width="35.5703125" style="115" customWidth="1"/>
    <col min="9479" max="9479" width="36.28515625" style="115" customWidth="1"/>
    <col min="9480" max="9480" width="40.7109375" style="115" customWidth="1"/>
    <col min="9481" max="9481" width="33.5703125" style="115" customWidth="1"/>
    <col min="9482" max="9482" width="43.140625" style="115" customWidth="1"/>
    <col min="9483" max="9483" width="44" style="115" customWidth="1"/>
    <col min="9484" max="9484" width="43" style="115" customWidth="1"/>
    <col min="9485" max="9485" width="30.42578125" style="115" customWidth="1"/>
    <col min="9486" max="9486" width="10.7109375" style="115" hidden="1" customWidth="1"/>
    <col min="9487" max="9487" width="34.85546875" style="115" customWidth="1"/>
    <col min="9488" max="9488" width="32.42578125" style="115" customWidth="1"/>
    <col min="9489" max="9728" width="10.7109375" style="115"/>
    <col min="9729" max="9729" width="78.28515625" style="115" customWidth="1"/>
    <col min="9730" max="9730" width="42.42578125" style="115" customWidth="1"/>
    <col min="9731" max="9731" width="31.5703125" style="115" customWidth="1"/>
    <col min="9732" max="9732" width="37" style="115" customWidth="1"/>
    <col min="9733" max="9733" width="33.85546875" style="115" customWidth="1"/>
    <col min="9734" max="9734" width="35.5703125" style="115" customWidth="1"/>
    <col min="9735" max="9735" width="36.28515625" style="115" customWidth="1"/>
    <col min="9736" max="9736" width="40.7109375" style="115" customWidth="1"/>
    <col min="9737" max="9737" width="33.5703125" style="115" customWidth="1"/>
    <col min="9738" max="9738" width="43.140625" style="115" customWidth="1"/>
    <col min="9739" max="9739" width="44" style="115" customWidth="1"/>
    <col min="9740" max="9740" width="43" style="115" customWidth="1"/>
    <col min="9741" max="9741" width="30.42578125" style="115" customWidth="1"/>
    <col min="9742" max="9742" width="10.7109375" style="115" hidden="1" customWidth="1"/>
    <col min="9743" max="9743" width="34.85546875" style="115" customWidth="1"/>
    <col min="9744" max="9744" width="32.42578125" style="115" customWidth="1"/>
    <col min="9745" max="9984" width="10.7109375" style="115"/>
    <col min="9985" max="9985" width="78.28515625" style="115" customWidth="1"/>
    <col min="9986" max="9986" width="42.42578125" style="115" customWidth="1"/>
    <col min="9987" max="9987" width="31.5703125" style="115" customWidth="1"/>
    <col min="9988" max="9988" width="37" style="115" customWidth="1"/>
    <col min="9989" max="9989" width="33.85546875" style="115" customWidth="1"/>
    <col min="9990" max="9990" width="35.5703125" style="115" customWidth="1"/>
    <col min="9991" max="9991" width="36.28515625" style="115" customWidth="1"/>
    <col min="9992" max="9992" width="40.7109375" style="115" customWidth="1"/>
    <col min="9993" max="9993" width="33.5703125" style="115" customWidth="1"/>
    <col min="9994" max="9994" width="43.140625" style="115" customWidth="1"/>
    <col min="9995" max="9995" width="44" style="115" customWidth="1"/>
    <col min="9996" max="9996" width="43" style="115" customWidth="1"/>
    <col min="9997" max="9997" width="30.42578125" style="115" customWidth="1"/>
    <col min="9998" max="9998" width="10.7109375" style="115" hidden="1" customWidth="1"/>
    <col min="9999" max="9999" width="34.85546875" style="115" customWidth="1"/>
    <col min="10000" max="10000" width="32.42578125" style="115" customWidth="1"/>
    <col min="10001" max="10240" width="10.7109375" style="115"/>
    <col min="10241" max="10241" width="78.28515625" style="115" customWidth="1"/>
    <col min="10242" max="10242" width="42.42578125" style="115" customWidth="1"/>
    <col min="10243" max="10243" width="31.5703125" style="115" customWidth="1"/>
    <col min="10244" max="10244" width="37" style="115" customWidth="1"/>
    <col min="10245" max="10245" width="33.85546875" style="115" customWidth="1"/>
    <col min="10246" max="10246" width="35.5703125" style="115" customWidth="1"/>
    <col min="10247" max="10247" width="36.28515625" style="115" customWidth="1"/>
    <col min="10248" max="10248" width="40.7109375" style="115" customWidth="1"/>
    <col min="10249" max="10249" width="33.5703125" style="115" customWidth="1"/>
    <col min="10250" max="10250" width="43.140625" style="115" customWidth="1"/>
    <col min="10251" max="10251" width="44" style="115" customWidth="1"/>
    <col min="10252" max="10252" width="43" style="115" customWidth="1"/>
    <col min="10253" max="10253" width="30.42578125" style="115" customWidth="1"/>
    <col min="10254" max="10254" width="10.7109375" style="115" hidden="1" customWidth="1"/>
    <col min="10255" max="10255" width="34.85546875" style="115" customWidth="1"/>
    <col min="10256" max="10256" width="32.42578125" style="115" customWidth="1"/>
    <col min="10257" max="10496" width="10.7109375" style="115"/>
    <col min="10497" max="10497" width="78.28515625" style="115" customWidth="1"/>
    <col min="10498" max="10498" width="42.42578125" style="115" customWidth="1"/>
    <col min="10499" max="10499" width="31.5703125" style="115" customWidth="1"/>
    <col min="10500" max="10500" width="37" style="115" customWidth="1"/>
    <col min="10501" max="10501" width="33.85546875" style="115" customWidth="1"/>
    <col min="10502" max="10502" width="35.5703125" style="115" customWidth="1"/>
    <col min="10503" max="10503" width="36.28515625" style="115" customWidth="1"/>
    <col min="10504" max="10504" width="40.7109375" style="115" customWidth="1"/>
    <col min="10505" max="10505" width="33.5703125" style="115" customWidth="1"/>
    <col min="10506" max="10506" width="43.140625" style="115" customWidth="1"/>
    <col min="10507" max="10507" width="44" style="115" customWidth="1"/>
    <col min="10508" max="10508" width="43" style="115" customWidth="1"/>
    <col min="10509" max="10509" width="30.42578125" style="115" customWidth="1"/>
    <col min="10510" max="10510" width="10.7109375" style="115" hidden="1" customWidth="1"/>
    <col min="10511" max="10511" width="34.85546875" style="115" customWidth="1"/>
    <col min="10512" max="10512" width="32.42578125" style="115" customWidth="1"/>
    <col min="10513" max="10752" width="10.7109375" style="115"/>
    <col min="10753" max="10753" width="78.28515625" style="115" customWidth="1"/>
    <col min="10754" max="10754" width="42.42578125" style="115" customWidth="1"/>
    <col min="10755" max="10755" width="31.5703125" style="115" customWidth="1"/>
    <col min="10756" max="10756" width="37" style="115" customWidth="1"/>
    <col min="10757" max="10757" width="33.85546875" style="115" customWidth="1"/>
    <col min="10758" max="10758" width="35.5703125" style="115" customWidth="1"/>
    <col min="10759" max="10759" width="36.28515625" style="115" customWidth="1"/>
    <col min="10760" max="10760" width="40.7109375" style="115" customWidth="1"/>
    <col min="10761" max="10761" width="33.5703125" style="115" customWidth="1"/>
    <col min="10762" max="10762" width="43.140625" style="115" customWidth="1"/>
    <col min="10763" max="10763" width="44" style="115" customWidth="1"/>
    <col min="10764" max="10764" width="43" style="115" customWidth="1"/>
    <col min="10765" max="10765" width="30.42578125" style="115" customWidth="1"/>
    <col min="10766" max="10766" width="10.7109375" style="115" hidden="1" customWidth="1"/>
    <col min="10767" max="10767" width="34.85546875" style="115" customWidth="1"/>
    <col min="10768" max="10768" width="32.42578125" style="115" customWidth="1"/>
    <col min="10769" max="11008" width="10.7109375" style="115"/>
    <col min="11009" max="11009" width="78.28515625" style="115" customWidth="1"/>
    <col min="11010" max="11010" width="42.42578125" style="115" customWidth="1"/>
    <col min="11011" max="11011" width="31.5703125" style="115" customWidth="1"/>
    <col min="11012" max="11012" width="37" style="115" customWidth="1"/>
    <col min="11013" max="11013" width="33.85546875" style="115" customWidth="1"/>
    <col min="11014" max="11014" width="35.5703125" style="115" customWidth="1"/>
    <col min="11015" max="11015" width="36.28515625" style="115" customWidth="1"/>
    <col min="11016" max="11016" width="40.7109375" style="115" customWidth="1"/>
    <col min="11017" max="11017" width="33.5703125" style="115" customWidth="1"/>
    <col min="11018" max="11018" width="43.140625" style="115" customWidth="1"/>
    <col min="11019" max="11019" width="44" style="115" customWidth="1"/>
    <col min="11020" max="11020" width="43" style="115" customWidth="1"/>
    <col min="11021" max="11021" width="30.42578125" style="115" customWidth="1"/>
    <col min="11022" max="11022" width="10.7109375" style="115" hidden="1" customWidth="1"/>
    <col min="11023" max="11023" width="34.85546875" style="115" customWidth="1"/>
    <col min="11024" max="11024" width="32.42578125" style="115" customWidth="1"/>
    <col min="11025" max="11264" width="10.7109375" style="115"/>
    <col min="11265" max="11265" width="78.28515625" style="115" customWidth="1"/>
    <col min="11266" max="11266" width="42.42578125" style="115" customWidth="1"/>
    <col min="11267" max="11267" width="31.5703125" style="115" customWidth="1"/>
    <col min="11268" max="11268" width="37" style="115" customWidth="1"/>
    <col min="11269" max="11269" width="33.85546875" style="115" customWidth="1"/>
    <col min="11270" max="11270" width="35.5703125" style="115" customWidth="1"/>
    <col min="11271" max="11271" width="36.28515625" style="115" customWidth="1"/>
    <col min="11272" max="11272" width="40.7109375" style="115" customWidth="1"/>
    <col min="11273" max="11273" width="33.5703125" style="115" customWidth="1"/>
    <col min="11274" max="11274" width="43.140625" style="115" customWidth="1"/>
    <col min="11275" max="11275" width="44" style="115" customWidth="1"/>
    <col min="11276" max="11276" width="43" style="115" customWidth="1"/>
    <col min="11277" max="11277" width="30.42578125" style="115" customWidth="1"/>
    <col min="11278" max="11278" width="10.7109375" style="115" hidden="1" customWidth="1"/>
    <col min="11279" max="11279" width="34.85546875" style="115" customWidth="1"/>
    <col min="11280" max="11280" width="32.42578125" style="115" customWidth="1"/>
    <col min="11281" max="11520" width="10.7109375" style="115"/>
    <col min="11521" max="11521" width="78.28515625" style="115" customWidth="1"/>
    <col min="11522" max="11522" width="42.42578125" style="115" customWidth="1"/>
    <col min="11523" max="11523" width="31.5703125" style="115" customWidth="1"/>
    <col min="11524" max="11524" width="37" style="115" customWidth="1"/>
    <col min="11525" max="11525" width="33.85546875" style="115" customWidth="1"/>
    <col min="11526" max="11526" width="35.5703125" style="115" customWidth="1"/>
    <col min="11527" max="11527" width="36.28515625" style="115" customWidth="1"/>
    <col min="11528" max="11528" width="40.7109375" style="115" customWidth="1"/>
    <col min="11529" max="11529" width="33.5703125" style="115" customWidth="1"/>
    <col min="11530" max="11530" width="43.140625" style="115" customWidth="1"/>
    <col min="11531" max="11531" width="44" style="115" customWidth="1"/>
    <col min="11532" max="11532" width="43" style="115" customWidth="1"/>
    <col min="11533" max="11533" width="30.42578125" style="115" customWidth="1"/>
    <col min="11534" max="11534" width="10.7109375" style="115" hidden="1" customWidth="1"/>
    <col min="11535" max="11535" width="34.85546875" style="115" customWidth="1"/>
    <col min="11536" max="11536" width="32.42578125" style="115" customWidth="1"/>
    <col min="11537" max="11776" width="10.7109375" style="115"/>
    <col min="11777" max="11777" width="78.28515625" style="115" customWidth="1"/>
    <col min="11778" max="11778" width="42.42578125" style="115" customWidth="1"/>
    <col min="11779" max="11779" width="31.5703125" style="115" customWidth="1"/>
    <col min="11780" max="11780" width="37" style="115" customWidth="1"/>
    <col min="11781" max="11781" width="33.85546875" style="115" customWidth="1"/>
    <col min="11782" max="11782" width="35.5703125" style="115" customWidth="1"/>
    <col min="11783" max="11783" width="36.28515625" style="115" customWidth="1"/>
    <col min="11784" max="11784" width="40.7109375" style="115" customWidth="1"/>
    <col min="11785" max="11785" width="33.5703125" style="115" customWidth="1"/>
    <col min="11786" max="11786" width="43.140625" style="115" customWidth="1"/>
    <col min="11787" max="11787" width="44" style="115" customWidth="1"/>
    <col min="11788" max="11788" width="43" style="115" customWidth="1"/>
    <col min="11789" max="11789" width="30.42578125" style="115" customWidth="1"/>
    <col min="11790" max="11790" width="10.7109375" style="115" hidden="1" customWidth="1"/>
    <col min="11791" max="11791" width="34.85546875" style="115" customWidth="1"/>
    <col min="11792" max="11792" width="32.42578125" style="115" customWidth="1"/>
    <col min="11793" max="12032" width="10.7109375" style="115"/>
    <col min="12033" max="12033" width="78.28515625" style="115" customWidth="1"/>
    <col min="12034" max="12034" width="42.42578125" style="115" customWidth="1"/>
    <col min="12035" max="12035" width="31.5703125" style="115" customWidth="1"/>
    <col min="12036" max="12036" width="37" style="115" customWidth="1"/>
    <col min="12037" max="12037" width="33.85546875" style="115" customWidth="1"/>
    <col min="12038" max="12038" width="35.5703125" style="115" customWidth="1"/>
    <col min="12039" max="12039" width="36.28515625" style="115" customWidth="1"/>
    <col min="12040" max="12040" width="40.7109375" style="115" customWidth="1"/>
    <col min="12041" max="12041" width="33.5703125" style="115" customWidth="1"/>
    <col min="12042" max="12042" width="43.140625" style="115" customWidth="1"/>
    <col min="12043" max="12043" width="44" style="115" customWidth="1"/>
    <col min="12044" max="12044" width="43" style="115" customWidth="1"/>
    <col min="12045" max="12045" width="30.42578125" style="115" customWidth="1"/>
    <col min="12046" max="12046" width="10.7109375" style="115" hidden="1" customWidth="1"/>
    <col min="12047" max="12047" width="34.85546875" style="115" customWidth="1"/>
    <col min="12048" max="12048" width="32.42578125" style="115" customWidth="1"/>
    <col min="12049" max="12288" width="10.7109375" style="115"/>
    <col min="12289" max="12289" width="78.28515625" style="115" customWidth="1"/>
    <col min="12290" max="12290" width="42.42578125" style="115" customWidth="1"/>
    <col min="12291" max="12291" width="31.5703125" style="115" customWidth="1"/>
    <col min="12292" max="12292" width="37" style="115" customWidth="1"/>
    <col min="12293" max="12293" width="33.85546875" style="115" customWidth="1"/>
    <col min="12294" max="12294" width="35.5703125" style="115" customWidth="1"/>
    <col min="12295" max="12295" width="36.28515625" style="115" customWidth="1"/>
    <col min="12296" max="12296" width="40.7109375" style="115" customWidth="1"/>
    <col min="12297" max="12297" width="33.5703125" style="115" customWidth="1"/>
    <col min="12298" max="12298" width="43.140625" style="115" customWidth="1"/>
    <col min="12299" max="12299" width="44" style="115" customWidth="1"/>
    <col min="12300" max="12300" width="43" style="115" customWidth="1"/>
    <col min="12301" max="12301" width="30.42578125" style="115" customWidth="1"/>
    <col min="12302" max="12302" width="10.7109375" style="115" hidden="1" customWidth="1"/>
    <col min="12303" max="12303" width="34.85546875" style="115" customWidth="1"/>
    <col min="12304" max="12304" width="32.42578125" style="115" customWidth="1"/>
    <col min="12305" max="12544" width="10.7109375" style="115"/>
    <col min="12545" max="12545" width="78.28515625" style="115" customWidth="1"/>
    <col min="12546" max="12546" width="42.42578125" style="115" customWidth="1"/>
    <col min="12547" max="12547" width="31.5703125" style="115" customWidth="1"/>
    <col min="12548" max="12548" width="37" style="115" customWidth="1"/>
    <col min="12549" max="12549" width="33.85546875" style="115" customWidth="1"/>
    <col min="12550" max="12550" width="35.5703125" style="115" customWidth="1"/>
    <col min="12551" max="12551" width="36.28515625" style="115" customWidth="1"/>
    <col min="12552" max="12552" width="40.7109375" style="115" customWidth="1"/>
    <col min="12553" max="12553" width="33.5703125" style="115" customWidth="1"/>
    <col min="12554" max="12554" width="43.140625" style="115" customWidth="1"/>
    <col min="12555" max="12555" width="44" style="115" customWidth="1"/>
    <col min="12556" max="12556" width="43" style="115" customWidth="1"/>
    <col min="12557" max="12557" width="30.42578125" style="115" customWidth="1"/>
    <col min="12558" max="12558" width="10.7109375" style="115" hidden="1" customWidth="1"/>
    <col min="12559" max="12559" width="34.85546875" style="115" customWidth="1"/>
    <col min="12560" max="12560" width="32.42578125" style="115" customWidth="1"/>
    <col min="12561" max="12800" width="10.7109375" style="115"/>
    <col min="12801" max="12801" width="78.28515625" style="115" customWidth="1"/>
    <col min="12802" max="12802" width="42.42578125" style="115" customWidth="1"/>
    <col min="12803" max="12803" width="31.5703125" style="115" customWidth="1"/>
    <col min="12804" max="12804" width="37" style="115" customWidth="1"/>
    <col min="12805" max="12805" width="33.85546875" style="115" customWidth="1"/>
    <col min="12806" max="12806" width="35.5703125" style="115" customWidth="1"/>
    <col min="12807" max="12807" width="36.28515625" style="115" customWidth="1"/>
    <col min="12808" max="12808" width="40.7109375" style="115" customWidth="1"/>
    <col min="12809" max="12809" width="33.5703125" style="115" customWidth="1"/>
    <col min="12810" max="12810" width="43.140625" style="115" customWidth="1"/>
    <col min="12811" max="12811" width="44" style="115" customWidth="1"/>
    <col min="12812" max="12812" width="43" style="115" customWidth="1"/>
    <col min="12813" max="12813" width="30.42578125" style="115" customWidth="1"/>
    <col min="12814" max="12814" width="10.7109375" style="115" hidden="1" customWidth="1"/>
    <col min="12815" max="12815" width="34.85546875" style="115" customWidth="1"/>
    <col min="12816" max="12816" width="32.42578125" style="115" customWidth="1"/>
    <col min="12817" max="13056" width="10.7109375" style="115"/>
    <col min="13057" max="13057" width="78.28515625" style="115" customWidth="1"/>
    <col min="13058" max="13058" width="42.42578125" style="115" customWidth="1"/>
    <col min="13059" max="13059" width="31.5703125" style="115" customWidth="1"/>
    <col min="13060" max="13060" width="37" style="115" customWidth="1"/>
    <col min="13061" max="13061" width="33.85546875" style="115" customWidth="1"/>
    <col min="13062" max="13062" width="35.5703125" style="115" customWidth="1"/>
    <col min="13063" max="13063" width="36.28515625" style="115" customWidth="1"/>
    <col min="13064" max="13064" width="40.7109375" style="115" customWidth="1"/>
    <col min="13065" max="13065" width="33.5703125" style="115" customWidth="1"/>
    <col min="13066" max="13066" width="43.140625" style="115" customWidth="1"/>
    <col min="13067" max="13067" width="44" style="115" customWidth="1"/>
    <col min="13068" max="13068" width="43" style="115" customWidth="1"/>
    <col min="13069" max="13069" width="30.42578125" style="115" customWidth="1"/>
    <col min="13070" max="13070" width="10.7109375" style="115" hidden="1" customWidth="1"/>
    <col min="13071" max="13071" width="34.85546875" style="115" customWidth="1"/>
    <col min="13072" max="13072" width="32.42578125" style="115" customWidth="1"/>
    <col min="13073" max="13312" width="10.7109375" style="115"/>
    <col min="13313" max="13313" width="78.28515625" style="115" customWidth="1"/>
    <col min="13314" max="13314" width="42.42578125" style="115" customWidth="1"/>
    <col min="13315" max="13315" width="31.5703125" style="115" customWidth="1"/>
    <col min="13316" max="13316" width="37" style="115" customWidth="1"/>
    <col min="13317" max="13317" width="33.85546875" style="115" customWidth="1"/>
    <col min="13318" max="13318" width="35.5703125" style="115" customWidth="1"/>
    <col min="13319" max="13319" width="36.28515625" style="115" customWidth="1"/>
    <col min="13320" max="13320" width="40.7109375" style="115" customWidth="1"/>
    <col min="13321" max="13321" width="33.5703125" style="115" customWidth="1"/>
    <col min="13322" max="13322" width="43.140625" style="115" customWidth="1"/>
    <col min="13323" max="13323" width="44" style="115" customWidth="1"/>
    <col min="13324" max="13324" width="43" style="115" customWidth="1"/>
    <col min="13325" max="13325" width="30.42578125" style="115" customWidth="1"/>
    <col min="13326" max="13326" width="10.7109375" style="115" hidden="1" customWidth="1"/>
    <col min="13327" max="13327" width="34.85546875" style="115" customWidth="1"/>
    <col min="13328" max="13328" width="32.42578125" style="115" customWidth="1"/>
    <col min="13329" max="13568" width="10.7109375" style="115"/>
    <col min="13569" max="13569" width="78.28515625" style="115" customWidth="1"/>
    <col min="13570" max="13570" width="42.42578125" style="115" customWidth="1"/>
    <col min="13571" max="13571" width="31.5703125" style="115" customWidth="1"/>
    <col min="13572" max="13572" width="37" style="115" customWidth="1"/>
    <col min="13573" max="13573" width="33.85546875" style="115" customWidth="1"/>
    <col min="13574" max="13574" width="35.5703125" style="115" customWidth="1"/>
    <col min="13575" max="13575" width="36.28515625" style="115" customWidth="1"/>
    <col min="13576" max="13576" width="40.7109375" style="115" customWidth="1"/>
    <col min="13577" max="13577" width="33.5703125" style="115" customWidth="1"/>
    <col min="13578" max="13578" width="43.140625" style="115" customWidth="1"/>
    <col min="13579" max="13579" width="44" style="115" customWidth="1"/>
    <col min="13580" max="13580" width="43" style="115" customWidth="1"/>
    <col min="13581" max="13581" width="30.42578125" style="115" customWidth="1"/>
    <col min="13582" max="13582" width="10.7109375" style="115" hidden="1" customWidth="1"/>
    <col min="13583" max="13583" width="34.85546875" style="115" customWidth="1"/>
    <col min="13584" max="13584" width="32.42578125" style="115" customWidth="1"/>
    <col min="13585" max="13824" width="10.7109375" style="115"/>
    <col min="13825" max="13825" width="78.28515625" style="115" customWidth="1"/>
    <col min="13826" max="13826" width="42.42578125" style="115" customWidth="1"/>
    <col min="13827" max="13827" width="31.5703125" style="115" customWidth="1"/>
    <col min="13828" max="13828" width="37" style="115" customWidth="1"/>
    <col min="13829" max="13829" width="33.85546875" style="115" customWidth="1"/>
    <col min="13830" max="13830" width="35.5703125" style="115" customWidth="1"/>
    <col min="13831" max="13831" width="36.28515625" style="115" customWidth="1"/>
    <col min="13832" max="13832" width="40.7109375" style="115" customWidth="1"/>
    <col min="13833" max="13833" width="33.5703125" style="115" customWidth="1"/>
    <col min="13834" max="13834" width="43.140625" style="115" customWidth="1"/>
    <col min="13835" max="13835" width="44" style="115" customWidth="1"/>
    <col min="13836" max="13836" width="43" style="115" customWidth="1"/>
    <col min="13837" max="13837" width="30.42578125" style="115" customWidth="1"/>
    <col min="13838" max="13838" width="10.7109375" style="115" hidden="1" customWidth="1"/>
    <col min="13839" max="13839" width="34.85546875" style="115" customWidth="1"/>
    <col min="13840" max="13840" width="32.42578125" style="115" customWidth="1"/>
    <col min="13841" max="14080" width="10.7109375" style="115"/>
    <col min="14081" max="14081" width="78.28515625" style="115" customWidth="1"/>
    <col min="14082" max="14082" width="42.42578125" style="115" customWidth="1"/>
    <col min="14083" max="14083" width="31.5703125" style="115" customWidth="1"/>
    <col min="14084" max="14084" width="37" style="115" customWidth="1"/>
    <col min="14085" max="14085" width="33.85546875" style="115" customWidth="1"/>
    <col min="14086" max="14086" width="35.5703125" style="115" customWidth="1"/>
    <col min="14087" max="14087" width="36.28515625" style="115" customWidth="1"/>
    <col min="14088" max="14088" width="40.7109375" style="115" customWidth="1"/>
    <col min="14089" max="14089" width="33.5703125" style="115" customWidth="1"/>
    <col min="14090" max="14090" width="43.140625" style="115" customWidth="1"/>
    <col min="14091" max="14091" width="44" style="115" customWidth="1"/>
    <col min="14092" max="14092" width="43" style="115" customWidth="1"/>
    <col min="14093" max="14093" width="30.42578125" style="115" customWidth="1"/>
    <col min="14094" max="14094" width="10.7109375" style="115" hidden="1" customWidth="1"/>
    <col min="14095" max="14095" width="34.85546875" style="115" customWidth="1"/>
    <col min="14096" max="14096" width="32.42578125" style="115" customWidth="1"/>
    <col min="14097" max="14336" width="10.7109375" style="115"/>
    <col min="14337" max="14337" width="78.28515625" style="115" customWidth="1"/>
    <col min="14338" max="14338" width="42.42578125" style="115" customWidth="1"/>
    <col min="14339" max="14339" width="31.5703125" style="115" customWidth="1"/>
    <col min="14340" max="14340" width="37" style="115" customWidth="1"/>
    <col min="14341" max="14341" width="33.85546875" style="115" customWidth="1"/>
    <col min="14342" max="14342" width="35.5703125" style="115" customWidth="1"/>
    <col min="14343" max="14343" width="36.28515625" style="115" customWidth="1"/>
    <col min="14344" max="14344" width="40.7109375" style="115" customWidth="1"/>
    <col min="14345" max="14345" width="33.5703125" style="115" customWidth="1"/>
    <col min="14346" max="14346" width="43.140625" style="115" customWidth="1"/>
    <col min="14347" max="14347" width="44" style="115" customWidth="1"/>
    <col min="14348" max="14348" width="43" style="115" customWidth="1"/>
    <col min="14349" max="14349" width="30.42578125" style="115" customWidth="1"/>
    <col min="14350" max="14350" width="10.7109375" style="115" hidden="1" customWidth="1"/>
    <col min="14351" max="14351" width="34.85546875" style="115" customWidth="1"/>
    <col min="14352" max="14352" width="32.42578125" style="115" customWidth="1"/>
    <col min="14353" max="14592" width="10.7109375" style="115"/>
    <col min="14593" max="14593" width="78.28515625" style="115" customWidth="1"/>
    <col min="14594" max="14594" width="42.42578125" style="115" customWidth="1"/>
    <col min="14595" max="14595" width="31.5703125" style="115" customWidth="1"/>
    <col min="14596" max="14596" width="37" style="115" customWidth="1"/>
    <col min="14597" max="14597" width="33.85546875" style="115" customWidth="1"/>
    <col min="14598" max="14598" width="35.5703125" style="115" customWidth="1"/>
    <col min="14599" max="14599" width="36.28515625" style="115" customWidth="1"/>
    <col min="14600" max="14600" width="40.7109375" style="115" customWidth="1"/>
    <col min="14601" max="14601" width="33.5703125" style="115" customWidth="1"/>
    <col min="14602" max="14602" width="43.140625" style="115" customWidth="1"/>
    <col min="14603" max="14603" width="44" style="115" customWidth="1"/>
    <col min="14604" max="14604" width="43" style="115" customWidth="1"/>
    <col min="14605" max="14605" width="30.42578125" style="115" customWidth="1"/>
    <col min="14606" max="14606" width="10.7109375" style="115" hidden="1" customWidth="1"/>
    <col min="14607" max="14607" width="34.85546875" style="115" customWidth="1"/>
    <col min="14608" max="14608" width="32.42578125" style="115" customWidth="1"/>
    <col min="14609" max="14848" width="10.7109375" style="115"/>
    <col min="14849" max="14849" width="78.28515625" style="115" customWidth="1"/>
    <col min="14850" max="14850" width="42.42578125" style="115" customWidth="1"/>
    <col min="14851" max="14851" width="31.5703125" style="115" customWidth="1"/>
    <col min="14852" max="14852" width="37" style="115" customWidth="1"/>
    <col min="14853" max="14853" width="33.85546875" style="115" customWidth="1"/>
    <col min="14854" max="14854" width="35.5703125" style="115" customWidth="1"/>
    <col min="14855" max="14855" width="36.28515625" style="115" customWidth="1"/>
    <col min="14856" max="14856" width="40.7109375" style="115" customWidth="1"/>
    <col min="14857" max="14857" width="33.5703125" style="115" customWidth="1"/>
    <col min="14858" max="14858" width="43.140625" style="115" customWidth="1"/>
    <col min="14859" max="14859" width="44" style="115" customWidth="1"/>
    <col min="14860" max="14860" width="43" style="115" customWidth="1"/>
    <col min="14861" max="14861" width="30.42578125" style="115" customWidth="1"/>
    <col min="14862" max="14862" width="10.7109375" style="115" hidden="1" customWidth="1"/>
    <col min="14863" max="14863" width="34.85546875" style="115" customWidth="1"/>
    <col min="14864" max="14864" width="32.42578125" style="115" customWidth="1"/>
    <col min="14865" max="15104" width="10.7109375" style="115"/>
    <col min="15105" max="15105" width="78.28515625" style="115" customWidth="1"/>
    <col min="15106" max="15106" width="42.42578125" style="115" customWidth="1"/>
    <col min="15107" max="15107" width="31.5703125" style="115" customWidth="1"/>
    <col min="15108" max="15108" width="37" style="115" customWidth="1"/>
    <col min="15109" max="15109" width="33.85546875" style="115" customWidth="1"/>
    <col min="15110" max="15110" width="35.5703125" style="115" customWidth="1"/>
    <col min="15111" max="15111" width="36.28515625" style="115" customWidth="1"/>
    <col min="15112" max="15112" width="40.7109375" style="115" customWidth="1"/>
    <col min="15113" max="15113" width="33.5703125" style="115" customWidth="1"/>
    <col min="15114" max="15114" width="43.140625" style="115" customWidth="1"/>
    <col min="15115" max="15115" width="44" style="115" customWidth="1"/>
    <col min="15116" max="15116" width="43" style="115" customWidth="1"/>
    <col min="15117" max="15117" width="30.42578125" style="115" customWidth="1"/>
    <col min="15118" max="15118" width="10.7109375" style="115" hidden="1" customWidth="1"/>
    <col min="15119" max="15119" width="34.85546875" style="115" customWidth="1"/>
    <col min="15120" max="15120" width="32.42578125" style="115" customWidth="1"/>
    <col min="15121" max="15360" width="10.7109375" style="115"/>
    <col min="15361" max="15361" width="78.28515625" style="115" customWidth="1"/>
    <col min="15362" max="15362" width="42.42578125" style="115" customWidth="1"/>
    <col min="15363" max="15363" width="31.5703125" style="115" customWidth="1"/>
    <col min="15364" max="15364" width="37" style="115" customWidth="1"/>
    <col min="15365" max="15365" width="33.85546875" style="115" customWidth="1"/>
    <col min="15366" max="15366" width="35.5703125" style="115" customWidth="1"/>
    <col min="15367" max="15367" width="36.28515625" style="115" customWidth="1"/>
    <col min="15368" max="15368" width="40.7109375" style="115" customWidth="1"/>
    <col min="15369" max="15369" width="33.5703125" style="115" customWidth="1"/>
    <col min="15370" max="15370" width="43.140625" style="115" customWidth="1"/>
    <col min="15371" max="15371" width="44" style="115" customWidth="1"/>
    <col min="15372" max="15372" width="43" style="115" customWidth="1"/>
    <col min="15373" max="15373" width="30.42578125" style="115" customWidth="1"/>
    <col min="15374" max="15374" width="10.7109375" style="115" hidden="1" customWidth="1"/>
    <col min="15375" max="15375" width="34.85546875" style="115" customWidth="1"/>
    <col min="15376" max="15376" width="32.42578125" style="115" customWidth="1"/>
    <col min="15377" max="15616" width="10.7109375" style="115"/>
    <col min="15617" max="15617" width="78.28515625" style="115" customWidth="1"/>
    <col min="15618" max="15618" width="42.42578125" style="115" customWidth="1"/>
    <col min="15619" max="15619" width="31.5703125" style="115" customWidth="1"/>
    <col min="15620" max="15620" width="37" style="115" customWidth="1"/>
    <col min="15621" max="15621" width="33.85546875" style="115" customWidth="1"/>
    <col min="15622" max="15622" width="35.5703125" style="115" customWidth="1"/>
    <col min="15623" max="15623" width="36.28515625" style="115" customWidth="1"/>
    <col min="15624" max="15624" width="40.7109375" style="115" customWidth="1"/>
    <col min="15625" max="15625" width="33.5703125" style="115" customWidth="1"/>
    <col min="15626" max="15626" width="43.140625" style="115" customWidth="1"/>
    <col min="15627" max="15627" width="44" style="115" customWidth="1"/>
    <col min="15628" max="15628" width="43" style="115" customWidth="1"/>
    <col min="15629" max="15629" width="30.42578125" style="115" customWidth="1"/>
    <col min="15630" max="15630" width="10.7109375" style="115" hidden="1" customWidth="1"/>
    <col min="15631" max="15631" width="34.85546875" style="115" customWidth="1"/>
    <col min="15632" max="15632" width="32.42578125" style="115" customWidth="1"/>
    <col min="15633" max="15872" width="10.7109375" style="115"/>
    <col min="15873" max="15873" width="78.28515625" style="115" customWidth="1"/>
    <col min="15874" max="15874" width="42.42578125" style="115" customWidth="1"/>
    <col min="15875" max="15875" width="31.5703125" style="115" customWidth="1"/>
    <col min="15876" max="15876" width="37" style="115" customWidth="1"/>
    <col min="15877" max="15877" width="33.85546875" style="115" customWidth="1"/>
    <col min="15878" max="15878" width="35.5703125" style="115" customWidth="1"/>
    <col min="15879" max="15879" width="36.28515625" style="115" customWidth="1"/>
    <col min="15880" max="15880" width="40.7109375" style="115" customWidth="1"/>
    <col min="15881" max="15881" width="33.5703125" style="115" customWidth="1"/>
    <col min="15882" max="15882" width="43.140625" style="115" customWidth="1"/>
    <col min="15883" max="15883" width="44" style="115" customWidth="1"/>
    <col min="15884" max="15884" width="43" style="115" customWidth="1"/>
    <col min="15885" max="15885" width="30.42578125" style="115" customWidth="1"/>
    <col min="15886" max="15886" width="10.7109375" style="115" hidden="1" customWidth="1"/>
    <col min="15887" max="15887" width="34.85546875" style="115" customWidth="1"/>
    <col min="15888" max="15888" width="32.42578125" style="115" customWidth="1"/>
    <col min="15889" max="16128" width="10.7109375" style="115"/>
    <col min="16129" max="16129" width="78.28515625" style="115" customWidth="1"/>
    <col min="16130" max="16130" width="42.42578125" style="115" customWidth="1"/>
    <col min="16131" max="16131" width="31.5703125" style="115" customWidth="1"/>
    <col min="16132" max="16132" width="37" style="115" customWidth="1"/>
    <col min="16133" max="16133" width="33.85546875" style="115" customWidth="1"/>
    <col min="16134" max="16134" width="35.5703125" style="115" customWidth="1"/>
    <col min="16135" max="16135" width="36.28515625" style="115" customWidth="1"/>
    <col min="16136" max="16136" width="40.7109375" style="115" customWidth="1"/>
    <col min="16137" max="16137" width="33.5703125" style="115" customWidth="1"/>
    <col min="16138" max="16138" width="43.140625" style="115" customWidth="1"/>
    <col min="16139" max="16139" width="44" style="115" customWidth="1"/>
    <col min="16140" max="16140" width="43" style="115" customWidth="1"/>
    <col min="16141" max="16141" width="30.42578125" style="115" customWidth="1"/>
    <col min="16142" max="16142" width="10.7109375" style="115" hidden="1" customWidth="1"/>
    <col min="16143" max="16143" width="34.85546875" style="115" customWidth="1"/>
    <col min="16144" max="16144" width="32.42578125" style="115" customWidth="1"/>
    <col min="16145" max="16384" width="10.7109375" style="115"/>
  </cols>
  <sheetData>
    <row r="1" spans="1:16" s="5" customFormat="1" ht="27.75">
      <c r="A1" s="1" t="s">
        <v>60</v>
      </c>
      <c r="B1" s="2" t="s">
        <v>0</v>
      </c>
      <c r="C1" s="2" t="s">
        <v>0</v>
      </c>
      <c r="D1" s="2" t="s">
        <v>1</v>
      </c>
      <c r="E1" s="2" t="s">
        <v>0</v>
      </c>
      <c r="F1" s="2" t="s">
        <v>2</v>
      </c>
      <c r="G1" s="3" t="s">
        <v>3</v>
      </c>
      <c r="H1" s="4" t="s">
        <v>4</v>
      </c>
    </row>
    <row r="2" spans="1:16" s="5" customFormat="1" ht="33.75">
      <c r="A2" s="6">
        <v>42917</v>
      </c>
      <c r="B2" s="7" t="s">
        <v>5</v>
      </c>
      <c r="C2" s="7">
        <v>225</v>
      </c>
      <c r="D2" s="7">
        <v>4440</v>
      </c>
      <c r="E2" s="7">
        <v>341</v>
      </c>
      <c r="F2" s="8">
        <v>227</v>
      </c>
      <c r="G2" s="3" t="s">
        <v>6</v>
      </c>
      <c r="H2" s="4" t="s">
        <v>7</v>
      </c>
      <c r="I2" s="9"/>
      <c r="J2" s="151"/>
      <c r="K2" s="152"/>
      <c r="L2" s="152"/>
    </row>
    <row r="3" spans="1:16" s="5" customFormat="1" ht="29.25" thickBot="1">
      <c r="A3" s="10" t="s">
        <v>8</v>
      </c>
      <c r="B3" s="11" t="s">
        <v>9</v>
      </c>
      <c r="C3" s="11" t="s">
        <v>10</v>
      </c>
      <c r="D3" s="11" t="s">
        <v>11</v>
      </c>
      <c r="E3" s="11" t="s">
        <v>12</v>
      </c>
      <c r="F3" s="11" t="s">
        <v>13</v>
      </c>
      <c r="G3" s="12" t="s">
        <v>14</v>
      </c>
      <c r="H3" s="13" t="s">
        <v>14</v>
      </c>
      <c r="I3" s="12" t="s">
        <v>14</v>
      </c>
      <c r="J3" s="14"/>
      <c r="K3" s="15"/>
      <c r="L3" s="15"/>
    </row>
    <row r="4" spans="1:16" s="5" customFormat="1" ht="27.75">
      <c r="A4" s="16" t="s">
        <v>15</v>
      </c>
      <c r="B4" s="17">
        <v>220</v>
      </c>
      <c r="C4" s="17">
        <v>340</v>
      </c>
      <c r="D4" s="17">
        <v>540</v>
      </c>
      <c r="E4" s="17">
        <v>2960</v>
      </c>
      <c r="F4" s="17">
        <v>940</v>
      </c>
      <c r="G4" s="18">
        <f t="shared" ref="G4:G12" si="0">SUM(B4:F4)</f>
        <v>5000</v>
      </c>
      <c r="H4" s="19">
        <v>2093</v>
      </c>
      <c r="I4" s="20">
        <f>SUM(H4,G4)/2000</f>
        <v>3.5465</v>
      </c>
      <c r="J4" s="21"/>
      <c r="L4" s="22"/>
    </row>
    <row r="5" spans="1:16" s="5" customFormat="1" ht="27.75">
      <c r="A5" s="23" t="s">
        <v>16</v>
      </c>
      <c r="B5" s="17">
        <v>400</v>
      </c>
      <c r="C5" s="17">
        <v>680</v>
      </c>
      <c r="D5" s="17">
        <v>1520</v>
      </c>
      <c r="E5" s="17">
        <v>1620</v>
      </c>
      <c r="F5" s="17"/>
      <c r="G5" s="18">
        <f t="shared" si="0"/>
        <v>4220</v>
      </c>
      <c r="H5" s="19">
        <v>6278</v>
      </c>
      <c r="I5" s="20">
        <f t="shared" ref="I5:I12" si="1">SUM(H5,G5)/2000</f>
        <v>5.2489999999999997</v>
      </c>
      <c r="J5" s="21"/>
      <c r="L5" s="22"/>
    </row>
    <row r="6" spans="1:16" s="5" customFormat="1" ht="27.75">
      <c r="A6" s="16" t="s">
        <v>17</v>
      </c>
      <c r="B6" s="17">
        <v>4540</v>
      </c>
      <c r="C6" s="17">
        <v>8940</v>
      </c>
      <c r="D6" s="17">
        <v>4740</v>
      </c>
      <c r="E6" s="17">
        <v>32840</v>
      </c>
      <c r="F6" s="17">
        <v>2460</v>
      </c>
      <c r="G6" s="18">
        <f t="shared" si="0"/>
        <v>53520</v>
      </c>
      <c r="H6" s="19">
        <f>12556+6278+8371</f>
        <v>27205</v>
      </c>
      <c r="I6" s="20">
        <f t="shared" si="1"/>
        <v>40.362499999999997</v>
      </c>
      <c r="J6" s="21">
        <f>G7*3</f>
        <v>104037</v>
      </c>
      <c r="L6" s="22"/>
    </row>
    <row r="7" spans="1:16" s="5" customFormat="1" ht="27.75">
      <c r="A7" s="16" t="s">
        <v>18</v>
      </c>
      <c r="B7" s="17">
        <v>2333</v>
      </c>
      <c r="C7" s="17">
        <v>6920</v>
      </c>
      <c r="D7" s="17">
        <v>5600</v>
      </c>
      <c r="E7" s="17">
        <v>13026</v>
      </c>
      <c r="F7" s="17">
        <v>6800</v>
      </c>
      <c r="G7" s="18">
        <f t="shared" si="0"/>
        <v>34679</v>
      </c>
      <c r="H7" s="19">
        <f>56503/3</f>
        <v>18834.333333333332</v>
      </c>
      <c r="I7" s="20">
        <f t="shared" si="1"/>
        <v>26.756666666666664</v>
      </c>
      <c r="J7" s="21">
        <f>J6/2000</f>
        <v>52.018500000000003</v>
      </c>
      <c r="L7" s="22"/>
    </row>
    <row r="8" spans="1:16" s="5" customFormat="1" ht="27.75">
      <c r="A8" s="16" t="s">
        <v>19</v>
      </c>
      <c r="B8" s="17">
        <v>2333</v>
      </c>
      <c r="C8" s="17">
        <v>6920</v>
      </c>
      <c r="D8" s="17">
        <v>5600</v>
      </c>
      <c r="E8" s="17">
        <v>13026</v>
      </c>
      <c r="F8" s="17">
        <v>6800</v>
      </c>
      <c r="G8" s="18">
        <f t="shared" si="0"/>
        <v>34679</v>
      </c>
      <c r="H8" s="19">
        <f>56503/3</f>
        <v>18834.333333333332</v>
      </c>
      <c r="I8" s="20">
        <f t="shared" si="1"/>
        <v>26.756666666666664</v>
      </c>
      <c r="J8" s="21"/>
      <c r="L8" s="22"/>
    </row>
    <row r="9" spans="1:16" s="5" customFormat="1" ht="27.75">
      <c r="A9" s="16" t="s">
        <v>20</v>
      </c>
      <c r="B9" s="17">
        <v>2333</v>
      </c>
      <c r="C9" s="17">
        <v>6920</v>
      </c>
      <c r="D9" s="17">
        <v>5600</v>
      </c>
      <c r="E9" s="17">
        <v>13026</v>
      </c>
      <c r="F9" s="17">
        <v>6800</v>
      </c>
      <c r="G9" s="18">
        <f t="shared" si="0"/>
        <v>34679</v>
      </c>
      <c r="H9" s="19">
        <f>56503/3</f>
        <v>18834.333333333332</v>
      </c>
      <c r="I9" s="20">
        <f t="shared" si="1"/>
        <v>26.756666666666664</v>
      </c>
      <c r="J9" s="24"/>
      <c r="L9" s="22"/>
    </row>
    <row r="10" spans="1:16" s="25" customFormat="1" ht="27.75">
      <c r="A10" s="16" t="s">
        <v>21</v>
      </c>
      <c r="B10" s="17"/>
      <c r="C10" s="17">
        <v>19700</v>
      </c>
      <c r="D10" s="17"/>
      <c r="E10" s="17">
        <v>16920</v>
      </c>
      <c r="F10" s="17"/>
      <c r="G10" s="18">
        <f t="shared" si="0"/>
        <v>36620</v>
      </c>
      <c r="H10" s="19">
        <f>251124/2</f>
        <v>125562</v>
      </c>
      <c r="I10" s="20">
        <f>SUM(H10,G10)/2000</f>
        <v>81.090999999999994</v>
      </c>
      <c r="J10" s="21"/>
      <c r="K10" s="5"/>
      <c r="L10" s="22"/>
    </row>
    <row r="11" spans="1:16" s="5" customFormat="1" ht="27.75">
      <c r="A11" s="16" t="s">
        <v>22</v>
      </c>
      <c r="B11" s="17">
        <v>8380</v>
      </c>
      <c r="C11" s="17">
        <v>9740</v>
      </c>
      <c r="D11" s="17">
        <v>10800</v>
      </c>
      <c r="E11" s="17">
        <v>57960</v>
      </c>
      <c r="F11" s="17">
        <v>7060</v>
      </c>
      <c r="G11" s="18">
        <f t="shared" si="0"/>
        <v>93940</v>
      </c>
      <c r="H11" s="19">
        <f>251124/2</f>
        <v>125562</v>
      </c>
      <c r="I11" s="20">
        <f>SUM(H11,G11)/2000</f>
        <v>109.751</v>
      </c>
      <c r="J11" s="21"/>
      <c r="L11" s="22"/>
    </row>
    <row r="12" spans="1:16" s="5" customFormat="1" ht="27.75">
      <c r="A12" s="16" t="s">
        <v>23</v>
      </c>
      <c r="B12" s="17">
        <v>12080</v>
      </c>
      <c r="C12" s="17">
        <v>9520</v>
      </c>
      <c r="D12" s="17">
        <v>10520</v>
      </c>
      <c r="E12" s="17">
        <v>41160</v>
      </c>
      <c r="F12" s="17">
        <v>7660</v>
      </c>
      <c r="G12" s="18">
        <f t="shared" si="0"/>
        <v>80940</v>
      </c>
      <c r="H12" s="19">
        <v>62781</v>
      </c>
      <c r="I12" s="20">
        <f t="shared" si="1"/>
        <v>71.860500000000002</v>
      </c>
      <c r="J12" s="21"/>
      <c r="L12" s="22"/>
    </row>
    <row r="13" spans="1:16" s="5" customFormat="1" ht="28.5">
      <c r="A13" s="26" t="s">
        <v>24</v>
      </c>
      <c r="B13" s="27">
        <f t="shared" ref="B13:H13" si="2">SUM(B4:B12)/2000</f>
        <v>16.3095</v>
      </c>
      <c r="C13" s="27">
        <f t="shared" si="2"/>
        <v>34.840000000000003</v>
      </c>
      <c r="D13" s="27">
        <f t="shared" si="2"/>
        <v>22.46</v>
      </c>
      <c r="E13" s="27">
        <f t="shared" si="2"/>
        <v>96.269000000000005</v>
      </c>
      <c r="F13" s="27">
        <f t="shared" si="2"/>
        <v>19.260000000000002</v>
      </c>
      <c r="G13" s="27">
        <f t="shared" si="2"/>
        <v>189.13849999999999</v>
      </c>
      <c r="H13" s="27">
        <f t="shared" si="2"/>
        <v>202.99199999999999</v>
      </c>
      <c r="I13" s="28">
        <f>SUM(I4:I12)</f>
        <v>392.13049999999998</v>
      </c>
      <c r="J13" s="14"/>
      <c r="K13" s="29"/>
      <c r="L13" s="22"/>
    </row>
    <row r="14" spans="1:16" s="5" customFormat="1" ht="28.5" thickBot="1">
      <c r="A14" s="30"/>
      <c r="H14" s="5">
        <v>279.91000000000003</v>
      </c>
      <c r="K14" s="31"/>
      <c r="M14" s="32"/>
      <c r="N14" s="32"/>
    </row>
    <row r="15" spans="1:16" s="5" customFormat="1" ht="27.75">
      <c r="A15" s="33" t="s">
        <v>25</v>
      </c>
      <c r="B15" s="34">
        <f>(1809+0)/2000</f>
        <v>0.90449999999999997</v>
      </c>
      <c r="C15" s="35"/>
      <c r="D15" s="35"/>
      <c r="E15" s="35"/>
      <c r="F15" s="35"/>
      <c r="G15" s="35"/>
      <c r="H15" s="35"/>
      <c r="I15" s="35"/>
      <c r="J15" s="35"/>
      <c r="K15" s="36"/>
      <c r="L15" s="31"/>
      <c r="M15" s="31"/>
      <c r="N15" s="37"/>
      <c r="O15" s="32"/>
      <c r="P15" s="38"/>
    </row>
    <row r="16" spans="1:16" s="5" customFormat="1" ht="28.5" thickBot="1">
      <c r="A16" s="39" t="s">
        <v>26</v>
      </c>
      <c r="B16" s="40">
        <v>4.46</v>
      </c>
      <c r="C16" s="41"/>
      <c r="D16" s="42" t="s">
        <v>27</v>
      </c>
      <c r="E16" s="36"/>
      <c r="F16" s="36"/>
      <c r="H16" s="36"/>
      <c r="I16" s="36"/>
      <c r="J16" s="43"/>
      <c r="K16" s="36"/>
      <c r="L16" s="36"/>
      <c r="M16" s="36"/>
      <c r="N16" s="36"/>
      <c r="O16" s="44"/>
      <c r="P16" s="45"/>
    </row>
    <row r="17" spans="1:18" s="49" customFormat="1" ht="32.1" customHeight="1" thickBot="1">
      <c r="A17" s="46" t="s">
        <v>28</v>
      </c>
      <c r="B17" s="47">
        <v>26.19</v>
      </c>
      <c r="C17" s="41"/>
      <c r="D17" s="48" t="s">
        <v>29</v>
      </c>
      <c r="E17" s="69">
        <v>3.19</v>
      </c>
      <c r="F17" s="36"/>
      <c r="H17" s="36"/>
      <c r="I17" s="36"/>
      <c r="J17" s="36"/>
      <c r="K17" s="50"/>
      <c r="L17" s="36"/>
      <c r="M17" s="36"/>
      <c r="N17" s="36"/>
      <c r="O17" s="41"/>
      <c r="P17" s="41"/>
    </row>
    <row r="18" spans="1:18" s="53" customFormat="1" ht="32.1" customHeight="1" thickBot="1">
      <c r="A18" s="51"/>
      <c r="B18" s="52"/>
      <c r="C18" s="50"/>
      <c r="D18" s="50"/>
      <c r="E18" s="50"/>
      <c r="F18" s="50"/>
      <c r="H18" s="50"/>
      <c r="I18" s="50"/>
      <c r="J18" s="50"/>
      <c r="K18" s="50"/>
      <c r="L18" s="50"/>
      <c r="M18" s="50"/>
      <c r="N18" s="50"/>
      <c r="O18" s="54"/>
      <c r="P18" s="55"/>
    </row>
    <row r="19" spans="1:18" s="53" customFormat="1" ht="32.1" customHeight="1" thickBot="1">
      <c r="A19" s="56" t="s">
        <v>30</v>
      </c>
      <c r="B19" s="57"/>
      <c r="C19" s="48"/>
      <c r="D19" s="48"/>
      <c r="E19" s="50"/>
      <c r="F19" s="50"/>
      <c r="H19" s="50"/>
      <c r="I19" s="50"/>
      <c r="J19" s="50"/>
      <c r="K19" s="50"/>
      <c r="L19" s="50"/>
      <c r="M19" s="50"/>
      <c r="N19" s="50"/>
      <c r="O19" s="50"/>
      <c r="P19" s="58"/>
    </row>
    <row r="20" spans="1:18" s="60" customFormat="1" ht="32.1" customHeight="1" thickBot="1">
      <c r="A20" s="59"/>
      <c r="B20" s="50"/>
      <c r="C20" s="50"/>
      <c r="D20" s="50"/>
      <c r="E20" s="50"/>
      <c r="F20" s="50"/>
      <c r="H20" s="50"/>
      <c r="I20" s="50"/>
      <c r="J20" s="50"/>
      <c r="K20" s="61"/>
      <c r="L20" s="50"/>
      <c r="M20" s="50"/>
      <c r="N20" s="50"/>
      <c r="O20" s="50"/>
      <c r="P20" s="62"/>
    </row>
    <row r="21" spans="1:18" s="53" customFormat="1" ht="32.1" customHeight="1" thickBot="1">
      <c r="A21" s="63"/>
      <c r="B21" s="64" t="s">
        <v>31</v>
      </c>
      <c r="C21" s="64" t="s">
        <v>32</v>
      </c>
      <c r="D21" s="64" t="s">
        <v>33</v>
      </c>
      <c r="E21" s="65"/>
      <c r="F21" s="61"/>
      <c r="H21" s="61"/>
      <c r="I21" s="61"/>
      <c r="J21" s="61"/>
      <c r="K21" s="61"/>
      <c r="L21" s="61"/>
      <c r="M21" s="61"/>
      <c r="N21" s="61"/>
      <c r="O21" s="50"/>
      <c r="P21" s="66"/>
    </row>
    <row r="22" spans="1:18" s="53" customFormat="1" ht="32.1" customHeight="1" thickBot="1">
      <c r="A22" s="67" t="s">
        <v>34</v>
      </c>
      <c r="B22" s="40"/>
      <c r="C22" s="40">
        <v>2269.3000000000002</v>
      </c>
      <c r="D22" s="68">
        <f>SUM(B22:C22)</f>
        <v>2269.3000000000002</v>
      </c>
      <c r="E22" s="69"/>
      <c r="F22" s="61"/>
      <c r="H22" s="61"/>
      <c r="I22" s="61"/>
      <c r="J22" s="61"/>
      <c r="K22" s="50"/>
      <c r="L22" s="61"/>
      <c r="M22" s="61"/>
      <c r="N22" s="61"/>
      <c r="O22" s="61"/>
      <c r="P22" s="60"/>
    </row>
    <row r="23" spans="1:18" s="60" customFormat="1" ht="32.1" customHeight="1" thickBot="1">
      <c r="A23" s="59"/>
      <c r="B23" s="70"/>
      <c r="C23" s="70"/>
      <c r="D23" s="71"/>
      <c r="E23" s="50"/>
      <c r="F23" s="50"/>
      <c r="H23" s="50"/>
      <c r="I23" s="50"/>
      <c r="J23" s="50"/>
      <c r="K23" s="72"/>
      <c r="L23" s="50"/>
      <c r="M23" s="50"/>
      <c r="N23" s="50"/>
      <c r="O23" s="61"/>
      <c r="P23" s="53"/>
      <c r="Q23" s="73"/>
      <c r="R23" s="73"/>
    </row>
    <row r="24" spans="1:18" s="80" customFormat="1" ht="32.1" customHeight="1" thickBot="1">
      <c r="A24" s="74"/>
      <c r="B24" s="75" t="s">
        <v>35</v>
      </c>
      <c r="C24" s="76" t="s">
        <v>36</v>
      </c>
      <c r="D24" s="75" t="s">
        <v>37</v>
      </c>
      <c r="E24" s="77" t="s">
        <v>38</v>
      </c>
      <c r="F24" s="78" t="s">
        <v>39</v>
      </c>
      <c r="G24" s="78" t="s">
        <v>40</v>
      </c>
      <c r="H24" s="78" t="s">
        <v>41</v>
      </c>
      <c r="I24" s="79" t="s">
        <v>42</v>
      </c>
      <c r="J24" s="78" t="s">
        <v>33</v>
      </c>
      <c r="K24" s="72"/>
      <c r="L24" s="72"/>
      <c r="M24" s="50"/>
      <c r="N24" s="66"/>
      <c r="O24" s="73"/>
      <c r="P24" s="73"/>
    </row>
    <row r="25" spans="1:18" s="53" customFormat="1" ht="32.1" customHeight="1" thickBot="1">
      <c r="A25" s="81" t="s">
        <v>43</v>
      </c>
      <c r="B25" s="40">
        <v>29.32</v>
      </c>
      <c r="C25" s="40">
        <v>0</v>
      </c>
      <c r="D25" s="40">
        <v>0</v>
      </c>
      <c r="E25" s="82">
        <v>0</v>
      </c>
      <c r="F25" s="68">
        <v>2594.69</v>
      </c>
      <c r="G25" s="68">
        <v>948.27</v>
      </c>
      <c r="H25" s="83">
        <v>0</v>
      </c>
      <c r="I25" s="84">
        <v>0</v>
      </c>
      <c r="J25" s="85">
        <f>SUM(B25:I25)</f>
        <v>3572.28</v>
      </c>
      <c r="K25" s="86"/>
      <c r="L25" s="87"/>
      <c r="M25" s="88"/>
      <c r="N25" s="73"/>
    </row>
    <row r="26" spans="1:18" s="53" customFormat="1" ht="32.1" customHeight="1" thickBot="1">
      <c r="A26" s="89"/>
      <c r="B26" s="50"/>
      <c r="C26" s="50"/>
      <c r="D26" s="50"/>
      <c r="E26" s="90"/>
      <c r="F26" s="50"/>
      <c r="G26" s="66"/>
      <c r="H26" s="50"/>
      <c r="I26" s="50"/>
      <c r="J26" s="50"/>
      <c r="K26" s="61"/>
      <c r="L26" s="50"/>
      <c r="M26" s="50"/>
      <c r="N26" s="50"/>
      <c r="O26" s="91"/>
      <c r="P26" s="92"/>
    </row>
    <row r="27" spans="1:18" s="53" customFormat="1" ht="32.1" customHeight="1" thickBot="1">
      <c r="A27" s="93"/>
      <c r="B27" s="78" t="s">
        <v>44</v>
      </c>
      <c r="C27" s="78" t="s">
        <v>45</v>
      </c>
      <c r="D27" s="94" t="s">
        <v>33</v>
      </c>
      <c r="E27" s="69"/>
      <c r="F27" s="61"/>
      <c r="G27" s="61"/>
      <c r="H27" s="61"/>
      <c r="I27" s="61"/>
      <c r="J27" s="61"/>
      <c r="K27" s="95"/>
      <c r="L27" s="95"/>
      <c r="M27" s="95"/>
      <c r="N27" s="95"/>
      <c r="O27" s="50"/>
      <c r="P27" s="66"/>
    </row>
    <row r="28" spans="1:18" s="53" customFormat="1" ht="32.1" customHeight="1" thickBot="1">
      <c r="A28" s="96" t="s">
        <v>46</v>
      </c>
      <c r="B28" s="40">
        <v>3475.3</v>
      </c>
      <c r="C28" s="40">
        <v>1.82</v>
      </c>
      <c r="D28" s="97">
        <f>SUM(B28:C28,G25)</f>
        <v>4425.3900000000003</v>
      </c>
      <c r="E28" s="61"/>
      <c r="F28" s="61"/>
      <c r="G28" s="61"/>
      <c r="H28" s="61"/>
      <c r="I28" s="61"/>
      <c r="J28" s="61"/>
      <c r="K28" s="50"/>
      <c r="L28" s="95"/>
      <c r="M28" s="95"/>
      <c r="N28" s="95"/>
      <c r="O28" s="95"/>
      <c r="P28" s="60"/>
    </row>
    <row r="29" spans="1:18" s="53" customFormat="1" ht="32.1" customHeight="1" thickBot="1">
      <c r="A29" s="98"/>
      <c r="B29" s="99"/>
      <c r="C29" s="99"/>
      <c r="D29" s="99"/>
      <c r="E29" s="87"/>
      <c r="F29" s="87"/>
      <c r="G29" s="87"/>
      <c r="H29" s="50"/>
      <c r="I29" s="50"/>
      <c r="J29" s="50"/>
      <c r="K29" s="61"/>
      <c r="L29" s="50"/>
      <c r="M29" s="50"/>
      <c r="N29" s="50"/>
      <c r="O29" s="100"/>
    </row>
    <row r="30" spans="1:18" s="53" customFormat="1" ht="32.1" customHeight="1" thickBot="1">
      <c r="A30" s="101" t="s">
        <v>47</v>
      </c>
      <c r="B30" s="94" t="s">
        <v>43</v>
      </c>
      <c r="C30" s="94" t="s">
        <v>48</v>
      </c>
      <c r="D30" s="94" t="s">
        <v>49</v>
      </c>
      <c r="E30" s="94" t="s">
        <v>33</v>
      </c>
      <c r="F30" s="102"/>
      <c r="G30" s="69"/>
      <c r="H30" s="61"/>
      <c r="I30" s="61"/>
      <c r="J30" s="61"/>
      <c r="K30" s="61"/>
      <c r="L30" s="61"/>
      <c r="M30" s="61"/>
      <c r="N30" s="61"/>
      <c r="O30" s="50"/>
      <c r="P30" s="66"/>
    </row>
    <row r="31" spans="1:18" s="53" customFormat="1" ht="32.1" customHeight="1" thickBot="1">
      <c r="A31" s="81" t="s">
        <v>50</v>
      </c>
      <c r="B31" s="103">
        <f>F25</f>
        <v>2594.69</v>
      </c>
      <c r="C31" s="40">
        <v>965.88</v>
      </c>
      <c r="D31" s="40">
        <v>742.42</v>
      </c>
      <c r="E31" s="97">
        <f>SUM(B31:D31)</f>
        <v>4302.99</v>
      </c>
      <c r="F31" s="69"/>
      <c r="G31" s="69"/>
      <c r="H31" s="61"/>
      <c r="I31" s="61"/>
      <c r="J31" s="61"/>
      <c r="K31" s="61"/>
      <c r="L31" s="61"/>
      <c r="M31" s="61"/>
      <c r="N31" s="61"/>
      <c r="O31" s="61"/>
    </row>
    <row r="32" spans="1:18" s="53" customFormat="1" ht="32.1" customHeight="1">
      <c r="A32" s="9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</row>
    <row r="33" spans="1:16" s="53" customFormat="1" ht="27">
      <c r="F33" s="61"/>
      <c r="G33" s="61"/>
      <c r="H33" s="61"/>
      <c r="I33" s="61"/>
      <c r="J33" s="61"/>
      <c r="K33" s="61"/>
      <c r="L33" s="61"/>
      <c r="M33" s="61"/>
      <c r="N33" s="61"/>
      <c r="O33" s="61"/>
    </row>
    <row r="34" spans="1:16" s="53" customFormat="1" ht="27">
      <c r="F34" s="104"/>
      <c r="G34" s="61"/>
      <c r="H34" s="61"/>
      <c r="I34" s="61"/>
      <c r="J34" s="61"/>
      <c r="K34" s="61"/>
      <c r="L34" s="61"/>
      <c r="M34" s="61"/>
      <c r="N34" s="61"/>
      <c r="O34" s="61"/>
    </row>
    <row r="35" spans="1:16" s="53" customFormat="1" ht="27">
      <c r="F35" s="61"/>
      <c r="G35" s="61"/>
      <c r="H35" s="61"/>
      <c r="I35" s="61"/>
      <c r="J35" s="61"/>
      <c r="K35" s="61"/>
      <c r="L35" s="61"/>
      <c r="M35" s="61"/>
      <c r="N35" s="61"/>
      <c r="O35" s="61"/>
    </row>
    <row r="36" spans="1:16" s="53" customFormat="1" ht="27">
      <c r="B36" s="105"/>
      <c r="E36" s="105"/>
      <c r="F36" s="61"/>
      <c r="G36" s="61"/>
      <c r="H36" s="61"/>
      <c r="I36" s="61"/>
      <c r="J36" s="61"/>
      <c r="K36" s="106"/>
      <c r="L36" s="61"/>
      <c r="M36" s="61"/>
      <c r="N36" s="61"/>
      <c r="O36" s="61"/>
    </row>
    <row r="37" spans="1:16" s="53" customFormat="1" ht="27.75">
      <c r="A37" s="107" t="s">
        <v>51</v>
      </c>
      <c r="B37" s="108">
        <f>SUM(I13+B15+B16+B17+B19+D22+B25+C25+D25+H25+I25+E17)</f>
        <v>2725.4950000000003</v>
      </c>
      <c r="C37" s="61"/>
      <c r="D37" s="109" t="s">
        <v>52</v>
      </c>
      <c r="E37" s="110">
        <f>B37/B43</f>
        <v>0.21975996894085661</v>
      </c>
      <c r="F37" s="106"/>
      <c r="G37" s="106"/>
      <c r="H37" s="106"/>
      <c r="I37" s="106"/>
      <c r="J37" s="106"/>
      <c r="K37" s="111"/>
      <c r="L37" s="106"/>
      <c r="M37" s="106"/>
      <c r="N37" s="106"/>
      <c r="O37" s="61"/>
    </row>
    <row r="38" spans="1:16" s="53" customFormat="1" ht="27">
      <c r="A38" s="112"/>
      <c r="B38" s="113"/>
      <c r="C38" s="61"/>
      <c r="D38" s="61"/>
      <c r="E38" s="114"/>
      <c r="F38" s="111"/>
      <c r="G38" s="111"/>
      <c r="H38" s="111"/>
      <c r="I38" s="111"/>
      <c r="J38" s="111"/>
      <c r="K38" s="111"/>
      <c r="L38" s="111"/>
      <c r="M38" s="111"/>
      <c r="N38" s="111"/>
      <c r="O38" s="106"/>
      <c r="P38" s="115"/>
    </row>
    <row r="39" spans="1:16" ht="27.75">
      <c r="A39" s="116" t="s">
        <v>53</v>
      </c>
      <c r="B39" s="108">
        <f>SUM(E25+E31+B37)</f>
        <v>7028.4850000000006</v>
      </c>
      <c r="C39" s="117"/>
      <c r="D39" s="109" t="s">
        <v>54</v>
      </c>
      <c r="E39" s="110">
        <f>B39/B43</f>
        <v>0.5667152738498058</v>
      </c>
    </row>
    <row r="40" spans="1:16" ht="27.75">
      <c r="A40" s="118"/>
      <c r="B40" s="119"/>
      <c r="C40" s="61"/>
      <c r="D40" s="61"/>
      <c r="E40" s="61"/>
    </row>
    <row r="41" spans="1:16" ht="27.75">
      <c r="A41" s="120" t="s">
        <v>55</v>
      </c>
      <c r="B41" s="121">
        <f>SUM(G25+D28)</f>
        <v>5373.66</v>
      </c>
      <c r="C41" s="61"/>
      <c r="D41" s="109" t="s">
        <v>56</v>
      </c>
      <c r="E41" s="122"/>
    </row>
    <row r="42" spans="1:16" ht="27.75">
      <c r="A42" s="112"/>
      <c r="B42" s="119"/>
      <c r="C42" s="61"/>
      <c r="D42" s="123" t="s">
        <v>57</v>
      </c>
      <c r="E42" s="104"/>
    </row>
    <row r="43" spans="1:16" ht="27.75">
      <c r="A43" s="107" t="s">
        <v>58</v>
      </c>
      <c r="B43" s="121">
        <f>B39+B41</f>
        <v>12402.145</v>
      </c>
      <c r="C43" s="61"/>
      <c r="D43" s="124" t="s">
        <v>59</v>
      </c>
      <c r="E43" s="122"/>
      <c r="F43" s="115"/>
    </row>
    <row r="44" spans="1:16" ht="27">
      <c r="A44" s="115"/>
      <c r="B44" s="115"/>
      <c r="C44" s="115"/>
      <c r="D44" s="124"/>
      <c r="E44" s="115"/>
      <c r="F44" s="115"/>
    </row>
    <row r="45" spans="1:16">
      <c r="A45" s="115"/>
      <c r="B45" s="115"/>
      <c r="C45" s="115"/>
      <c r="D45" s="115"/>
      <c r="E45" s="115"/>
      <c r="F45" s="115"/>
    </row>
    <row r="46" spans="1:16">
      <c r="A46" s="115"/>
      <c r="B46" s="115"/>
      <c r="C46" s="115"/>
      <c r="D46" s="115"/>
      <c r="E46" s="115"/>
      <c r="F46" s="115"/>
    </row>
    <row r="47" spans="1:16">
      <c r="A47" s="115"/>
      <c r="B47" s="115"/>
      <c r="C47" s="115"/>
      <c r="D47" s="115"/>
      <c r="E47" s="115"/>
      <c r="F47" s="115"/>
    </row>
    <row r="48" spans="1:16">
      <c r="A48" s="115"/>
      <c r="B48" s="115"/>
      <c r="C48" s="115"/>
      <c r="D48" s="115"/>
      <c r="E48" s="115"/>
      <c r="F48" s="115"/>
    </row>
    <row r="49" spans="1:6">
      <c r="A49" s="115"/>
      <c r="B49" s="115"/>
      <c r="C49" s="115"/>
      <c r="D49" s="115"/>
      <c r="E49" s="115"/>
      <c r="F49" s="115"/>
    </row>
    <row r="50" spans="1:6">
      <c r="A50" s="115"/>
      <c r="B50" s="115"/>
      <c r="C50" s="115"/>
      <c r="D50" s="115"/>
      <c r="E50" s="115"/>
      <c r="F50" s="115"/>
    </row>
    <row r="51" spans="1:6">
      <c r="A51" s="115"/>
      <c r="B51" s="115"/>
      <c r="C51" s="115"/>
      <c r="D51" s="115"/>
      <c r="E51" s="115"/>
      <c r="F51" s="115"/>
    </row>
    <row r="52" spans="1:6">
      <c r="A52" s="115"/>
      <c r="B52" s="115"/>
      <c r="C52" s="115"/>
      <c r="D52" s="115"/>
      <c r="E52" s="115"/>
      <c r="F52" s="115"/>
    </row>
    <row r="53" spans="1:6">
      <c r="A53" s="115"/>
      <c r="B53" s="115"/>
      <c r="C53" s="115"/>
      <c r="D53" s="115"/>
      <c r="E53" s="115"/>
      <c r="F53" s="115"/>
    </row>
    <row r="54" spans="1:6">
      <c r="A54" s="115"/>
      <c r="B54" s="115"/>
      <c r="C54" s="115"/>
      <c r="D54" s="115"/>
      <c r="E54" s="115"/>
      <c r="F54" s="115"/>
    </row>
    <row r="55" spans="1:6">
      <c r="A55" s="115"/>
      <c r="B55" s="115"/>
      <c r="C55" s="115"/>
      <c r="D55" s="115"/>
      <c r="E55" s="115"/>
      <c r="F55" s="115"/>
    </row>
  </sheetData>
  <customSheetViews>
    <customSheetView guid="{18ABB7CE-E9DD-4467-B368-D8163BDBE79F}" scale="40" hiddenColumns="1">
      <selection activeCell="F36" sqref="F36"/>
      <pageMargins left="0.7" right="0.7" top="0.75" bottom="0.75" header="0.3" footer="0.3"/>
    </customSheetView>
    <customSheetView guid="{2108F49D-F0FB-4737-BA79-3B15211A9F8F}" scale="40" hiddenColumns="1">
      <selection activeCell="B37" sqref="B37"/>
      <pageMargins left="0.7" right="0.7" top="0.75" bottom="0.75" header="0.3" footer="0.3"/>
    </customSheetView>
    <customSheetView guid="{037DCF94-393F-444C-8CC8-348B9921602C}" scale="40" hiddenColumns="1">
      <selection activeCell="I25" sqref="I25"/>
      <pageMargins left="0.7" right="0.7" top="0.75" bottom="0.75" header="0.3" footer="0.3"/>
    </customSheetView>
    <customSheetView guid="{1F53F7D0-897F-4CD0-B731-A7EAAEC631FF}" scale="40" hiddenColumns="1">
      <selection activeCell="B16" sqref="B16"/>
      <pageMargins left="0.7" right="0.7" top="0.75" bottom="0.75" header="0.3" footer="0.3"/>
    </customSheetView>
    <customSheetView guid="{60BFC34B-3957-423D-86B5-753FA44417D1}" scale="40" hiddenColumns="1">
      <selection activeCell="I25" sqref="I25"/>
      <pageMargins left="0.7" right="0.7" top="0.75" bottom="0.75" header="0.3" footer="0.3"/>
    </customSheetView>
  </customSheetViews>
  <mergeCells count="1">
    <mergeCell ref="J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 SECOND HALF</vt:lpstr>
      <vt:lpstr>2017 TOTALS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City of Knoxville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Ridder</dc:creator>
  <cp:lastModifiedBy>Patience Melnik</cp:lastModifiedBy>
  <cp:lastPrinted>2018-05-23T13:30:39Z</cp:lastPrinted>
  <dcterms:created xsi:type="dcterms:W3CDTF">2017-02-06T15:18:23Z</dcterms:created>
  <dcterms:modified xsi:type="dcterms:W3CDTF">2018-11-07T16:11:47Z</dcterms:modified>
</cp:coreProperties>
</file>