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<sst xmlns="http://schemas.openxmlformats.org/spreadsheetml/2006/main" count="221" uniqueCount="221">
  <si>
    <t>gea agfcbe egcbfd aecb cegbf cafgde fgeba ea gabdf begfdca | bcfeg ea fbdga fbgcdae</t>
  </si>
  <si>
    <t>PART 1</t>
  </si>
  <si>
    <t>1</t>
  </si>
  <si>
    <t>abcefg</t>
  </si>
  <si>
    <t>Sequences</t>
  </si>
  <si>
    <t>DISPLAYS</t>
  </si>
  <si>
    <t>Work</t>
  </si>
  <si>
    <t>gbcd gce fedgba edafgc cafbe febgc febgcd cg egbdf dgcefab | ceg cfdgae bdcg cdgfbe</t>
  </si>
  <si>
    <t>PART 2</t>
  </si>
  <si>
    <t>7</t>
  </si>
  <si>
    <t>cf</t>
  </si>
  <si>
    <t>eaf cfade afgebc cdegfa abcfd feagcdb dfbgce ae dcefg dage | eaf cdgefb fea bfacd</t>
  </si>
  <si>
    <t>4</t>
  </si>
  <si>
    <t>acdeg</t>
  </si>
  <si>
    <t>faegbdc fagcde dbcfg ecgfb afegc gbe abec bgfcea eb befagd | afcge egb cgfbd bace</t>
  </si>
  <si>
    <t>3,5</t>
  </si>
  <si>
    <t>acdfg</t>
  </si>
  <si>
    <t>caegb fcaged ce gafcb gfcabe egdfcba acdfbg eca dbgea bcfe | gedbcaf ec ce fegacbd</t>
  </si>
  <si>
    <t>0,2,6,9</t>
  </si>
  <si>
    <t>bcdf</t>
  </si>
  <si>
    <t>bcegad beag agcbd ged degcabf dcaegf fecdb eg dbgfca dgbec | gcdebaf gde bacgd egcdaf</t>
  </si>
  <si>
    <t>8</t>
  </si>
  <si>
    <t>abdfg</t>
  </si>
  <si>
    <t>cbgef cgedfa agedfb dfca dgcef gbedac faged fgaecdb dc dgc | aedfbg dcaf cbdega bgaefd</t>
  </si>
  <si>
    <t>abdefg</t>
  </si>
  <si>
    <t>dgfabe bfgce bfgea cdgefba fgbdca cefabd ae bae fgdba edga | ae fbgea dega ae</t>
  </si>
  <si>
    <t>acf</t>
  </si>
  <si>
    <t>gdbefac efadgc gcbdfa cdgeb baecg bga agefbc gfaec ba feab | bfgedac abg cfgbae ab</t>
  </si>
  <si>
    <t>abcdefg</t>
  </si>
  <si>
    <t>adfbc ea eabc ade dcfeg cfaed abdfce bedafg ecfgbad bfcgad | cfade fbadec eda bgadfc</t>
  </si>
  <si>
    <t>abcdfg</t>
  </si>
  <si>
    <t>efgda dgeabf decbag acefgd edbfa baecgdf ba adb gfab dcfeb | agbf abd gdabfe ab</t>
  </si>
  <si>
    <t>acbefg fedacb abde be gaedbcf agdcfb bec cfedb dfcab cfged | gabdcfe bceadf fgbdeac fegdc</t>
  </si>
  <si>
    <t>deagfcb ebadc cgdea gacb ebgfad ba bfedc eab fgeacd bdcaeg | ecgad abcfgde gbdeaf dfbce</t>
  </si>
  <si>
    <t>cbega dfaeb fcgbad gf ecagdb aegcbf gbafe gfce bcdeagf fag | bafge gbfeac fecbga gcafdbe</t>
  </si>
  <si>
    <t>bgd efabcg cafbgd bfdgeca gdfe cbgfde cebad bfceg gd dcegb | egfd ebfcagd egdf adbec</t>
  </si>
  <si>
    <t>dgbecaf dgcafe bedafc fb afgbec bcfda dabcg abf cafde dfbe | abf gacfedb cedaf ecadf</t>
  </si>
  <si>
    <t>egfdcb afdcgb abcfedg gac ga fdgcea acfbg bfeca gbdfc gdab | befcdag agfbc eadbgcf afceb</t>
  </si>
  <si>
    <t>gfdaeb gafceb ecdb fcdaegb acfgd cgeab ecgda abdgce eda de | dcbe dbfgeac gcbea baecg</t>
  </si>
  <si>
    <t>ega bgdafe gafbcd afgbc abced baceg cfgbead fgec eg agfbec | eg dbegfca aeg fgce</t>
  </si>
  <si>
    <t>dfbacg acbdeg afg bedga gf efgd eabdgf bcafe fagbe fbacgde | egdba fag cabfe gfa</t>
  </si>
  <si>
    <t>dfbgeac feadcb aefcd abefd ebfdg gfcdae beca ab cdafgb bfa | abfed dbaefc cdaef dbfgac</t>
  </si>
  <si>
    <t>ecgafbd gbaecd bfed fedbca geabfc de dfeac dae fgcda fbeca | acbdef acfbge bcfea beafc</t>
  </si>
  <si>
    <t>adb bfedac cagdf eacfgd gcdbefa ecgdb gbaf abfgdc abcgd ba | cdgab acdgf dab ab</t>
  </si>
  <si>
    <t>aegcdb ag bdgef aefcbd gbdae gacd aegfbc cgdbeaf dbace bga | gba dgca fbegd fbdge</t>
  </si>
  <si>
    <t>cgea fdbega cfagd dae feacd bfdec ae fcgbad egafcd aedgfcb | gace agefcdb caefbgd ae</t>
  </si>
  <si>
    <t>egfc cae gacbfe fdbae ceabf ce cgedab fdgcba fdbaegc fbagc | egcdfab cgef ecfg fgcab</t>
  </si>
  <si>
    <t>bagcd afgdcb cdfa dcebfg fbcaedg bcefga ac dbeag fdcbg cba | ac cfgbd ebfdacg acdf</t>
  </si>
  <si>
    <t>abgec bcaed bcaefg dafcge fdecb dabg ead ad gaedbc acdfbeg | ceadgbf bgda bagfec ade</t>
  </si>
  <si>
    <t>acgde fcg acgebd dagfc bfdac adcefbg gf dgbcef feag dceagf | bcgdfe fcg fega gf</t>
  </si>
  <si>
    <t>facgeb bfacg dabefcg cdaebg ec edbaf ecfab fceg cae cdbagf | cae gcef adefb facbged</t>
  </si>
  <si>
    <t>gfeacd gbecad bce cfgba eb daeb efbcgd agcfdbe bagec dgcae | ecb eabd bec egbdfc</t>
  </si>
  <si>
    <t>faegd agcfe bfad fd fed abfgdec gbadce edfbag eabgd cefgdb | fgdeabc df edgbfc egadf</t>
  </si>
  <si>
    <t>dfeag efgadb bagdce bfcgde dcbagfe bgdea ef acdfg bafe edf | aebf fde def egdba</t>
  </si>
  <si>
    <t>dab aebf dcebf dbcegfa egbdcf dacfb ba cdfga fbdaec egcbda | ab bad dfacg dgafceb</t>
  </si>
  <si>
    <t>dbf agfdcb cdbfeg cadbe fd bafcg ebfcag egfdacb dfga bdcfa | fagd df cfgeadb ebfacg</t>
  </si>
  <si>
    <t>edbaf deacg adcfbg fgecad beacdg acb abecd fbegcda cb cebg | debca daecb eacbd acb</t>
  </si>
  <si>
    <t>ebgfac egfa dbacfeg afebc abcfdg cdefab gceab agc dcbge ag | gac ag facgebd egaf</t>
  </si>
  <si>
    <t>bfdage bde bagd badfe ebcfgd afegd fdcebga afbce aedgfc db | gecfabd dbcgafe afgcbed db</t>
  </si>
  <si>
    <t>dacbeg aegbcdf aedcf cg bagef gafec ebgafd bgcf gca cbeagf | cag bfgae gbfc daegbcf</t>
  </si>
  <si>
    <t>fceg bcedaf ecfgadb cg begfac eabdg cbg eacgb dbcfga ecbfa | agceb baecf gc dbfaceg</t>
  </si>
  <si>
    <t>egdf dacfbge eg gce acdbeg dfgcb fgecb fbdgca gdefbc efcab | ge bfedcga abcdfge fbeca</t>
  </si>
  <si>
    <t>cefab bcgf cg fgead ebcfad dbecgaf bdgeca eagcfb efcag cga | gac adfeg cga gfbc</t>
  </si>
  <si>
    <t>cfbgd efabcd bagef da bgadcf gbfda bdcegf bda bcgdafe gadc | dabfg da bgeacdf dab</t>
  </si>
  <si>
    <t>feabd bgd begc edbgf edcfg afdecbg afcbdg cgefbd gb adecgf | befdg dgefcb dgecf fdgec</t>
  </si>
  <si>
    <t>cdegba bdcg fecad bdaeg dbagfe bce gcebaf cdbae baedfgc bc | ebc cb edfac bfgacde</t>
  </si>
  <si>
    <t>gfc ebdgaf cbfdge gcdaef gc fcdegba degfa eagc cfdba gfacd | gdfae agedcf fdageb fcg</t>
  </si>
  <si>
    <t>bfgdc cafedbg eadfcb fgdace cbfda acebfg ebad ad acfbe dca | da ad fcedba acd</t>
  </si>
  <si>
    <t>agfeb gced cdgebaf bcadfg gedacf dag gd agedf edcbfa eafcd | dg eacdgf dg gecd</t>
  </si>
  <si>
    <t>edgafb bfa eabgc fa cbaedg agcbf gcfdb gaebfdc baecfg efac | abfegdc gbadecf cefa cagedb</t>
  </si>
  <si>
    <t>gdaf defcb bgdaec cefgdba fg bdfeag becafg gfe eadgb bgdfe | gfbde gf gf acbdfeg</t>
  </si>
  <si>
    <t>dabgce cebgfa egfdb geafc eda egadf cgfdea fedagbc dcfa da | afcge eda dae ad</t>
  </si>
  <si>
    <t>adcef cegda cfa feacbgd dafbgc befdc egfa fa gbecda dagefc | geaf baedfgc fdeagc bdcega</t>
  </si>
  <si>
    <t>gdecfa ecadg cgfd dc efbgac cefga feadbgc dca gabed dcfeab | acgfe gfdc dgfaec dca</t>
  </si>
  <si>
    <t>cdbag aecb ca bgecad dac dgbfc debfga adegfc abdge adefbcg | dac cdgba gedafc ac</t>
  </si>
  <si>
    <t>cdbfeg abe dbcafge eacfg ba cbfde bcafe eafgdb acbd fedbac | fcbdage abe eab eab</t>
  </si>
  <si>
    <t>gdafc defgbc fdgab eafgdbc agfce adbc dc fbacdg gedbfa cfd | abfdg gfadb bcda badc</t>
  </si>
  <si>
    <t>afcdge cafde acebf fabedc fbedagc cdeb fgcabd cba baefg cb | adfgbc cgedafb abc cba</t>
  </si>
  <si>
    <t>gb agfbd deabf gab bagcdfe agcdf cfgbae gcabfd agcefd dcgb | cafdge gbcd acdfgeb cgaefd</t>
  </si>
  <si>
    <t>gbadcfe ecfgba ebfad gabcf ace ce bceaf cbge gecdaf bcadgf | begc bfgac bafgcd gcbe</t>
  </si>
  <si>
    <t>cedbfa bdecgf gfcdbea aecbgd gbcaf abgdc gd edga gdc cdeba | abedc dcg edga dcg</t>
  </si>
  <si>
    <t>dcage fegcbd cdab gbfae ebdagc gbfdace bd baged dbg cfagde | daebg dcbeag efabg dbgae</t>
  </si>
  <si>
    <t>agdbf gfac bedcafg cbafd bafcgd ceabdf fbcegd dfg gf dgeba | fg fadbc cfgebd gf</t>
  </si>
  <si>
    <t>ab cagef fgeacb bag fdcgb cagfdeb eabf bfgca degbca edgcaf | fcbgd edgfac cafgdbe gcfab</t>
  </si>
  <si>
    <t>befdg dafbeg dfbacg ge cdegba gfae deg dbcfe dgaebfc gabdf | eg eg efga bdefc</t>
  </si>
  <si>
    <t>beafcd gbaedc adfecg afbdecg bafgc ef dgeac ecf aecgf dgef | dfeagc cgdea fdecga fce</t>
  </si>
  <si>
    <t>degbc agcbd ecabdg bcefd gfdacb eafbgc decgabf gdae eg gbe | gcbda dbefc dcafgb gcfeabd</t>
  </si>
  <si>
    <t>bedacg bge bg cfgdea bcedf gaedc dbceg fdbcgae dgab gecfab | ecfbd egb beg adgb</t>
  </si>
  <si>
    <t>bagdfec fdcb gdbeac facbg egfab gfc fc cadfgb geafcd abdcg | cbfd adbgc fagcde dbceag</t>
  </si>
  <si>
    <t>afd fa fgbaed facb decfa dbeafgc aedfbc fbgdce cdage decfb | afd cbaf eadfgb caedf</t>
  </si>
  <si>
    <t>fgead dgfbac df gaebfcd fgd gedab cadgbe defb gafec edgafb | badegf edfb fdg fgd</t>
  </si>
  <si>
    <t>dbceag egfc ecadf degcbfa eg bcefad ega egfad dfbga fcegda | aefgdc defga ge bcaedg</t>
  </si>
  <si>
    <t>dbgef dcfeb dcba ceb faecdbg adcfge bcaegf adbfce cfead bc | bc dagbecf bc bec</t>
  </si>
  <si>
    <t>edcb fbgcd bgefd fgabec dbagfe cb dfcga gabcedf egbcdf fbc | afcbedg bgaefc cb egfdb</t>
  </si>
  <si>
    <t>baefcg ad fagec acedfg agdf efadcb fagedcb gdcea dac gbced | cbegfda gfdcae fadecb dac</t>
  </si>
  <si>
    <t>gedfca acbdgef egdac gafbe acegdb aefgc cdfe cadbfg fc fca | caf cbgfdae cfabgd cfed</t>
  </si>
  <si>
    <t>agdfc ebdgac eafdgc degca af cdegbaf efca dgfcb bdfage fga | cegad gaf befadg dafgc</t>
  </si>
  <si>
    <t>cbadef dabfge caedb feac adgcfb ea bacfd eda deafbcg gbedc | ea gacbedf efac acef</t>
  </si>
  <si>
    <t>eb gfadbe dcefa gfdbc edcgfb cgfdba deb bcge dgbfaec bdcfe | fgbcd egcb ebcgfd bgafdce</t>
  </si>
  <si>
    <t>adcbf bfaed cd fdec gcbfa acd agcebfd cegadb afbdge dceafb | dacfbe dac afcbd bdfca</t>
  </si>
  <si>
    <t>dba gdcfbe ba gafb gfdbaec gdcba aedgc afcebd gcbfd dfcbag | ecgbadf faebcgd decag adb</t>
  </si>
  <si>
    <t>adfgbc eabdgc gebf efdca eg bcfeag fdbceag cafbg gec fagce | gabcde cge abfgc fbacge</t>
  </si>
  <si>
    <t>gb fbeagd dfacb egbf aecfgd degfa ecgbfda adecbg bga gdabf | efdgba dcfab ebdcga dfbga</t>
  </si>
  <si>
    <t>agfde efdgcb aefbcdg dgbfe dcafbg adbe dbafeg fda da cgfea | dfa geafc ad afd</t>
  </si>
  <si>
    <t>ab bfa bgfed agfdcb abdfg efcdab dgeafc bacg badcefg facgd | edfgca gdcabfe baf acgb</t>
  </si>
  <si>
    <t>agfec befc begdac bcagf eagdfc gdbfa cgeafb cfebgad bc gcb | fbce cebf fabecg abcgf</t>
  </si>
  <si>
    <t>gecadf dgbfca gfabedc aedfgb cdgba badfg cg cdg bedca bcfg | cg gc fcdagbe bdfag</t>
  </si>
  <si>
    <t>cag acbdeg fdabegc gcfdbe bgaf ga cagfbe cfeag bfgec feadc | gbfaec fgab gfcae cgebaf</t>
  </si>
  <si>
    <t>febcga gbfc edabcg gfabdec fecdag bg gcfae efadb abgfe gba | fabge bgfdeca bag afdbe</t>
  </si>
  <si>
    <t>fcdae gabed dbcea bcgdaf aefdbg gcbe bdc cb aebgcdf acedbg | dgbafc bdc gdbefa fadce</t>
  </si>
  <si>
    <t>gbecafd cbaeg cefagd aed bdag acedb efdcb cegabd efacbg da | gbeca dabg da edcfbag</t>
  </si>
  <si>
    <t>gfdeab defgbc dfagb bgc afdgcb efabcgd cb acfb agcde bdgac | bc aefdbcg aecdg bgcaedf</t>
  </si>
  <si>
    <t>fabedc fdeac fbd adfbe bcefagd dfcgbe dbage fb fbac gaefcd | afced fcab dfb edbaf</t>
  </si>
  <si>
    <t>aegfbd befad cbgea dg bdeag fedg dga fecbdga cabgdf bdfeca | dafbe acdbef acebfd gfed</t>
  </si>
  <si>
    <t>becaf ecbfdg begcaf dcbga deb dgfacbe ed afedcb afed bdcae | aefd dacbe dfbace cdbefg</t>
  </si>
  <si>
    <t>cdgafbe bgecfa da fcage dfa gcfead debfc gfdbea cadg cdeaf | adf cdefb febdcga fgeca</t>
  </si>
  <si>
    <t>dcefa agbdfc gacfeb fdbcea bedc dc cda cabegfd defga becfa | cgbfead adc dca cda</t>
  </si>
  <si>
    <t>gbdeac beafgc fae bdcef cgeba aebcf aefbgdc fgdcae fa fabg | bdcfgae fgdaceb af cbefa</t>
  </si>
  <si>
    <t>gfdabce acbde abgd fdbceg ecdag bd becfa edcbga bed fcgdae | ebd gdba db feagbdc</t>
  </si>
  <si>
    <t>age gcbed gcbea dbcgfae acde fcabg acgbed ebfadg ea fcdbeg | cade eagdcbf bcgeda daec</t>
  </si>
  <si>
    <t>afgbcd edfcg dcf fgbade cegbf dc afegdbc adce efdag fgeadc | dcfegab gedabfc dagef fcbeadg</t>
  </si>
  <si>
    <t>gdefc dac afbceg feabdgc aedcg bcadeg da cgbae bagfcd abde | da ebda gbaecf efgdc</t>
  </si>
  <si>
    <t>fgcebd af abefcd dfceb acdbf fda dafgce dcgefba afeb acbgd | cgdba decagfb fad af</t>
  </si>
  <si>
    <t>egfba agbed ade dfab cgebd agbdef aefcdbg da cbgaef cgdeaf | fdbgcea ad ead cbeadgf</t>
  </si>
  <si>
    <t>eda abcgfd afgde fagdcbe gdfec ae debafc afdgb ebag afebgd | ea baefdg fgeda ae</t>
  </si>
  <si>
    <t>eg gdeaf bgfe gdbfae agdfb gea bafecdg defca gbdafc bdgeac | cdfbga fbgda age eg</t>
  </si>
  <si>
    <t>dbafce daegb eadfcg efadg facebgd df cfgea edf fcgd efabcg | gdeab fed efcag ecgaf</t>
  </si>
  <si>
    <t>fbcea gbafc fae ef daefcb eacdb cdfbega dbfe gbdcae fadgec | cebaf gfcab afcbg ef</t>
  </si>
  <si>
    <t>gbdefc edbag cdfaeb bc cgbafde cbdea efacdg dbc afbc cfdae | aegdb gdabe bfca fcba</t>
  </si>
  <si>
    <t>cfbegd gbcde fgcdb df efgbda fdce bfacgde fbd dbeacg fcagb | df dfabeg fd eabfdg</t>
  </si>
  <si>
    <t>fcdeba cad dc fgeabd dfabe dbecagf acdef bcfd fgcae gdbeac | bfadgce afdec gdfeab edcfba</t>
  </si>
  <si>
    <t>afbdec febdg befcg debag bdgefa egdbca df bdf gdaf bcfedag | fd dbf cefgadb degba</t>
  </si>
  <si>
    <t>gbaedf eacdgbf gebac dbacef eag ecbgfa eg fcabe ecgf dgbca | bcgae ge ge gebac</t>
  </si>
  <si>
    <t>defb facdb fd cgeabd eafdbcg ecfgda cdf ceadb bafedc cgabf | dafecb dbfe fedb fdeb</t>
  </si>
  <si>
    <t>cdeab bcefdg bfag fbdeag dafeb eafdcg dbgfe gefabcd fa daf | fda adecb ecdfbag adf</t>
  </si>
  <si>
    <t>dcfgba gbca acdfg fbcgd agecdbf fdcebg dacef efdgba afg ga | afgcedb cgba ebdgfc efabcgd</t>
  </si>
  <si>
    <t>dfcgae baf cgefa agecfb beag acbfe defbc ab cadgbf gebafdc | acedgf ba gfcadbe afgecb</t>
  </si>
  <si>
    <t>agebdc eagbdcf fgeabc adfecb defga dc beacg agced dac dcbg | acd geafd dc ecbadg</t>
  </si>
  <si>
    <t>gbaedc agfec dacef efabgc cgfd dc dfeba dac eafgdcb aecdfg | geacfd dac dc ceagbd</t>
  </si>
  <si>
    <t>bdafe dacbgf edcg gedfcb egf eg agbdcfe gbcafe bfcgd fbdeg | dfeab abgfced gdec dbfecga</t>
  </si>
  <si>
    <t>abgfc becgfa cadbfg fega cef fegbc dbeacf abgdefc ef cbedg | abfcdg acefbg bcaefg cef</t>
  </si>
  <si>
    <t>adcfe dgec ecdgaf cgfbead eg fdbcea degfa eag cfgeab dbagf | ge edgc fgecbda dcbafe</t>
  </si>
  <si>
    <t>fcebad eagcd cfbe dacgbf egbcfda fbaed fdc cf gbfead eadfc | abedf fbdaec bfaecd cbef</t>
  </si>
  <si>
    <t>afbde abg bcfead cdgeab gfeb gb eafcdbg gfadb efadbg dfcag | gadbecf gb aedgbf gdbeafc</t>
  </si>
  <si>
    <t>gcb edagc gb gbdf dcgbe bfced gebfcd efcdba cfegbad afbcge | gb bg adceg gcb</t>
  </si>
  <si>
    <t>cfdbgae cga cg dgcbea egabfd cefg fgaedc cfabd dgcfa efagd | gac cebfadg adfegb adcfeg</t>
  </si>
  <si>
    <t>cbga aefbd gb adcgfe edcbfg deabcfg bcagfe feagc febga geb | agbc cfeagd gbe dcefgb</t>
  </si>
  <si>
    <t>dgfceb bdacg egda cdbeg cad bdaecgf fagbc cbedaf aedcgb ad | gade egcbd cafbg adge</t>
  </si>
  <si>
    <t>bd degcbf bcda dfagbec aedfb fdage decbaf efacb fcebag bed | dcba dbegafc cefab bdfaec</t>
  </si>
  <si>
    <t>bdae cbgdea gaceb gbfdc fgdeca dagfbce cda ad acdbg cefgba | da dbae dcgab da</t>
  </si>
  <si>
    <t>bacgdf bdfca adefc bdc adcfgbe fbecga agcedb bgfd fagbc bd | fbdg bd cgdbfea cbd</t>
  </si>
  <si>
    <t>bdeg fecbga ecbda gecdaf agdce abcfd ecb ecbdgaf eb cbaged | cbe aebcd gedb bec</t>
  </si>
  <si>
    <t>dcgfba cfegab faebcdg bae cdfba badec cebafd be debf daceg | be becfga afdceb fbgadc</t>
  </si>
  <si>
    <t>ebgcda begdf gbe ge cdbgafe dfagcb fdegcb cfeg feabd gdbcf | gdabec ebdfa ge afbed</t>
  </si>
  <si>
    <t>dbcg cadfebg faecg dg gfcad fgadcb fbdeag dag fdcabe bafcd | fgdac gefca agd dg</t>
  </si>
  <si>
    <t>dafcb agfeb ce bdgfac ebc acdfeb abfce cfde fedacbg begdca | gaebf debcfa bcadfe bec</t>
  </si>
  <si>
    <t>bdac gbd bcagf agbfdc agcefdb fgbda bcgedf eadgf db facbeg | bdfag cfbgad gacbfe gfead</t>
  </si>
  <si>
    <t>df dfagce cfageb fdbgce gfcadeb cfd dafe cfgae agbcd fgcda | dgbca fd fagec fcd</t>
  </si>
  <si>
    <t>becdfa bfdca fgbacd gc dgcfb egdfb bcg cfag dcbaefg bcdage | cafdgb cbg cdabge cgaf</t>
  </si>
  <si>
    <t>dacbeg gbdf dfebca df fagec def abedgfc fcedg cbgde fgebdc | cedfagb cagef cdgeab egfcd</t>
  </si>
  <si>
    <t>edbcag edgbc agdbef ebacd cdeagfb bda ba cagb dface gcbedf | cagb dba dcbgaef adebc</t>
  </si>
  <si>
    <t>egafbc adcfgb ef cdgfeb fcdgaeb ecdag cfe cdgfe ebdf dcgfb | geadc eadgc fec febcag</t>
  </si>
  <si>
    <t>aefgb gac gabce fcgaed ebagdc gc cedab fdbcae abcgedf gcbd | cbgae dfeacg bgdcea agc</t>
  </si>
  <si>
    <t>agcd edbafc fda ad fcaegd fegac adfgebc dfaeg bgdfe fgbeac | agcd fgecab ad bdfge</t>
  </si>
  <si>
    <t>fbgecd dcabe eafgbc bef cegfd efcbd fb fdbg gfdeabc cadgef | fb cedfabg efgabcd bf</t>
  </si>
  <si>
    <t>egfcba cfgd edfba fecgbd dg edfabcg gde gfbec fdbeg bdcage | dge fdcg gd cgfbe</t>
  </si>
  <si>
    <t>eacdgf fdbga bgcefad acd ca fgbeda ecbfd bdgcfa abcg fdcab | gbfade gbafd gacb abfdc</t>
  </si>
  <si>
    <t>abdfc afebcg edabg dcge gbdefa gbdca cbg cg dbgace bcgeadf | bgc bagefd gcb bcfda</t>
  </si>
  <si>
    <t>gcde geb gabdfce eg bafdec gdcbae ceabd gdfbea bgfac gbace | geb abfcg cbdea gbfac</t>
  </si>
  <si>
    <t>ge fcead edgac ged dcagb dgbaecf afeg eafcdg bcfade gedcbf | gfea dfgcbe afeg gde</t>
  </si>
  <si>
    <t>ceb acdbe cb aegdb acgb cebfgd ecfad efgcdba feabdg cdagbe | cbga daecf cabg cb</t>
  </si>
  <si>
    <t>bcgaf gfbea gea cabdge abefcg gabdfce cbgdfa cfea ea gbedf | age ae adgbec gea</t>
  </si>
  <si>
    <t>cgdb fbgea cg fadbcg bdecfa abfcd gabfc gfecad cdfeabg gcf | fcg fdegbca gbeacfd cfg</t>
  </si>
  <si>
    <t>cbfae bedafgc fbcgde agcbf bga faebgd ag fgabcd dcga dfgbc | efcab ebcfa dbcgf cadg</t>
  </si>
  <si>
    <t>gced egafdc cfeabgd cfdae gecafb fadgc ec fagcbd cea afbed | gcbdfae dfgac cbeafg fdcgae</t>
  </si>
  <si>
    <t>cagd dcfbg bfdec gd fcagb agedfcb bcgadf gbaefd efcagb fgd | fcadgb gd abcgf cadg</t>
  </si>
  <si>
    <t>adbfc bcafe cd fadgeb gcfd gbfad gadecb dca ebfgdca acbfgd | acbdfg dgcf bfcagd dagfb</t>
  </si>
  <si>
    <t>fcaedb eb bdfgcea dcafgb dafbc bdeafg befac efb ecfga dbce | fbcea eb cdbe eb</t>
  </si>
  <si>
    <t>fdagce eca fecgdb edbgac abed dgafbce cegab cabfg bgecd ae | ebda cea dbcfge fgcab</t>
  </si>
  <si>
    <t>agefdb ec afedg cbgaf daec dbcgefa ecfag ceg cgafed egcbfd | fdbgce dgfecab bafgde gafbc</t>
  </si>
  <si>
    <t>bcega eafdcb abfgdc dacef gefadc bcd adegfcb fdeb dcbea db | ceafdb debf bdef eacdb</t>
  </si>
  <si>
    <t>afb egaf fgaceb aecdgbf becgf acdefb af abgfc dcbag febdcg | fa fa cbgaf eafg</t>
  </si>
  <si>
    <t>cagbfed cgdbe ag gbedcf aefbc gbeca gdba gae edcfag degbac | ecagb gebac begcdf ag</t>
  </si>
  <si>
    <t>adf dgaec eabdcgf cbfga cdgaf fd eafdbg decf cfgaed ecbgad | fda fcgba dfa egcda</t>
  </si>
  <si>
    <t>adfgce bdgaf agfcd dbeag cdfb bf fgacbe fcgabd fbg cbafegd | gedab fgaedbc fedbcga gbcafd</t>
  </si>
  <si>
    <t>fedbga cefba cbd gbdea cabed ecgd dc gbdeca adbfegc cbagfd | cd acefgbd befca aecfb</t>
  </si>
  <si>
    <t>agecbd facegd gefadcb gcaed geaf gcf dcbfe dgefc dafgbc gf | eadgcf aefg gdbcfae gf</t>
  </si>
  <si>
    <t>bdgaec efadbg fcadeb dbegc agdc bcgef edagb aedgbfc dcb cd | bedag dcga bcd fdeagb</t>
  </si>
  <si>
    <t>adfbg bfc cdgbaf dcab fdabge bfdcgea cbgaef cgdfb cb egfdc | bgafed cb cdba dbafg</t>
  </si>
  <si>
    <t>gdbaec bge gbad efcbd egadc gfdcaeb bg egfcda cgdbe cbaefg | gcfabe gdba bg fgecad</t>
  </si>
  <si>
    <t>cfdagb cgaf gfdab fa eabdg afb ebdcfa fbcgde gafcebd cgdfb | fa af bfa dacegbf</t>
  </si>
  <si>
    <t>ecafgb cfedga abdcg debf dcbfea be bec dacbefg beadc adecf | eb faedc debf cbe</t>
  </si>
  <si>
    <t>gd cafbgd efbga agd edafcgb gbadec cdeab edgc geabd cbfead | dga dg agd dg</t>
  </si>
  <si>
    <t>abefdgc dfae dbfcg fa gabfce agf cebagd dgace dfcage cdgaf | cgdfb fdae efgadcb gdcea</t>
  </si>
  <si>
    <t>egdbc cadf gfceda ebagfc dagec cgeaf bdagef gad ecafbgd ad | cegda eacdfbg da dfac</t>
  </si>
  <si>
    <t>gfadc aced dcgbfa ae dfebg efagd fdeacg fbgeac cegfbda age | bfdeg cgeabf gea cead</t>
  </si>
  <si>
    <t>bc bfdega fbc bgaef ecdbaf cfbgae acgb egdafcb gefdc gecfb | cbefg bfc dcfeab bcefg</t>
  </si>
  <si>
    <t>cdebaf egcbf bdfgc adfcb cgd agdb ecbafgd gcdaef facbdg dg | bgad gcd fgebc dcebagf</t>
  </si>
  <si>
    <t>eabcd abdgec agdcfb cdbga eb dafec bec dbeg cabgef cfgbaed | agdbfec dacbe be eb</t>
  </si>
  <si>
    <t>cabfedg gbacf beca eb bfe afebgd efcdg cfageb cgefb dgabcf | be dgefba dgcaefb eabcfg</t>
  </si>
  <si>
    <t>bdfga fbgcd gdfcab acdf bafdge cfg cfbgea fdagecb cf dbgce | gcf fgc cf cdfa</t>
  </si>
  <si>
    <t>aeg agcde aecdb gbfdea ag gacb gafcdbe ebdafc gedfc ecdbag | gadce gea agbedc cedgf</t>
  </si>
  <si>
    <t>bdg fdbge fcbd aecgdb dcgfe fcdgae fbage bd abdegfc ecbdfg | fcdb bd edbacg decgf</t>
  </si>
  <si>
    <t>fagdbc dbc dbag cefdg db bcfga efdacb faecgb cdgfb efagdbc | dagb cdb cgdbfae abgd</t>
  </si>
  <si>
    <t>fadecg cg bgcd gcefabd fgeab fadcbe gcefb bfcde ebdfcg cfg | bfedcga bgfcdea dcbg begcdf</t>
  </si>
  <si>
    <t>fgacde dcegbaf fagbed ceab bfa aefdc cdbfa ab cbgdf bfcade | fba fceda baec bfcdea</t>
  </si>
  <si>
    <t>dfeca ceab ebcgdaf cdebf bgaefd aed ea bfgdec fcdga cfebda | aedfbc dea deacbf dea</t>
  </si>
  <si>
    <t>afdegb dabcg egd eacgbd cdefb egac eg gebcd ebfdcga bdafcg | agcbd fagdceb ecabdg dcbga</t>
  </si>
  <si>
    <t>gcb bfdcea bg cgade bdfce bfgd dbegc cegfab befcgd dfcabge | efcbgad edgfcba fdgb afgcbe</t>
  </si>
  <si>
    <t>adbecg cad fgacbe gfcda decf dc afbgd fgace dcegaf ecafdbg | acgebfd dc cda fgcea</t>
  </si>
  <si>
    <t>egbfad bdfca bg dfabg bagdecf egab fagde ecfdag bgf fgedcb | dfacb gb dgaef fbdac</t>
  </si>
  <si>
    <t>bfdgc ac fdabcg dgcfea cad aegfdbc cebfgd gbac adebf afdbc | ac bdgfc cgafdeb edbfgac</t>
  </si>
  <si>
    <t>gbacedf cadbef gedc agcbf cbaedg cbade ecgab eg bgfade age | gdfbaec dcebfa dgfabe ega</t>
  </si>
  <si>
    <t>egcdfa ba efdbga bgcefa agb fgcab ceagf ceab fdgcb fcdabeg | cfagb bag cbgfd fbagc</t>
  </si>
  <si>
    <t>baced fcdebg gecaf gaebcf eadbcgf gfab ecafdg cfbea fb ebf | fb bgfa afecb aegdcbf</t>
  </si>
  <si>
    <t>ebfadg cbdfaeg gcdfea agd da dcbgfe gdfeb bgeda dbaf ebacg | fbad da cegab abedgcf</t>
  </si>
  <si>
    <t>cdfgeab gdbfa aebdf cdeafg gb acfgbd fbg dgacf egabfc cgbd | cbagfe cebgaf gcadfe bfg</t>
  </si>
  <si>
    <t>dcgeb edgf dgfacb dfc edabcg df bfeac gdcebf fedcb gcdabfe | bafce debgc df ecbdg</t>
  </si>
  <si>
    <t>fdb db dbeg abfegc dcfeb ebfcgad decaf efbgc fcgabd fgbecd | cedfa dafce cedfb fegbcd</t>
  </si>
  <si>
    <t>afdc gbcaefd baefcg gdbecf gbafd df ebadg dgf fcbag dfcabg | fdg dcfa abegd df</t>
  </si>
  <si>
    <t>af cegbfa bfca egdabf aef bgeac cfaeg caebdg gdecf gcfebda | ecgfd ebfacg bcage dcefg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</si>
</sst>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Fill="1" applyFont="1"/>
    <xf borderId="0" fillId="6" fontId="3" numFmtId="0" xfId="0" applyAlignment="1" applyFill="1" applyFont="1">
      <alignment readingOrder="0"/>
    </xf>
    <xf borderId="0" fillId="7" fontId="2" numFmtId="0" xfId="0" applyAlignment="1" applyFill="1" applyFont="1">
      <alignment vertical="bottom"/>
    </xf>
    <xf borderId="0" fillId="7" fontId="2" numFmtId="0" xfId="0" applyFont="1"/>
    <xf borderId="0" fillId="7" fontId="3" numFmtId="0" xfId="0" applyAlignment="1" applyFont="1">
      <alignment readingOrder="0"/>
    </xf>
    <xf borderId="0" fillId="6" fontId="3" numFmtId="0" xfId="0" applyFont="1"/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9.43"/>
    <col customWidth="1" min="9" max="9" width="28.0"/>
    <col customWidth="1" min="22" max="25" width="8.71"/>
    <col customWidth="1" min="35" max="35" width="9.0"/>
    <col customWidth="1" min="36" max="36" width="11.86"/>
    <col customWidth="1" min="37" max="42" width="14.29"/>
    <col customWidth="1" min="43" max="43" width="4.0"/>
    <col customWidth="1" min="44" max="45" width="14.29"/>
    <col customWidth="1" min="46" max="46" width="4.0"/>
    <col customWidth="1" min="47" max="48" width="14.29"/>
    <col customWidth="1" min="49" max="49" width="4.0"/>
    <col customWidth="1" min="50" max="57" width="14.29"/>
    <col customWidth="1" min="58" max="58" width="4.0"/>
    <col customWidth="1" min="59" max="60" width="14.29"/>
    <col customWidth="1" min="61" max="61" width="4.0"/>
    <col customWidth="1" min="62" max="69" width="14.29"/>
    <col customWidth="1" min="70" max="70" width="4.0"/>
    <col customWidth="1" min="79" max="79" width="4.0"/>
    <col customWidth="1" min="80" max="81" width="14.29"/>
    <col customWidth="1" min="82" max="82" width="4.0"/>
    <col customWidth="1" min="83" max="84" width="14.29"/>
    <col customWidth="1" min="85" max="85" width="4.0"/>
    <col customWidth="1" min="94" max="94" width="4.14"/>
  </cols>
  <sheetData>
    <row r="1">
      <c r="A1" s="1" t="s">
        <v>0</v>
      </c>
      <c r="B1" s="2" t="s">
        <v>1</v>
      </c>
      <c r="C1" s="3">
        <f t="array" ref="C1">COUNTIF(LEN(V:Y),"=2")+COUNTIF(LEN(V:Y),"=3")+COUNTIF(LEN(V:Y),"=4")+COUNTIF(LEN(V:Y),"=7")</f>
        <v>445</v>
      </c>
      <c r="D1" s="4">
        <v>2.0</v>
      </c>
      <c r="E1" s="5" t="s">
        <v>2</v>
      </c>
      <c r="F1" s="4">
        <v>0.0</v>
      </c>
      <c r="G1" s="4" t="s">
        <v>3</v>
      </c>
      <c r="H1" s="6" t="str">
        <f>IFERROR(__xludf.DUMMYFUNCTION("SPLIT(A1,""|"")"),"gea agfcbe egcbfd aecb cegbf cafgde fgeba ea gabdf begfdca ")</f>
        <v>gea agfcbe egcbfd aecb cegbf cafgde fgeba ea gabdf begfdca </v>
      </c>
      <c r="I1" s="6" t="str">
        <f>IFERROR(__xludf.DUMMYFUNCTION("""COMPUTED_VALUE""")," bcfeg ea fbdga fbgcdae")</f>
        <v> bcfeg ea fbdga fbgcdae</v>
      </c>
      <c r="J1" s="7" t="s">
        <v>4</v>
      </c>
      <c r="K1" s="6" t="str">
        <f>IFERROR(__xludf.DUMMYFUNCTION("split(H1,"" "")"),"gea")</f>
        <v>gea</v>
      </c>
      <c r="L1" s="6" t="str">
        <f>IFERROR(__xludf.DUMMYFUNCTION("""COMPUTED_VALUE"""),"agfcbe")</f>
        <v>agfcbe</v>
      </c>
      <c r="M1" s="6" t="str">
        <f>IFERROR(__xludf.DUMMYFUNCTION("""COMPUTED_VALUE"""),"egcbfd")</f>
        <v>egcbfd</v>
      </c>
      <c r="N1" s="6" t="str">
        <f>IFERROR(__xludf.DUMMYFUNCTION("""COMPUTED_VALUE"""),"aecb")</f>
        <v>aecb</v>
      </c>
      <c r="O1" s="6" t="str">
        <f>IFERROR(__xludf.DUMMYFUNCTION("""COMPUTED_VALUE"""),"cegbf")</f>
        <v>cegbf</v>
      </c>
      <c r="P1" s="6" t="str">
        <f>IFERROR(__xludf.DUMMYFUNCTION("""COMPUTED_VALUE"""),"cafgde")</f>
        <v>cafgde</v>
      </c>
      <c r="Q1" s="6" t="str">
        <f>IFERROR(__xludf.DUMMYFUNCTION("""COMPUTED_VALUE"""),"fgeba")</f>
        <v>fgeba</v>
      </c>
      <c r="R1" s="6" t="str">
        <f>IFERROR(__xludf.DUMMYFUNCTION("""COMPUTED_VALUE"""),"ea")</f>
        <v>ea</v>
      </c>
      <c r="S1" s="6" t="str">
        <f>IFERROR(__xludf.DUMMYFUNCTION("""COMPUTED_VALUE"""),"gabdf")</f>
        <v>gabdf</v>
      </c>
      <c r="T1" s="6" t="str">
        <f>IFERROR(__xludf.DUMMYFUNCTION("""COMPUTED_VALUE"""),"begfdca")</f>
        <v>begfdca</v>
      </c>
      <c r="U1" s="7" t="s">
        <v>5</v>
      </c>
      <c r="V1" s="6" t="str">
        <f>IFERROR(__xludf.DUMMYFUNCTION("split(I1,"" "")"),"bcfeg")</f>
        <v>bcfeg</v>
      </c>
      <c r="W1" s="6" t="str">
        <f>IFERROR(__xludf.DUMMYFUNCTION("""COMPUTED_VALUE"""),"ea")</f>
        <v>ea</v>
      </c>
      <c r="X1" s="6" t="str">
        <f>IFERROR(__xludf.DUMMYFUNCTION("""COMPUTED_VALUE"""),"fbdga")</f>
        <v>fbdga</v>
      </c>
      <c r="Y1" s="6" t="str">
        <f>IFERROR(__xludf.DUMMYFUNCTION("""COMPUTED_VALUE"""),"fbgcdae")</f>
        <v>fbgcdae</v>
      </c>
      <c r="Z1" s="6" t="str">
        <f>IFERROR(__xludf.DUMMYFUNCTION("CONCATENATE(SORT(TRANSPOSE(SPLIT(REGEXREPLACE(REGEXREPLACE(V1&amp;"""",""(?s)(.{1})"",""$1""&amp;CHAR(127)),""'"",""''""),CHAR(127))),1,true))"),"bcefg")</f>
        <v>bcefg</v>
      </c>
      <c r="AA1" s="6" t="str">
        <f>IFERROR(__xludf.DUMMYFUNCTION("CONCATENATE(SORT(TRANSPOSE(SPLIT(REGEXREPLACE(REGEXREPLACE(W1&amp;"""",""(?s)(.{1})"",""$1""&amp;CHAR(127)),""'"",""''""),CHAR(127))),1,true))"),"ae")</f>
        <v>ae</v>
      </c>
      <c r="AB1" s="6" t="str">
        <f>IFERROR(__xludf.DUMMYFUNCTION("CONCATENATE(SORT(TRANSPOSE(SPLIT(REGEXREPLACE(REGEXREPLACE(X1&amp;"""",""(?s)(.{1})"",""$1""&amp;CHAR(127)),""'"",""''""),CHAR(127))),1,true))"),"abdfg")</f>
        <v>abdfg</v>
      </c>
      <c r="AC1" s="6" t="str">
        <f>IFERROR(__xludf.DUMMYFUNCTION("CONCATENATE(SORT(TRANSPOSE(SPLIT(REGEXREPLACE(REGEXREPLACE(Y1&amp;"""",""(?s)(.{1})"",""$1""&amp;CHAR(127)),""'"",""''""),CHAR(127))),1,true))"),"abcdefg")</f>
        <v>abcdefg</v>
      </c>
      <c r="AD1" s="6">
        <f t="shared" ref="AD1:AG1" si="1">INDEX($AO$1:$CP$1,1,MATCH(CONCATENATE(Z1,"1"),$AO1:$CP1,0)+1)</f>
        <v>5</v>
      </c>
      <c r="AE1" s="6">
        <f t="shared" si="1"/>
        <v>1</v>
      </c>
      <c r="AF1" s="6">
        <f t="shared" si="1"/>
        <v>2</v>
      </c>
      <c r="AG1" s="6">
        <f t="shared" si="1"/>
        <v>8</v>
      </c>
      <c r="AH1" s="6">
        <f t="shared" ref="AH1:AH200" si="3">INT(CONCATENATE(AD1:AG1))</f>
        <v>5128</v>
      </c>
      <c r="AI1" s="8" t="s">
        <v>6</v>
      </c>
      <c r="AJ1" s="9" t="str">
        <f>IFERROR(__xludf.DUMMYFUNCTION("REGEXREPLACE(AR1,CONCATENATE(""["",BY1,""]""),"""")"),"a")</f>
        <v>a</v>
      </c>
      <c r="AK1" s="10" t="str">
        <f>IFERROR(__xludf.DUMMYFUNCTION("FILTER($K1:$T1,len($K1:$T1)=6,NOT($K1:$T1=BY1))"),"agfcbe")</f>
        <v>agfcbe</v>
      </c>
      <c r="AL1" s="6" t="str">
        <f>IFERROR(__xludf.DUMMYFUNCTION("""COMPUTED_VALUE"""),"cafgde")</f>
        <v>cafgde</v>
      </c>
      <c r="AM1" s="6" t="str">
        <f>IFERROR(__xludf.DUMMYFUNCTION("REGEXREPLACE( $BG1, CONCATENATE(""["",AK1,""]""), """")"),"")</f>
        <v/>
      </c>
      <c r="AN1" s="6" t="str">
        <f>IFERROR(__xludf.DUMMYFUNCTION("REGEXREPLACE( $BG1, CONCATENATE(""["",AL1,""]""), """")"),"b")</f>
        <v>b</v>
      </c>
      <c r="AO1" s="11" t="str">
        <f t="shared" ref="AO1:AO200" si="4">INDEX(AK1:AL1,0,MATCH(1,LEN(AM1:AN1),0))</f>
        <v>cafgde</v>
      </c>
      <c r="AP1" s="12" t="str">
        <f>IFERROR(__xludf.DUMMYFUNCTION("CONCATENATE(SORT(TRANSPOSE(SPLIT(REGEXREPLACE(REGEXREPLACE(AO1&amp;"""",""(?s)(.{1})"",""$1""&amp;CHAR(127)),""'"",""''""),CHAR(127))),1,true),""1"")"),"acdefg1")</f>
        <v>acdefg1</v>
      </c>
      <c r="AQ1" s="8">
        <v>0.0</v>
      </c>
      <c r="AR1" s="12" t="str">
        <f t="shared" ref="AR1:AR200" si="5">INDEX($K1:$T1,0,MATCH(2,len($K1:$T1),0))</f>
        <v>ea</v>
      </c>
      <c r="AS1" s="12" t="str">
        <f>IFERROR(__xludf.DUMMYFUNCTION("CONCATENATE(SORT(TRANSPOSE(SPLIT(REGEXREPLACE(REGEXREPLACE(AR1&amp;"""",""(?s)(.{1})"",""$1""&amp;CHAR(127)),""'"",""''""),CHAR(127))),1,true),""1"")"),"ae1")</f>
        <v>ae1</v>
      </c>
      <c r="AT1" s="8">
        <v>1.0</v>
      </c>
      <c r="AU1" s="13" t="str">
        <f>IFERROR(__xludf.DUMMYFUNCTION("FILTER($K1:$T1,len($K1:$T1)=5,NOT($K1:$T1=BD1),NOT($K1:$T1=BP1))"),"gabdf")</f>
        <v>gabdf</v>
      </c>
      <c r="AV1" s="12" t="str">
        <f>IFERROR(__xludf.DUMMYFUNCTION("CONCATENATE(SORT(TRANSPOSE(SPLIT(REGEXREPLACE(REGEXREPLACE(AU1&amp;"""",""(?s)(.{1})"",""$1""&amp;CHAR(127)),""'"",""''""),CHAR(127))),1,true),""1"")"),"abdfg1")</f>
        <v>abdfg1</v>
      </c>
      <c r="AW1" s="8">
        <v>2.0</v>
      </c>
      <c r="AX1" s="10" t="str">
        <f>IFERROR(__xludf.DUMMYFUNCTION("FILTER($K1:$T1,len($K1:$T1)=5)"),"cegbf")</f>
        <v>cegbf</v>
      </c>
      <c r="AY1" s="6" t="str">
        <f>IFERROR(__xludf.DUMMYFUNCTION("""COMPUTED_VALUE"""),"fgeba")</f>
        <v>fgeba</v>
      </c>
      <c r="AZ1" s="6" t="str">
        <f>IFERROR(__xludf.DUMMYFUNCTION("""COMPUTED_VALUE"""),"gabdf")</f>
        <v>gabdf</v>
      </c>
      <c r="BA1" s="6" t="str">
        <f>IFERROR(__xludf.DUMMYFUNCTION("REGEXREPLACE( $AR1, CONCATENATE(""["",AX1,""]""), """")"),"a")</f>
        <v>a</v>
      </c>
      <c r="BB1" s="6" t="str">
        <f>IFERROR(__xludf.DUMMYFUNCTION("REGEXREPLACE( $AR1, CONCATENATE(""["",AY1,""]""), """")"),"")</f>
        <v/>
      </c>
      <c r="BC1" s="6" t="str">
        <f>IFERROR(__xludf.DUMMYFUNCTION("REGEXREPLACE( $AR1, CONCATENATE(""["",AZ1,""]""), """")"),"e")</f>
        <v>e</v>
      </c>
      <c r="BD1" s="11" t="str">
        <f t="shared" ref="BD1:BD200" si="6">INDEX(AX1:AZ1,0,MATCH(0,LEN(BA1:BC1),0))</f>
        <v>fgeba</v>
      </c>
      <c r="BE1" s="12" t="str">
        <f>IFERROR(__xludf.DUMMYFUNCTION("CONCATENATE(SORT(TRANSPOSE(SPLIT(REGEXREPLACE(REGEXREPLACE(BD1&amp;"""",""(?s)(.{1})"",""$1""&amp;CHAR(127)),""'"",""''""),CHAR(127))),1,true),""1"")"),"abefg1")</f>
        <v>abefg1</v>
      </c>
      <c r="BF1" s="8">
        <v>3.0</v>
      </c>
      <c r="BG1" s="12" t="str">
        <f t="shared" ref="BG1:BG200" si="7">INDEX($K1:$T1,0,MATCH(4,len($K1:$T1),0))</f>
        <v>aecb</v>
      </c>
      <c r="BH1" s="12" t="str">
        <f>IFERROR(__xludf.DUMMYFUNCTION("CONCATENATE(SORT(TRANSPOSE(SPLIT(REGEXREPLACE(REGEXREPLACE(BG1&amp;"""",""(?s)(.{1})"",""$1""&amp;CHAR(127)),""'"",""''""),CHAR(127))),1,true),""1"")"),"abce1")</f>
        <v>abce1</v>
      </c>
      <c r="BI1" s="8">
        <v>4.0</v>
      </c>
      <c r="BJ1" s="10" t="str">
        <f>IFERROR(__xludf.DUMMYFUNCTION("FILTER($K1:$T1,len($K1:$T1)=5)"),"cegbf")</f>
        <v>cegbf</v>
      </c>
      <c r="BK1" s="6" t="str">
        <f>IFERROR(__xludf.DUMMYFUNCTION("""COMPUTED_VALUE"""),"fgeba")</f>
        <v>fgeba</v>
      </c>
      <c r="BL1" s="6" t="str">
        <f>IFERROR(__xludf.DUMMYFUNCTION("""COMPUTED_VALUE"""),"gabdf")</f>
        <v>gabdf</v>
      </c>
      <c r="BM1" s="14" t="str">
        <f>IFERROR(__xludf.DUMMYFUNCTION("REGEXREPLACE( $BY1, CONCATENATE(""["",BJ1,""]""), """")"),"d")</f>
        <v>d</v>
      </c>
      <c r="BN1" s="14" t="str">
        <f>IFERROR(__xludf.DUMMYFUNCTION("REGEXREPLACE( $BY1, CONCATENATE(""["",BK1,""]""), """")"),"cd")</f>
        <v>cd</v>
      </c>
      <c r="BO1" s="14" t="str">
        <f>IFERROR(__xludf.DUMMYFUNCTION("REGEXREPLACE( $BY1, CONCATENATE(""["",BL1,""]""), """")"),"ec")</f>
        <v>ec</v>
      </c>
      <c r="BP1" s="11" t="str">
        <f t="shared" ref="BP1:BP200" si="8">INDEX(BJ1:BL1,0,MATCH(1,LEN(BM1:BO1),0))</f>
        <v>cegbf</v>
      </c>
      <c r="BQ1" s="12" t="str">
        <f>IFERROR(__xludf.DUMMYFUNCTION("CONCATENATE(SORT(TRANSPOSE(SPLIT(REGEXREPLACE(REGEXREPLACE(BP1&amp;"""",""(?s)(.{1})"",""$1""&amp;CHAR(127)),""'"",""''""),CHAR(127))),1,true),""1"")"),"bcefg1")</f>
        <v>bcefg1</v>
      </c>
      <c r="BR1" s="8">
        <v>5.0</v>
      </c>
      <c r="BS1" s="10" t="str">
        <f>IFERROR(__xludf.DUMMYFUNCTION("FILTER(K1:T1,len(K1:T1)=6)"),"agfcbe")</f>
        <v>agfcbe</v>
      </c>
      <c r="BT1" s="6" t="str">
        <f>IFERROR(__xludf.DUMMYFUNCTION("""COMPUTED_VALUE"""),"egcbfd")</f>
        <v>egcbfd</v>
      </c>
      <c r="BU1" s="6" t="str">
        <f>IFERROR(__xludf.DUMMYFUNCTION("""COMPUTED_VALUE"""),"cafgde")</f>
        <v>cafgde</v>
      </c>
      <c r="BV1" s="6" t="str">
        <f>IFERROR(__xludf.DUMMYFUNCTION("REGEXREPLACE( $AR1, CONCATENATE(""["",BS1,""]""), """")"),"")</f>
        <v/>
      </c>
      <c r="BW1" s="6" t="str">
        <f>IFERROR(__xludf.DUMMYFUNCTION("REGEXREPLACE( $AR1, CONCATENATE(""["",BT1,""]""), """")"),"a")</f>
        <v>a</v>
      </c>
      <c r="BX1" s="6" t="str">
        <f>IFERROR(__xludf.DUMMYFUNCTION("REGEXREPLACE( $AR1, CONCATENATE(""["",BU1,""]""), """")"),"")</f>
        <v/>
      </c>
      <c r="BY1" s="12" t="str">
        <f t="shared" ref="BY1:BY200" si="9">INDEX(BS1:BU1,0,MATCH(1,LEN(BV1:BX1),0))</f>
        <v>egcbfd</v>
      </c>
      <c r="BZ1" s="12" t="str">
        <f>IFERROR(__xludf.DUMMYFUNCTION("CONCATENATE(SORT(TRANSPOSE(SPLIT(REGEXREPLACE(REGEXREPLACE(BY1&amp;"""",""(?s)(.{1})"",""$1""&amp;CHAR(127)),""'"",""''""),CHAR(127))),1,true),""1"")"),"bcdefg1")</f>
        <v>bcdefg1</v>
      </c>
      <c r="CA1" s="8">
        <v>6.0</v>
      </c>
      <c r="CB1" s="12" t="str">
        <f t="shared" ref="CB1:CB200" si="10">INDEX($K1:$T1,0,MATCH(3,len($K1:$T1),0))</f>
        <v>gea</v>
      </c>
      <c r="CC1" s="12" t="str">
        <f>IFERROR(__xludf.DUMMYFUNCTION("CONCATENATE(SORT(TRANSPOSE(SPLIT(REGEXREPLACE(REGEXREPLACE(CB1&amp;"""",""(?s)(.{1})"",""$1""&amp;CHAR(127)),""'"",""''""),CHAR(127))),1,true),""1"")"),"aeg1")</f>
        <v>aeg1</v>
      </c>
      <c r="CD1" s="8">
        <v>7.0</v>
      </c>
      <c r="CE1" s="12" t="str">
        <f t="shared" ref="CE1:CE200" si="11">INDEX($K1:$T1,0,MATCH(7,len($K1:$T1),0))</f>
        <v>begfdca</v>
      </c>
      <c r="CF1" s="12" t="str">
        <f>IFERROR(__xludf.DUMMYFUNCTION("CONCATENATE(SORT(TRANSPOSE(SPLIT(REGEXREPLACE(REGEXREPLACE(CE1&amp;"""",""(?s)(.{1})"",""$1""&amp;CHAR(127)),""'"",""''""),CHAR(127))),1,true),""1"")"),"abcdefg1")</f>
        <v>abcdefg1</v>
      </c>
      <c r="CG1" s="8">
        <v>8.0</v>
      </c>
      <c r="CH1" s="10" t="str">
        <f>IFERROR(__xludf.DUMMYFUNCTION("FILTER(K1:T1,len(K1:T1)=6)"),"agfcbe")</f>
        <v>agfcbe</v>
      </c>
      <c r="CI1" s="6" t="str">
        <f>IFERROR(__xludf.DUMMYFUNCTION("""COMPUTED_VALUE"""),"egcbfd")</f>
        <v>egcbfd</v>
      </c>
      <c r="CJ1" s="6" t="str">
        <f>IFERROR(__xludf.DUMMYFUNCTION("""COMPUTED_VALUE"""),"cafgde")</f>
        <v>cafgde</v>
      </c>
      <c r="CK1" s="6" t="str">
        <f>IFERROR(__xludf.DUMMYFUNCTION("REGEXREPLACE( $BG1, CONCATENATE(""["",CH1,""]""), """")"),"")</f>
        <v/>
      </c>
      <c r="CL1" s="6" t="str">
        <f>IFERROR(__xludf.DUMMYFUNCTION("REGEXREPLACE( $BG1, CONCATENATE(""["",CI1,""]""), """")"),"a")</f>
        <v>a</v>
      </c>
      <c r="CM1" s="6" t="str">
        <f>IFERROR(__xludf.DUMMYFUNCTION("REGEXREPLACE( $BG1, CONCATENATE(""["",CJ1,""]""), """")"),"b")</f>
        <v>b</v>
      </c>
      <c r="CN1" s="12" t="str">
        <f t="shared" ref="CN1:CN200" si="12">INDEX(CH1:CJ1,0,MATCH(0,LEN(CK1:CM1),0))</f>
        <v>agfcbe</v>
      </c>
      <c r="CO1" s="12" t="str">
        <f>IFERROR(__xludf.DUMMYFUNCTION("CONCATENATE(SORT(TRANSPOSE(SPLIT(REGEXREPLACE(REGEXREPLACE(CN1&amp;"""",""(?s)(.{1})"",""$1""&amp;CHAR(127)),""'"",""''""),CHAR(127))),1,true),""1"")"),"abcefg1")</f>
        <v>abcefg1</v>
      </c>
      <c r="CP1" s="7">
        <v>9.0</v>
      </c>
    </row>
    <row r="2">
      <c r="A2" s="1" t="s">
        <v>7</v>
      </c>
      <c r="B2" s="2" t="s">
        <v>8</v>
      </c>
      <c r="C2" s="3">
        <f>SUM(AH:AH)</f>
        <v>1043101</v>
      </c>
      <c r="D2" s="4">
        <v>3.0</v>
      </c>
      <c r="E2" s="5" t="s">
        <v>9</v>
      </c>
      <c r="F2" s="4">
        <v>1.0</v>
      </c>
      <c r="G2" s="4" t="s">
        <v>10</v>
      </c>
      <c r="H2" s="6" t="str">
        <f>IFERROR(__xludf.DUMMYFUNCTION("SPLIT(A2,""|"")"),"gbcd gce fedgba edafgc cafbe febgc febgcd cg egbdf dgcefab ")</f>
        <v>gbcd gce fedgba edafgc cafbe febgc febgcd cg egbdf dgcefab </v>
      </c>
      <c r="I2" s="6" t="str">
        <f>IFERROR(__xludf.DUMMYFUNCTION("""COMPUTED_VALUE""")," ceg cfdgae bdcg cdgfbe")</f>
        <v> ceg cfdgae bdcg cdgfbe</v>
      </c>
      <c r="J2" s="15"/>
      <c r="K2" s="6" t="str">
        <f>IFERROR(__xludf.DUMMYFUNCTION("split(H2,"" "")"),"gbcd")</f>
        <v>gbcd</v>
      </c>
      <c r="L2" s="6" t="str">
        <f>IFERROR(__xludf.DUMMYFUNCTION("""COMPUTED_VALUE"""),"gce")</f>
        <v>gce</v>
      </c>
      <c r="M2" s="6" t="str">
        <f>IFERROR(__xludf.DUMMYFUNCTION("""COMPUTED_VALUE"""),"fedgba")</f>
        <v>fedgba</v>
      </c>
      <c r="N2" s="6" t="str">
        <f>IFERROR(__xludf.DUMMYFUNCTION("""COMPUTED_VALUE"""),"edafgc")</f>
        <v>edafgc</v>
      </c>
      <c r="O2" s="6" t="str">
        <f>IFERROR(__xludf.DUMMYFUNCTION("""COMPUTED_VALUE"""),"cafbe")</f>
        <v>cafbe</v>
      </c>
      <c r="P2" s="6" t="str">
        <f>IFERROR(__xludf.DUMMYFUNCTION("""COMPUTED_VALUE"""),"febgc")</f>
        <v>febgc</v>
      </c>
      <c r="Q2" s="6" t="str">
        <f>IFERROR(__xludf.DUMMYFUNCTION("""COMPUTED_VALUE"""),"febgcd")</f>
        <v>febgcd</v>
      </c>
      <c r="R2" s="6" t="str">
        <f>IFERROR(__xludf.DUMMYFUNCTION("""COMPUTED_VALUE"""),"cg")</f>
        <v>cg</v>
      </c>
      <c r="S2" s="6" t="str">
        <f>IFERROR(__xludf.DUMMYFUNCTION("""COMPUTED_VALUE"""),"egbdf")</f>
        <v>egbdf</v>
      </c>
      <c r="T2" s="6" t="str">
        <f>IFERROR(__xludf.DUMMYFUNCTION("""COMPUTED_VALUE"""),"dgcefab")</f>
        <v>dgcefab</v>
      </c>
      <c r="U2" s="15"/>
      <c r="V2" s="6" t="str">
        <f>IFERROR(__xludf.DUMMYFUNCTION("split(I2,"" "")"),"ceg")</f>
        <v>ceg</v>
      </c>
      <c r="W2" s="6" t="str">
        <f>IFERROR(__xludf.DUMMYFUNCTION("""COMPUTED_VALUE"""),"cfdgae")</f>
        <v>cfdgae</v>
      </c>
      <c r="X2" s="6" t="str">
        <f>IFERROR(__xludf.DUMMYFUNCTION("""COMPUTED_VALUE"""),"bdcg")</f>
        <v>bdcg</v>
      </c>
      <c r="Y2" s="6" t="str">
        <f>IFERROR(__xludf.DUMMYFUNCTION("""COMPUTED_VALUE"""),"cdgfbe")</f>
        <v>cdgfbe</v>
      </c>
      <c r="Z2" s="6" t="str">
        <f>IFERROR(__xludf.DUMMYFUNCTION("CONCATENATE(SORT(TRANSPOSE(SPLIT(REGEXREPLACE(REGEXREPLACE(V2&amp;"""",""(?s)(.{1})"",""$1""&amp;CHAR(127)),""'"",""''""),CHAR(127))),1,true))"),"ceg")</f>
        <v>ceg</v>
      </c>
      <c r="AA2" s="6" t="str">
        <f>IFERROR(__xludf.DUMMYFUNCTION("CONCATENATE(SORT(TRANSPOSE(SPLIT(REGEXREPLACE(REGEXREPLACE(W2&amp;"""",""(?s)(.{1})"",""$1""&amp;CHAR(127)),""'"",""''""),CHAR(127))),1,true))"),"acdefg")</f>
        <v>acdefg</v>
      </c>
      <c r="AB2" s="6" t="str">
        <f>IFERROR(__xludf.DUMMYFUNCTION("CONCATENATE(SORT(TRANSPOSE(SPLIT(REGEXREPLACE(REGEXREPLACE(X2&amp;"""",""(?s)(.{1})"",""$1""&amp;CHAR(127)),""'"",""''""),CHAR(127))),1,true))"),"bcdg")</f>
        <v>bcdg</v>
      </c>
      <c r="AC2" s="6" t="str">
        <f>IFERROR(__xludf.DUMMYFUNCTION("CONCATENATE(SORT(TRANSPOSE(SPLIT(REGEXREPLACE(REGEXREPLACE(Y2&amp;"""",""(?s)(.{1})"",""$1""&amp;CHAR(127)),""'"",""''""),CHAR(127))),1,true))"),"bcdefg")</f>
        <v>bcdefg</v>
      </c>
      <c r="AD2" s="6">
        <f t="shared" ref="AD2:AG2" si="2">INDEX($AO$1:$CP$1,1,MATCH(CONCATENATE(Z2,"1"),$AO2:$CP2,0)+1)</f>
        <v>7</v>
      </c>
      <c r="AE2" s="6">
        <f t="shared" si="2"/>
        <v>0</v>
      </c>
      <c r="AF2" s="6">
        <f t="shared" si="2"/>
        <v>4</v>
      </c>
      <c r="AG2" s="6">
        <f t="shared" si="2"/>
        <v>9</v>
      </c>
      <c r="AH2" s="6">
        <f t="shared" si="3"/>
        <v>7049</v>
      </c>
      <c r="AI2" s="16"/>
      <c r="AJ2" s="9" t="str">
        <f>IFERROR(__xludf.DUMMYFUNCTION("REGEXREPLACE(AR2,CONCATENATE(""["",BY2,""]""),"""")"),"c")</f>
        <v>c</v>
      </c>
      <c r="AK2" s="10" t="str">
        <f>IFERROR(__xludf.DUMMYFUNCTION("FILTER($K2:$T2,len($K2:$T2)=6,NOT($K2:$T2=BY2))"),"edafgc")</f>
        <v>edafgc</v>
      </c>
      <c r="AL2" s="6" t="str">
        <f>IFERROR(__xludf.DUMMYFUNCTION("""COMPUTED_VALUE"""),"febgcd")</f>
        <v>febgcd</v>
      </c>
      <c r="AM2" s="6" t="str">
        <f>IFERROR(__xludf.DUMMYFUNCTION("REGEXREPLACE( $BG2, CONCATENATE(""["",AK2,""]""), """")"),"b")</f>
        <v>b</v>
      </c>
      <c r="AN2" s="6" t="str">
        <f>IFERROR(__xludf.DUMMYFUNCTION("REGEXREPLACE( $BG2, CONCATENATE(""["",AL2,""]""), """")"),"")</f>
        <v/>
      </c>
      <c r="AO2" s="11" t="str">
        <f t="shared" si="4"/>
        <v>edafgc</v>
      </c>
      <c r="AP2" s="12" t="str">
        <f>IFERROR(__xludf.DUMMYFUNCTION("CONCATENATE(SORT(TRANSPOSE(SPLIT(REGEXREPLACE(REGEXREPLACE(AO2&amp;"""",""(?s)(.{1})"",""$1""&amp;CHAR(127)),""'"",""''""),CHAR(127))),1,true),""1"")"),"acdefg1")</f>
        <v>acdefg1</v>
      </c>
      <c r="AQ2" s="16"/>
      <c r="AR2" s="12" t="str">
        <f t="shared" si="5"/>
        <v>cg</v>
      </c>
      <c r="AS2" s="12" t="str">
        <f>IFERROR(__xludf.DUMMYFUNCTION("CONCATENATE(SORT(TRANSPOSE(SPLIT(REGEXREPLACE(REGEXREPLACE(AR2&amp;"""",""(?s)(.{1})"",""$1""&amp;CHAR(127)),""'"",""''""),CHAR(127))),1,true),""1"")"),"cg1")</f>
        <v>cg1</v>
      </c>
      <c r="AT2" s="16"/>
      <c r="AU2" s="13" t="str">
        <f>IFERROR(__xludf.DUMMYFUNCTION("FILTER($K2:$T2,len($K2:$T2)=5,NOT($K2:$T2=BD2),NOT($K2:$T2=BP2))"),"cafbe")</f>
        <v>cafbe</v>
      </c>
      <c r="AV2" s="12" t="str">
        <f>IFERROR(__xludf.DUMMYFUNCTION("CONCATENATE(SORT(TRANSPOSE(SPLIT(REGEXREPLACE(REGEXREPLACE(AU2&amp;"""",""(?s)(.{1})"",""$1""&amp;CHAR(127)),""'"",""''""),CHAR(127))),1,true),""1"")"),"abcef1")</f>
        <v>abcef1</v>
      </c>
      <c r="AW2" s="16"/>
      <c r="AX2" s="10" t="str">
        <f>IFERROR(__xludf.DUMMYFUNCTION("FILTER($K2:$T2,len($K2:$T2)=5)"),"cafbe")</f>
        <v>cafbe</v>
      </c>
      <c r="AY2" s="6" t="str">
        <f>IFERROR(__xludf.DUMMYFUNCTION("""COMPUTED_VALUE"""),"febgc")</f>
        <v>febgc</v>
      </c>
      <c r="AZ2" s="6" t="str">
        <f>IFERROR(__xludf.DUMMYFUNCTION("""COMPUTED_VALUE"""),"egbdf")</f>
        <v>egbdf</v>
      </c>
      <c r="BA2" s="6" t="str">
        <f>IFERROR(__xludf.DUMMYFUNCTION("REGEXREPLACE( $AR2, CONCATENATE(""["",AX2,""]""), """")"),"g")</f>
        <v>g</v>
      </c>
      <c r="BB2" s="6" t="str">
        <f>IFERROR(__xludf.DUMMYFUNCTION("REGEXREPLACE( $AR2, CONCATENATE(""["",AY2,""]""), """")"),"")</f>
        <v/>
      </c>
      <c r="BC2" s="6" t="str">
        <f>IFERROR(__xludf.DUMMYFUNCTION("REGEXREPLACE( $AR2, CONCATENATE(""["",AZ2,""]""), """")"),"c")</f>
        <v>c</v>
      </c>
      <c r="BD2" s="11" t="str">
        <f t="shared" si="6"/>
        <v>febgc</v>
      </c>
      <c r="BE2" s="12" t="str">
        <f>IFERROR(__xludf.DUMMYFUNCTION("CONCATENATE(SORT(TRANSPOSE(SPLIT(REGEXREPLACE(REGEXREPLACE(BD2&amp;"""",""(?s)(.{1})"",""$1""&amp;CHAR(127)),""'"",""''""),CHAR(127))),1,true),""1"")"),"bcefg1")</f>
        <v>bcefg1</v>
      </c>
      <c r="BF2" s="16"/>
      <c r="BG2" s="12" t="str">
        <f t="shared" si="7"/>
        <v>gbcd</v>
      </c>
      <c r="BH2" s="12" t="str">
        <f>IFERROR(__xludf.DUMMYFUNCTION("CONCATENATE(SORT(TRANSPOSE(SPLIT(REGEXREPLACE(REGEXREPLACE(BG2&amp;"""",""(?s)(.{1})"",""$1""&amp;CHAR(127)),""'"",""''""),CHAR(127))),1,true),""1"")"),"bcdg1")</f>
        <v>bcdg1</v>
      </c>
      <c r="BI2" s="16"/>
      <c r="BJ2" s="10" t="str">
        <f>IFERROR(__xludf.DUMMYFUNCTION("FILTER($K2:$T2,len($K2:$T2)=5)"),"cafbe")</f>
        <v>cafbe</v>
      </c>
      <c r="BK2" s="6" t="str">
        <f>IFERROR(__xludf.DUMMYFUNCTION("""COMPUTED_VALUE"""),"febgc")</f>
        <v>febgc</v>
      </c>
      <c r="BL2" s="6" t="str">
        <f>IFERROR(__xludf.DUMMYFUNCTION("""COMPUTED_VALUE"""),"egbdf")</f>
        <v>egbdf</v>
      </c>
      <c r="BM2" s="14" t="str">
        <f>IFERROR(__xludf.DUMMYFUNCTION("REGEXREPLACE( $BY2, CONCATENATE(""["",BJ2,""]""), """")"),"dg")</f>
        <v>dg</v>
      </c>
      <c r="BN2" s="14" t="str">
        <f>IFERROR(__xludf.DUMMYFUNCTION("REGEXREPLACE( $BY2, CONCATENATE(""["",BK2,""]""), """")"),"da")</f>
        <v>da</v>
      </c>
      <c r="BO2" s="14" t="str">
        <f>IFERROR(__xludf.DUMMYFUNCTION("REGEXREPLACE( $BY2, CONCATENATE(""["",BL2,""]""), """")"),"a")</f>
        <v>a</v>
      </c>
      <c r="BP2" s="11" t="str">
        <f t="shared" si="8"/>
        <v>egbdf</v>
      </c>
      <c r="BQ2" s="12" t="str">
        <f>IFERROR(__xludf.DUMMYFUNCTION("CONCATENATE(SORT(TRANSPOSE(SPLIT(REGEXREPLACE(REGEXREPLACE(BP2&amp;"""",""(?s)(.{1})"",""$1""&amp;CHAR(127)),""'"",""''""),CHAR(127))),1,true),""1"")"),"bdefg1")</f>
        <v>bdefg1</v>
      </c>
      <c r="BR2" s="16"/>
      <c r="BS2" s="10" t="str">
        <f>IFERROR(__xludf.DUMMYFUNCTION("FILTER(K2:T2,len(K2:T2)=6)"),"fedgba")</f>
        <v>fedgba</v>
      </c>
      <c r="BT2" s="6" t="str">
        <f>IFERROR(__xludf.DUMMYFUNCTION("""COMPUTED_VALUE"""),"edafgc")</f>
        <v>edafgc</v>
      </c>
      <c r="BU2" s="6" t="str">
        <f>IFERROR(__xludf.DUMMYFUNCTION("""COMPUTED_VALUE"""),"febgcd")</f>
        <v>febgcd</v>
      </c>
      <c r="BV2" s="6" t="str">
        <f>IFERROR(__xludf.DUMMYFUNCTION("REGEXREPLACE( $AR2, CONCATENATE(""["",BS2,""]""), """")"),"c")</f>
        <v>c</v>
      </c>
      <c r="BW2" s="6" t="str">
        <f>IFERROR(__xludf.DUMMYFUNCTION("REGEXREPLACE( $AR2, CONCATENATE(""["",BT2,""]""), """")"),"")</f>
        <v/>
      </c>
      <c r="BX2" s="6" t="str">
        <f>IFERROR(__xludf.DUMMYFUNCTION("REGEXREPLACE( $AR2, CONCATENATE(""["",BU2,""]""), """")"),"")</f>
        <v/>
      </c>
      <c r="BY2" s="12" t="str">
        <f t="shared" si="9"/>
        <v>fedgba</v>
      </c>
      <c r="BZ2" s="12" t="str">
        <f>IFERROR(__xludf.DUMMYFUNCTION("CONCATENATE(SORT(TRANSPOSE(SPLIT(REGEXREPLACE(REGEXREPLACE(BY2&amp;"""",""(?s)(.{1})"",""$1""&amp;CHAR(127)),""'"",""''""),CHAR(127))),1,true),""1"")"),"abdefg1")</f>
        <v>abdefg1</v>
      </c>
      <c r="CA2" s="16"/>
      <c r="CB2" s="12" t="str">
        <f t="shared" si="10"/>
        <v>gce</v>
      </c>
      <c r="CC2" s="12" t="str">
        <f>IFERROR(__xludf.DUMMYFUNCTION("CONCATENATE(SORT(TRANSPOSE(SPLIT(REGEXREPLACE(REGEXREPLACE(CB2&amp;"""",""(?s)(.{1})"",""$1""&amp;CHAR(127)),""'"",""''""),CHAR(127))),1,true),""1"")"),"ceg1")</f>
        <v>ceg1</v>
      </c>
      <c r="CD2" s="16"/>
      <c r="CE2" s="12" t="str">
        <f t="shared" si="11"/>
        <v>dgcefab</v>
      </c>
      <c r="CF2" s="12" t="str">
        <f>IFERROR(__xludf.DUMMYFUNCTION("CONCATENATE(SORT(TRANSPOSE(SPLIT(REGEXREPLACE(REGEXREPLACE(CE2&amp;"""",""(?s)(.{1})"",""$1""&amp;CHAR(127)),""'"",""''""),CHAR(127))),1,true),""1"")"),"abcdefg1")</f>
        <v>abcdefg1</v>
      </c>
      <c r="CG2" s="16"/>
      <c r="CH2" s="10" t="str">
        <f>IFERROR(__xludf.DUMMYFUNCTION("FILTER(K2:T2,len(K2:T2)=6)"),"fedgba")</f>
        <v>fedgba</v>
      </c>
      <c r="CI2" s="6" t="str">
        <f>IFERROR(__xludf.DUMMYFUNCTION("""COMPUTED_VALUE"""),"edafgc")</f>
        <v>edafgc</v>
      </c>
      <c r="CJ2" s="6" t="str">
        <f>IFERROR(__xludf.DUMMYFUNCTION("""COMPUTED_VALUE"""),"febgcd")</f>
        <v>febgcd</v>
      </c>
      <c r="CK2" s="6" t="str">
        <f>IFERROR(__xludf.DUMMYFUNCTION("REGEXREPLACE( $BG2, CONCATENATE(""["",CH2,""]""), """")"),"c")</f>
        <v>c</v>
      </c>
      <c r="CL2" s="6" t="str">
        <f>IFERROR(__xludf.DUMMYFUNCTION("REGEXREPLACE( $BG2, CONCATENATE(""["",CI2,""]""), """")"),"b")</f>
        <v>b</v>
      </c>
      <c r="CM2" s="6" t="str">
        <f>IFERROR(__xludf.DUMMYFUNCTION("REGEXREPLACE( $BG2, CONCATENATE(""["",CJ2,""]""), """")"),"")</f>
        <v/>
      </c>
      <c r="CN2" s="12" t="str">
        <f t="shared" si="12"/>
        <v>febgcd</v>
      </c>
      <c r="CO2" s="12" t="str">
        <f>IFERROR(__xludf.DUMMYFUNCTION("CONCATENATE(SORT(TRANSPOSE(SPLIT(REGEXREPLACE(REGEXREPLACE(CN2&amp;"""",""(?s)(.{1})"",""$1""&amp;CHAR(127)),""'"",""''""),CHAR(127))),1,true),""1"")"),"bcdefg1")</f>
        <v>bcdefg1</v>
      </c>
      <c r="CP2" s="15"/>
    </row>
    <row r="3">
      <c r="A3" s="1" t="s">
        <v>11</v>
      </c>
      <c r="B3" s="4"/>
      <c r="C3" s="4"/>
      <c r="D3" s="4">
        <v>4.0</v>
      </c>
      <c r="E3" s="5" t="s">
        <v>12</v>
      </c>
      <c r="F3" s="4">
        <v>2.0</v>
      </c>
      <c r="G3" s="4" t="s">
        <v>13</v>
      </c>
      <c r="H3" s="6" t="str">
        <f>IFERROR(__xludf.DUMMYFUNCTION("SPLIT(A3,""|"")"),"eaf cfade afgebc cdegfa abcfd feagcdb dfbgce ae dcefg dage ")</f>
        <v>eaf cfade afgebc cdegfa abcfd feagcdb dfbgce ae dcefg dage </v>
      </c>
      <c r="I3" s="6" t="str">
        <f>IFERROR(__xludf.DUMMYFUNCTION("""COMPUTED_VALUE""")," eaf cdgefb fea bfacd")</f>
        <v> eaf cdgefb fea bfacd</v>
      </c>
      <c r="J3" s="15"/>
      <c r="K3" s="6" t="str">
        <f>IFERROR(__xludf.DUMMYFUNCTION("split(H3,"" "")"),"eaf")</f>
        <v>eaf</v>
      </c>
      <c r="L3" s="6" t="str">
        <f>IFERROR(__xludf.DUMMYFUNCTION("""COMPUTED_VALUE"""),"cfade")</f>
        <v>cfade</v>
      </c>
      <c r="M3" s="6" t="str">
        <f>IFERROR(__xludf.DUMMYFUNCTION("""COMPUTED_VALUE"""),"afgebc")</f>
        <v>afgebc</v>
      </c>
      <c r="N3" s="6" t="str">
        <f>IFERROR(__xludf.DUMMYFUNCTION("""COMPUTED_VALUE"""),"cdegfa")</f>
        <v>cdegfa</v>
      </c>
      <c r="O3" s="6" t="str">
        <f>IFERROR(__xludf.DUMMYFUNCTION("""COMPUTED_VALUE"""),"abcfd")</f>
        <v>abcfd</v>
      </c>
      <c r="P3" s="6" t="str">
        <f>IFERROR(__xludf.DUMMYFUNCTION("""COMPUTED_VALUE"""),"feagcdb")</f>
        <v>feagcdb</v>
      </c>
      <c r="Q3" s="6" t="str">
        <f>IFERROR(__xludf.DUMMYFUNCTION("""COMPUTED_VALUE"""),"dfbgce")</f>
        <v>dfbgce</v>
      </c>
      <c r="R3" s="6" t="str">
        <f>IFERROR(__xludf.DUMMYFUNCTION("""COMPUTED_VALUE"""),"ae")</f>
        <v>ae</v>
      </c>
      <c r="S3" s="6" t="str">
        <f>IFERROR(__xludf.DUMMYFUNCTION("""COMPUTED_VALUE"""),"dcefg")</f>
        <v>dcefg</v>
      </c>
      <c r="T3" s="6" t="str">
        <f>IFERROR(__xludf.DUMMYFUNCTION("""COMPUTED_VALUE"""),"dage")</f>
        <v>dage</v>
      </c>
      <c r="U3" s="15"/>
      <c r="V3" s="6" t="str">
        <f>IFERROR(__xludf.DUMMYFUNCTION("split(I3,"" "")"),"eaf")</f>
        <v>eaf</v>
      </c>
      <c r="W3" s="6" t="str">
        <f>IFERROR(__xludf.DUMMYFUNCTION("""COMPUTED_VALUE"""),"cdgefb")</f>
        <v>cdgefb</v>
      </c>
      <c r="X3" s="6" t="str">
        <f>IFERROR(__xludf.DUMMYFUNCTION("""COMPUTED_VALUE"""),"fea")</f>
        <v>fea</v>
      </c>
      <c r="Y3" s="6" t="str">
        <f>IFERROR(__xludf.DUMMYFUNCTION("""COMPUTED_VALUE"""),"bfacd")</f>
        <v>bfacd</v>
      </c>
      <c r="Z3" s="6" t="str">
        <f>IFERROR(__xludf.DUMMYFUNCTION("CONCATENATE(SORT(TRANSPOSE(SPLIT(REGEXREPLACE(REGEXREPLACE(V3&amp;"""",""(?s)(.{1})"",""$1""&amp;CHAR(127)),""'"",""''""),CHAR(127))),1,true))"),"aef")</f>
        <v>aef</v>
      </c>
      <c r="AA3" s="6" t="str">
        <f>IFERROR(__xludf.DUMMYFUNCTION("CONCATENATE(SORT(TRANSPOSE(SPLIT(REGEXREPLACE(REGEXREPLACE(W3&amp;"""",""(?s)(.{1})"",""$1""&amp;CHAR(127)),""'"",""''""),CHAR(127))),1,true))"),"bcdefg")</f>
        <v>bcdefg</v>
      </c>
      <c r="AB3" s="6" t="str">
        <f>IFERROR(__xludf.DUMMYFUNCTION("CONCATENATE(SORT(TRANSPOSE(SPLIT(REGEXREPLACE(REGEXREPLACE(X3&amp;"""",""(?s)(.{1})"",""$1""&amp;CHAR(127)),""'"",""''""),CHAR(127))),1,true))"),"aef")</f>
        <v>aef</v>
      </c>
      <c r="AC3" s="6" t="str">
        <f>IFERROR(__xludf.DUMMYFUNCTION("CONCATENATE(SORT(TRANSPOSE(SPLIT(REGEXREPLACE(REGEXREPLACE(Y3&amp;"""",""(?s)(.{1})"",""$1""&amp;CHAR(127)),""'"",""''""),CHAR(127))),1,true))"),"abcdf")</f>
        <v>abcdf</v>
      </c>
      <c r="AD3" s="6">
        <f t="shared" ref="AD3:AG3" si="13">INDEX($AO$1:$CP$1,1,MATCH(CONCATENATE(Z3,"1"),$AO3:$CP3,0)+1)</f>
        <v>7</v>
      </c>
      <c r="AE3" s="6">
        <f t="shared" si="13"/>
        <v>6</v>
      </c>
      <c r="AF3" s="6">
        <f t="shared" si="13"/>
        <v>7</v>
      </c>
      <c r="AG3" s="6">
        <f t="shared" si="13"/>
        <v>2</v>
      </c>
      <c r="AH3" s="6">
        <f t="shared" si="3"/>
        <v>7672</v>
      </c>
      <c r="AI3" s="16"/>
      <c r="AJ3" s="9" t="str">
        <f>IFERROR(__xludf.DUMMYFUNCTION("REGEXREPLACE(AR3,CONCATENATE(""["",BY3,""]""),"""")"),"a")</f>
        <v>a</v>
      </c>
      <c r="AK3" s="10" t="str">
        <f>IFERROR(__xludf.DUMMYFUNCTION("FILTER($K3:$T3,len($K3:$T3)=6,NOT($K3:$T3=BY3))"),"afgebc")</f>
        <v>afgebc</v>
      </c>
      <c r="AL3" s="6" t="str">
        <f>IFERROR(__xludf.DUMMYFUNCTION("""COMPUTED_VALUE"""),"cdegfa")</f>
        <v>cdegfa</v>
      </c>
      <c r="AM3" s="6" t="str">
        <f>IFERROR(__xludf.DUMMYFUNCTION("REGEXREPLACE( $BG3, CONCATENATE(""["",AK3,""]""), """")"),"d")</f>
        <v>d</v>
      </c>
      <c r="AN3" s="6" t="str">
        <f>IFERROR(__xludf.DUMMYFUNCTION("REGEXREPLACE( $BG3, CONCATENATE(""["",AL3,""]""), """")"),"")</f>
        <v/>
      </c>
      <c r="AO3" s="11" t="str">
        <f t="shared" si="4"/>
        <v>afgebc</v>
      </c>
      <c r="AP3" s="12" t="str">
        <f>IFERROR(__xludf.DUMMYFUNCTION("CONCATENATE(SORT(TRANSPOSE(SPLIT(REGEXREPLACE(REGEXREPLACE(AO3&amp;"""",""(?s)(.{1})"",""$1""&amp;CHAR(127)),""'"",""''""),CHAR(127))),1,true),""1"")"),"abcefg1")</f>
        <v>abcefg1</v>
      </c>
      <c r="AQ3" s="16"/>
      <c r="AR3" s="12" t="str">
        <f t="shared" si="5"/>
        <v>ae</v>
      </c>
      <c r="AS3" s="12" t="str">
        <f>IFERROR(__xludf.DUMMYFUNCTION("CONCATENATE(SORT(TRANSPOSE(SPLIT(REGEXREPLACE(REGEXREPLACE(AR3&amp;"""",""(?s)(.{1})"",""$1""&amp;CHAR(127)),""'"",""''""),CHAR(127))),1,true),""1"")"),"ae1")</f>
        <v>ae1</v>
      </c>
      <c r="AT3" s="16"/>
      <c r="AU3" s="13" t="str">
        <f>IFERROR(__xludf.DUMMYFUNCTION("FILTER($K3:$T3,len($K3:$T3)=5,NOT($K3:$T3=BD3),NOT($K3:$T3=BP3))"),"abcfd")</f>
        <v>abcfd</v>
      </c>
      <c r="AV3" s="12" t="str">
        <f>IFERROR(__xludf.DUMMYFUNCTION("CONCATENATE(SORT(TRANSPOSE(SPLIT(REGEXREPLACE(REGEXREPLACE(AU3&amp;"""",""(?s)(.{1})"",""$1""&amp;CHAR(127)),""'"",""''""),CHAR(127))),1,true),""1"")"),"abcdf1")</f>
        <v>abcdf1</v>
      </c>
      <c r="AW3" s="16"/>
      <c r="AX3" s="10" t="str">
        <f>IFERROR(__xludf.DUMMYFUNCTION("FILTER($K3:$T3,len($K3:$T3)=5)"),"cfade")</f>
        <v>cfade</v>
      </c>
      <c r="AY3" s="6" t="str">
        <f>IFERROR(__xludf.DUMMYFUNCTION("""COMPUTED_VALUE"""),"abcfd")</f>
        <v>abcfd</v>
      </c>
      <c r="AZ3" s="6" t="str">
        <f>IFERROR(__xludf.DUMMYFUNCTION("""COMPUTED_VALUE"""),"dcefg")</f>
        <v>dcefg</v>
      </c>
      <c r="BA3" s="6" t="str">
        <f>IFERROR(__xludf.DUMMYFUNCTION("REGEXREPLACE( $AR3, CONCATENATE(""["",AX3,""]""), """")"),"")</f>
        <v/>
      </c>
      <c r="BB3" s="6" t="str">
        <f>IFERROR(__xludf.DUMMYFUNCTION("REGEXREPLACE( $AR3, CONCATENATE(""["",AY3,""]""), """")"),"e")</f>
        <v>e</v>
      </c>
      <c r="BC3" s="6" t="str">
        <f>IFERROR(__xludf.DUMMYFUNCTION("REGEXREPLACE( $AR3, CONCATENATE(""["",AZ3,""]""), """")"),"a")</f>
        <v>a</v>
      </c>
      <c r="BD3" s="11" t="str">
        <f t="shared" si="6"/>
        <v>cfade</v>
      </c>
      <c r="BE3" s="12" t="str">
        <f>IFERROR(__xludf.DUMMYFUNCTION("CONCATENATE(SORT(TRANSPOSE(SPLIT(REGEXREPLACE(REGEXREPLACE(BD3&amp;"""",""(?s)(.{1})"",""$1""&amp;CHAR(127)),""'"",""''""),CHAR(127))),1,true),""1"")"),"acdef1")</f>
        <v>acdef1</v>
      </c>
      <c r="BF3" s="16"/>
      <c r="BG3" s="12" t="str">
        <f t="shared" si="7"/>
        <v>dage</v>
      </c>
      <c r="BH3" s="12" t="str">
        <f>IFERROR(__xludf.DUMMYFUNCTION("CONCATENATE(SORT(TRANSPOSE(SPLIT(REGEXREPLACE(REGEXREPLACE(BG3&amp;"""",""(?s)(.{1})"",""$1""&amp;CHAR(127)),""'"",""''""),CHAR(127))),1,true),""1"")"),"adeg1")</f>
        <v>adeg1</v>
      </c>
      <c r="BI3" s="16"/>
      <c r="BJ3" s="10" t="str">
        <f>IFERROR(__xludf.DUMMYFUNCTION("FILTER($K3:$T3,len($K3:$T3)=5)"),"cfade")</f>
        <v>cfade</v>
      </c>
      <c r="BK3" s="6" t="str">
        <f>IFERROR(__xludf.DUMMYFUNCTION("""COMPUTED_VALUE"""),"abcfd")</f>
        <v>abcfd</v>
      </c>
      <c r="BL3" s="6" t="str">
        <f>IFERROR(__xludf.DUMMYFUNCTION("""COMPUTED_VALUE"""),"dcefg")</f>
        <v>dcefg</v>
      </c>
      <c r="BM3" s="14" t="str">
        <f>IFERROR(__xludf.DUMMYFUNCTION("REGEXREPLACE( $BY3, CONCATENATE(""["",BJ3,""]""), """")"),"bg")</f>
        <v>bg</v>
      </c>
      <c r="BN3" s="14" t="str">
        <f>IFERROR(__xludf.DUMMYFUNCTION("REGEXREPLACE( $BY3, CONCATENATE(""["",BK3,""]""), """")"),"ge")</f>
        <v>ge</v>
      </c>
      <c r="BO3" s="14" t="str">
        <f>IFERROR(__xludf.DUMMYFUNCTION("REGEXREPLACE( $BY3, CONCATENATE(""["",BL3,""]""), """")"),"b")</f>
        <v>b</v>
      </c>
      <c r="BP3" s="11" t="str">
        <f t="shared" si="8"/>
        <v>dcefg</v>
      </c>
      <c r="BQ3" s="12" t="str">
        <f>IFERROR(__xludf.DUMMYFUNCTION("CONCATENATE(SORT(TRANSPOSE(SPLIT(REGEXREPLACE(REGEXREPLACE(BP3&amp;"""",""(?s)(.{1})"",""$1""&amp;CHAR(127)),""'"",""''""),CHAR(127))),1,true),""1"")"),"cdefg1")</f>
        <v>cdefg1</v>
      </c>
      <c r="BR3" s="16"/>
      <c r="BS3" s="10" t="str">
        <f>IFERROR(__xludf.DUMMYFUNCTION("FILTER(K3:T3,len(K3:T3)=6)"),"afgebc")</f>
        <v>afgebc</v>
      </c>
      <c r="BT3" s="6" t="str">
        <f>IFERROR(__xludf.DUMMYFUNCTION("""COMPUTED_VALUE"""),"cdegfa")</f>
        <v>cdegfa</v>
      </c>
      <c r="BU3" s="6" t="str">
        <f>IFERROR(__xludf.DUMMYFUNCTION("""COMPUTED_VALUE"""),"dfbgce")</f>
        <v>dfbgce</v>
      </c>
      <c r="BV3" s="6" t="str">
        <f>IFERROR(__xludf.DUMMYFUNCTION("REGEXREPLACE( $AR3, CONCATENATE(""["",BS3,""]""), """")"),"")</f>
        <v/>
      </c>
      <c r="BW3" s="6" t="str">
        <f>IFERROR(__xludf.DUMMYFUNCTION("REGEXREPLACE( $AR3, CONCATENATE(""["",BT3,""]""), """")"),"")</f>
        <v/>
      </c>
      <c r="BX3" s="6" t="str">
        <f>IFERROR(__xludf.DUMMYFUNCTION("REGEXREPLACE( $AR3, CONCATENATE(""["",BU3,""]""), """")"),"a")</f>
        <v>a</v>
      </c>
      <c r="BY3" s="12" t="str">
        <f t="shared" si="9"/>
        <v>dfbgce</v>
      </c>
      <c r="BZ3" s="12" t="str">
        <f>IFERROR(__xludf.DUMMYFUNCTION("CONCATENATE(SORT(TRANSPOSE(SPLIT(REGEXREPLACE(REGEXREPLACE(BY3&amp;"""",""(?s)(.{1})"",""$1""&amp;CHAR(127)),""'"",""''""),CHAR(127))),1,true),""1"")"),"bcdefg1")</f>
        <v>bcdefg1</v>
      </c>
      <c r="CA3" s="16"/>
      <c r="CB3" s="12" t="str">
        <f t="shared" si="10"/>
        <v>eaf</v>
      </c>
      <c r="CC3" s="12" t="str">
        <f>IFERROR(__xludf.DUMMYFUNCTION("CONCATENATE(SORT(TRANSPOSE(SPLIT(REGEXREPLACE(REGEXREPLACE(CB3&amp;"""",""(?s)(.{1})"",""$1""&amp;CHAR(127)),""'"",""''""),CHAR(127))),1,true),""1"")"),"aef1")</f>
        <v>aef1</v>
      </c>
      <c r="CD3" s="16"/>
      <c r="CE3" s="12" t="str">
        <f t="shared" si="11"/>
        <v>feagcdb</v>
      </c>
      <c r="CF3" s="12" t="str">
        <f>IFERROR(__xludf.DUMMYFUNCTION("CONCATENATE(SORT(TRANSPOSE(SPLIT(REGEXREPLACE(REGEXREPLACE(CE3&amp;"""",""(?s)(.{1})"",""$1""&amp;CHAR(127)),""'"",""''""),CHAR(127))),1,true),""1"")"),"abcdefg1")</f>
        <v>abcdefg1</v>
      </c>
      <c r="CG3" s="16"/>
      <c r="CH3" s="10" t="str">
        <f>IFERROR(__xludf.DUMMYFUNCTION("FILTER(K3:T3,len(K3:T3)=6)"),"afgebc")</f>
        <v>afgebc</v>
      </c>
      <c r="CI3" s="6" t="str">
        <f>IFERROR(__xludf.DUMMYFUNCTION("""COMPUTED_VALUE"""),"cdegfa")</f>
        <v>cdegfa</v>
      </c>
      <c r="CJ3" s="6" t="str">
        <f>IFERROR(__xludf.DUMMYFUNCTION("""COMPUTED_VALUE"""),"dfbgce")</f>
        <v>dfbgce</v>
      </c>
      <c r="CK3" s="6" t="str">
        <f>IFERROR(__xludf.DUMMYFUNCTION("REGEXREPLACE( $BG3, CONCATENATE(""["",CH3,""]""), """")"),"d")</f>
        <v>d</v>
      </c>
      <c r="CL3" s="6" t="str">
        <f>IFERROR(__xludf.DUMMYFUNCTION("REGEXREPLACE( $BG3, CONCATENATE(""["",CI3,""]""), """")"),"")</f>
        <v/>
      </c>
      <c r="CM3" s="6" t="str">
        <f>IFERROR(__xludf.DUMMYFUNCTION("REGEXREPLACE( $BG3, CONCATENATE(""["",CJ3,""]""), """")"),"a")</f>
        <v>a</v>
      </c>
      <c r="CN3" s="12" t="str">
        <f t="shared" si="12"/>
        <v>cdegfa</v>
      </c>
      <c r="CO3" s="12" t="str">
        <f>IFERROR(__xludf.DUMMYFUNCTION("CONCATENATE(SORT(TRANSPOSE(SPLIT(REGEXREPLACE(REGEXREPLACE(CN3&amp;"""",""(?s)(.{1})"",""$1""&amp;CHAR(127)),""'"",""''""),CHAR(127))),1,true),""1"")"),"acdefg1")</f>
        <v>acdefg1</v>
      </c>
      <c r="CP3" s="15"/>
    </row>
    <row r="4">
      <c r="A4" s="1" t="s">
        <v>14</v>
      </c>
      <c r="B4" s="4"/>
      <c r="C4" s="4"/>
      <c r="D4" s="4">
        <v>5.0</v>
      </c>
      <c r="E4" s="5" t="s">
        <v>15</v>
      </c>
      <c r="F4" s="4">
        <v>3.0</v>
      </c>
      <c r="G4" s="4" t="s">
        <v>16</v>
      </c>
      <c r="H4" s="6" t="str">
        <f>IFERROR(__xludf.DUMMYFUNCTION("SPLIT(A4,""|"")"),"faegbdc fagcde dbcfg ecgfb afegc gbe abec bgfcea eb befagd ")</f>
        <v>faegbdc fagcde dbcfg ecgfb afegc gbe abec bgfcea eb befagd </v>
      </c>
      <c r="I4" s="6" t="str">
        <f>IFERROR(__xludf.DUMMYFUNCTION("""COMPUTED_VALUE""")," afcge egb cgfbd bace")</f>
        <v> afcge egb cgfbd bace</v>
      </c>
      <c r="J4" s="15"/>
      <c r="K4" s="6" t="str">
        <f>IFERROR(__xludf.DUMMYFUNCTION("split(H4,"" "")"),"faegbdc")</f>
        <v>faegbdc</v>
      </c>
      <c r="L4" s="6" t="str">
        <f>IFERROR(__xludf.DUMMYFUNCTION("""COMPUTED_VALUE"""),"fagcde")</f>
        <v>fagcde</v>
      </c>
      <c r="M4" s="6" t="str">
        <f>IFERROR(__xludf.DUMMYFUNCTION("""COMPUTED_VALUE"""),"dbcfg")</f>
        <v>dbcfg</v>
      </c>
      <c r="N4" s="6" t="str">
        <f>IFERROR(__xludf.DUMMYFUNCTION("""COMPUTED_VALUE"""),"ecgfb")</f>
        <v>ecgfb</v>
      </c>
      <c r="O4" s="6" t="str">
        <f>IFERROR(__xludf.DUMMYFUNCTION("""COMPUTED_VALUE"""),"afegc")</f>
        <v>afegc</v>
      </c>
      <c r="P4" s="6" t="str">
        <f>IFERROR(__xludf.DUMMYFUNCTION("""COMPUTED_VALUE"""),"gbe")</f>
        <v>gbe</v>
      </c>
      <c r="Q4" s="6" t="str">
        <f>IFERROR(__xludf.DUMMYFUNCTION("""COMPUTED_VALUE"""),"abec")</f>
        <v>abec</v>
      </c>
      <c r="R4" s="6" t="str">
        <f>IFERROR(__xludf.DUMMYFUNCTION("""COMPUTED_VALUE"""),"bgfcea")</f>
        <v>bgfcea</v>
      </c>
      <c r="S4" s="6" t="str">
        <f>IFERROR(__xludf.DUMMYFUNCTION("""COMPUTED_VALUE"""),"eb")</f>
        <v>eb</v>
      </c>
      <c r="T4" s="6" t="str">
        <f>IFERROR(__xludf.DUMMYFUNCTION("""COMPUTED_VALUE"""),"befagd")</f>
        <v>befagd</v>
      </c>
      <c r="U4" s="15"/>
      <c r="V4" s="6" t="str">
        <f>IFERROR(__xludf.DUMMYFUNCTION("split(I4,"" "")"),"afcge")</f>
        <v>afcge</v>
      </c>
      <c r="W4" s="6" t="str">
        <f>IFERROR(__xludf.DUMMYFUNCTION("""COMPUTED_VALUE"""),"egb")</f>
        <v>egb</v>
      </c>
      <c r="X4" s="6" t="str">
        <f>IFERROR(__xludf.DUMMYFUNCTION("""COMPUTED_VALUE"""),"cgfbd")</f>
        <v>cgfbd</v>
      </c>
      <c r="Y4" s="6" t="str">
        <f>IFERROR(__xludf.DUMMYFUNCTION("""COMPUTED_VALUE"""),"bace")</f>
        <v>bace</v>
      </c>
      <c r="Z4" s="6" t="str">
        <f>IFERROR(__xludf.DUMMYFUNCTION("CONCATENATE(SORT(TRANSPOSE(SPLIT(REGEXREPLACE(REGEXREPLACE(V4&amp;"""",""(?s)(.{1})"",""$1""&amp;CHAR(127)),""'"",""''""),CHAR(127))),1,true))"),"acefg")</f>
        <v>acefg</v>
      </c>
      <c r="AA4" s="6" t="str">
        <f>IFERROR(__xludf.DUMMYFUNCTION("CONCATENATE(SORT(TRANSPOSE(SPLIT(REGEXREPLACE(REGEXREPLACE(W4&amp;"""",""(?s)(.{1})"",""$1""&amp;CHAR(127)),""'"",""''""),CHAR(127))),1,true))"),"beg")</f>
        <v>beg</v>
      </c>
      <c r="AB4" s="6" t="str">
        <f>IFERROR(__xludf.DUMMYFUNCTION("CONCATENATE(SORT(TRANSPOSE(SPLIT(REGEXREPLACE(REGEXREPLACE(X4&amp;"""",""(?s)(.{1})"",""$1""&amp;CHAR(127)),""'"",""''""),CHAR(127))),1,true))"),"bcdfg")</f>
        <v>bcdfg</v>
      </c>
      <c r="AC4" s="6" t="str">
        <f>IFERROR(__xludf.DUMMYFUNCTION("CONCATENATE(SORT(TRANSPOSE(SPLIT(REGEXREPLACE(REGEXREPLACE(Y4&amp;"""",""(?s)(.{1})"",""$1""&amp;CHAR(127)),""'"",""''""),CHAR(127))),1,true))"),"abce")</f>
        <v>abce</v>
      </c>
      <c r="AD4" s="6">
        <f t="shared" ref="AD4:AG4" si="14">INDEX($AO$1:$CP$1,1,MATCH(CONCATENATE(Z4,"1"),$AO4:$CP4,0)+1)</f>
        <v>5</v>
      </c>
      <c r="AE4" s="6">
        <f t="shared" si="14"/>
        <v>7</v>
      </c>
      <c r="AF4" s="6">
        <f t="shared" si="14"/>
        <v>2</v>
      </c>
      <c r="AG4" s="6">
        <f t="shared" si="14"/>
        <v>4</v>
      </c>
      <c r="AH4" s="6">
        <f t="shared" si="3"/>
        <v>5724</v>
      </c>
      <c r="AI4" s="16"/>
      <c r="AJ4" s="9" t="str">
        <f>IFERROR(__xludf.DUMMYFUNCTION("REGEXREPLACE(AR4,CONCATENATE(""["",BY4,""]""),"""")"),"b")</f>
        <v>b</v>
      </c>
      <c r="AK4" s="10" t="str">
        <f>IFERROR(__xludf.DUMMYFUNCTION("FILTER($K4:$T4,len($K4:$T4)=6,NOT($K4:$T4=BY4))"),"bgfcea")</f>
        <v>bgfcea</v>
      </c>
      <c r="AL4" s="6" t="str">
        <f>IFERROR(__xludf.DUMMYFUNCTION("""COMPUTED_VALUE"""),"befagd")</f>
        <v>befagd</v>
      </c>
      <c r="AM4" s="6" t="str">
        <f>IFERROR(__xludf.DUMMYFUNCTION("REGEXREPLACE( $BG4, CONCATENATE(""["",AK4,""]""), """")"),"")</f>
        <v/>
      </c>
      <c r="AN4" s="6" t="str">
        <f>IFERROR(__xludf.DUMMYFUNCTION("REGEXREPLACE( $BG4, CONCATENATE(""["",AL4,""]""), """")"),"c")</f>
        <v>c</v>
      </c>
      <c r="AO4" s="11" t="str">
        <f t="shared" si="4"/>
        <v>befagd</v>
      </c>
      <c r="AP4" s="12" t="str">
        <f>IFERROR(__xludf.DUMMYFUNCTION("CONCATENATE(SORT(TRANSPOSE(SPLIT(REGEXREPLACE(REGEXREPLACE(AO4&amp;"""",""(?s)(.{1})"",""$1""&amp;CHAR(127)),""'"",""''""),CHAR(127))),1,true),""1"")"),"abdefg1")</f>
        <v>abdefg1</v>
      </c>
      <c r="AQ4" s="16"/>
      <c r="AR4" s="12" t="str">
        <f t="shared" si="5"/>
        <v>eb</v>
      </c>
      <c r="AS4" s="12" t="str">
        <f>IFERROR(__xludf.DUMMYFUNCTION("CONCATENATE(SORT(TRANSPOSE(SPLIT(REGEXREPLACE(REGEXREPLACE(AR4&amp;"""",""(?s)(.{1})"",""$1""&amp;CHAR(127)),""'"",""''""),CHAR(127))),1,true),""1"")"),"be1")</f>
        <v>be1</v>
      </c>
      <c r="AT4" s="16"/>
      <c r="AU4" s="13" t="str">
        <f>IFERROR(__xludf.DUMMYFUNCTION("FILTER($K4:$T4,len($K4:$T4)=5,NOT($K4:$T4=BD4),NOT($K4:$T4=BP4))"),"dbcfg")</f>
        <v>dbcfg</v>
      </c>
      <c r="AV4" s="12" t="str">
        <f>IFERROR(__xludf.DUMMYFUNCTION("CONCATENATE(SORT(TRANSPOSE(SPLIT(REGEXREPLACE(REGEXREPLACE(AU4&amp;"""",""(?s)(.{1})"",""$1""&amp;CHAR(127)),""'"",""''""),CHAR(127))),1,true),""1"")"),"bcdfg1")</f>
        <v>bcdfg1</v>
      </c>
      <c r="AW4" s="16"/>
      <c r="AX4" s="10" t="str">
        <f>IFERROR(__xludf.DUMMYFUNCTION("FILTER($K4:$T4,len($K4:$T4)=5)"),"dbcfg")</f>
        <v>dbcfg</v>
      </c>
      <c r="AY4" s="6" t="str">
        <f>IFERROR(__xludf.DUMMYFUNCTION("""COMPUTED_VALUE"""),"ecgfb")</f>
        <v>ecgfb</v>
      </c>
      <c r="AZ4" s="6" t="str">
        <f>IFERROR(__xludf.DUMMYFUNCTION("""COMPUTED_VALUE"""),"afegc")</f>
        <v>afegc</v>
      </c>
      <c r="BA4" s="6" t="str">
        <f>IFERROR(__xludf.DUMMYFUNCTION("REGEXREPLACE( $AR4, CONCATENATE(""["",AX4,""]""), """")"),"e")</f>
        <v>e</v>
      </c>
      <c r="BB4" s="6" t="str">
        <f>IFERROR(__xludf.DUMMYFUNCTION("REGEXREPLACE( $AR4, CONCATENATE(""["",AY4,""]""), """")"),"")</f>
        <v/>
      </c>
      <c r="BC4" s="6" t="str">
        <f>IFERROR(__xludf.DUMMYFUNCTION("REGEXREPLACE( $AR4, CONCATENATE(""["",AZ4,""]""), """")"),"b")</f>
        <v>b</v>
      </c>
      <c r="BD4" s="11" t="str">
        <f t="shared" si="6"/>
        <v>ecgfb</v>
      </c>
      <c r="BE4" s="12" t="str">
        <f>IFERROR(__xludf.DUMMYFUNCTION("CONCATENATE(SORT(TRANSPOSE(SPLIT(REGEXREPLACE(REGEXREPLACE(BD4&amp;"""",""(?s)(.{1})"",""$1""&amp;CHAR(127)),""'"",""''""),CHAR(127))),1,true),""1"")"),"bcefg1")</f>
        <v>bcefg1</v>
      </c>
      <c r="BF4" s="16"/>
      <c r="BG4" s="12" t="str">
        <f t="shared" si="7"/>
        <v>abec</v>
      </c>
      <c r="BH4" s="12" t="str">
        <f>IFERROR(__xludf.DUMMYFUNCTION("CONCATENATE(SORT(TRANSPOSE(SPLIT(REGEXREPLACE(REGEXREPLACE(BG4&amp;"""",""(?s)(.{1})"",""$1""&amp;CHAR(127)),""'"",""''""),CHAR(127))),1,true),""1"")"),"abce1")</f>
        <v>abce1</v>
      </c>
      <c r="BI4" s="16"/>
      <c r="BJ4" s="10" t="str">
        <f>IFERROR(__xludf.DUMMYFUNCTION("FILTER($K4:$T4,len($K4:$T4)=5)"),"dbcfg")</f>
        <v>dbcfg</v>
      </c>
      <c r="BK4" s="6" t="str">
        <f>IFERROR(__xludf.DUMMYFUNCTION("""COMPUTED_VALUE"""),"ecgfb")</f>
        <v>ecgfb</v>
      </c>
      <c r="BL4" s="6" t="str">
        <f>IFERROR(__xludf.DUMMYFUNCTION("""COMPUTED_VALUE"""),"afegc")</f>
        <v>afegc</v>
      </c>
      <c r="BM4" s="14" t="str">
        <f>IFERROR(__xludf.DUMMYFUNCTION("REGEXREPLACE( $BY4, CONCATENATE(""["",BJ4,""]""), """")"),"ae")</f>
        <v>ae</v>
      </c>
      <c r="BN4" s="14" t="str">
        <f>IFERROR(__xludf.DUMMYFUNCTION("REGEXREPLACE( $BY4, CONCATENATE(""["",BK4,""]""), """")"),"ad")</f>
        <v>ad</v>
      </c>
      <c r="BO4" s="14" t="str">
        <f>IFERROR(__xludf.DUMMYFUNCTION("REGEXREPLACE( $BY4, CONCATENATE(""["",BL4,""]""), """")"),"d")</f>
        <v>d</v>
      </c>
      <c r="BP4" s="11" t="str">
        <f t="shared" si="8"/>
        <v>afegc</v>
      </c>
      <c r="BQ4" s="12" t="str">
        <f>IFERROR(__xludf.DUMMYFUNCTION("CONCATENATE(SORT(TRANSPOSE(SPLIT(REGEXREPLACE(REGEXREPLACE(BP4&amp;"""",""(?s)(.{1})"",""$1""&amp;CHAR(127)),""'"",""''""),CHAR(127))),1,true),""1"")"),"acefg1")</f>
        <v>acefg1</v>
      </c>
      <c r="BR4" s="16"/>
      <c r="BS4" s="10" t="str">
        <f>IFERROR(__xludf.DUMMYFUNCTION("FILTER(K4:T4,len(K4:T4)=6)"),"fagcde")</f>
        <v>fagcde</v>
      </c>
      <c r="BT4" s="6" t="str">
        <f>IFERROR(__xludf.DUMMYFUNCTION("""COMPUTED_VALUE"""),"bgfcea")</f>
        <v>bgfcea</v>
      </c>
      <c r="BU4" s="6" t="str">
        <f>IFERROR(__xludf.DUMMYFUNCTION("""COMPUTED_VALUE"""),"befagd")</f>
        <v>befagd</v>
      </c>
      <c r="BV4" s="6" t="str">
        <f>IFERROR(__xludf.DUMMYFUNCTION("REGEXREPLACE( $AR4, CONCATENATE(""["",BS4,""]""), """")"),"b")</f>
        <v>b</v>
      </c>
      <c r="BW4" s="6" t="str">
        <f>IFERROR(__xludf.DUMMYFUNCTION("REGEXREPLACE( $AR4, CONCATENATE(""["",BT4,""]""), """")"),"")</f>
        <v/>
      </c>
      <c r="BX4" s="6" t="str">
        <f>IFERROR(__xludf.DUMMYFUNCTION("REGEXREPLACE( $AR4, CONCATENATE(""["",BU4,""]""), """")"),"")</f>
        <v/>
      </c>
      <c r="BY4" s="12" t="str">
        <f t="shared" si="9"/>
        <v>fagcde</v>
      </c>
      <c r="BZ4" s="12" t="str">
        <f>IFERROR(__xludf.DUMMYFUNCTION("CONCATENATE(SORT(TRANSPOSE(SPLIT(REGEXREPLACE(REGEXREPLACE(BY4&amp;"""",""(?s)(.{1})"",""$1""&amp;CHAR(127)),""'"",""''""),CHAR(127))),1,true),""1"")"),"acdefg1")</f>
        <v>acdefg1</v>
      </c>
      <c r="CA4" s="16"/>
      <c r="CB4" s="12" t="str">
        <f t="shared" si="10"/>
        <v>gbe</v>
      </c>
      <c r="CC4" s="12" t="str">
        <f>IFERROR(__xludf.DUMMYFUNCTION("CONCATENATE(SORT(TRANSPOSE(SPLIT(REGEXREPLACE(REGEXREPLACE(CB4&amp;"""",""(?s)(.{1})"",""$1""&amp;CHAR(127)),""'"",""''""),CHAR(127))),1,true),""1"")"),"beg1")</f>
        <v>beg1</v>
      </c>
      <c r="CD4" s="16"/>
      <c r="CE4" s="12" t="str">
        <f t="shared" si="11"/>
        <v>faegbdc</v>
      </c>
      <c r="CF4" s="12" t="str">
        <f>IFERROR(__xludf.DUMMYFUNCTION("CONCATENATE(SORT(TRANSPOSE(SPLIT(REGEXREPLACE(REGEXREPLACE(CE4&amp;"""",""(?s)(.{1})"",""$1""&amp;CHAR(127)),""'"",""''""),CHAR(127))),1,true),""1"")"),"abcdefg1")</f>
        <v>abcdefg1</v>
      </c>
      <c r="CG4" s="16"/>
      <c r="CH4" s="10" t="str">
        <f>IFERROR(__xludf.DUMMYFUNCTION("FILTER(K4:T4,len(K4:T4)=6)"),"fagcde")</f>
        <v>fagcde</v>
      </c>
      <c r="CI4" s="6" t="str">
        <f>IFERROR(__xludf.DUMMYFUNCTION("""COMPUTED_VALUE"""),"bgfcea")</f>
        <v>bgfcea</v>
      </c>
      <c r="CJ4" s="6" t="str">
        <f>IFERROR(__xludf.DUMMYFUNCTION("""COMPUTED_VALUE"""),"befagd")</f>
        <v>befagd</v>
      </c>
      <c r="CK4" s="6" t="str">
        <f>IFERROR(__xludf.DUMMYFUNCTION("REGEXREPLACE( $BG4, CONCATENATE(""["",CH4,""]""), """")"),"b")</f>
        <v>b</v>
      </c>
      <c r="CL4" s="6" t="str">
        <f>IFERROR(__xludf.DUMMYFUNCTION("REGEXREPLACE( $BG4, CONCATENATE(""["",CI4,""]""), """")"),"")</f>
        <v/>
      </c>
      <c r="CM4" s="6" t="str">
        <f>IFERROR(__xludf.DUMMYFUNCTION("REGEXREPLACE( $BG4, CONCATENATE(""["",CJ4,""]""), """")"),"c")</f>
        <v>c</v>
      </c>
      <c r="CN4" s="12" t="str">
        <f t="shared" si="12"/>
        <v>bgfcea</v>
      </c>
      <c r="CO4" s="12" t="str">
        <f>IFERROR(__xludf.DUMMYFUNCTION("CONCATENATE(SORT(TRANSPOSE(SPLIT(REGEXREPLACE(REGEXREPLACE(CN4&amp;"""",""(?s)(.{1})"",""$1""&amp;CHAR(127)),""'"",""''""),CHAR(127))),1,true),""1"")"),"abcefg1")</f>
        <v>abcefg1</v>
      </c>
      <c r="CP4" s="15"/>
    </row>
    <row r="5">
      <c r="A5" s="1" t="s">
        <v>17</v>
      </c>
      <c r="B5" s="4"/>
      <c r="C5" s="4"/>
      <c r="D5" s="4">
        <v>6.0</v>
      </c>
      <c r="E5" s="5" t="s">
        <v>18</v>
      </c>
      <c r="F5" s="4">
        <v>4.0</v>
      </c>
      <c r="G5" s="4" t="s">
        <v>19</v>
      </c>
      <c r="H5" s="6" t="str">
        <f>IFERROR(__xludf.DUMMYFUNCTION("SPLIT(A5,""|"")"),"caegb fcaged ce gafcb gfcabe egdfcba acdfbg eca dbgea bcfe ")</f>
        <v>caegb fcaged ce gafcb gfcabe egdfcba acdfbg eca dbgea bcfe </v>
      </c>
      <c r="I5" s="6" t="str">
        <f>IFERROR(__xludf.DUMMYFUNCTION("""COMPUTED_VALUE""")," gedbcaf ec ce fegacbd")</f>
        <v> gedbcaf ec ce fegacbd</v>
      </c>
      <c r="J5" s="15"/>
      <c r="K5" s="6" t="str">
        <f>IFERROR(__xludf.DUMMYFUNCTION("split(H5,"" "")"),"caegb")</f>
        <v>caegb</v>
      </c>
      <c r="L5" s="6" t="str">
        <f>IFERROR(__xludf.DUMMYFUNCTION("""COMPUTED_VALUE"""),"fcaged")</f>
        <v>fcaged</v>
      </c>
      <c r="M5" s="6" t="str">
        <f>IFERROR(__xludf.DUMMYFUNCTION("""COMPUTED_VALUE"""),"ce")</f>
        <v>ce</v>
      </c>
      <c r="N5" s="6" t="str">
        <f>IFERROR(__xludf.DUMMYFUNCTION("""COMPUTED_VALUE"""),"gafcb")</f>
        <v>gafcb</v>
      </c>
      <c r="O5" s="6" t="str">
        <f>IFERROR(__xludf.DUMMYFUNCTION("""COMPUTED_VALUE"""),"gfcabe")</f>
        <v>gfcabe</v>
      </c>
      <c r="P5" s="6" t="str">
        <f>IFERROR(__xludf.DUMMYFUNCTION("""COMPUTED_VALUE"""),"egdfcba")</f>
        <v>egdfcba</v>
      </c>
      <c r="Q5" s="6" t="str">
        <f>IFERROR(__xludf.DUMMYFUNCTION("""COMPUTED_VALUE"""),"acdfbg")</f>
        <v>acdfbg</v>
      </c>
      <c r="R5" s="6" t="str">
        <f>IFERROR(__xludf.DUMMYFUNCTION("""COMPUTED_VALUE"""),"eca")</f>
        <v>eca</v>
      </c>
      <c r="S5" s="6" t="str">
        <f>IFERROR(__xludf.DUMMYFUNCTION("""COMPUTED_VALUE"""),"dbgea")</f>
        <v>dbgea</v>
      </c>
      <c r="T5" s="6" t="str">
        <f>IFERROR(__xludf.DUMMYFUNCTION("""COMPUTED_VALUE"""),"bcfe")</f>
        <v>bcfe</v>
      </c>
      <c r="U5" s="15"/>
      <c r="V5" s="6" t="str">
        <f>IFERROR(__xludf.DUMMYFUNCTION("split(I5,"" "")"),"gedbcaf")</f>
        <v>gedbcaf</v>
      </c>
      <c r="W5" s="6" t="str">
        <f>IFERROR(__xludf.DUMMYFUNCTION("""COMPUTED_VALUE"""),"ec")</f>
        <v>ec</v>
      </c>
      <c r="X5" s="6" t="str">
        <f>IFERROR(__xludf.DUMMYFUNCTION("""COMPUTED_VALUE"""),"ce")</f>
        <v>ce</v>
      </c>
      <c r="Y5" s="6" t="str">
        <f>IFERROR(__xludf.DUMMYFUNCTION("""COMPUTED_VALUE"""),"fegacbd")</f>
        <v>fegacbd</v>
      </c>
      <c r="Z5" s="6" t="str">
        <f>IFERROR(__xludf.DUMMYFUNCTION("CONCATENATE(SORT(TRANSPOSE(SPLIT(REGEXREPLACE(REGEXREPLACE(V5&amp;"""",""(?s)(.{1})"",""$1""&amp;CHAR(127)),""'"",""''""),CHAR(127))),1,true))"),"abcdefg")</f>
        <v>abcdefg</v>
      </c>
      <c r="AA5" s="6" t="str">
        <f>IFERROR(__xludf.DUMMYFUNCTION("CONCATENATE(SORT(TRANSPOSE(SPLIT(REGEXREPLACE(REGEXREPLACE(W5&amp;"""",""(?s)(.{1})"",""$1""&amp;CHAR(127)),""'"",""''""),CHAR(127))),1,true))"),"ce")</f>
        <v>ce</v>
      </c>
      <c r="AB5" s="6" t="str">
        <f>IFERROR(__xludf.DUMMYFUNCTION("CONCATENATE(SORT(TRANSPOSE(SPLIT(REGEXREPLACE(REGEXREPLACE(X5&amp;"""",""(?s)(.{1})"",""$1""&amp;CHAR(127)),""'"",""''""),CHAR(127))),1,true))"),"ce")</f>
        <v>ce</v>
      </c>
      <c r="AC5" s="6" t="str">
        <f>IFERROR(__xludf.DUMMYFUNCTION("CONCATENATE(SORT(TRANSPOSE(SPLIT(REGEXREPLACE(REGEXREPLACE(Y5&amp;"""",""(?s)(.{1})"",""$1""&amp;CHAR(127)),""'"",""''""),CHAR(127))),1,true))"),"abcdefg")</f>
        <v>abcdefg</v>
      </c>
      <c r="AD5" s="6">
        <f t="shared" ref="AD5:AG5" si="15">INDEX($AO$1:$CP$1,1,MATCH(CONCATENATE(Z5,"1"),$AO5:$CP5,0)+1)</f>
        <v>8</v>
      </c>
      <c r="AE5" s="6">
        <f t="shared" si="15"/>
        <v>1</v>
      </c>
      <c r="AF5" s="6">
        <f t="shared" si="15"/>
        <v>1</v>
      </c>
      <c r="AG5" s="6">
        <f t="shared" si="15"/>
        <v>8</v>
      </c>
      <c r="AH5" s="6">
        <f t="shared" si="3"/>
        <v>8118</v>
      </c>
      <c r="AI5" s="16"/>
      <c r="AJ5" s="9" t="str">
        <f>IFERROR(__xludf.DUMMYFUNCTION("REGEXREPLACE(AR5,CONCATENATE(""["",BY5,""]""),"""")"),"e")</f>
        <v>e</v>
      </c>
      <c r="AK5" s="10" t="str">
        <f>IFERROR(__xludf.DUMMYFUNCTION("FILTER($K5:$T5,len($K5:$T5)=6,NOT($K5:$T5=BY5))"),"fcaged")</f>
        <v>fcaged</v>
      </c>
      <c r="AL5" s="6" t="str">
        <f>IFERROR(__xludf.DUMMYFUNCTION("""COMPUTED_VALUE"""),"gfcabe")</f>
        <v>gfcabe</v>
      </c>
      <c r="AM5" s="6" t="str">
        <f>IFERROR(__xludf.DUMMYFUNCTION("REGEXREPLACE( $BG5, CONCATENATE(""["",AK5,""]""), """")"),"b")</f>
        <v>b</v>
      </c>
      <c r="AN5" s="6" t="str">
        <f>IFERROR(__xludf.DUMMYFUNCTION("REGEXREPLACE( $BG5, CONCATENATE(""["",AL5,""]""), """")"),"")</f>
        <v/>
      </c>
      <c r="AO5" s="11" t="str">
        <f t="shared" si="4"/>
        <v>fcaged</v>
      </c>
      <c r="AP5" s="12" t="str">
        <f>IFERROR(__xludf.DUMMYFUNCTION("CONCATENATE(SORT(TRANSPOSE(SPLIT(REGEXREPLACE(REGEXREPLACE(AO5&amp;"""",""(?s)(.{1})"",""$1""&amp;CHAR(127)),""'"",""''""),CHAR(127))),1,true),""1"")"),"acdefg1")</f>
        <v>acdefg1</v>
      </c>
      <c r="AQ5" s="16"/>
      <c r="AR5" s="12" t="str">
        <f t="shared" si="5"/>
        <v>ce</v>
      </c>
      <c r="AS5" s="12" t="str">
        <f>IFERROR(__xludf.DUMMYFUNCTION("CONCATENATE(SORT(TRANSPOSE(SPLIT(REGEXREPLACE(REGEXREPLACE(AR5&amp;"""",""(?s)(.{1})"",""$1""&amp;CHAR(127)),""'"",""''""),CHAR(127))),1,true),""1"")"),"ce1")</f>
        <v>ce1</v>
      </c>
      <c r="AT5" s="16"/>
      <c r="AU5" s="13" t="str">
        <f>IFERROR(__xludf.DUMMYFUNCTION("FILTER($K5:$T5,len($K5:$T5)=5,NOT($K5:$T5=BD5),NOT($K5:$T5=BP5))"),"dbgea")</f>
        <v>dbgea</v>
      </c>
      <c r="AV5" s="12" t="str">
        <f>IFERROR(__xludf.DUMMYFUNCTION("CONCATENATE(SORT(TRANSPOSE(SPLIT(REGEXREPLACE(REGEXREPLACE(AU5&amp;"""",""(?s)(.{1})"",""$1""&amp;CHAR(127)),""'"",""''""),CHAR(127))),1,true),""1"")"),"abdeg1")</f>
        <v>abdeg1</v>
      </c>
      <c r="AW5" s="16"/>
      <c r="AX5" s="10" t="str">
        <f>IFERROR(__xludf.DUMMYFUNCTION("FILTER($K5:$T5,len($K5:$T5)=5)"),"caegb")</f>
        <v>caegb</v>
      </c>
      <c r="AY5" s="6" t="str">
        <f>IFERROR(__xludf.DUMMYFUNCTION("""COMPUTED_VALUE"""),"gafcb")</f>
        <v>gafcb</v>
      </c>
      <c r="AZ5" s="6" t="str">
        <f>IFERROR(__xludf.DUMMYFUNCTION("""COMPUTED_VALUE"""),"dbgea")</f>
        <v>dbgea</v>
      </c>
      <c r="BA5" s="6" t="str">
        <f>IFERROR(__xludf.DUMMYFUNCTION("REGEXREPLACE( $AR5, CONCATENATE(""["",AX5,""]""), """")"),"")</f>
        <v/>
      </c>
      <c r="BB5" s="6" t="str">
        <f>IFERROR(__xludf.DUMMYFUNCTION("REGEXREPLACE( $AR5, CONCATENATE(""["",AY5,""]""), """")"),"e")</f>
        <v>e</v>
      </c>
      <c r="BC5" s="6" t="str">
        <f>IFERROR(__xludf.DUMMYFUNCTION("REGEXREPLACE( $AR5, CONCATENATE(""["",AZ5,""]""), """")"),"c")</f>
        <v>c</v>
      </c>
      <c r="BD5" s="11" t="str">
        <f t="shared" si="6"/>
        <v>caegb</v>
      </c>
      <c r="BE5" s="12" t="str">
        <f>IFERROR(__xludf.DUMMYFUNCTION("CONCATENATE(SORT(TRANSPOSE(SPLIT(REGEXREPLACE(REGEXREPLACE(BD5&amp;"""",""(?s)(.{1})"",""$1""&amp;CHAR(127)),""'"",""''""),CHAR(127))),1,true),""1"")"),"abceg1")</f>
        <v>abceg1</v>
      </c>
      <c r="BF5" s="16"/>
      <c r="BG5" s="12" t="str">
        <f t="shared" si="7"/>
        <v>bcfe</v>
      </c>
      <c r="BH5" s="12" t="str">
        <f>IFERROR(__xludf.DUMMYFUNCTION("CONCATENATE(SORT(TRANSPOSE(SPLIT(REGEXREPLACE(REGEXREPLACE(BG5&amp;"""",""(?s)(.{1})"",""$1""&amp;CHAR(127)),""'"",""''""),CHAR(127))),1,true),""1"")"),"bcef1")</f>
        <v>bcef1</v>
      </c>
      <c r="BI5" s="16"/>
      <c r="BJ5" s="10" t="str">
        <f>IFERROR(__xludf.DUMMYFUNCTION("FILTER($K5:$T5,len($K5:$T5)=5)"),"caegb")</f>
        <v>caegb</v>
      </c>
      <c r="BK5" s="6" t="str">
        <f>IFERROR(__xludf.DUMMYFUNCTION("""COMPUTED_VALUE"""),"gafcb")</f>
        <v>gafcb</v>
      </c>
      <c r="BL5" s="6" t="str">
        <f>IFERROR(__xludf.DUMMYFUNCTION("""COMPUTED_VALUE"""),"dbgea")</f>
        <v>dbgea</v>
      </c>
      <c r="BM5" s="14" t="str">
        <f>IFERROR(__xludf.DUMMYFUNCTION("REGEXREPLACE( $BY5, CONCATENATE(""["",BJ5,""]""), """")"),"df")</f>
        <v>df</v>
      </c>
      <c r="BN5" s="14" t="str">
        <f>IFERROR(__xludf.DUMMYFUNCTION("REGEXREPLACE( $BY5, CONCATENATE(""["",BK5,""]""), """")"),"d")</f>
        <v>d</v>
      </c>
      <c r="BO5" s="14" t="str">
        <f>IFERROR(__xludf.DUMMYFUNCTION("REGEXREPLACE( $BY5, CONCATENATE(""["",BL5,""]""), """")"),"cf")</f>
        <v>cf</v>
      </c>
      <c r="BP5" s="11" t="str">
        <f t="shared" si="8"/>
        <v>gafcb</v>
      </c>
      <c r="BQ5" s="12" t="str">
        <f>IFERROR(__xludf.DUMMYFUNCTION("CONCATENATE(SORT(TRANSPOSE(SPLIT(REGEXREPLACE(REGEXREPLACE(BP5&amp;"""",""(?s)(.{1})"",""$1""&amp;CHAR(127)),""'"",""''""),CHAR(127))),1,true),""1"")"),"abcfg1")</f>
        <v>abcfg1</v>
      </c>
      <c r="BR5" s="16"/>
      <c r="BS5" s="10" t="str">
        <f>IFERROR(__xludf.DUMMYFUNCTION("FILTER(K5:T5,len(K5:T5)=6)"),"fcaged")</f>
        <v>fcaged</v>
      </c>
      <c r="BT5" s="6" t="str">
        <f>IFERROR(__xludf.DUMMYFUNCTION("""COMPUTED_VALUE"""),"gfcabe")</f>
        <v>gfcabe</v>
      </c>
      <c r="BU5" s="6" t="str">
        <f>IFERROR(__xludf.DUMMYFUNCTION("""COMPUTED_VALUE"""),"acdfbg")</f>
        <v>acdfbg</v>
      </c>
      <c r="BV5" s="6" t="str">
        <f>IFERROR(__xludf.DUMMYFUNCTION("REGEXREPLACE( $AR5, CONCATENATE(""["",BS5,""]""), """")"),"")</f>
        <v/>
      </c>
      <c r="BW5" s="6" t="str">
        <f>IFERROR(__xludf.DUMMYFUNCTION("REGEXREPLACE( $AR5, CONCATENATE(""["",BT5,""]""), """")"),"")</f>
        <v/>
      </c>
      <c r="BX5" s="6" t="str">
        <f>IFERROR(__xludf.DUMMYFUNCTION("REGEXREPLACE( $AR5, CONCATENATE(""["",BU5,""]""), """")"),"e")</f>
        <v>e</v>
      </c>
      <c r="BY5" s="12" t="str">
        <f t="shared" si="9"/>
        <v>acdfbg</v>
      </c>
      <c r="BZ5" s="12" t="str">
        <f>IFERROR(__xludf.DUMMYFUNCTION("CONCATENATE(SORT(TRANSPOSE(SPLIT(REGEXREPLACE(REGEXREPLACE(BY5&amp;"""",""(?s)(.{1})"",""$1""&amp;CHAR(127)),""'"",""''""),CHAR(127))),1,true),""1"")"),"abcdfg1")</f>
        <v>abcdfg1</v>
      </c>
      <c r="CA5" s="16"/>
      <c r="CB5" s="12" t="str">
        <f t="shared" si="10"/>
        <v>eca</v>
      </c>
      <c r="CC5" s="12" t="str">
        <f>IFERROR(__xludf.DUMMYFUNCTION("CONCATENATE(SORT(TRANSPOSE(SPLIT(REGEXREPLACE(REGEXREPLACE(CB5&amp;"""",""(?s)(.{1})"",""$1""&amp;CHAR(127)),""'"",""''""),CHAR(127))),1,true),""1"")"),"ace1")</f>
        <v>ace1</v>
      </c>
      <c r="CD5" s="16"/>
      <c r="CE5" s="12" t="str">
        <f t="shared" si="11"/>
        <v>egdfcba</v>
      </c>
      <c r="CF5" s="12" t="str">
        <f>IFERROR(__xludf.DUMMYFUNCTION("CONCATENATE(SORT(TRANSPOSE(SPLIT(REGEXREPLACE(REGEXREPLACE(CE5&amp;"""",""(?s)(.{1})"",""$1""&amp;CHAR(127)),""'"",""''""),CHAR(127))),1,true),""1"")"),"abcdefg1")</f>
        <v>abcdefg1</v>
      </c>
      <c r="CG5" s="16"/>
      <c r="CH5" s="10" t="str">
        <f>IFERROR(__xludf.DUMMYFUNCTION("FILTER(K5:T5,len(K5:T5)=6)"),"fcaged")</f>
        <v>fcaged</v>
      </c>
      <c r="CI5" s="6" t="str">
        <f>IFERROR(__xludf.DUMMYFUNCTION("""COMPUTED_VALUE"""),"gfcabe")</f>
        <v>gfcabe</v>
      </c>
      <c r="CJ5" s="6" t="str">
        <f>IFERROR(__xludf.DUMMYFUNCTION("""COMPUTED_VALUE"""),"acdfbg")</f>
        <v>acdfbg</v>
      </c>
      <c r="CK5" s="6" t="str">
        <f>IFERROR(__xludf.DUMMYFUNCTION("REGEXREPLACE( $BG5, CONCATENATE(""["",CH5,""]""), """")"),"b")</f>
        <v>b</v>
      </c>
      <c r="CL5" s="6" t="str">
        <f>IFERROR(__xludf.DUMMYFUNCTION("REGEXREPLACE( $BG5, CONCATENATE(""["",CI5,""]""), """")"),"")</f>
        <v/>
      </c>
      <c r="CM5" s="6" t="str">
        <f>IFERROR(__xludf.DUMMYFUNCTION("REGEXREPLACE( $BG5, CONCATENATE(""["",CJ5,""]""), """")"),"e")</f>
        <v>e</v>
      </c>
      <c r="CN5" s="12" t="str">
        <f t="shared" si="12"/>
        <v>gfcabe</v>
      </c>
      <c r="CO5" s="12" t="str">
        <f>IFERROR(__xludf.DUMMYFUNCTION("CONCATENATE(SORT(TRANSPOSE(SPLIT(REGEXREPLACE(REGEXREPLACE(CN5&amp;"""",""(?s)(.{1})"",""$1""&amp;CHAR(127)),""'"",""''""),CHAR(127))),1,true),""1"")"),"abcefg1")</f>
        <v>abcefg1</v>
      </c>
      <c r="CP5" s="15"/>
    </row>
    <row r="6">
      <c r="A6" s="1" t="s">
        <v>20</v>
      </c>
      <c r="B6" s="4"/>
      <c r="C6" s="4"/>
      <c r="D6" s="4">
        <v>7.0</v>
      </c>
      <c r="E6" s="5" t="s">
        <v>21</v>
      </c>
      <c r="F6" s="4">
        <v>5.0</v>
      </c>
      <c r="G6" s="4" t="s">
        <v>22</v>
      </c>
      <c r="H6" s="6" t="str">
        <f>IFERROR(__xludf.DUMMYFUNCTION("SPLIT(A6,""|"")"),"bcegad beag agcbd ged degcabf dcaegf fecdb eg dbgfca dgbec ")</f>
        <v>bcegad beag agcbd ged degcabf dcaegf fecdb eg dbgfca dgbec </v>
      </c>
      <c r="I6" s="6" t="str">
        <f>IFERROR(__xludf.DUMMYFUNCTION("""COMPUTED_VALUE""")," gcdebaf gde bacgd egcdaf")</f>
        <v> gcdebaf gde bacgd egcdaf</v>
      </c>
      <c r="J6" s="15"/>
      <c r="K6" s="6" t="str">
        <f>IFERROR(__xludf.DUMMYFUNCTION("split(H6,"" "")"),"bcegad")</f>
        <v>bcegad</v>
      </c>
      <c r="L6" s="6" t="str">
        <f>IFERROR(__xludf.DUMMYFUNCTION("""COMPUTED_VALUE"""),"beag")</f>
        <v>beag</v>
      </c>
      <c r="M6" s="6" t="str">
        <f>IFERROR(__xludf.DUMMYFUNCTION("""COMPUTED_VALUE"""),"agcbd")</f>
        <v>agcbd</v>
      </c>
      <c r="N6" s="6" t="str">
        <f>IFERROR(__xludf.DUMMYFUNCTION("""COMPUTED_VALUE"""),"ged")</f>
        <v>ged</v>
      </c>
      <c r="O6" s="6" t="str">
        <f>IFERROR(__xludf.DUMMYFUNCTION("""COMPUTED_VALUE"""),"degcabf")</f>
        <v>degcabf</v>
      </c>
      <c r="P6" s="6" t="str">
        <f>IFERROR(__xludf.DUMMYFUNCTION("""COMPUTED_VALUE"""),"dcaegf")</f>
        <v>dcaegf</v>
      </c>
      <c r="Q6" s="6" t="str">
        <f>IFERROR(__xludf.DUMMYFUNCTION("""COMPUTED_VALUE"""),"fecdb")</f>
        <v>fecdb</v>
      </c>
      <c r="R6" s="6" t="str">
        <f>IFERROR(__xludf.DUMMYFUNCTION("""COMPUTED_VALUE"""),"eg")</f>
        <v>eg</v>
      </c>
      <c r="S6" s="6" t="str">
        <f>IFERROR(__xludf.DUMMYFUNCTION("""COMPUTED_VALUE"""),"dbgfca")</f>
        <v>dbgfca</v>
      </c>
      <c r="T6" s="6" t="str">
        <f>IFERROR(__xludf.DUMMYFUNCTION("""COMPUTED_VALUE"""),"dgbec")</f>
        <v>dgbec</v>
      </c>
      <c r="U6" s="15"/>
      <c r="V6" s="6" t="str">
        <f>IFERROR(__xludf.DUMMYFUNCTION("split(I6,"" "")"),"gcdebaf")</f>
        <v>gcdebaf</v>
      </c>
      <c r="W6" s="6" t="str">
        <f>IFERROR(__xludf.DUMMYFUNCTION("""COMPUTED_VALUE"""),"gde")</f>
        <v>gde</v>
      </c>
      <c r="X6" s="6" t="str">
        <f>IFERROR(__xludf.DUMMYFUNCTION("""COMPUTED_VALUE"""),"bacgd")</f>
        <v>bacgd</v>
      </c>
      <c r="Y6" s="6" t="str">
        <f>IFERROR(__xludf.DUMMYFUNCTION("""COMPUTED_VALUE"""),"egcdaf")</f>
        <v>egcdaf</v>
      </c>
      <c r="Z6" s="6" t="str">
        <f>IFERROR(__xludf.DUMMYFUNCTION("CONCATENATE(SORT(TRANSPOSE(SPLIT(REGEXREPLACE(REGEXREPLACE(V6&amp;"""",""(?s)(.{1})"",""$1""&amp;CHAR(127)),""'"",""''""),CHAR(127))),1,true))"),"abcdefg")</f>
        <v>abcdefg</v>
      </c>
      <c r="AA6" s="6" t="str">
        <f>IFERROR(__xludf.DUMMYFUNCTION("CONCATENATE(SORT(TRANSPOSE(SPLIT(REGEXREPLACE(REGEXREPLACE(W6&amp;"""",""(?s)(.{1})"",""$1""&amp;CHAR(127)),""'"",""''""),CHAR(127))),1,true))"),"deg")</f>
        <v>deg</v>
      </c>
      <c r="AB6" s="6" t="str">
        <f>IFERROR(__xludf.DUMMYFUNCTION("CONCATENATE(SORT(TRANSPOSE(SPLIT(REGEXREPLACE(REGEXREPLACE(X6&amp;"""",""(?s)(.{1})"",""$1""&amp;CHAR(127)),""'"",""''""),CHAR(127))),1,true))"),"abcdg")</f>
        <v>abcdg</v>
      </c>
      <c r="AC6" s="6" t="str">
        <f>IFERROR(__xludf.DUMMYFUNCTION("CONCATENATE(SORT(TRANSPOSE(SPLIT(REGEXREPLACE(REGEXREPLACE(Y6&amp;"""",""(?s)(.{1})"",""$1""&amp;CHAR(127)),""'"",""''""),CHAR(127))),1,true))"),"acdefg")</f>
        <v>acdefg</v>
      </c>
      <c r="AD6" s="6">
        <f t="shared" ref="AD6:AG6" si="16">INDEX($AO$1:$CP$1,1,MATCH(CONCATENATE(Z6,"1"),$AO6:$CP6,0)+1)</f>
        <v>8</v>
      </c>
      <c r="AE6" s="6">
        <f t="shared" si="16"/>
        <v>7</v>
      </c>
      <c r="AF6" s="6">
        <f t="shared" si="16"/>
        <v>5</v>
      </c>
      <c r="AG6" s="6">
        <f t="shared" si="16"/>
        <v>0</v>
      </c>
      <c r="AH6" s="6">
        <f t="shared" si="3"/>
        <v>8750</v>
      </c>
      <c r="AI6" s="16"/>
      <c r="AJ6" s="9" t="str">
        <f>IFERROR(__xludf.DUMMYFUNCTION("REGEXREPLACE(AR6,CONCATENATE(""["",BY6,""]""),"""")"),"e")</f>
        <v>e</v>
      </c>
      <c r="AK6" s="10" t="str">
        <f>IFERROR(__xludf.DUMMYFUNCTION("FILTER($K6:$T6,len($K6:$T6)=6,NOT($K6:$T6=BY6))"),"bcegad")</f>
        <v>bcegad</v>
      </c>
      <c r="AL6" s="6" t="str">
        <f>IFERROR(__xludf.DUMMYFUNCTION("""COMPUTED_VALUE"""),"dcaegf")</f>
        <v>dcaegf</v>
      </c>
      <c r="AM6" s="6" t="str">
        <f>IFERROR(__xludf.DUMMYFUNCTION("REGEXREPLACE( $BG6, CONCATENATE(""["",AK6,""]""), """")"),"")</f>
        <v/>
      </c>
      <c r="AN6" s="6" t="str">
        <f>IFERROR(__xludf.DUMMYFUNCTION("REGEXREPLACE( $BG6, CONCATENATE(""["",AL6,""]""), """")"),"b")</f>
        <v>b</v>
      </c>
      <c r="AO6" s="11" t="str">
        <f t="shared" si="4"/>
        <v>dcaegf</v>
      </c>
      <c r="AP6" s="12" t="str">
        <f>IFERROR(__xludf.DUMMYFUNCTION("CONCATENATE(SORT(TRANSPOSE(SPLIT(REGEXREPLACE(REGEXREPLACE(AO6&amp;"""",""(?s)(.{1})"",""$1""&amp;CHAR(127)),""'"",""''""),CHAR(127))),1,true),""1"")"),"acdefg1")</f>
        <v>acdefg1</v>
      </c>
      <c r="AQ6" s="16"/>
      <c r="AR6" s="12" t="str">
        <f t="shared" si="5"/>
        <v>eg</v>
      </c>
      <c r="AS6" s="12" t="str">
        <f>IFERROR(__xludf.DUMMYFUNCTION("CONCATENATE(SORT(TRANSPOSE(SPLIT(REGEXREPLACE(REGEXREPLACE(AR6&amp;"""",""(?s)(.{1})"",""$1""&amp;CHAR(127)),""'"",""''""),CHAR(127))),1,true),""1"")"),"eg1")</f>
        <v>eg1</v>
      </c>
      <c r="AT6" s="16"/>
      <c r="AU6" s="13" t="str">
        <f>IFERROR(__xludf.DUMMYFUNCTION("FILTER($K6:$T6,len($K6:$T6)=5,NOT($K6:$T6=BD6),NOT($K6:$T6=BP6))"),"fecdb")</f>
        <v>fecdb</v>
      </c>
      <c r="AV6" s="12" t="str">
        <f>IFERROR(__xludf.DUMMYFUNCTION("CONCATENATE(SORT(TRANSPOSE(SPLIT(REGEXREPLACE(REGEXREPLACE(AU6&amp;"""",""(?s)(.{1})"",""$1""&amp;CHAR(127)),""'"",""''""),CHAR(127))),1,true),""1"")"),"bcdef1")</f>
        <v>bcdef1</v>
      </c>
      <c r="AW6" s="16"/>
      <c r="AX6" s="10" t="str">
        <f>IFERROR(__xludf.DUMMYFUNCTION("FILTER($K6:$T6,len($K6:$T6)=5)"),"agcbd")</f>
        <v>agcbd</v>
      </c>
      <c r="AY6" s="6" t="str">
        <f>IFERROR(__xludf.DUMMYFUNCTION("""COMPUTED_VALUE"""),"fecdb")</f>
        <v>fecdb</v>
      </c>
      <c r="AZ6" s="6" t="str">
        <f>IFERROR(__xludf.DUMMYFUNCTION("""COMPUTED_VALUE"""),"dgbec")</f>
        <v>dgbec</v>
      </c>
      <c r="BA6" s="6" t="str">
        <f>IFERROR(__xludf.DUMMYFUNCTION("REGEXREPLACE( $AR6, CONCATENATE(""["",AX6,""]""), """")"),"e")</f>
        <v>e</v>
      </c>
      <c r="BB6" s="6" t="str">
        <f>IFERROR(__xludf.DUMMYFUNCTION("REGEXREPLACE( $AR6, CONCATENATE(""["",AY6,""]""), """")"),"g")</f>
        <v>g</v>
      </c>
      <c r="BC6" s="6" t="str">
        <f>IFERROR(__xludf.DUMMYFUNCTION("REGEXREPLACE( $AR6, CONCATENATE(""["",AZ6,""]""), """")"),"")</f>
        <v/>
      </c>
      <c r="BD6" s="11" t="str">
        <f t="shared" si="6"/>
        <v>dgbec</v>
      </c>
      <c r="BE6" s="12" t="str">
        <f>IFERROR(__xludf.DUMMYFUNCTION("CONCATENATE(SORT(TRANSPOSE(SPLIT(REGEXREPLACE(REGEXREPLACE(BD6&amp;"""",""(?s)(.{1})"",""$1""&amp;CHAR(127)),""'"",""''""),CHAR(127))),1,true),""1"")"),"bcdeg1")</f>
        <v>bcdeg1</v>
      </c>
      <c r="BF6" s="16"/>
      <c r="BG6" s="12" t="str">
        <f t="shared" si="7"/>
        <v>beag</v>
      </c>
      <c r="BH6" s="12" t="str">
        <f>IFERROR(__xludf.DUMMYFUNCTION("CONCATENATE(SORT(TRANSPOSE(SPLIT(REGEXREPLACE(REGEXREPLACE(BG6&amp;"""",""(?s)(.{1})"",""$1""&amp;CHAR(127)),""'"",""''""),CHAR(127))),1,true),""1"")"),"abeg1")</f>
        <v>abeg1</v>
      </c>
      <c r="BI6" s="16"/>
      <c r="BJ6" s="10" t="str">
        <f>IFERROR(__xludf.DUMMYFUNCTION("FILTER($K6:$T6,len($K6:$T6)=5)"),"agcbd")</f>
        <v>agcbd</v>
      </c>
      <c r="BK6" s="6" t="str">
        <f>IFERROR(__xludf.DUMMYFUNCTION("""COMPUTED_VALUE"""),"fecdb")</f>
        <v>fecdb</v>
      </c>
      <c r="BL6" s="6" t="str">
        <f>IFERROR(__xludf.DUMMYFUNCTION("""COMPUTED_VALUE"""),"dgbec")</f>
        <v>dgbec</v>
      </c>
      <c r="BM6" s="14" t="str">
        <f>IFERROR(__xludf.DUMMYFUNCTION("REGEXREPLACE( $BY6, CONCATENATE(""["",BJ6,""]""), """")"),"f")</f>
        <v>f</v>
      </c>
      <c r="BN6" s="14" t="str">
        <f>IFERROR(__xludf.DUMMYFUNCTION("REGEXREPLACE( $BY6, CONCATENATE(""["",BK6,""]""), """")"),"ga")</f>
        <v>ga</v>
      </c>
      <c r="BO6" s="14" t="str">
        <f>IFERROR(__xludf.DUMMYFUNCTION("REGEXREPLACE( $BY6, CONCATENATE(""["",BL6,""]""), """")"),"fa")</f>
        <v>fa</v>
      </c>
      <c r="BP6" s="11" t="str">
        <f t="shared" si="8"/>
        <v>agcbd</v>
      </c>
      <c r="BQ6" s="12" t="str">
        <f>IFERROR(__xludf.DUMMYFUNCTION("CONCATENATE(SORT(TRANSPOSE(SPLIT(REGEXREPLACE(REGEXREPLACE(BP6&amp;"""",""(?s)(.{1})"",""$1""&amp;CHAR(127)),""'"",""''""),CHAR(127))),1,true),""1"")"),"abcdg1")</f>
        <v>abcdg1</v>
      </c>
      <c r="BR6" s="16"/>
      <c r="BS6" s="10" t="str">
        <f>IFERROR(__xludf.DUMMYFUNCTION("FILTER(K6:T6,len(K6:T6)=6)"),"bcegad")</f>
        <v>bcegad</v>
      </c>
      <c r="BT6" s="6" t="str">
        <f>IFERROR(__xludf.DUMMYFUNCTION("""COMPUTED_VALUE"""),"dcaegf")</f>
        <v>dcaegf</v>
      </c>
      <c r="BU6" s="6" t="str">
        <f>IFERROR(__xludf.DUMMYFUNCTION("""COMPUTED_VALUE"""),"dbgfca")</f>
        <v>dbgfca</v>
      </c>
      <c r="BV6" s="6" t="str">
        <f>IFERROR(__xludf.DUMMYFUNCTION("REGEXREPLACE( $AR6, CONCATENATE(""["",BS6,""]""), """")"),"")</f>
        <v/>
      </c>
      <c r="BW6" s="6" t="str">
        <f>IFERROR(__xludf.DUMMYFUNCTION("REGEXREPLACE( $AR6, CONCATENATE(""["",BT6,""]""), """")"),"")</f>
        <v/>
      </c>
      <c r="BX6" s="6" t="str">
        <f>IFERROR(__xludf.DUMMYFUNCTION("REGEXREPLACE( $AR6, CONCATENATE(""["",BU6,""]""), """")"),"e")</f>
        <v>e</v>
      </c>
      <c r="BY6" s="12" t="str">
        <f t="shared" si="9"/>
        <v>dbgfca</v>
      </c>
      <c r="BZ6" s="12" t="str">
        <f>IFERROR(__xludf.DUMMYFUNCTION("CONCATENATE(SORT(TRANSPOSE(SPLIT(REGEXREPLACE(REGEXREPLACE(BY6&amp;"""",""(?s)(.{1})"",""$1""&amp;CHAR(127)),""'"",""''""),CHAR(127))),1,true),""1"")"),"abcdfg1")</f>
        <v>abcdfg1</v>
      </c>
      <c r="CA6" s="16"/>
      <c r="CB6" s="12" t="str">
        <f t="shared" si="10"/>
        <v>ged</v>
      </c>
      <c r="CC6" s="12" t="str">
        <f>IFERROR(__xludf.DUMMYFUNCTION("CONCATENATE(SORT(TRANSPOSE(SPLIT(REGEXREPLACE(REGEXREPLACE(CB6&amp;"""",""(?s)(.{1})"",""$1""&amp;CHAR(127)),""'"",""''""),CHAR(127))),1,true),""1"")"),"deg1")</f>
        <v>deg1</v>
      </c>
      <c r="CD6" s="16"/>
      <c r="CE6" s="12" t="str">
        <f t="shared" si="11"/>
        <v>degcabf</v>
      </c>
      <c r="CF6" s="12" t="str">
        <f>IFERROR(__xludf.DUMMYFUNCTION("CONCATENATE(SORT(TRANSPOSE(SPLIT(REGEXREPLACE(REGEXREPLACE(CE6&amp;"""",""(?s)(.{1})"",""$1""&amp;CHAR(127)),""'"",""''""),CHAR(127))),1,true),""1"")"),"abcdefg1")</f>
        <v>abcdefg1</v>
      </c>
      <c r="CG6" s="16"/>
      <c r="CH6" s="10" t="str">
        <f>IFERROR(__xludf.DUMMYFUNCTION("FILTER(K6:T6,len(K6:T6)=6)"),"bcegad")</f>
        <v>bcegad</v>
      </c>
      <c r="CI6" s="6" t="str">
        <f>IFERROR(__xludf.DUMMYFUNCTION("""COMPUTED_VALUE"""),"dcaegf")</f>
        <v>dcaegf</v>
      </c>
      <c r="CJ6" s="6" t="str">
        <f>IFERROR(__xludf.DUMMYFUNCTION("""COMPUTED_VALUE"""),"dbgfca")</f>
        <v>dbgfca</v>
      </c>
      <c r="CK6" s="6" t="str">
        <f>IFERROR(__xludf.DUMMYFUNCTION("REGEXREPLACE( $BG6, CONCATENATE(""["",CH6,""]""), """")"),"")</f>
        <v/>
      </c>
      <c r="CL6" s="6" t="str">
        <f>IFERROR(__xludf.DUMMYFUNCTION("REGEXREPLACE( $BG6, CONCATENATE(""["",CI6,""]""), """")"),"b")</f>
        <v>b</v>
      </c>
      <c r="CM6" s="6" t="str">
        <f>IFERROR(__xludf.DUMMYFUNCTION("REGEXREPLACE( $BG6, CONCATENATE(""["",CJ6,""]""), """")"),"e")</f>
        <v>e</v>
      </c>
      <c r="CN6" s="12" t="str">
        <f t="shared" si="12"/>
        <v>bcegad</v>
      </c>
      <c r="CO6" s="12" t="str">
        <f>IFERROR(__xludf.DUMMYFUNCTION("CONCATENATE(SORT(TRANSPOSE(SPLIT(REGEXREPLACE(REGEXREPLACE(CN6&amp;"""",""(?s)(.{1})"",""$1""&amp;CHAR(127)),""'"",""''""),CHAR(127))),1,true),""1"")"),"abcdeg1")</f>
        <v>abcdeg1</v>
      </c>
      <c r="CP6" s="15"/>
    </row>
    <row r="7">
      <c r="A7" s="1" t="s">
        <v>23</v>
      </c>
      <c r="B7" s="4"/>
      <c r="C7" s="4"/>
      <c r="D7" s="4"/>
      <c r="E7" s="4"/>
      <c r="F7" s="4">
        <v>6.0</v>
      </c>
      <c r="G7" s="4" t="s">
        <v>24</v>
      </c>
      <c r="H7" s="6" t="str">
        <f>IFERROR(__xludf.DUMMYFUNCTION("SPLIT(A7,""|"")"),"cbgef cgedfa agedfb dfca dgcef gbedac faged fgaecdb dc dgc ")</f>
        <v>cbgef cgedfa agedfb dfca dgcef gbedac faged fgaecdb dc dgc </v>
      </c>
      <c r="I7" s="6" t="str">
        <f>IFERROR(__xludf.DUMMYFUNCTION("""COMPUTED_VALUE""")," aedfbg dcaf cbdega bgaefd")</f>
        <v> aedfbg dcaf cbdega bgaefd</v>
      </c>
      <c r="J7" s="15"/>
      <c r="K7" s="6" t="str">
        <f>IFERROR(__xludf.DUMMYFUNCTION("split(H7,"" "")"),"cbgef")</f>
        <v>cbgef</v>
      </c>
      <c r="L7" s="6" t="str">
        <f>IFERROR(__xludf.DUMMYFUNCTION("""COMPUTED_VALUE"""),"cgedfa")</f>
        <v>cgedfa</v>
      </c>
      <c r="M7" s="6" t="str">
        <f>IFERROR(__xludf.DUMMYFUNCTION("""COMPUTED_VALUE"""),"agedfb")</f>
        <v>agedfb</v>
      </c>
      <c r="N7" s="6" t="str">
        <f>IFERROR(__xludf.DUMMYFUNCTION("""COMPUTED_VALUE"""),"dfca")</f>
        <v>dfca</v>
      </c>
      <c r="O7" s="6" t="str">
        <f>IFERROR(__xludf.DUMMYFUNCTION("""COMPUTED_VALUE"""),"dgcef")</f>
        <v>dgcef</v>
      </c>
      <c r="P7" s="6" t="str">
        <f>IFERROR(__xludf.DUMMYFUNCTION("""COMPUTED_VALUE"""),"gbedac")</f>
        <v>gbedac</v>
      </c>
      <c r="Q7" s="6" t="str">
        <f>IFERROR(__xludf.DUMMYFUNCTION("""COMPUTED_VALUE"""),"faged")</f>
        <v>faged</v>
      </c>
      <c r="R7" s="6" t="str">
        <f>IFERROR(__xludf.DUMMYFUNCTION("""COMPUTED_VALUE"""),"fgaecdb")</f>
        <v>fgaecdb</v>
      </c>
      <c r="S7" s="6" t="str">
        <f>IFERROR(__xludf.DUMMYFUNCTION("""COMPUTED_VALUE"""),"dc")</f>
        <v>dc</v>
      </c>
      <c r="T7" s="6" t="str">
        <f>IFERROR(__xludf.DUMMYFUNCTION("""COMPUTED_VALUE"""),"dgc")</f>
        <v>dgc</v>
      </c>
      <c r="U7" s="15"/>
      <c r="V7" s="6" t="str">
        <f>IFERROR(__xludf.DUMMYFUNCTION("split(I7,"" "")"),"aedfbg")</f>
        <v>aedfbg</v>
      </c>
      <c r="W7" s="6" t="str">
        <f>IFERROR(__xludf.DUMMYFUNCTION("""COMPUTED_VALUE"""),"dcaf")</f>
        <v>dcaf</v>
      </c>
      <c r="X7" s="6" t="str">
        <f>IFERROR(__xludf.DUMMYFUNCTION("""COMPUTED_VALUE"""),"cbdega")</f>
        <v>cbdega</v>
      </c>
      <c r="Y7" s="6" t="str">
        <f>IFERROR(__xludf.DUMMYFUNCTION("""COMPUTED_VALUE"""),"bgaefd")</f>
        <v>bgaefd</v>
      </c>
      <c r="Z7" s="6" t="str">
        <f>IFERROR(__xludf.DUMMYFUNCTION("CONCATENATE(SORT(TRANSPOSE(SPLIT(REGEXREPLACE(REGEXREPLACE(V7&amp;"""",""(?s)(.{1})"",""$1""&amp;CHAR(127)),""'"",""''""),CHAR(127))),1,true))"),"abdefg")</f>
        <v>abdefg</v>
      </c>
      <c r="AA7" s="6" t="str">
        <f>IFERROR(__xludf.DUMMYFUNCTION("CONCATENATE(SORT(TRANSPOSE(SPLIT(REGEXREPLACE(REGEXREPLACE(W7&amp;"""",""(?s)(.{1})"",""$1""&amp;CHAR(127)),""'"",""''""),CHAR(127))),1,true))"),"acdf")</f>
        <v>acdf</v>
      </c>
      <c r="AB7" s="6" t="str">
        <f>IFERROR(__xludf.DUMMYFUNCTION("CONCATENATE(SORT(TRANSPOSE(SPLIT(REGEXREPLACE(REGEXREPLACE(X7&amp;"""",""(?s)(.{1})"",""$1""&amp;CHAR(127)),""'"",""''""),CHAR(127))),1,true))"),"abcdeg")</f>
        <v>abcdeg</v>
      </c>
      <c r="AC7" s="6" t="str">
        <f>IFERROR(__xludf.DUMMYFUNCTION("CONCATENATE(SORT(TRANSPOSE(SPLIT(REGEXREPLACE(REGEXREPLACE(Y7&amp;"""",""(?s)(.{1})"",""$1""&amp;CHAR(127)),""'"",""''""),CHAR(127))),1,true))"),"abdefg")</f>
        <v>abdefg</v>
      </c>
      <c r="AD7" s="6">
        <f t="shared" ref="AD7:AG7" si="17">INDEX($AO$1:$CP$1,1,MATCH(CONCATENATE(Z7,"1"),$AO7:$CP7,0)+1)</f>
        <v>6</v>
      </c>
      <c r="AE7" s="6">
        <f t="shared" si="17"/>
        <v>4</v>
      </c>
      <c r="AF7" s="6">
        <f t="shared" si="17"/>
        <v>0</v>
      </c>
      <c r="AG7" s="6">
        <f t="shared" si="17"/>
        <v>6</v>
      </c>
      <c r="AH7" s="6">
        <f t="shared" si="3"/>
        <v>6406</v>
      </c>
      <c r="AI7" s="16"/>
      <c r="AJ7" s="9" t="str">
        <f>IFERROR(__xludf.DUMMYFUNCTION("REGEXREPLACE(AR7,CONCATENATE(""["",BY7,""]""),"""")"),"c")</f>
        <v>c</v>
      </c>
      <c r="AK7" s="10" t="str">
        <f>IFERROR(__xludf.DUMMYFUNCTION("FILTER($K7:$T7,len($K7:$T7)=6,NOT($K7:$T7=BY7))"),"cgedfa")</f>
        <v>cgedfa</v>
      </c>
      <c r="AL7" s="6" t="str">
        <f>IFERROR(__xludf.DUMMYFUNCTION("""COMPUTED_VALUE"""),"gbedac")</f>
        <v>gbedac</v>
      </c>
      <c r="AM7" s="6" t="str">
        <f>IFERROR(__xludf.DUMMYFUNCTION("REGEXREPLACE( $BG7, CONCATENATE(""["",AK7,""]""), """")"),"")</f>
        <v/>
      </c>
      <c r="AN7" s="6" t="str">
        <f>IFERROR(__xludf.DUMMYFUNCTION("REGEXREPLACE( $BG7, CONCATENATE(""["",AL7,""]""), """")"),"f")</f>
        <v>f</v>
      </c>
      <c r="AO7" s="11" t="str">
        <f t="shared" si="4"/>
        <v>gbedac</v>
      </c>
      <c r="AP7" s="12" t="str">
        <f>IFERROR(__xludf.DUMMYFUNCTION("CONCATENATE(SORT(TRANSPOSE(SPLIT(REGEXREPLACE(REGEXREPLACE(AO7&amp;"""",""(?s)(.{1})"",""$1""&amp;CHAR(127)),""'"",""''""),CHAR(127))),1,true),""1"")"),"abcdeg1")</f>
        <v>abcdeg1</v>
      </c>
      <c r="AQ7" s="16"/>
      <c r="AR7" s="12" t="str">
        <f t="shared" si="5"/>
        <v>dc</v>
      </c>
      <c r="AS7" s="12" t="str">
        <f>IFERROR(__xludf.DUMMYFUNCTION("CONCATENATE(SORT(TRANSPOSE(SPLIT(REGEXREPLACE(REGEXREPLACE(AR7&amp;"""",""(?s)(.{1})"",""$1""&amp;CHAR(127)),""'"",""''""),CHAR(127))),1,true),""1"")"),"cd1")</f>
        <v>cd1</v>
      </c>
      <c r="AT7" s="16"/>
      <c r="AU7" s="13" t="str">
        <f>IFERROR(__xludf.DUMMYFUNCTION("FILTER($K7:$T7,len($K7:$T7)=5,NOT($K7:$T7=BD7),NOT($K7:$T7=BP7))"),"cbgef")</f>
        <v>cbgef</v>
      </c>
      <c r="AV7" s="12" t="str">
        <f>IFERROR(__xludf.DUMMYFUNCTION("CONCATENATE(SORT(TRANSPOSE(SPLIT(REGEXREPLACE(REGEXREPLACE(AU7&amp;"""",""(?s)(.{1})"",""$1""&amp;CHAR(127)),""'"",""''""),CHAR(127))),1,true),""1"")"),"bcefg1")</f>
        <v>bcefg1</v>
      </c>
      <c r="AW7" s="16"/>
      <c r="AX7" s="10" t="str">
        <f>IFERROR(__xludf.DUMMYFUNCTION("FILTER($K7:$T7,len($K7:$T7)=5)"),"cbgef")</f>
        <v>cbgef</v>
      </c>
      <c r="AY7" s="6" t="str">
        <f>IFERROR(__xludf.DUMMYFUNCTION("""COMPUTED_VALUE"""),"dgcef")</f>
        <v>dgcef</v>
      </c>
      <c r="AZ7" s="6" t="str">
        <f>IFERROR(__xludf.DUMMYFUNCTION("""COMPUTED_VALUE"""),"faged")</f>
        <v>faged</v>
      </c>
      <c r="BA7" s="6" t="str">
        <f>IFERROR(__xludf.DUMMYFUNCTION("REGEXREPLACE( $AR7, CONCATENATE(""["",AX7,""]""), """")"),"d")</f>
        <v>d</v>
      </c>
      <c r="BB7" s="6" t="str">
        <f>IFERROR(__xludf.DUMMYFUNCTION("REGEXREPLACE( $AR7, CONCATENATE(""["",AY7,""]""), """")"),"")</f>
        <v/>
      </c>
      <c r="BC7" s="6" t="str">
        <f>IFERROR(__xludf.DUMMYFUNCTION("REGEXREPLACE( $AR7, CONCATENATE(""["",AZ7,""]""), """")"),"c")</f>
        <v>c</v>
      </c>
      <c r="BD7" s="11" t="str">
        <f t="shared" si="6"/>
        <v>dgcef</v>
      </c>
      <c r="BE7" s="12" t="str">
        <f>IFERROR(__xludf.DUMMYFUNCTION("CONCATENATE(SORT(TRANSPOSE(SPLIT(REGEXREPLACE(REGEXREPLACE(BD7&amp;"""",""(?s)(.{1})"",""$1""&amp;CHAR(127)),""'"",""''""),CHAR(127))),1,true),""1"")"),"cdefg1")</f>
        <v>cdefg1</v>
      </c>
      <c r="BF7" s="16"/>
      <c r="BG7" s="12" t="str">
        <f t="shared" si="7"/>
        <v>dfca</v>
      </c>
      <c r="BH7" s="12" t="str">
        <f>IFERROR(__xludf.DUMMYFUNCTION("CONCATENATE(SORT(TRANSPOSE(SPLIT(REGEXREPLACE(REGEXREPLACE(BG7&amp;"""",""(?s)(.{1})"",""$1""&amp;CHAR(127)),""'"",""''""),CHAR(127))),1,true),""1"")"),"acdf1")</f>
        <v>acdf1</v>
      </c>
      <c r="BI7" s="16"/>
      <c r="BJ7" s="10" t="str">
        <f>IFERROR(__xludf.DUMMYFUNCTION("FILTER($K7:$T7,len($K7:$T7)=5)"),"cbgef")</f>
        <v>cbgef</v>
      </c>
      <c r="BK7" s="6" t="str">
        <f>IFERROR(__xludf.DUMMYFUNCTION("""COMPUTED_VALUE"""),"dgcef")</f>
        <v>dgcef</v>
      </c>
      <c r="BL7" s="6" t="str">
        <f>IFERROR(__xludf.DUMMYFUNCTION("""COMPUTED_VALUE"""),"faged")</f>
        <v>faged</v>
      </c>
      <c r="BM7" s="14" t="str">
        <f>IFERROR(__xludf.DUMMYFUNCTION("REGEXREPLACE( $BY7, CONCATENATE(""["",BJ7,""]""), """")"),"ad")</f>
        <v>ad</v>
      </c>
      <c r="BN7" s="14" t="str">
        <f>IFERROR(__xludf.DUMMYFUNCTION("REGEXREPLACE( $BY7, CONCATENATE(""["",BK7,""]""), """")"),"ab")</f>
        <v>ab</v>
      </c>
      <c r="BO7" s="14" t="str">
        <f>IFERROR(__xludf.DUMMYFUNCTION("REGEXREPLACE( $BY7, CONCATENATE(""["",BL7,""]""), """")"),"b")</f>
        <v>b</v>
      </c>
      <c r="BP7" s="11" t="str">
        <f t="shared" si="8"/>
        <v>faged</v>
      </c>
      <c r="BQ7" s="12" t="str">
        <f>IFERROR(__xludf.DUMMYFUNCTION("CONCATENATE(SORT(TRANSPOSE(SPLIT(REGEXREPLACE(REGEXREPLACE(BP7&amp;"""",""(?s)(.{1})"",""$1""&amp;CHAR(127)),""'"",""''""),CHAR(127))),1,true),""1"")"),"adefg1")</f>
        <v>adefg1</v>
      </c>
      <c r="BR7" s="16"/>
      <c r="BS7" s="10" t="str">
        <f>IFERROR(__xludf.DUMMYFUNCTION("FILTER(K7:T7,len(K7:T7)=6)"),"cgedfa")</f>
        <v>cgedfa</v>
      </c>
      <c r="BT7" s="6" t="str">
        <f>IFERROR(__xludf.DUMMYFUNCTION("""COMPUTED_VALUE"""),"agedfb")</f>
        <v>agedfb</v>
      </c>
      <c r="BU7" s="6" t="str">
        <f>IFERROR(__xludf.DUMMYFUNCTION("""COMPUTED_VALUE"""),"gbedac")</f>
        <v>gbedac</v>
      </c>
      <c r="BV7" s="6" t="str">
        <f>IFERROR(__xludf.DUMMYFUNCTION("REGEXREPLACE( $AR7, CONCATENATE(""["",BS7,""]""), """")"),"")</f>
        <v/>
      </c>
      <c r="BW7" s="6" t="str">
        <f>IFERROR(__xludf.DUMMYFUNCTION("REGEXREPLACE( $AR7, CONCATENATE(""["",BT7,""]""), """")"),"c")</f>
        <v>c</v>
      </c>
      <c r="BX7" s="6" t="str">
        <f>IFERROR(__xludf.DUMMYFUNCTION("REGEXREPLACE( $AR7, CONCATENATE(""["",BU7,""]""), """")"),"")</f>
        <v/>
      </c>
      <c r="BY7" s="12" t="str">
        <f t="shared" si="9"/>
        <v>agedfb</v>
      </c>
      <c r="BZ7" s="12" t="str">
        <f>IFERROR(__xludf.DUMMYFUNCTION("CONCATENATE(SORT(TRANSPOSE(SPLIT(REGEXREPLACE(REGEXREPLACE(BY7&amp;"""",""(?s)(.{1})"",""$1""&amp;CHAR(127)),""'"",""''""),CHAR(127))),1,true),""1"")"),"abdefg1")</f>
        <v>abdefg1</v>
      </c>
      <c r="CA7" s="16"/>
      <c r="CB7" s="12" t="str">
        <f t="shared" si="10"/>
        <v>dgc</v>
      </c>
      <c r="CC7" s="12" t="str">
        <f>IFERROR(__xludf.DUMMYFUNCTION("CONCATENATE(SORT(TRANSPOSE(SPLIT(REGEXREPLACE(REGEXREPLACE(CB7&amp;"""",""(?s)(.{1})"",""$1""&amp;CHAR(127)),""'"",""''""),CHAR(127))),1,true),""1"")"),"cdg1")</f>
        <v>cdg1</v>
      </c>
      <c r="CD7" s="16"/>
      <c r="CE7" s="12" t="str">
        <f t="shared" si="11"/>
        <v>fgaecdb</v>
      </c>
      <c r="CF7" s="12" t="str">
        <f>IFERROR(__xludf.DUMMYFUNCTION("CONCATENATE(SORT(TRANSPOSE(SPLIT(REGEXREPLACE(REGEXREPLACE(CE7&amp;"""",""(?s)(.{1})"",""$1""&amp;CHAR(127)),""'"",""''""),CHAR(127))),1,true),""1"")"),"abcdefg1")</f>
        <v>abcdefg1</v>
      </c>
      <c r="CG7" s="16"/>
      <c r="CH7" s="10" t="str">
        <f>IFERROR(__xludf.DUMMYFUNCTION("FILTER(K7:T7,len(K7:T7)=6)"),"cgedfa")</f>
        <v>cgedfa</v>
      </c>
      <c r="CI7" s="6" t="str">
        <f>IFERROR(__xludf.DUMMYFUNCTION("""COMPUTED_VALUE"""),"agedfb")</f>
        <v>agedfb</v>
      </c>
      <c r="CJ7" s="6" t="str">
        <f>IFERROR(__xludf.DUMMYFUNCTION("""COMPUTED_VALUE"""),"gbedac")</f>
        <v>gbedac</v>
      </c>
      <c r="CK7" s="6" t="str">
        <f>IFERROR(__xludf.DUMMYFUNCTION("REGEXREPLACE( $BG7, CONCATENATE(""["",CH7,""]""), """")"),"")</f>
        <v/>
      </c>
      <c r="CL7" s="6" t="str">
        <f>IFERROR(__xludf.DUMMYFUNCTION("REGEXREPLACE( $BG7, CONCATENATE(""["",CI7,""]""), """")"),"c")</f>
        <v>c</v>
      </c>
      <c r="CM7" s="6" t="str">
        <f>IFERROR(__xludf.DUMMYFUNCTION("REGEXREPLACE( $BG7, CONCATENATE(""["",CJ7,""]""), """")"),"f")</f>
        <v>f</v>
      </c>
      <c r="CN7" s="12" t="str">
        <f t="shared" si="12"/>
        <v>cgedfa</v>
      </c>
      <c r="CO7" s="12" t="str">
        <f>IFERROR(__xludf.DUMMYFUNCTION("CONCATENATE(SORT(TRANSPOSE(SPLIT(REGEXREPLACE(REGEXREPLACE(CN7&amp;"""",""(?s)(.{1})"",""$1""&amp;CHAR(127)),""'"",""''""),CHAR(127))),1,true),""1"")"),"acdefg1")</f>
        <v>acdefg1</v>
      </c>
      <c r="CP7" s="15"/>
    </row>
    <row r="8">
      <c r="A8" s="1" t="s">
        <v>25</v>
      </c>
      <c r="B8" s="4"/>
      <c r="C8" s="4"/>
      <c r="D8" s="4"/>
      <c r="E8" s="4"/>
      <c r="F8" s="4">
        <v>7.0</v>
      </c>
      <c r="G8" s="4" t="s">
        <v>26</v>
      </c>
      <c r="H8" s="6" t="str">
        <f>IFERROR(__xludf.DUMMYFUNCTION("SPLIT(A8,""|"")"),"dgfabe bfgce bfgea cdgefba fgbdca cefabd ae bae fgdba edga ")</f>
        <v>dgfabe bfgce bfgea cdgefba fgbdca cefabd ae bae fgdba edga </v>
      </c>
      <c r="I8" s="6" t="str">
        <f>IFERROR(__xludf.DUMMYFUNCTION("""COMPUTED_VALUE""")," ae fbgea dega ae")</f>
        <v> ae fbgea dega ae</v>
      </c>
      <c r="J8" s="15"/>
      <c r="K8" s="6" t="str">
        <f>IFERROR(__xludf.DUMMYFUNCTION("split(H8,"" "")"),"dgfabe")</f>
        <v>dgfabe</v>
      </c>
      <c r="L8" s="6" t="str">
        <f>IFERROR(__xludf.DUMMYFUNCTION("""COMPUTED_VALUE"""),"bfgce")</f>
        <v>bfgce</v>
      </c>
      <c r="M8" s="6" t="str">
        <f>IFERROR(__xludf.DUMMYFUNCTION("""COMPUTED_VALUE"""),"bfgea")</f>
        <v>bfgea</v>
      </c>
      <c r="N8" s="6" t="str">
        <f>IFERROR(__xludf.DUMMYFUNCTION("""COMPUTED_VALUE"""),"cdgefba")</f>
        <v>cdgefba</v>
      </c>
      <c r="O8" s="6" t="str">
        <f>IFERROR(__xludf.DUMMYFUNCTION("""COMPUTED_VALUE"""),"fgbdca")</f>
        <v>fgbdca</v>
      </c>
      <c r="P8" s="6" t="str">
        <f>IFERROR(__xludf.DUMMYFUNCTION("""COMPUTED_VALUE"""),"cefabd")</f>
        <v>cefabd</v>
      </c>
      <c r="Q8" s="6" t="str">
        <f>IFERROR(__xludf.DUMMYFUNCTION("""COMPUTED_VALUE"""),"ae")</f>
        <v>ae</v>
      </c>
      <c r="R8" s="6" t="str">
        <f>IFERROR(__xludf.DUMMYFUNCTION("""COMPUTED_VALUE"""),"bae")</f>
        <v>bae</v>
      </c>
      <c r="S8" s="6" t="str">
        <f>IFERROR(__xludf.DUMMYFUNCTION("""COMPUTED_VALUE"""),"fgdba")</f>
        <v>fgdba</v>
      </c>
      <c r="T8" s="6" t="str">
        <f>IFERROR(__xludf.DUMMYFUNCTION("""COMPUTED_VALUE"""),"edga")</f>
        <v>edga</v>
      </c>
      <c r="U8" s="15"/>
      <c r="V8" s="6" t="str">
        <f>IFERROR(__xludf.DUMMYFUNCTION("split(I8,"" "")"),"ae")</f>
        <v>ae</v>
      </c>
      <c r="W8" s="6" t="str">
        <f>IFERROR(__xludf.DUMMYFUNCTION("""COMPUTED_VALUE"""),"fbgea")</f>
        <v>fbgea</v>
      </c>
      <c r="X8" s="6" t="str">
        <f>IFERROR(__xludf.DUMMYFUNCTION("""COMPUTED_VALUE"""),"dega")</f>
        <v>dega</v>
      </c>
      <c r="Y8" s="6" t="str">
        <f>IFERROR(__xludf.DUMMYFUNCTION("""COMPUTED_VALUE"""),"ae")</f>
        <v>ae</v>
      </c>
      <c r="Z8" s="6" t="str">
        <f>IFERROR(__xludf.DUMMYFUNCTION("CONCATENATE(SORT(TRANSPOSE(SPLIT(REGEXREPLACE(REGEXREPLACE(V8&amp;"""",""(?s)(.{1})"",""$1""&amp;CHAR(127)),""'"",""''""),CHAR(127))),1,true))"),"ae")</f>
        <v>ae</v>
      </c>
      <c r="AA8" s="6" t="str">
        <f>IFERROR(__xludf.DUMMYFUNCTION("CONCATENATE(SORT(TRANSPOSE(SPLIT(REGEXREPLACE(REGEXREPLACE(W8&amp;"""",""(?s)(.{1})"",""$1""&amp;CHAR(127)),""'"",""''""),CHAR(127))),1,true))"),"abefg")</f>
        <v>abefg</v>
      </c>
      <c r="AB8" s="6" t="str">
        <f>IFERROR(__xludf.DUMMYFUNCTION("CONCATENATE(SORT(TRANSPOSE(SPLIT(REGEXREPLACE(REGEXREPLACE(X8&amp;"""",""(?s)(.{1})"",""$1""&amp;CHAR(127)),""'"",""''""),CHAR(127))),1,true))"),"adeg")</f>
        <v>adeg</v>
      </c>
      <c r="AC8" s="6" t="str">
        <f>IFERROR(__xludf.DUMMYFUNCTION("CONCATENATE(SORT(TRANSPOSE(SPLIT(REGEXREPLACE(REGEXREPLACE(Y8&amp;"""",""(?s)(.{1})"",""$1""&amp;CHAR(127)),""'"",""''""),CHAR(127))),1,true))"),"ae")</f>
        <v>ae</v>
      </c>
      <c r="AD8" s="6">
        <f t="shared" ref="AD8:AG8" si="18">INDEX($AO$1:$CP$1,1,MATCH(CONCATENATE(Z8,"1"),$AO8:$CP8,0)+1)</f>
        <v>1</v>
      </c>
      <c r="AE8" s="6">
        <f t="shared" si="18"/>
        <v>3</v>
      </c>
      <c r="AF8" s="6">
        <f t="shared" si="18"/>
        <v>4</v>
      </c>
      <c r="AG8" s="6">
        <f t="shared" si="18"/>
        <v>1</v>
      </c>
      <c r="AH8" s="6">
        <f t="shared" si="3"/>
        <v>1341</v>
      </c>
      <c r="AI8" s="16"/>
      <c r="AJ8" s="9" t="str">
        <f>IFERROR(__xludf.DUMMYFUNCTION("REGEXREPLACE(AR8,CONCATENATE(""["",BY8,""]""),"""")"),"e")</f>
        <v>e</v>
      </c>
      <c r="AK8" s="10" t="str">
        <f>IFERROR(__xludf.DUMMYFUNCTION("FILTER($K8:$T8,len($K8:$T8)=6,NOT($K8:$T8=BY8))"),"dgfabe")</f>
        <v>dgfabe</v>
      </c>
      <c r="AL8" s="6" t="str">
        <f>IFERROR(__xludf.DUMMYFUNCTION("""COMPUTED_VALUE"""),"cefabd")</f>
        <v>cefabd</v>
      </c>
      <c r="AM8" s="6" t="str">
        <f>IFERROR(__xludf.DUMMYFUNCTION("REGEXREPLACE( $BG8, CONCATENATE(""["",AK8,""]""), """")"),"")</f>
        <v/>
      </c>
      <c r="AN8" s="6" t="str">
        <f>IFERROR(__xludf.DUMMYFUNCTION("REGEXREPLACE( $BG8, CONCATENATE(""["",AL8,""]""), """")"),"g")</f>
        <v>g</v>
      </c>
      <c r="AO8" s="11" t="str">
        <f t="shared" si="4"/>
        <v>cefabd</v>
      </c>
      <c r="AP8" s="12" t="str">
        <f>IFERROR(__xludf.DUMMYFUNCTION("CONCATENATE(SORT(TRANSPOSE(SPLIT(REGEXREPLACE(REGEXREPLACE(AO8&amp;"""",""(?s)(.{1})"",""$1""&amp;CHAR(127)),""'"",""''""),CHAR(127))),1,true),""1"")"),"abcdef1")</f>
        <v>abcdef1</v>
      </c>
      <c r="AQ8" s="16"/>
      <c r="AR8" s="12" t="str">
        <f t="shared" si="5"/>
        <v>ae</v>
      </c>
      <c r="AS8" s="12" t="str">
        <f>IFERROR(__xludf.DUMMYFUNCTION("CONCATENATE(SORT(TRANSPOSE(SPLIT(REGEXREPLACE(REGEXREPLACE(AR8&amp;"""",""(?s)(.{1})"",""$1""&amp;CHAR(127)),""'"",""''""),CHAR(127))),1,true),""1"")"),"ae1")</f>
        <v>ae1</v>
      </c>
      <c r="AT8" s="16"/>
      <c r="AU8" s="13" t="str">
        <f>IFERROR(__xludf.DUMMYFUNCTION("FILTER($K8:$T8,len($K8:$T8)=5,NOT($K8:$T8=BD8),NOT($K8:$T8=BP8))"),"bfgce")</f>
        <v>bfgce</v>
      </c>
      <c r="AV8" s="12" t="str">
        <f>IFERROR(__xludf.DUMMYFUNCTION("CONCATENATE(SORT(TRANSPOSE(SPLIT(REGEXREPLACE(REGEXREPLACE(AU8&amp;"""",""(?s)(.{1})"",""$1""&amp;CHAR(127)),""'"",""''""),CHAR(127))),1,true),""1"")"),"bcefg1")</f>
        <v>bcefg1</v>
      </c>
      <c r="AW8" s="16"/>
      <c r="AX8" s="10" t="str">
        <f>IFERROR(__xludf.DUMMYFUNCTION("FILTER($K8:$T8,len($K8:$T8)=5)"),"bfgce")</f>
        <v>bfgce</v>
      </c>
      <c r="AY8" s="6" t="str">
        <f>IFERROR(__xludf.DUMMYFUNCTION("""COMPUTED_VALUE"""),"bfgea")</f>
        <v>bfgea</v>
      </c>
      <c r="AZ8" s="6" t="str">
        <f>IFERROR(__xludf.DUMMYFUNCTION("""COMPUTED_VALUE"""),"fgdba")</f>
        <v>fgdba</v>
      </c>
      <c r="BA8" s="6" t="str">
        <f>IFERROR(__xludf.DUMMYFUNCTION("REGEXREPLACE( $AR8, CONCATENATE(""["",AX8,""]""), """")"),"a")</f>
        <v>a</v>
      </c>
      <c r="BB8" s="6" t="str">
        <f>IFERROR(__xludf.DUMMYFUNCTION("REGEXREPLACE( $AR8, CONCATENATE(""["",AY8,""]""), """")"),"")</f>
        <v/>
      </c>
      <c r="BC8" s="6" t="str">
        <f>IFERROR(__xludf.DUMMYFUNCTION("REGEXREPLACE( $AR8, CONCATENATE(""["",AZ8,""]""), """")"),"e")</f>
        <v>e</v>
      </c>
      <c r="BD8" s="11" t="str">
        <f t="shared" si="6"/>
        <v>bfgea</v>
      </c>
      <c r="BE8" s="12" t="str">
        <f>IFERROR(__xludf.DUMMYFUNCTION("CONCATENATE(SORT(TRANSPOSE(SPLIT(REGEXREPLACE(REGEXREPLACE(BD8&amp;"""",""(?s)(.{1})"",""$1""&amp;CHAR(127)),""'"",""''""),CHAR(127))),1,true),""1"")"),"abefg1")</f>
        <v>abefg1</v>
      </c>
      <c r="BF8" s="16"/>
      <c r="BG8" s="12" t="str">
        <f t="shared" si="7"/>
        <v>edga</v>
      </c>
      <c r="BH8" s="12" t="str">
        <f>IFERROR(__xludf.DUMMYFUNCTION("CONCATENATE(SORT(TRANSPOSE(SPLIT(REGEXREPLACE(REGEXREPLACE(BG8&amp;"""",""(?s)(.{1})"",""$1""&amp;CHAR(127)),""'"",""''""),CHAR(127))),1,true),""1"")"),"adeg1")</f>
        <v>adeg1</v>
      </c>
      <c r="BI8" s="16"/>
      <c r="BJ8" s="10" t="str">
        <f>IFERROR(__xludf.DUMMYFUNCTION("FILTER($K8:$T8,len($K8:$T8)=5)"),"bfgce")</f>
        <v>bfgce</v>
      </c>
      <c r="BK8" s="6" t="str">
        <f>IFERROR(__xludf.DUMMYFUNCTION("""COMPUTED_VALUE"""),"bfgea")</f>
        <v>bfgea</v>
      </c>
      <c r="BL8" s="6" t="str">
        <f>IFERROR(__xludf.DUMMYFUNCTION("""COMPUTED_VALUE"""),"fgdba")</f>
        <v>fgdba</v>
      </c>
      <c r="BM8" s="14" t="str">
        <f>IFERROR(__xludf.DUMMYFUNCTION("REGEXREPLACE( $BY8, CONCATENATE(""["",BJ8,""]""), """")"),"da")</f>
        <v>da</v>
      </c>
      <c r="BN8" s="14" t="str">
        <f>IFERROR(__xludf.DUMMYFUNCTION("REGEXREPLACE( $BY8, CONCATENATE(""["",BK8,""]""), """")"),"dc")</f>
        <v>dc</v>
      </c>
      <c r="BO8" s="14" t="str">
        <f>IFERROR(__xludf.DUMMYFUNCTION("REGEXREPLACE( $BY8, CONCATENATE(""["",BL8,""]""), """")"),"c")</f>
        <v>c</v>
      </c>
      <c r="BP8" s="11" t="str">
        <f t="shared" si="8"/>
        <v>fgdba</v>
      </c>
      <c r="BQ8" s="12" t="str">
        <f>IFERROR(__xludf.DUMMYFUNCTION("CONCATENATE(SORT(TRANSPOSE(SPLIT(REGEXREPLACE(REGEXREPLACE(BP8&amp;"""",""(?s)(.{1})"",""$1""&amp;CHAR(127)),""'"",""''""),CHAR(127))),1,true),""1"")"),"abdfg1")</f>
        <v>abdfg1</v>
      </c>
      <c r="BR8" s="16"/>
      <c r="BS8" s="10" t="str">
        <f>IFERROR(__xludf.DUMMYFUNCTION("FILTER(K8:T8,len(K8:T8)=6)"),"dgfabe")</f>
        <v>dgfabe</v>
      </c>
      <c r="BT8" s="6" t="str">
        <f>IFERROR(__xludf.DUMMYFUNCTION("""COMPUTED_VALUE"""),"fgbdca")</f>
        <v>fgbdca</v>
      </c>
      <c r="BU8" s="6" t="str">
        <f>IFERROR(__xludf.DUMMYFUNCTION("""COMPUTED_VALUE"""),"cefabd")</f>
        <v>cefabd</v>
      </c>
      <c r="BV8" s="6" t="str">
        <f>IFERROR(__xludf.DUMMYFUNCTION("REGEXREPLACE( $AR8, CONCATENATE(""["",BS8,""]""), """")"),"")</f>
        <v/>
      </c>
      <c r="BW8" s="6" t="str">
        <f>IFERROR(__xludf.DUMMYFUNCTION("REGEXREPLACE( $AR8, CONCATENATE(""["",BT8,""]""), """")"),"e")</f>
        <v>e</v>
      </c>
      <c r="BX8" s="6" t="str">
        <f>IFERROR(__xludf.DUMMYFUNCTION("REGEXREPLACE( $AR8, CONCATENATE(""["",BU8,""]""), """")"),"")</f>
        <v/>
      </c>
      <c r="BY8" s="12" t="str">
        <f t="shared" si="9"/>
        <v>fgbdca</v>
      </c>
      <c r="BZ8" s="12" t="str">
        <f>IFERROR(__xludf.DUMMYFUNCTION("CONCATENATE(SORT(TRANSPOSE(SPLIT(REGEXREPLACE(REGEXREPLACE(BY8&amp;"""",""(?s)(.{1})"",""$1""&amp;CHAR(127)),""'"",""''""),CHAR(127))),1,true),""1"")"),"abcdfg1")</f>
        <v>abcdfg1</v>
      </c>
      <c r="CA8" s="16"/>
      <c r="CB8" s="12" t="str">
        <f t="shared" si="10"/>
        <v>bae</v>
      </c>
      <c r="CC8" s="12" t="str">
        <f>IFERROR(__xludf.DUMMYFUNCTION("CONCATENATE(SORT(TRANSPOSE(SPLIT(REGEXREPLACE(REGEXREPLACE(CB8&amp;"""",""(?s)(.{1})"",""$1""&amp;CHAR(127)),""'"",""''""),CHAR(127))),1,true),""1"")"),"abe1")</f>
        <v>abe1</v>
      </c>
      <c r="CD8" s="16"/>
      <c r="CE8" s="12" t="str">
        <f t="shared" si="11"/>
        <v>cdgefba</v>
      </c>
      <c r="CF8" s="12" t="str">
        <f>IFERROR(__xludf.DUMMYFUNCTION("CONCATENATE(SORT(TRANSPOSE(SPLIT(REGEXREPLACE(REGEXREPLACE(CE8&amp;"""",""(?s)(.{1})"",""$1""&amp;CHAR(127)),""'"",""''""),CHAR(127))),1,true),""1"")"),"abcdefg1")</f>
        <v>abcdefg1</v>
      </c>
      <c r="CG8" s="16"/>
      <c r="CH8" s="10" t="str">
        <f>IFERROR(__xludf.DUMMYFUNCTION("FILTER(K8:T8,len(K8:T8)=6)"),"dgfabe")</f>
        <v>dgfabe</v>
      </c>
      <c r="CI8" s="6" t="str">
        <f>IFERROR(__xludf.DUMMYFUNCTION("""COMPUTED_VALUE"""),"fgbdca")</f>
        <v>fgbdca</v>
      </c>
      <c r="CJ8" s="6" t="str">
        <f>IFERROR(__xludf.DUMMYFUNCTION("""COMPUTED_VALUE"""),"cefabd")</f>
        <v>cefabd</v>
      </c>
      <c r="CK8" s="6" t="str">
        <f>IFERROR(__xludf.DUMMYFUNCTION("REGEXREPLACE( $BG8, CONCATENATE(""["",CH8,""]""), """")"),"")</f>
        <v/>
      </c>
      <c r="CL8" s="6" t="str">
        <f>IFERROR(__xludf.DUMMYFUNCTION("REGEXREPLACE( $BG8, CONCATENATE(""["",CI8,""]""), """")"),"e")</f>
        <v>e</v>
      </c>
      <c r="CM8" s="6" t="str">
        <f>IFERROR(__xludf.DUMMYFUNCTION("REGEXREPLACE( $BG8, CONCATENATE(""["",CJ8,""]""), """")"),"g")</f>
        <v>g</v>
      </c>
      <c r="CN8" s="12" t="str">
        <f t="shared" si="12"/>
        <v>dgfabe</v>
      </c>
      <c r="CO8" s="12" t="str">
        <f>IFERROR(__xludf.DUMMYFUNCTION("CONCATENATE(SORT(TRANSPOSE(SPLIT(REGEXREPLACE(REGEXREPLACE(CN8&amp;"""",""(?s)(.{1})"",""$1""&amp;CHAR(127)),""'"",""''""),CHAR(127))),1,true),""1"")"),"abdefg1")</f>
        <v>abdefg1</v>
      </c>
      <c r="CP8" s="15"/>
    </row>
    <row r="9">
      <c r="A9" s="1" t="s">
        <v>27</v>
      </c>
      <c r="B9" s="4"/>
      <c r="C9" s="4"/>
      <c r="D9" s="4"/>
      <c r="E9" s="4"/>
      <c r="F9" s="4">
        <v>8.0</v>
      </c>
      <c r="G9" s="4" t="s">
        <v>28</v>
      </c>
      <c r="H9" s="6" t="str">
        <f>IFERROR(__xludf.DUMMYFUNCTION("SPLIT(A9,""|"")"),"gdbefac efadgc gcbdfa cdgeb baecg bga agefbc gfaec ba feab ")</f>
        <v>gdbefac efadgc gcbdfa cdgeb baecg bga agefbc gfaec ba feab </v>
      </c>
      <c r="I9" s="6" t="str">
        <f>IFERROR(__xludf.DUMMYFUNCTION("""COMPUTED_VALUE""")," bfgedac abg cfgbae ab")</f>
        <v> bfgedac abg cfgbae ab</v>
      </c>
      <c r="J9" s="15"/>
      <c r="K9" s="6" t="str">
        <f>IFERROR(__xludf.DUMMYFUNCTION("split(H9,"" "")"),"gdbefac")</f>
        <v>gdbefac</v>
      </c>
      <c r="L9" s="6" t="str">
        <f>IFERROR(__xludf.DUMMYFUNCTION("""COMPUTED_VALUE"""),"efadgc")</f>
        <v>efadgc</v>
      </c>
      <c r="M9" s="6" t="str">
        <f>IFERROR(__xludf.DUMMYFUNCTION("""COMPUTED_VALUE"""),"gcbdfa")</f>
        <v>gcbdfa</v>
      </c>
      <c r="N9" s="6" t="str">
        <f>IFERROR(__xludf.DUMMYFUNCTION("""COMPUTED_VALUE"""),"cdgeb")</f>
        <v>cdgeb</v>
      </c>
      <c r="O9" s="6" t="str">
        <f>IFERROR(__xludf.DUMMYFUNCTION("""COMPUTED_VALUE"""),"baecg")</f>
        <v>baecg</v>
      </c>
      <c r="P9" s="6" t="str">
        <f>IFERROR(__xludf.DUMMYFUNCTION("""COMPUTED_VALUE"""),"bga")</f>
        <v>bga</v>
      </c>
      <c r="Q9" s="6" t="str">
        <f>IFERROR(__xludf.DUMMYFUNCTION("""COMPUTED_VALUE"""),"agefbc")</f>
        <v>agefbc</v>
      </c>
      <c r="R9" s="6" t="str">
        <f>IFERROR(__xludf.DUMMYFUNCTION("""COMPUTED_VALUE"""),"gfaec")</f>
        <v>gfaec</v>
      </c>
      <c r="S9" s="6" t="str">
        <f>IFERROR(__xludf.DUMMYFUNCTION("""COMPUTED_VALUE"""),"ba")</f>
        <v>ba</v>
      </c>
      <c r="T9" s="6" t="str">
        <f>IFERROR(__xludf.DUMMYFUNCTION("""COMPUTED_VALUE"""),"feab")</f>
        <v>feab</v>
      </c>
      <c r="U9" s="15"/>
      <c r="V9" s="6" t="str">
        <f>IFERROR(__xludf.DUMMYFUNCTION("split(I9,"" "")"),"bfgedac")</f>
        <v>bfgedac</v>
      </c>
      <c r="W9" s="6" t="str">
        <f>IFERROR(__xludf.DUMMYFUNCTION("""COMPUTED_VALUE"""),"abg")</f>
        <v>abg</v>
      </c>
      <c r="X9" s="6" t="str">
        <f>IFERROR(__xludf.DUMMYFUNCTION("""COMPUTED_VALUE"""),"cfgbae")</f>
        <v>cfgbae</v>
      </c>
      <c r="Y9" s="6" t="str">
        <f>IFERROR(__xludf.DUMMYFUNCTION("""COMPUTED_VALUE"""),"ab")</f>
        <v>ab</v>
      </c>
      <c r="Z9" s="6" t="str">
        <f>IFERROR(__xludf.DUMMYFUNCTION("CONCATENATE(SORT(TRANSPOSE(SPLIT(REGEXREPLACE(REGEXREPLACE(V9&amp;"""",""(?s)(.{1})"",""$1""&amp;CHAR(127)),""'"",""''""),CHAR(127))),1,true))"),"abcdefg")</f>
        <v>abcdefg</v>
      </c>
      <c r="AA9" s="6" t="str">
        <f>IFERROR(__xludf.DUMMYFUNCTION("CONCATENATE(SORT(TRANSPOSE(SPLIT(REGEXREPLACE(REGEXREPLACE(W9&amp;"""",""(?s)(.{1})"",""$1""&amp;CHAR(127)),""'"",""''""),CHAR(127))),1,true))"),"abg")</f>
        <v>abg</v>
      </c>
      <c r="AB9" s="6" t="str">
        <f>IFERROR(__xludf.DUMMYFUNCTION("CONCATENATE(SORT(TRANSPOSE(SPLIT(REGEXREPLACE(REGEXREPLACE(X9&amp;"""",""(?s)(.{1})"",""$1""&amp;CHAR(127)),""'"",""''""),CHAR(127))),1,true))"),"abcefg")</f>
        <v>abcefg</v>
      </c>
      <c r="AC9" s="6" t="str">
        <f>IFERROR(__xludf.DUMMYFUNCTION("CONCATENATE(SORT(TRANSPOSE(SPLIT(REGEXREPLACE(REGEXREPLACE(Y9&amp;"""",""(?s)(.{1})"",""$1""&amp;CHAR(127)),""'"",""''""),CHAR(127))),1,true))"),"ab")</f>
        <v>ab</v>
      </c>
      <c r="AD9" s="6">
        <f t="shared" ref="AD9:AG9" si="19">INDEX($AO$1:$CP$1,1,MATCH(CONCATENATE(Z9,"1"),$AO9:$CP9,0)+1)</f>
        <v>8</v>
      </c>
      <c r="AE9" s="6">
        <f t="shared" si="19"/>
        <v>7</v>
      </c>
      <c r="AF9" s="6">
        <f t="shared" si="19"/>
        <v>9</v>
      </c>
      <c r="AG9" s="6">
        <f t="shared" si="19"/>
        <v>1</v>
      </c>
      <c r="AH9" s="6">
        <f t="shared" si="3"/>
        <v>8791</v>
      </c>
      <c r="AI9" s="16"/>
      <c r="AJ9" s="9" t="str">
        <f>IFERROR(__xludf.DUMMYFUNCTION("REGEXREPLACE(AR9,CONCATENATE(""["",BY9,""]""),"""")"),"b")</f>
        <v>b</v>
      </c>
      <c r="AK9" s="10" t="str">
        <f>IFERROR(__xludf.DUMMYFUNCTION("FILTER($K9:$T9,len($K9:$T9)=6,NOT($K9:$T9=BY9))"),"gcbdfa")</f>
        <v>gcbdfa</v>
      </c>
      <c r="AL9" s="6" t="str">
        <f>IFERROR(__xludf.DUMMYFUNCTION("""COMPUTED_VALUE"""),"agefbc")</f>
        <v>agefbc</v>
      </c>
      <c r="AM9" s="6" t="str">
        <f>IFERROR(__xludf.DUMMYFUNCTION("REGEXREPLACE( $BG9, CONCATENATE(""["",AK9,""]""), """")"),"e")</f>
        <v>e</v>
      </c>
      <c r="AN9" s="6" t="str">
        <f>IFERROR(__xludf.DUMMYFUNCTION("REGEXREPLACE( $BG9, CONCATENATE(""["",AL9,""]""), """")"),"")</f>
        <v/>
      </c>
      <c r="AO9" s="11" t="str">
        <f t="shared" si="4"/>
        <v>gcbdfa</v>
      </c>
      <c r="AP9" s="12" t="str">
        <f>IFERROR(__xludf.DUMMYFUNCTION("CONCATENATE(SORT(TRANSPOSE(SPLIT(REGEXREPLACE(REGEXREPLACE(AO9&amp;"""",""(?s)(.{1})"",""$1""&amp;CHAR(127)),""'"",""''""),CHAR(127))),1,true),""1"")"),"abcdfg1")</f>
        <v>abcdfg1</v>
      </c>
      <c r="AQ9" s="16"/>
      <c r="AR9" s="12" t="str">
        <f t="shared" si="5"/>
        <v>ba</v>
      </c>
      <c r="AS9" s="12" t="str">
        <f>IFERROR(__xludf.DUMMYFUNCTION("CONCATENATE(SORT(TRANSPOSE(SPLIT(REGEXREPLACE(REGEXREPLACE(AR9&amp;"""",""(?s)(.{1})"",""$1""&amp;CHAR(127)),""'"",""''""),CHAR(127))),1,true),""1"")"),"ab1")</f>
        <v>ab1</v>
      </c>
      <c r="AT9" s="16"/>
      <c r="AU9" s="13" t="str">
        <f>IFERROR(__xludf.DUMMYFUNCTION("FILTER($K9:$T9,len($K9:$T9)=5,NOT($K9:$T9=BD9),NOT($K9:$T9=BP9))"),"cdgeb")</f>
        <v>cdgeb</v>
      </c>
      <c r="AV9" s="12" t="str">
        <f>IFERROR(__xludf.DUMMYFUNCTION("CONCATENATE(SORT(TRANSPOSE(SPLIT(REGEXREPLACE(REGEXREPLACE(AU9&amp;"""",""(?s)(.{1})"",""$1""&amp;CHAR(127)),""'"",""''""),CHAR(127))),1,true),""1"")"),"bcdeg1")</f>
        <v>bcdeg1</v>
      </c>
      <c r="AW9" s="16"/>
      <c r="AX9" s="10" t="str">
        <f>IFERROR(__xludf.DUMMYFUNCTION("FILTER($K9:$T9,len($K9:$T9)=5)"),"cdgeb")</f>
        <v>cdgeb</v>
      </c>
      <c r="AY9" s="6" t="str">
        <f>IFERROR(__xludf.DUMMYFUNCTION("""COMPUTED_VALUE"""),"baecg")</f>
        <v>baecg</v>
      </c>
      <c r="AZ9" s="6" t="str">
        <f>IFERROR(__xludf.DUMMYFUNCTION("""COMPUTED_VALUE"""),"gfaec")</f>
        <v>gfaec</v>
      </c>
      <c r="BA9" s="6" t="str">
        <f>IFERROR(__xludf.DUMMYFUNCTION("REGEXREPLACE( $AR9, CONCATENATE(""["",AX9,""]""), """")"),"a")</f>
        <v>a</v>
      </c>
      <c r="BB9" s="6" t="str">
        <f>IFERROR(__xludf.DUMMYFUNCTION("REGEXREPLACE( $AR9, CONCATENATE(""["",AY9,""]""), """")"),"")</f>
        <v/>
      </c>
      <c r="BC9" s="6" t="str">
        <f>IFERROR(__xludf.DUMMYFUNCTION("REGEXREPLACE( $AR9, CONCATENATE(""["",AZ9,""]""), """")"),"b")</f>
        <v>b</v>
      </c>
      <c r="BD9" s="11" t="str">
        <f t="shared" si="6"/>
        <v>baecg</v>
      </c>
      <c r="BE9" s="12" t="str">
        <f>IFERROR(__xludf.DUMMYFUNCTION("CONCATENATE(SORT(TRANSPOSE(SPLIT(REGEXREPLACE(REGEXREPLACE(BD9&amp;"""",""(?s)(.{1})"",""$1""&amp;CHAR(127)),""'"",""''""),CHAR(127))),1,true),""1"")"),"abceg1")</f>
        <v>abceg1</v>
      </c>
      <c r="BF9" s="16"/>
      <c r="BG9" s="12" t="str">
        <f t="shared" si="7"/>
        <v>feab</v>
      </c>
      <c r="BH9" s="12" t="str">
        <f>IFERROR(__xludf.DUMMYFUNCTION("CONCATENATE(SORT(TRANSPOSE(SPLIT(REGEXREPLACE(REGEXREPLACE(BG9&amp;"""",""(?s)(.{1})"",""$1""&amp;CHAR(127)),""'"",""''""),CHAR(127))),1,true),""1"")"),"abef1")</f>
        <v>abef1</v>
      </c>
      <c r="BI9" s="16"/>
      <c r="BJ9" s="10" t="str">
        <f>IFERROR(__xludf.DUMMYFUNCTION("FILTER($K9:$T9,len($K9:$T9)=5)"),"cdgeb")</f>
        <v>cdgeb</v>
      </c>
      <c r="BK9" s="6" t="str">
        <f>IFERROR(__xludf.DUMMYFUNCTION("""COMPUTED_VALUE"""),"baecg")</f>
        <v>baecg</v>
      </c>
      <c r="BL9" s="6" t="str">
        <f>IFERROR(__xludf.DUMMYFUNCTION("""COMPUTED_VALUE"""),"gfaec")</f>
        <v>gfaec</v>
      </c>
      <c r="BM9" s="14" t="str">
        <f>IFERROR(__xludf.DUMMYFUNCTION("REGEXREPLACE( $BY9, CONCATENATE(""["",BJ9,""]""), """")"),"fa")</f>
        <v>fa</v>
      </c>
      <c r="BN9" s="14" t="str">
        <f>IFERROR(__xludf.DUMMYFUNCTION("REGEXREPLACE( $BY9, CONCATENATE(""["",BK9,""]""), """")"),"fd")</f>
        <v>fd</v>
      </c>
      <c r="BO9" s="14" t="str">
        <f>IFERROR(__xludf.DUMMYFUNCTION("REGEXREPLACE( $BY9, CONCATENATE(""["",BL9,""]""), """")"),"d")</f>
        <v>d</v>
      </c>
      <c r="BP9" s="11" t="str">
        <f t="shared" si="8"/>
        <v>gfaec</v>
      </c>
      <c r="BQ9" s="12" t="str">
        <f>IFERROR(__xludf.DUMMYFUNCTION("CONCATENATE(SORT(TRANSPOSE(SPLIT(REGEXREPLACE(REGEXREPLACE(BP9&amp;"""",""(?s)(.{1})"",""$1""&amp;CHAR(127)),""'"",""''""),CHAR(127))),1,true),""1"")"),"acefg1")</f>
        <v>acefg1</v>
      </c>
      <c r="BR9" s="16"/>
      <c r="BS9" s="10" t="str">
        <f>IFERROR(__xludf.DUMMYFUNCTION("FILTER(K9:T9,len(K9:T9)=6)"),"efadgc")</f>
        <v>efadgc</v>
      </c>
      <c r="BT9" s="6" t="str">
        <f>IFERROR(__xludf.DUMMYFUNCTION("""COMPUTED_VALUE"""),"gcbdfa")</f>
        <v>gcbdfa</v>
      </c>
      <c r="BU9" s="6" t="str">
        <f>IFERROR(__xludf.DUMMYFUNCTION("""COMPUTED_VALUE"""),"agefbc")</f>
        <v>agefbc</v>
      </c>
      <c r="BV9" s="6" t="str">
        <f>IFERROR(__xludf.DUMMYFUNCTION("REGEXREPLACE( $AR9, CONCATENATE(""["",BS9,""]""), """")"),"b")</f>
        <v>b</v>
      </c>
      <c r="BW9" s="6" t="str">
        <f>IFERROR(__xludf.DUMMYFUNCTION("REGEXREPLACE( $AR9, CONCATENATE(""["",BT9,""]""), """")"),"")</f>
        <v/>
      </c>
      <c r="BX9" s="6" t="str">
        <f>IFERROR(__xludf.DUMMYFUNCTION("REGEXREPLACE( $AR9, CONCATENATE(""["",BU9,""]""), """")"),"")</f>
        <v/>
      </c>
      <c r="BY9" s="12" t="str">
        <f t="shared" si="9"/>
        <v>efadgc</v>
      </c>
      <c r="BZ9" s="12" t="str">
        <f>IFERROR(__xludf.DUMMYFUNCTION("CONCATENATE(SORT(TRANSPOSE(SPLIT(REGEXREPLACE(REGEXREPLACE(BY9&amp;"""",""(?s)(.{1})"",""$1""&amp;CHAR(127)),""'"",""''""),CHAR(127))),1,true),""1"")"),"acdefg1")</f>
        <v>acdefg1</v>
      </c>
      <c r="CA9" s="16"/>
      <c r="CB9" s="12" t="str">
        <f t="shared" si="10"/>
        <v>bga</v>
      </c>
      <c r="CC9" s="12" t="str">
        <f>IFERROR(__xludf.DUMMYFUNCTION("CONCATENATE(SORT(TRANSPOSE(SPLIT(REGEXREPLACE(REGEXREPLACE(CB9&amp;"""",""(?s)(.{1})"",""$1""&amp;CHAR(127)),""'"",""''""),CHAR(127))),1,true),""1"")"),"abg1")</f>
        <v>abg1</v>
      </c>
      <c r="CD9" s="16"/>
      <c r="CE9" s="12" t="str">
        <f t="shared" si="11"/>
        <v>gdbefac</v>
      </c>
      <c r="CF9" s="12" t="str">
        <f>IFERROR(__xludf.DUMMYFUNCTION("CONCATENATE(SORT(TRANSPOSE(SPLIT(REGEXREPLACE(REGEXREPLACE(CE9&amp;"""",""(?s)(.{1})"",""$1""&amp;CHAR(127)),""'"",""''""),CHAR(127))),1,true),""1"")"),"abcdefg1")</f>
        <v>abcdefg1</v>
      </c>
      <c r="CG9" s="16"/>
      <c r="CH9" s="10" t="str">
        <f>IFERROR(__xludf.DUMMYFUNCTION("FILTER(K9:T9,len(K9:T9)=6)"),"efadgc")</f>
        <v>efadgc</v>
      </c>
      <c r="CI9" s="6" t="str">
        <f>IFERROR(__xludf.DUMMYFUNCTION("""COMPUTED_VALUE"""),"gcbdfa")</f>
        <v>gcbdfa</v>
      </c>
      <c r="CJ9" s="6" t="str">
        <f>IFERROR(__xludf.DUMMYFUNCTION("""COMPUTED_VALUE"""),"agefbc")</f>
        <v>agefbc</v>
      </c>
      <c r="CK9" s="6" t="str">
        <f>IFERROR(__xludf.DUMMYFUNCTION("REGEXREPLACE( $BG9, CONCATENATE(""["",CH9,""]""), """")"),"b")</f>
        <v>b</v>
      </c>
      <c r="CL9" s="6" t="str">
        <f>IFERROR(__xludf.DUMMYFUNCTION("REGEXREPLACE( $BG9, CONCATENATE(""["",CI9,""]""), """")"),"e")</f>
        <v>e</v>
      </c>
      <c r="CM9" s="6" t="str">
        <f>IFERROR(__xludf.DUMMYFUNCTION("REGEXREPLACE( $BG9, CONCATENATE(""["",CJ9,""]""), """")"),"")</f>
        <v/>
      </c>
      <c r="CN9" s="12" t="str">
        <f t="shared" si="12"/>
        <v>agefbc</v>
      </c>
      <c r="CO9" s="12" t="str">
        <f>IFERROR(__xludf.DUMMYFUNCTION("CONCATENATE(SORT(TRANSPOSE(SPLIT(REGEXREPLACE(REGEXREPLACE(CN9&amp;"""",""(?s)(.{1})"",""$1""&amp;CHAR(127)),""'"",""''""),CHAR(127))),1,true),""1"")"),"abcefg1")</f>
        <v>abcefg1</v>
      </c>
      <c r="CP9" s="15"/>
    </row>
    <row r="10">
      <c r="A10" s="1" t="s">
        <v>29</v>
      </c>
      <c r="B10" s="4"/>
      <c r="C10" s="4"/>
      <c r="D10" s="4"/>
      <c r="E10" s="4"/>
      <c r="F10" s="4">
        <v>9.0</v>
      </c>
      <c r="G10" s="4" t="s">
        <v>30</v>
      </c>
      <c r="H10" s="6" t="str">
        <f>IFERROR(__xludf.DUMMYFUNCTION("SPLIT(A10,""|"")"),"adfbc ea eabc ade dcfeg cfaed abdfce bedafg ecfgbad bfcgad ")</f>
        <v>adfbc ea eabc ade dcfeg cfaed abdfce bedafg ecfgbad bfcgad </v>
      </c>
      <c r="I10" s="6" t="str">
        <f>IFERROR(__xludf.DUMMYFUNCTION("""COMPUTED_VALUE""")," cfade fbadec eda bgadfc")</f>
        <v> cfade fbadec eda bgadfc</v>
      </c>
      <c r="J10" s="15"/>
      <c r="K10" s="6" t="str">
        <f>IFERROR(__xludf.DUMMYFUNCTION("split(H10,"" "")"),"adfbc")</f>
        <v>adfbc</v>
      </c>
      <c r="L10" s="6" t="str">
        <f>IFERROR(__xludf.DUMMYFUNCTION("""COMPUTED_VALUE"""),"ea")</f>
        <v>ea</v>
      </c>
      <c r="M10" s="6" t="str">
        <f>IFERROR(__xludf.DUMMYFUNCTION("""COMPUTED_VALUE"""),"eabc")</f>
        <v>eabc</v>
      </c>
      <c r="N10" s="6" t="str">
        <f>IFERROR(__xludf.DUMMYFUNCTION("""COMPUTED_VALUE"""),"ade")</f>
        <v>ade</v>
      </c>
      <c r="O10" s="6" t="str">
        <f>IFERROR(__xludf.DUMMYFUNCTION("""COMPUTED_VALUE"""),"dcfeg")</f>
        <v>dcfeg</v>
      </c>
      <c r="P10" s="6" t="str">
        <f>IFERROR(__xludf.DUMMYFUNCTION("""COMPUTED_VALUE"""),"cfaed")</f>
        <v>cfaed</v>
      </c>
      <c r="Q10" s="6" t="str">
        <f>IFERROR(__xludf.DUMMYFUNCTION("""COMPUTED_VALUE"""),"abdfce")</f>
        <v>abdfce</v>
      </c>
      <c r="R10" s="6" t="str">
        <f>IFERROR(__xludf.DUMMYFUNCTION("""COMPUTED_VALUE"""),"bedafg")</f>
        <v>bedafg</v>
      </c>
      <c r="S10" s="6" t="str">
        <f>IFERROR(__xludf.DUMMYFUNCTION("""COMPUTED_VALUE"""),"ecfgbad")</f>
        <v>ecfgbad</v>
      </c>
      <c r="T10" s="6" t="str">
        <f>IFERROR(__xludf.DUMMYFUNCTION("""COMPUTED_VALUE"""),"bfcgad")</f>
        <v>bfcgad</v>
      </c>
      <c r="U10" s="15"/>
      <c r="V10" s="6" t="str">
        <f>IFERROR(__xludf.DUMMYFUNCTION("split(I10,"" "")"),"cfade")</f>
        <v>cfade</v>
      </c>
      <c r="W10" s="6" t="str">
        <f>IFERROR(__xludf.DUMMYFUNCTION("""COMPUTED_VALUE"""),"fbadec")</f>
        <v>fbadec</v>
      </c>
      <c r="X10" s="6" t="str">
        <f>IFERROR(__xludf.DUMMYFUNCTION("""COMPUTED_VALUE"""),"eda")</f>
        <v>eda</v>
      </c>
      <c r="Y10" s="6" t="str">
        <f>IFERROR(__xludf.DUMMYFUNCTION("""COMPUTED_VALUE"""),"bgadfc")</f>
        <v>bgadfc</v>
      </c>
      <c r="Z10" s="6" t="str">
        <f>IFERROR(__xludf.DUMMYFUNCTION("CONCATENATE(SORT(TRANSPOSE(SPLIT(REGEXREPLACE(REGEXREPLACE(V10&amp;"""",""(?s)(.{1})"",""$1""&amp;CHAR(127)),""'"",""''""),CHAR(127))),1,true))"),"acdef")</f>
        <v>acdef</v>
      </c>
      <c r="AA10" s="6" t="str">
        <f>IFERROR(__xludf.DUMMYFUNCTION("CONCATENATE(SORT(TRANSPOSE(SPLIT(REGEXREPLACE(REGEXREPLACE(W10&amp;"""",""(?s)(.{1})"",""$1""&amp;CHAR(127)),""'"",""''""),CHAR(127))),1,true))"),"abcdef")</f>
        <v>abcdef</v>
      </c>
      <c r="AB10" s="6" t="str">
        <f>IFERROR(__xludf.DUMMYFUNCTION("CONCATENATE(SORT(TRANSPOSE(SPLIT(REGEXREPLACE(REGEXREPLACE(X10&amp;"""",""(?s)(.{1})"",""$1""&amp;CHAR(127)),""'"",""''""),CHAR(127))),1,true))"),"ade")</f>
        <v>ade</v>
      </c>
      <c r="AC10" s="6" t="str">
        <f>IFERROR(__xludf.DUMMYFUNCTION("CONCATENATE(SORT(TRANSPOSE(SPLIT(REGEXREPLACE(REGEXREPLACE(Y10&amp;"""",""(?s)(.{1})"",""$1""&amp;CHAR(127)),""'"",""''""),CHAR(127))),1,true))"),"abcdfg")</f>
        <v>abcdfg</v>
      </c>
      <c r="AD10" s="6">
        <f t="shared" ref="AD10:AG10" si="20">INDEX($AO$1:$CP$1,1,MATCH(CONCATENATE(Z10,"1"),$AO10:$CP10,0)+1)</f>
        <v>3</v>
      </c>
      <c r="AE10" s="6">
        <f t="shared" si="20"/>
        <v>9</v>
      </c>
      <c r="AF10" s="6">
        <f t="shared" si="20"/>
        <v>7</v>
      </c>
      <c r="AG10" s="6">
        <f t="shared" si="20"/>
        <v>6</v>
      </c>
      <c r="AH10" s="6">
        <f t="shared" si="3"/>
        <v>3976</v>
      </c>
      <c r="AI10" s="16"/>
      <c r="AJ10" s="9" t="str">
        <f>IFERROR(__xludf.DUMMYFUNCTION("REGEXREPLACE(AR10,CONCATENATE(""["",BY10,""]""),"""")"),"e")</f>
        <v>e</v>
      </c>
      <c r="AK10" s="10" t="str">
        <f>IFERROR(__xludf.DUMMYFUNCTION("FILTER($K10:$T10,len($K10:$T10)=6,NOT($K10:$T10=BY10))"),"abdfce")</f>
        <v>abdfce</v>
      </c>
      <c r="AL10" s="6" t="str">
        <f>IFERROR(__xludf.DUMMYFUNCTION("""COMPUTED_VALUE"""),"bedafg")</f>
        <v>bedafg</v>
      </c>
      <c r="AM10" s="6" t="str">
        <f>IFERROR(__xludf.DUMMYFUNCTION("REGEXREPLACE( $BG10, CONCATENATE(""["",AK10,""]""), """")"),"")</f>
        <v/>
      </c>
      <c r="AN10" s="6" t="str">
        <f>IFERROR(__xludf.DUMMYFUNCTION("REGEXREPLACE( $BG10, CONCATENATE(""["",AL10,""]""), """")"),"c")</f>
        <v>c</v>
      </c>
      <c r="AO10" s="11" t="str">
        <f t="shared" si="4"/>
        <v>bedafg</v>
      </c>
      <c r="AP10" s="12" t="str">
        <f>IFERROR(__xludf.DUMMYFUNCTION("CONCATENATE(SORT(TRANSPOSE(SPLIT(REGEXREPLACE(REGEXREPLACE(AO10&amp;"""",""(?s)(.{1})"",""$1""&amp;CHAR(127)),""'"",""''""),CHAR(127))),1,true),""1"")"),"abdefg1")</f>
        <v>abdefg1</v>
      </c>
      <c r="AQ10" s="16"/>
      <c r="AR10" s="12" t="str">
        <f t="shared" si="5"/>
        <v>ea</v>
      </c>
      <c r="AS10" s="12" t="str">
        <f>IFERROR(__xludf.DUMMYFUNCTION("CONCATENATE(SORT(TRANSPOSE(SPLIT(REGEXREPLACE(REGEXREPLACE(AR10&amp;"""",""(?s)(.{1})"",""$1""&amp;CHAR(127)),""'"",""''""),CHAR(127))),1,true),""1"")"),"ae1")</f>
        <v>ae1</v>
      </c>
      <c r="AT10" s="16"/>
      <c r="AU10" s="13" t="str">
        <f>IFERROR(__xludf.DUMMYFUNCTION("FILTER($K10:$T10,len($K10:$T10)=5,NOT($K10:$T10=BD10),NOT($K10:$T10=BP10))"),"dcfeg")</f>
        <v>dcfeg</v>
      </c>
      <c r="AV10" s="12" t="str">
        <f>IFERROR(__xludf.DUMMYFUNCTION("CONCATENATE(SORT(TRANSPOSE(SPLIT(REGEXREPLACE(REGEXREPLACE(AU10&amp;"""",""(?s)(.{1})"",""$1""&amp;CHAR(127)),""'"",""''""),CHAR(127))),1,true),""1"")"),"cdefg1")</f>
        <v>cdefg1</v>
      </c>
      <c r="AW10" s="16"/>
      <c r="AX10" s="10" t="str">
        <f>IFERROR(__xludf.DUMMYFUNCTION("FILTER($K10:$T10,len($K10:$T10)=5)"),"adfbc")</f>
        <v>adfbc</v>
      </c>
      <c r="AY10" s="6" t="str">
        <f>IFERROR(__xludf.DUMMYFUNCTION("""COMPUTED_VALUE"""),"dcfeg")</f>
        <v>dcfeg</v>
      </c>
      <c r="AZ10" s="6" t="str">
        <f>IFERROR(__xludf.DUMMYFUNCTION("""COMPUTED_VALUE"""),"cfaed")</f>
        <v>cfaed</v>
      </c>
      <c r="BA10" s="6" t="str">
        <f>IFERROR(__xludf.DUMMYFUNCTION("REGEXREPLACE( $AR10, CONCATENATE(""["",AX10,""]""), """")"),"e")</f>
        <v>e</v>
      </c>
      <c r="BB10" s="6" t="str">
        <f>IFERROR(__xludf.DUMMYFUNCTION("REGEXREPLACE( $AR10, CONCATENATE(""["",AY10,""]""), """")"),"a")</f>
        <v>a</v>
      </c>
      <c r="BC10" s="6" t="str">
        <f>IFERROR(__xludf.DUMMYFUNCTION("REGEXREPLACE( $AR10, CONCATENATE(""["",AZ10,""]""), """")"),"")</f>
        <v/>
      </c>
      <c r="BD10" s="11" t="str">
        <f t="shared" si="6"/>
        <v>cfaed</v>
      </c>
      <c r="BE10" s="12" t="str">
        <f>IFERROR(__xludf.DUMMYFUNCTION("CONCATENATE(SORT(TRANSPOSE(SPLIT(REGEXREPLACE(REGEXREPLACE(BD10&amp;"""",""(?s)(.{1})"",""$1""&amp;CHAR(127)),""'"",""''""),CHAR(127))),1,true),""1"")"),"acdef1")</f>
        <v>acdef1</v>
      </c>
      <c r="BF10" s="16"/>
      <c r="BG10" s="12" t="str">
        <f t="shared" si="7"/>
        <v>eabc</v>
      </c>
      <c r="BH10" s="12" t="str">
        <f>IFERROR(__xludf.DUMMYFUNCTION("CONCATENATE(SORT(TRANSPOSE(SPLIT(REGEXREPLACE(REGEXREPLACE(BG10&amp;"""",""(?s)(.{1})"",""$1""&amp;CHAR(127)),""'"",""''""),CHAR(127))),1,true),""1"")"),"abce1")</f>
        <v>abce1</v>
      </c>
      <c r="BI10" s="16"/>
      <c r="BJ10" s="10" t="str">
        <f>IFERROR(__xludf.DUMMYFUNCTION("FILTER($K10:$T10,len($K10:$T10)=5)"),"adfbc")</f>
        <v>adfbc</v>
      </c>
      <c r="BK10" s="6" t="str">
        <f>IFERROR(__xludf.DUMMYFUNCTION("""COMPUTED_VALUE"""),"dcfeg")</f>
        <v>dcfeg</v>
      </c>
      <c r="BL10" s="6" t="str">
        <f>IFERROR(__xludf.DUMMYFUNCTION("""COMPUTED_VALUE"""),"cfaed")</f>
        <v>cfaed</v>
      </c>
      <c r="BM10" s="14" t="str">
        <f>IFERROR(__xludf.DUMMYFUNCTION("REGEXREPLACE( $BY10, CONCATENATE(""["",BJ10,""]""), """")"),"g")</f>
        <v>g</v>
      </c>
      <c r="BN10" s="14" t="str">
        <f>IFERROR(__xludf.DUMMYFUNCTION("REGEXREPLACE( $BY10, CONCATENATE(""["",BK10,""]""), """")"),"ba")</f>
        <v>ba</v>
      </c>
      <c r="BO10" s="14" t="str">
        <f>IFERROR(__xludf.DUMMYFUNCTION("REGEXREPLACE( $BY10, CONCATENATE(""["",BL10,""]""), """")"),"bg")</f>
        <v>bg</v>
      </c>
      <c r="BP10" s="11" t="str">
        <f t="shared" si="8"/>
        <v>adfbc</v>
      </c>
      <c r="BQ10" s="12" t="str">
        <f>IFERROR(__xludf.DUMMYFUNCTION("CONCATENATE(SORT(TRANSPOSE(SPLIT(REGEXREPLACE(REGEXREPLACE(BP10&amp;"""",""(?s)(.{1})"",""$1""&amp;CHAR(127)),""'"",""''""),CHAR(127))),1,true),""1"")"),"abcdf1")</f>
        <v>abcdf1</v>
      </c>
      <c r="BR10" s="16"/>
      <c r="BS10" s="10" t="str">
        <f>IFERROR(__xludf.DUMMYFUNCTION("FILTER(K10:T10,len(K10:T10)=6)"),"abdfce")</f>
        <v>abdfce</v>
      </c>
      <c r="BT10" s="6" t="str">
        <f>IFERROR(__xludf.DUMMYFUNCTION("""COMPUTED_VALUE"""),"bedafg")</f>
        <v>bedafg</v>
      </c>
      <c r="BU10" s="6" t="str">
        <f>IFERROR(__xludf.DUMMYFUNCTION("""COMPUTED_VALUE"""),"bfcgad")</f>
        <v>bfcgad</v>
      </c>
      <c r="BV10" s="6" t="str">
        <f>IFERROR(__xludf.DUMMYFUNCTION("REGEXREPLACE( $AR10, CONCATENATE(""["",BS10,""]""), """")"),"")</f>
        <v/>
      </c>
      <c r="BW10" s="6" t="str">
        <f>IFERROR(__xludf.DUMMYFUNCTION("REGEXREPLACE( $AR10, CONCATENATE(""["",BT10,""]""), """")"),"")</f>
        <v/>
      </c>
      <c r="BX10" s="6" t="str">
        <f>IFERROR(__xludf.DUMMYFUNCTION("REGEXREPLACE( $AR10, CONCATENATE(""["",BU10,""]""), """")"),"e")</f>
        <v>e</v>
      </c>
      <c r="BY10" s="12" t="str">
        <f t="shared" si="9"/>
        <v>bfcgad</v>
      </c>
      <c r="BZ10" s="12" t="str">
        <f>IFERROR(__xludf.DUMMYFUNCTION("CONCATENATE(SORT(TRANSPOSE(SPLIT(REGEXREPLACE(REGEXREPLACE(BY10&amp;"""",""(?s)(.{1})"",""$1""&amp;CHAR(127)),""'"",""''""),CHAR(127))),1,true),""1"")"),"abcdfg1")</f>
        <v>abcdfg1</v>
      </c>
      <c r="CA10" s="16"/>
      <c r="CB10" s="12" t="str">
        <f t="shared" si="10"/>
        <v>ade</v>
      </c>
      <c r="CC10" s="12" t="str">
        <f>IFERROR(__xludf.DUMMYFUNCTION("CONCATENATE(SORT(TRANSPOSE(SPLIT(REGEXREPLACE(REGEXREPLACE(CB10&amp;"""",""(?s)(.{1})"",""$1""&amp;CHAR(127)),""'"",""''""),CHAR(127))),1,true),""1"")"),"ade1")</f>
        <v>ade1</v>
      </c>
      <c r="CD10" s="16"/>
      <c r="CE10" s="12" t="str">
        <f t="shared" si="11"/>
        <v>ecfgbad</v>
      </c>
      <c r="CF10" s="12" t="str">
        <f>IFERROR(__xludf.DUMMYFUNCTION("CONCATENATE(SORT(TRANSPOSE(SPLIT(REGEXREPLACE(REGEXREPLACE(CE10&amp;"""",""(?s)(.{1})"",""$1""&amp;CHAR(127)),""'"",""''""),CHAR(127))),1,true),""1"")"),"abcdefg1")</f>
        <v>abcdefg1</v>
      </c>
      <c r="CG10" s="16"/>
      <c r="CH10" s="10" t="str">
        <f>IFERROR(__xludf.DUMMYFUNCTION("FILTER(K10:T10,len(K10:T10)=6)"),"abdfce")</f>
        <v>abdfce</v>
      </c>
      <c r="CI10" s="6" t="str">
        <f>IFERROR(__xludf.DUMMYFUNCTION("""COMPUTED_VALUE"""),"bedafg")</f>
        <v>bedafg</v>
      </c>
      <c r="CJ10" s="6" t="str">
        <f>IFERROR(__xludf.DUMMYFUNCTION("""COMPUTED_VALUE"""),"bfcgad")</f>
        <v>bfcgad</v>
      </c>
      <c r="CK10" s="6" t="str">
        <f>IFERROR(__xludf.DUMMYFUNCTION("REGEXREPLACE( $BG10, CONCATENATE(""["",CH10,""]""), """")"),"")</f>
        <v/>
      </c>
      <c r="CL10" s="6" t="str">
        <f>IFERROR(__xludf.DUMMYFUNCTION("REGEXREPLACE( $BG10, CONCATENATE(""["",CI10,""]""), """")"),"c")</f>
        <v>c</v>
      </c>
      <c r="CM10" s="6" t="str">
        <f>IFERROR(__xludf.DUMMYFUNCTION("REGEXREPLACE( $BG10, CONCATENATE(""["",CJ10,""]""), """")"),"e")</f>
        <v>e</v>
      </c>
      <c r="CN10" s="12" t="str">
        <f t="shared" si="12"/>
        <v>abdfce</v>
      </c>
      <c r="CO10" s="12" t="str">
        <f>IFERROR(__xludf.DUMMYFUNCTION("CONCATENATE(SORT(TRANSPOSE(SPLIT(REGEXREPLACE(REGEXREPLACE(CN10&amp;"""",""(?s)(.{1})"",""$1""&amp;CHAR(127)),""'"",""''""),CHAR(127))),1,true),""1"")"),"abcdef1")</f>
        <v>abcdef1</v>
      </c>
      <c r="CP10" s="15"/>
    </row>
    <row r="11">
      <c r="A11" s="1" t="s">
        <v>31</v>
      </c>
      <c r="H11" s="6" t="str">
        <f>IFERROR(__xludf.DUMMYFUNCTION("SPLIT(A11,""|"")"),"efgda dgeabf decbag acefgd edbfa baecgdf ba adb gfab dcfeb ")</f>
        <v>efgda dgeabf decbag acefgd edbfa baecgdf ba adb gfab dcfeb </v>
      </c>
      <c r="I11" s="6" t="str">
        <f>IFERROR(__xludf.DUMMYFUNCTION("""COMPUTED_VALUE""")," agbf abd gdabfe ab")</f>
        <v> agbf abd gdabfe ab</v>
      </c>
      <c r="J11" s="15"/>
      <c r="K11" s="6" t="str">
        <f>IFERROR(__xludf.DUMMYFUNCTION("split(H11,"" "")"),"efgda")</f>
        <v>efgda</v>
      </c>
      <c r="L11" s="6" t="str">
        <f>IFERROR(__xludf.DUMMYFUNCTION("""COMPUTED_VALUE"""),"dgeabf")</f>
        <v>dgeabf</v>
      </c>
      <c r="M11" s="6" t="str">
        <f>IFERROR(__xludf.DUMMYFUNCTION("""COMPUTED_VALUE"""),"decbag")</f>
        <v>decbag</v>
      </c>
      <c r="N11" s="6" t="str">
        <f>IFERROR(__xludf.DUMMYFUNCTION("""COMPUTED_VALUE"""),"acefgd")</f>
        <v>acefgd</v>
      </c>
      <c r="O11" s="6" t="str">
        <f>IFERROR(__xludf.DUMMYFUNCTION("""COMPUTED_VALUE"""),"edbfa")</f>
        <v>edbfa</v>
      </c>
      <c r="P11" s="6" t="str">
        <f>IFERROR(__xludf.DUMMYFUNCTION("""COMPUTED_VALUE"""),"baecgdf")</f>
        <v>baecgdf</v>
      </c>
      <c r="Q11" s="6" t="str">
        <f>IFERROR(__xludf.DUMMYFUNCTION("""COMPUTED_VALUE"""),"ba")</f>
        <v>ba</v>
      </c>
      <c r="R11" s="6" t="str">
        <f>IFERROR(__xludf.DUMMYFUNCTION("""COMPUTED_VALUE"""),"adb")</f>
        <v>adb</v>
      </c>
      <c r="S11" s="6" t="str">
        <f>IFERROR(__xludf.DUMMYFUNCTION("""COMPUTED_VALUE"""),"gfab")</f>
        <v>gfab</v>
      </c>
      <c r="T11" s="6" t="str">
        <f>IFERROR(__xludf.DUMMYFUNCTION("""COMPUTED_VALUE"""),"dcfeb")</f>
        <v>dcfeb</v>
      </c>
      <c r="U11" s="15"/>
      <c r="V11" s="6" t="str">
        <f>IFERROR(__xludf.DUMMYFUNCTION("split(I11,"" "")"),"agbf")</f>
        <v>agbf</v>
      </c>
      <c r="W11" s="6" t="str">
        <f>IFERROR(__xludf.DUMMYFUNCTION("""COMPUTED_VALUE"""),"abd")</f>
        <v>abd</v>
      </c>
      <c r="X11" s="6" t="str">
        <f>IFERROR(__xludf.DUMMYFUNCTION("""COMPUTED_VALUE"""),"gdabfe")</f>
        <v>gdabfe</v>
      </c>
      <c r="Y11" s="6" t="str">
        <f>IFERROR(__xludf.DUMMYFUNCTION("""COMPUTED_VALUE"""),"ab")</f>
        <v>ab</v>
      </c>
      <c r="Z11" s="6" t="str">
        <f>IFERROR(__xludf.DUMMYFUNCTION("CONCATENATE(SORT(TRANSPOSE(SPLIT(REGEXREPLACE(REGEXREPLACE(V11&amp;"""",""(?s)(.{1})"",""$1""&amp;CHAR(127)),""'"",""''""),CHAR(127))),1,true))"),"abfg")</f>
        <v>abfg</v>
      </c>
      <c r="AA11" s="6" t="str">
        <f>IFERROR(__xludf.DUMMYFUNCTION("CONCATENATE(SORT(TRANSPOSE(SPLIT(REGEXREPLACE(REGEXREPLACE(W11&amp;"""",""(?s)(.{1})"",""$1""&amp;CHAR(127)),""'"",""''""),CHAR(127))),1,true))"),"abd")</f>
        <v>abd</v>
      </c>
      <c r="AB11" s="6" t="str">
        <f>IFERROR(__xludf.DUMMYFUNCTION("CONCATENATE(SORT(TRANSPOSE(SPLIT(REGEXREPLACE(REGEXREPLACE(X11&amp;"""",""(?s)(.{1})"",""$1""&amp;CHAR(127)),""'"",""''""),CHAR(127))),1,true))"),"abdefg")</f>
        <v>abdefg</v>
      </c>
      <c r="AC11" s="6" t="str">
        <f>IFERROR(__xludf.DUMMYFUNCTION("CONCATENATE(SORT(TRANSPOSE(SPLIT(REGEXREPLACE(REGEXREPLACE(Y11&amp;"""",""(?s)(.{1})"",""$1""&amp;CHAR(127)),""'"",""''""),CHAR(127))),1,true))"),"ab")</f>
        <v>ab</v>
      </c>
      <c r="AD11" s="6">
        <f t="shared" ref="AD11:AG11" si="21">INDEX($AO$1:$CP$1,1,MATCH(CONCATENATE(Z11,"1"),$AO11:$CP11,0)+1)</f>
        <v>4</v>
      </c>
      <c r="AE11" s="6">
        <f t="shared" si="21"/>
        <v>7</v>
      </c>
      <c r="AF11" s="6">
        <f t="shared" si="21"/>
        <v>9</v>
      </c>
      <c r="AG11" s="6">
        <f t="shared" si="21"/>
        <v>1</v>
      </c>
      <c r="AH11" s="6">
        <f t="shared" si="3"/>
        <v>4791</v>
      </c>
      <c r="AI11" s="16"/>
      <c r="AJ11" s="9" t="str">
        <f>IFERROR(__xludf.DUMMYFUNCTION("REGEXREPLACE(AR11,CONCATENATE(""["",BY11,""]""),"""")"),"b")</f>
        <v>b</v>
      </c>
      <c r="AK11" s="10" t="str">
        <f>IFERROR(__xludf.DUMMYFUNCTION("FILTER($K11:$T11,len($K11:$T11)=6,NOT($K11:$T11=BY11))"),"dgeabf")</f>
        <v>dgeabf</v>
      </c>
      <c r="AL11" s="6" t="str">
        <f>IFERROR(__xludf.DUMMYFUNCTION("""COMPUTED_VALUE"""),"decbag")</f>
        <v>decbag</v>
      </c>
      <c r="AM11" s="6" t="str">
        <f>IFERROR(__xludf.DUMMYFUNCTION("REGEXREPLACE( $BG11, CONCATENATE(""["",AK11,""]""), """")"),"")</f>
        <v/>
      </c>
      <c r="AN11" s="6" t="str">
        <f>IFERROR(__xludf.DUMMYFUNCTION("REGEXREPLACE( $BG11, CONCATENATE(""["",AL11,""]""), """")"),"f")</f>
        <v>f</v>
      </c>
      <c r="AO11" s="11" t="str">
        <f t="shared" si="4"/>
        <v>decbag</v>
      </c>
      <c r="AP11" s="12" t="str">
        <f>IFERROR(__xludf.DUMMYFUNCTION("CONCATENATE(SORT(TRANSPOSE(SPLIT(REGEXREPLACE(REGEXREPLACE(AO11&amp;"""",""(?s)(.{1})"",""$1""&amp;CHAR(127)),""'"",""''""),CHAR(127))),1,true),""1"")"),"abcdeg1")</f>
        <v>abcdeg1</v>
      </c>
      <c r="AQ11" s="16"/>
      <c r="AR11" s="12" t="str">
        <f t="shared" si="5"/>
        <v>ba</v>
      </c>
      <c r="AS11" s="12" t="str">
        <f>IFERROR(__xludf.DUMMYFUNCTION("CONCATENATE(SORT(TRANSPOSE(SPLIT(REGEXREPLACE(REGEXREPLACE(AR11&amp;"""",""(?s)(.{1})"",""$1""&amp;CHAR(127)),""'"",""''""),CHAR(127))),1,true),""1"")"),"ab1")</f>
        <v>ab1</v>
      </c>
      <c r="AT11" s="16"/>
      <c r="AU11" s="13" t="str">
        <f>IFERROR(__xludf.DUMMYFUNCTION("FILTER($K11:$T11,len($K11:$T11)=5,NOT($K11:$T11=BD11),NOT($K11:$T11=BP11))"),"dcfeb")</f>
        <v>dcfeb</v>
      </c>
      <c r="AV11" s="12" t="str">
        <f>IFERROR(__xludf.DUMMYFUNCTION("CONCATENATE(SORT(TRANSPOSE(SPLIT(REGEXREPLACE(REGEXREPLACE(AU11&amp;"""",""(?s)(.{1})"",""$1""&amp;CHAR(127)),""'"",""''""),CHAR(127))),1,true),""1"")"),"bcdef1")</f>
        <v>bcdef1</v>
      </c>
      <c r="AW11" s="16"/>
      <c r="AX11" s="10" t="str">
        <f>IFERROR(__xludf.DUMMYFUNCTION("FILTER($K11:$T11,len($K11:$T11)=5)"),"efgda")</f>
        <v>efgda</v>
      </c>
      <c r="AY11" s="6" t="str">
        <f>IFERROR(__xludf.DUMMYFUNCTION("""COMPUTED_VALUE"""),"edbfa")</f>
        <v>edbfa</v>
      </c>
      <c r="AZ11" s="6" t="str">
        <f>IFERROR(__xludf.DUMMYFUNCTION("""COMPUTED_VALUE"""),"dcfeb")</f>
        <v>dcfeb</v>
      </c>
      <c r="BA11" s="6" t="str">
        <f>IFERROR(__xludf.DUMMYFUNCTION("REGEXREPLACE( $AR11, CONCATENATE(""["",AX11,""]""), """")"),"b")</f>
        <v>b</v>
      </c>
      <c r="BB11" s="6" t="str">
        <f>IFERROR(__xludf.DUMMYFUNCTION("REGEXREPLACE( $AR11, CONCATENATE(""["",AY11,""]""), """")"),"")</f>
        <v/>
      </c>
      <c r="BC11" s="6" t="str">
        <f>IFERROR(__xludf.DUMMYFUNCTION("REGEXREPLACE( $AR11, CONCATENATE(""["",AZ11,""]""), """")"),"a")</f>
        <v>a</v>
      </c>
      <c r="BD11" s="11" t="str">
        <f t="shared" si="6"/>
        <v>edbfa</v>
      </c>
      <c r="BE11" s="12" t="str">
        <f>IFERROR(__xludf.DUMMYFUNCTION("CONCATENATE(SORT(TRANSPOSE(SPLIT(REGEXREPLACE(REGEXREPLACE(BD11&amp;"""",""(?s)(.{1})"",""$1""&amp;CHAR(127)),""'"",""''""),CHAR(127))),1,true),""1"")"),"abdef1")</f>
        <v>abdef1</v>
      </c>
      <c r="BF11" s="16"/>
      <c r="BG11" s="12" t="str">
        <f t="shared" si="7"/>
        <v>gfab</v>
      </c>
      <c r="BH11" s="12" t="str">
        <f>IFERROR(__xludf.DUMMYFUNCTION("CONCATENATE(SORT(TRANSPOSE(SPLIT(REGEXREPLACE(REGEXREPLACE(BG11&amp;"""",""(?s)(.{1})"",""$1""&amp;CHAR(127)),""'"",""''""),CHAR(127))),1,true),""1"")"),"abfg1")</f>
        <v>abfg1</v>
      </c>
      <c r="BI11" s="16"/>
      <c r="BJ11" s="10" t="str">
        <f>IFERROR(__xludf.DUMMYFUNCTION("FILTER($K11:$T11,len($K11:$T11)=5)"),"efgda")</f>
        <v>efgda</v>
      </c>
      <c r="BK11" s="6" t="str">
        <f>IFERROR(__xludf.DUMMYFUNCTION("""COMPUTED_VALUE"""),"edbfa")</f>
        <v>edbfa</v>
      </c>
      <c r="BL11" s="6" t="str">
        <f>IFERROR(__xludf.DUMMYFUNCTION("""COMPUTED_VALUE"""),"dcfeb")</f>
        <v>dcfeb</v>
      </c>
      <c r="BM11" s="14" t="str">
        <f>IFERROR(__xludf.DUMMYFUNCTION("REGEXREPLACE( $BY11, CONCATENATE(""["",BJ11,""]""), """")"),"c")</f>
        <v>c</v>
      </c>
      <c r="BN11" s="14" t="str">
        <f>IFERROR(__xludf.DUMMYFUNCTION("REGEXREPLACE( $BY11, CONCATENATE(""["",BK11,""]""), """")"),"cg")</f>
        <v>cg</v>
      </c>
      <c r="BO11" s="14" t="str">
        <f>IFERROR(__xludf.DUMMYFUNCTION("REGEXREPLACE( $BY11, CONCATENATE(""["",BL11,""]""), """")"),"ag")</f>
        <v>ag</v>
      </c>
      <c r="BP11" s="11" t="str">
        <f t="shared" si="8"/>
        <v>efgda</v>
      </c>
      <c r="BQ11" s="12" t="str">
        <f>IFERROR(__xludf.DUMMYFUNCTION("CONCATENATE(SORT(TRANSPOSE(SPLIT(REGEXREPLACE(REGEXREPLACE(BP11&amp;"""",""(?s)(.{1})"",""$1""&amp;CHAR(127)),""'"",""''""),CHAR(127))),1,true),""1"")"),"adefg1")</f>
        <v>adefg1</v>
      </c>
      <c r="BR11" s="16"/>
      <c r="BS11" s="10" t="str">
        <f>IFERROR(__xludf.DUMMYFUNCTION("FILTER(K11:T11,len(K11:T11)=6)"),"dgeabf")</f>
        <v>dgeabf</v>
      </c>
      <c r="BT11" s="6" t="str">
        <f>IFERROR(__xludf.DUMMYFUNCTION("""COMPUTED_VALUE"""),"decbag")</f>
        <v>decbag</v>
      </c>
      <c r="BU11" s="6" t="str">
        <f>IFERROR(__xludf.DUMMYFUNCTION("""COMPUTED_VALUE"""),"acefgd")</f>
        <v>acefgd</v>
      </c>
      <c r="BV11" s="6" t="str">
        <f>IFERROR(__xludf.DUMMYFUNCTION("REGEXREPLACE( $AR11, CONCATENATE(""["",BS11,""]""), """")"),"")</f>
        <v/>
      </c>
      <c r="BW11" s="6" t="str">
        <f>IFERROR(__xludf.DUMMYFUNCTION("REGEXREPLACE( $AR11, CONCATENATE(""["",BT11,""]""), """")"),"")</f>
        <v/>
      </c>
      <c r="BX11" s="6" t="str">
        <f>IFERROR(__xludf.DUMMYFUNCTION("REGEXREPLACE( $AR11, CONCATENATE(""["",BU11,""]""), """")"),"b")</f>
        <v>b</v>
      </c>
      <c r="BY11" s="12" t="str">
        <f t="shared" si="9"/>
        <v>acefgd</v>
      </c>
      <c r="BZ11" s="12" t="str">
        <f>IFERROR(__xludf.DUMMYFUNCTION("CONCATENATE(SORT(TRANSPOSE(SPLIT(REGEXREPLACE(REGEXREPLACE(BY11&amp;"""",""(?s)(.{1})"",""$1""&amp;CHAR(127)),""'"",""''""),CHAR(127))),1,true),""1"")"),"acdefg1")</f>
        <v>acdefg1</v>
      </c>
      <c r="CA11" s="16"/>
      <c r="CB11" s="12" t="str">
        <f t="shared" si="10"/>
        <v>adb</v>
      </c>
      <c r="CC11" s="12" t="str">
        <f>IFERROR(__xludf.DUMMYFUNCTION("CONCATENATE(SORT(TRANSPOSE(SPLIT(REGEXREPLACE(REGEXREPLACE(CB11&amp;"""",""(?s)(.{1})"",""$1""&amp;CHAR(127)),""'"",""''""),CHAR(127))),1,true),""1"")"),"abd1")</f>
        <v>abd1</v>
      </c>
      <c r="CD11" s="16"/>
      <c r="CE11" s="12" t="str">
        <f t="shared" si="11"/>
        <v>baecgdf</v>
      </c>
      <c r="CF11" s="12" t="str">
        <f>IFERROR(__xludf.DUMMYFUNCTION("CONCATENATE(SORT(TRANSPOSE(SPLIT(REGEXREPLACE(REGEXREPLACE(CE11&amp;"""",""(?s)(.{1})"",""$1""&amp;CHAR(127)),""'"",""''""),CHAR(127))),1,true),""1"")"),"abcdefg1")</f>
        <v>abcdefg1</v>
      </c>
      <c r="CG11" s="16"/>
      <c r="CH11" s="10" t="str">
        <f>IFERROR(__xludf.DUMMYFUNCTION("FILTER(K11:T11,len(K11:T11)=6)"),"dgeabf")</f>
        <v>dgeabf</v>
      </c>
      <c r="CI11" s="6" t="str">
        <f>IFERROR(__xludf.DUMMYFUNCTION("""COMPUTED_VALUE"""),"decbag")</f>
        <v>decbag</v>
      </c>
      <c r="CJ11" s="6" t="str">
        <f>IFERROR(__xludf.DUMMYFUNCTION("""COMPUTED_VALUE"""),"acefgd")</f>
        <v>acefgd</v>
      </c>
      <c r="CK11" s="6" t="str">
        <f>IFERROR(__xludf.DUMMYFUNCTION("REGEXREPLACE( $BG11, CONCATENATE(""["",CH11,""]""), """")"),"")</f>
        <v/>
      </c>
      <c r="CL11" s="6" t="str">
        <f>IFERROR(__xludf.DUMMYFUNCTION("REGEXREPLACE( $BG11, CONCATENATE(""["",CI11,""]""), """")"),"f")</f>
        <v>f</v>
      </c>
      <c r="CM11" s="6" t="str">
        <f>IFERROR(__xludf.DUMMYFUNCTION("REGEXREPLACE( $BG11, CONCATENATE(""["",CJ11,""]""), """")"),"b")</f>
        <v>b</v>
      </c>
      <c r="CN11" s="12" t="str">
        <f t="shared" si="12"/>
        <v>dgeabf</v>
      </c>
      <c r="CO11" s="12" t="str">
        <f>IFERROR(__xludf.DUMMYFUNCTION("CONCATENATE(SORT(TRANSPOSE(SPLIT(REGEXREPLACE(REGEXREPLACE(CN11&amp;"""",""(?s)(.{1})"",""$1""&amp;CHAR(127)),""'"",""''""),CHAR(127))),1,true),""1"")"),"abdefg1")</f>
        <v>abdefg1</v>
      </c>
      <c r="CP11" s="15"/>
    </row>
    <row r="12">
      <c r="A12" s="1" t="s">
        <v>32</v>
      </c>
      <c r="B12" s="4"/>
      <c r="C12" s="4"/>
      <c r="H12" s="6" t="str">
        <f>IFERROR(__xludf.DUMMYFUNCTION("SPLIT(A12,""|"")"),"acbefg fedacb abde be gaedbcf agdcfb bec cfedb dfcab cfged ")</f>
        <v>acbefg fedacb abde be gaedbcf agdcfb bec cfedb dfcab cfged </v>
      </c>
      <c r="I12" s="6" t="str">
        <f>IFERROR(__xludf.DUMMYFUNCTION("""COMPUTED_VALUE""")," gabdcfe bceadf fgbdeac fegdc")</f>
        <v> gabdcfe bceadf fgbdeac fegdc</v>
      </c>
      <c r="J12" s="15"/>
      <c r="K12" s="6" t="str">
        <f>IFERROR(__xludf.DUMMYFUNCTION("split(H12,"" "")"),"acbefg")</f>
        <v>acbefg</v>
      </c>
      <c r="L12" s="6" t="str">
        <f>IFERROR(__xludf.DUMMYFUNCTION("""COMPUTED_VALUE"""),"fedacb")</f>
        <v>fedacb</v>
      </c>
      <c r="M12" s="6" t="str">
        <f>IFERROR(__xludf.DUMMYFUNCTION("""COMPUTED_VALUE"""),"abde")</f>
        <v>abde</v>
      </c>
      <c r="N12" s="6" t="str">
        <f>IFERROR(__xludf.DUMMYFUNCTION("""COMPUTED_VALUE"""),"be")</f>
        <v>be</v>
      </c>
      <c r="O12" s="6" t="str">
        <f>IFERROR(__xludf.DUMMYFUNCTION("""COMPUTED_VALUE"""),"gaedbcf")</f>
        <v>gaedbcf</v>
      </c>
      <c r="P12" s="6" t="str">
        <f>IFERROR(__xludf.DUMMYFUNCTION("""COMPUTED_VALUE"""),"agdcfb")</f>
        <v>agdcfb</v>
      </c>
      <c r="Q12" s="6" t="str">
        <f>IFERROR(__xludf.DUMMYFUNCTION("""COMPUTED_VALUE"""),"bec")</f>
        <v>bec</v>
      </c>
      <c r="R12" s="6" t="str">
        <f>IFERROR(__xludf.DUMMYFUNCTION("""COMPUTED_VALUE"""),"cfedb")</f>
        <v>cfedb</v>
      </c>
      <c r="S12" s="6" t="str">
        <f>IFERROR(__xludf.DUMMYFUNCTION("""COMPUTED_VALUE"""),"dfcab")</f>
        <v>dfcab</v>
      </c>
      <c r="T12" s="6" t="str">
        <f>IFERROR(__xludf.DUMMYFUNCTION("""COMPUTED_VALUE"""),"cfged")</f>
        <v>cfged</v>
      </c>
      <c r="U12" s="15"/>
      <c r="V12" s="6" t="str">
        <f>IFERROR(__xludf.DUMMYFUNCTION("split(I12,"" "")"),"gabdcfe")</f>
        <v>gabdcfe</v>
      </c>
      <c r="W12" s="6" t="str">
        <f>IFERROR(__xludf.DUMMYFUNCTION("""COMPUTED_VALUE"""),"bceadf")</f>
        <v>bceadf</v>
      </c>
      <c r="X12" s="6" t="str">
        <f>IFERROR(__xludf.DUMMYFUNCTION("""COMPUTED_VALUE"""),"fgbdeac")</f>
        <v>fgbdeac</v>
      </c>
      <c r="Y12" s="6" t="str">
        <f>IFERROR(__xludf.DUMMYFUNCTION("""COMPUTED_VALUE"""),"fegdc")</f>
        <v>fegdc</v>
      </c>
      <c r="Z12" s="6" t="str">
        <f>IFERROR(__xludf.DUMMYFUNCTION("CONCATENATE(SORT(TRANSPOSE(SPLIT(REGEXREPLACE(REGEXREPLACE(V12&amp;"""",""(?s)(.{1})"",""$1""&amp;CHAR(127)),""'"",""''""),CHAR(127))),1,true))"),"abcdefg")</f>
        <v>abcdefg</v>
      </c>
      <c r="AA12" s="6" t="str">
        <f>IFERROR(__xludf.DUMMYFUNCTION("CONCATENATE(SORT(TRANSPOSE(SPLIT(REGEXREPLACE(REGEXREPLACE(W12&amp;"""",""(?s)(.{1})"",""$1""&amp;CHAR(127)),""'"",""''""),CHAR(127))),1,true))"),"abcdef")</f>
        <v>abcdef</v>
      </c>
      <c r="AB12" s="6" t="str">
        <f>IFERROR(__xludf.DUMMYFUNCTION("CONCATENATE(SORT(TRANSPOSE(SPLIT(REGEXREPLACE(REGEXREPLACE(X12&amp;"""",""(?s)(.{1})"",""$1""&amp;CHAR(127)),""'"",""''""),CHAR(127))),1,true))"),"abcdefg")</f>
        <v>abcdefg</v>
      </c>
      <c r="AC12" s="6" t="str">
        <f>IFERROR(__xludf.DUMMYFUNCTION("CONCATENATE(SORT(TRANSPOSE(SPLIT(REGEXREPLACE(REGEXREPLACE(Y12&amp;"""",""(?s)(.{1})"",""$1""&amp;CHAR(127)),""'"",""''""),CHAR(127))),1,true))"),"cdefg")</f>
        <v>cdefg</v>
      </c>
      <c r="AD12" s="6">
        <f t="shared" ref="AD12:AG12" si="22">INDEX($AO$1:$CP$1,1,MATCH(CONCATENATE(Z12,"1"),$AO12:$CP12,0)+1)</f>
        <v>8</v>
      </c>
      <c r="AE12" s="6">
        <f t="shared" si="22"/>
        <v>9</v>
      </c>
      <c r="AF12" s="6">
        <f t="shared" si="22"/>
        <v>8</v>
      </c>
      <c r="AG12" s="6">
        <f t="shared" si="22"/>
        <v>2</v>
      </c>
      <c r="AH12" s="6">
        <f t="shared" si="3"/>
        <v>8982</v>
      </c>
      <c r="AI12" s="16"/>
      <c r="AJ12" s="9" t="str">
        <f>IFERROR(__xludf.DUMMYFUNCTION("REGEXREPLACE(AR12,CONCATENATE(""["",BY12,""]""),"""")"),"e")</f>
        <v>e</v>
      </c>
      <c r="AK12" s="10" t="str">
        <f>IFERROR(__xludf.DUMMYFUNCTION("FILTER($K12:$T12,len($K12:$T12)=6,NOT($K12:$T12=BY12))"),"acbefg")</f>
        <v>acbefg</v>
      </c>
      <c r="AL12" s="6" t="str">
        <f>IFERROR(__xludf.DUMMYFUNCTION("""COMPUTED_VALUE"""),"fedacb")</f>
        <v>fedacb</v>
      </c>
      <c r="AM12" s="6" t="str">
        <f>IFERROR(__xludf.DUMMYFUNCTION("REGEXREPLACE( $BG12, CONCATENATE(""["",AK12,""]""), """")"),"d")</f>
        <v>d</v>
      </c>
      <c r="AN12" s="6" t="str">
        <f>IFERROR(__xludf.DUMMYFUNCTION("REGEXREPLACE( $BG12, CONCATENATE(""["",AL12,""]""), """")"),"")</f>
        <v/>
      </c>
      <c r="AO12" s="11" t="str">
        <f t="shared" si="4"/>
        <v>acbefg</v>
      </c>
      <c r="AP12" s="12" t="str">
        <f>IFERROR(__xludf.DUMMYFUNCTION("CONCATENATE(SORT(TRANSPOSE(SPLIT(REGEXREPLACE(REGEXREPLACE(AO12&amp;"""",""(?s)(.{1})"",""$1""&amp;CHAR(127)),""'"",""''""),CHAR(127))),1,true),""1"")"),"abcefg1")</f>
        <v>abcefg1</v>
      </c>
      <c r="AQ12" s="16"/>
      <c r="AR12" s="12" t="str">
        <f t="shared" si="5"/>
        <v>be</v>
      </c>
      <c r="AS12" s="12" t="str">
        <f>IFERROR(__xludf.DUMMYFUNCTION("CONCATENATE(SORT(TRANSPOSE(SPLIT(REGEXREPLACE(REGEXREPLACE(AR12&amp;"""",""(?s)(.{1})"",""$1""&amp;CHAR(127)),""'"",""''""),CHAR(127))),1,true),""1"")"),"be1")</f>
        <v>be1</v>
      </c>
      <c r="AT12" s="16"/>
      <c r="AU12" s="13" t="str">
        <f>IFERROR(__xludf.DUMMYFUNCTION("FILTER($K12:$T12,len($K12:$T12)=5,NOT($K12:$T12=BD12),NOT($K12:$T12=BP12))"),"cfged")</f>
        <v>cfged</v>
      </c>
      <c r="AV12" s="12" t="str">
        <f>IFERROR(__xludf.DUMMYFUNCTION("CONCATENATE(SORT(TRANSPOSE(SPLIT(REGEXREPLACE(REGEXREPLACE(AU12&amp;"""",""(?s)(.{1})"",""$1""&amp;CHAR(127)),""'"",""''""),CHAR(127))),1,true),""1"")"),"cdefg1")</f>
        <v>cdefg1</v>
      </c>
      <c r="AW12" s="16"/>
      <c r="AX12" s="10" t="str">
        <f>IFERROR(__xludf.DUMMYFUNCTION("FILTER($K12:$T12,len($K12:$T12)=5)"),"cfedb")</f>
        <v>cfedb</v>
      </c>
      <c r="AY12" s="6" t="str">
        <f>IFERROR(__xludf.DUMMYFUNCTION("""COMPUTED_VALUE"""),"dfcab")</f>
        <v>dfcab</v>
      </c>
      <c r="AZ12" s="6" t="str">
        <f>IFERROR(__xludf.DUMMYFUNCTION("""COMPUTED_VALUE"""),"cfged")</f>
        <v>cfged</v>
      </c>
      <c r="BA12" s="6" t="str">
        <f>IFERROR(__xludf.DUMMYFUNCTION("REGEXREPLACE( $AR12, CONCATENATE(""["",AX12,""]""), """")"),"")</f>
        <v/>
      </c>
      <c r="BB12" s="6" t="str">
        <f>IFERROR(__xludf.DUMMYFUNCTION("REGEXREPLACE( $AR12, CONCATENATE(""["",AY12,""]""), """")"),"e")</f>
        <v>e</v>
      </c>
      <c r="BC12" s="6" t="str">
        <f>IFERROR(__xludf.DUMMYFUNCTION("REGEXREPLACE( $AR12, CONCATENATE(""["",AZ12,""]""), """")"),"b")</f>
        <v>b</v>
      </c>
      <c r="BD12" s="11" t="str">
        <f t="shared" si="6"/>
        <v>cfedb</v>
      </c>
      <c r="BE12" s="12" t="str">
        <f>IFERROR(__xludf.DUMMYFUNCTION("CONCATENATE(SORT(TRANSPOSE(SPLIT(REGEXREPLACE(REGEXREPLACE(BD12&amp;"""",""(?s)(.{1})"",""$1""&amp;CHAR(127)),""'"",""''""),CHAR(127))),1,true),""1"")"),"bcdef1")</f>
        <v>bcdef1</v>
      </c>
      <c r="BF12" s="16"/>
      <c r="BG12" s="12" t="str">
        <f t="shared" si="7"/>
        <v>abde</v>
      </c>
      <c r="BH12" s="12" t="str">
        <f>IFERROR(__xludf.DUMMYFUNCTION("CONCATENATE(SORT(TRANSPOSE(SPLIT(REGEXREPLACE(REGEXREPLACE(BG12&amp;"""",""(?s)(.{1})"",""$1""&amp;CHAR(127)),""'"",""''""),CHAR(127))),1,true),""1"")"),"abde1")</f>
        <v>abde1</v>
      </c>
      <c r="BI12" s="16"/>
      <c r="BJ12" s="10" t="str">
        <f>IFERROR(__xludf.DUMMYFUNCTION("FILTER($K12:$T12,len($K12:$T12)=5)"),"cfedb")</f>
        <v>cfedb</v>
      </c>
      <c r="BK12" s="6" t="str">
        <f>IFERROR(__xludf.DUMMYFUNCTION("""COMPUTED_VALUE"""),"dfcab")</f>
        <v>dfcab</v>
      </c>
      <c r="BL12" s="6" t="str">
        <f>IFERROR(__xludf.DUMMYFUNCTION("""COMPUTED_VALUE"""),"cfged")</f>
        <v>cfged</v>
      </c>
      <c r="BM12" s="14" t="str">
        <f>IFERROR(__xludf.DUMMYFUNCTION("REGEXREPLACE( $BY12, CONCATENATE(""["",BJ12,""]""), """")"),"ag")</f>
        <v>ag</v>
      </c>
      <c r="BN12" s="14" t="str">
        <f>IFERROR(__xludf.DUMMYFUNCTION("REGEXREPLACE( $BY12, CONCATENATE(""["",BK12,""]""), """")"),"g")</f>
        <v>g</v>
      </c>
      <c r="BO12" s="14" t="str">
        <f>IFERROR(__xludf.DUMMYFUNCTION("REGEXREPLACE( $BY12, CONCATENATE(""["",BL12,""]""), """")"),"ab")</f>
        <v>ab</v>
      </c>
      <c r="BP12" s="11" t="str">
        <f t="shared" si="8"/>
        <v>dfcab</v>
      </c>
      <c r="BQ12" s="12" t="str">
        <f>IFERROR(__xludf.DUMMYFUNCTION("CONCATENATE(SORT(TRANSPOSE(SPLIT(REGEXREPLACE(REGEXREPLACE(BP12&amp;"""",""(?s)(.{1})"",""$1""&amp;CHAR(127)),""'"",""''""),CHAR(127))),1,true),""1"")"),"abcdf1")</f>
        <v>abcdf1</v>
      </c>
      <c r="BR12" s="16"/>
      <c r="BS12" s="10" t="str">
        <f>IFERROR(__xludf.DUMMYFUNCTION("FILTER(K12:T12,len(K12:T12)=6)"),"acbefg")</f>
        <v>acbefg</v>
      </c>
      <c r="BT12" s="6" t="str">
        <f>IFERROR(__xludf.DUMMYFUNCTION("""COMPUTED_VALUE"""),"fedacb")</f>
        <v>fedacb</v>
      </c>
      <c r="BU12" s="6" t="str">
        <f>IFERROR(__xludf.DUMMYFUNCTION("""COMPUTED_VALUE"""),"agdcfb")</f>
        <v>agdcfb</v>
      </c>
      <c r="BV12" s="6" t="str">
        <f>IFERROR(__xludf.DUMMYFUNCTION("REGEXREPLACE( $AR12, CONCATENATE(""["",BS12,""]""), """")"),"")</f>
        <v/>
      </c>
      <c r="BW12" s="6" t="str">
        <f>IFERROR(__xludf.DUMMYFUNCTION("REGEXREPLACE( $AR12, CONCATENATE(""["",BT12,""]""), """")"),"")</f>
        <v/>
      </c>
      <c r="BX12" s="6" t="str">
        <f>IFERROR(__xludf.DUMMYFUNCTION("REGEXREPLACE( $AR12, CONCATENATE(""["",BU12,""]""), """")"),"e")</f>
        <v>e</v>
      </c>
      <c r="BY12" s="12" t="str">
        <f t="shared" si="9"/>
        <v>agdcfb</v>
      </c>
      <c r="BZ12" s="12" t="str">
        <f>IFERROR(__xludf.DUMMYFUNCTION("CONCATENATE(SORT(TRANSPOSE(SPLIT(REGEXREPLACE(REGEXREPLACE(BY12&amp;"""",""(?s)(.{1})"",""$1""&amp;CHAR(127)),""'"",""''""),CHAR(127))),1,true),""1"")"),"abcdfg1")</f>
        <v>abcdfg1</v>
      </c>
      <c r="CA12" s="16"/>
      <c r="CB12" s="12" t="str">
        <f t="shared" si="10"/>
        <v>bec</v>
      </c>
      <c r="CC12" s="12" t="str">
        <f>IFERROR(__xludf.DUMMYFUNCTION("CONCATENATE(SORT(TRANSPOSE(SPLIT(REGEXREPLACE(REGEXREPLACE(CB12&amp;"""",""(?s)(.{1})"",""$1""&amp;CHAR(127)),""'"",""''""),CHAR(127))),1,true),""1"")"),"bce1")</f>
        <v>bce1</v>
      </c>
      <c r="CD12" s="16"/>
      <c r="CE12" s="12" t="str">
        <f t="shared" si="11"/>
        <v>gaedbcf</v>
      </c>
      <c r="CF12" s="12" t="str">
        <f>IFERROR(__xludf.DUMMYFUNCTION("CONCATENATE(SORT(TRANSPOSE(SPLIT(REGEXREPLACE(REGEXREPLACE(CE12&amp;"""",""(?s)(.{1})"",""$1""&amp;CHAR(127)),""'"",""''""),CHAR(127))),1,true),""1"")"),"abcdefg1")</f>
        <v>abcdefg1</v>
      </c>
      <c r="CG12" s="16"/>
      <c r="CH12" s="10" t="str">
        <f>IFERROR(__xludf.DUMMYFUNCTION("FILTER(K12:T12,len(K12:T12)=6)"),"acbefg")</f>
        <v>acbefg</v>
      </c>
      <c r="CI12" s="6" t="str">
        <f>IFERROR(__xludf.DUMMYFUNCTION("""COMPUTED_VALUE"""),"fedacb")</f>
        <v>fedacb</v>
      </c>
      <c r="CJ12" s="6" t="str">
        <f>IFERROR(__xludf.DUMMYFUNCTION("""COMPUTED_VALUE"""),"agdcfb")</f>
        <v>agdcfb</v>
      </c>
      <c r="CK12" s="6" t="str">
        <f>IFERROR(__xludf.DUMMYFUNCTION("REGEXREPLACE( $BG12, CONCATENATE(""["",CH12,""]""), """")"),"d")</f>
        <v>d</v>
      </c>
      <c r="CL12" s="6" t="str">
        <f>IFERROR(__xludf.DUMMYFUNCTION("REGEXREPLACE( $BG12, CONCATENATE(""["",CI12,""]""), """")"),"")</f>
        <v/>
      </c>
      <c r="CM12" s="6" t="str">
        <f>IFERROR(__xludf.DUMMYFUNCTION("REGEXREPLACE( $BG12, CONCATENATE(""["",CJ12,""]""), """")"),"e")</f>
        <v>e</v>
      </c>
      <c r="CN12" s="12" t="str">
        <f t="shared" si="12"/>
        <v>fedacb</v>
      </c>
      <c r="CO12" s="12" t="str">
        <f>IFERROR(__xludf.DUMMYFUNCTION("CONCATENATE(SORT(TRANSPOSE(SPLIT(REGEXREPLACE(REGEXREPLACE(CN12&amp;"""",""(?s)(.{1})"",""$1""&amp;CHAR(127)),""'"",""''""),CHAR(127))),1,true),""1"")"),"abcdef1")</f>
        <v>abcdef1</v>
      </c>
      <c r="CP12" s="15"/>
    </row>
    <row r="13">
      <c r="A13" s="1" t="s">
        <v>33</v>
      </c>
      <c r="H13" s="6" t="str">
        <f>IFERROR(__xludf.DUMMYFUNCTION("SPLIT(A13,""|"")"),"deagfcb ebadc cgdea gacb ebgfad ba bfedc eab fgeacd bdcaeg ")</f>
        <v>deagfcb ebadc cgdea gacb ebgfad ba bfedc eab fgeacd bdcaeg </v>
      </c>
      <c r="I13" s="6" t="str">
        <f>IFERROR(__xludf.DUMMYFUNCTION("""COMPUTED_VALUE""")," ecgad abcfgde gbdeaf dfbce")</f>
        <v> ecgad abcfgde gbdeaf dfbce</v>
      </c>
      <c r="J13" s="15"/>
      <c r="K13" s="6" t="str">
        <f>IFERROR(__xludf.DUMMYFUNCTION("split(H13,"" "")"),"deagfcb")</f>
        <v>deagfcb</v>
      </c>
      <c r="L13" s="6" t="str">
        <f>IFERROR(__xludf.DUMMYFUNCTION("""COMPUTED_VALUE"""),"ebadc")</f>
        <v>ebadc</v>
      </c>
      <c r="M13" s="6" t="str">
        <f>IFERROR(__xludf.DUMMYFUNCTION("""COMPUTED_VALUE"""),"cgdea")</f>
        <v>cgdea</v>
      </c>
      <c r="N13" s="6" t="str">
        <f>IFERROR(__xludf.DUMMYFUNCTION("""COMPUTED_VALUE"""),"gacb")</f>
        <v>gacb</v>
      </c>
      <c r="O13" s="6" t="str">
        <f>IFERROR(__xludf.DUMMYFUNCTION("""COMPUTED_VALUE"""),"ebgfad")</f>
        <v>ebgfad</v>
      </c>
      <c r="P13" s="6" t="str">
        <f>IFERROR(__xludf.DUMMYFUNCTION("""COMPUTED_VALUE"""),"ba")</f>
        <v>ba</v>
      </c>
      <c r="Q13" s="6" t="str">
        <f>IFERROR(__xludf.DUMMYFUNCTION("""COMPUTED_VALUE"""),"bfedc")</f>
        <v>bfedc</v>
      </c>
      <c r="R13" s="6" t="str">
        <f>IFERROR(__xludf.DUMMYFUNCTION("""COMPUTED_VALUE"""),"eab")</f>
        <v>eab</v>
      </c>
      <c r="S13" s="6" t="str">
        <f>IFERROR(__xludf.DUMMYFUNCTION("""COMPUTED_VALUE"""),"fgeacd")</f>
        <v>fgeacd</v>
      </c>
      <c r="T13" s="6" t="str">
        <f>IFERROR(__xludf.DUMMYFUNCTION("""COMPUTED_VALUE"""),"bdcaeg")</f>
        <v>bdcaeg</v>
      </c>
      <c r="U13" s="15"/>
      <c r="V13" s="6" t="str">
        <f>IFERROR(__xludf.DUMMYFUNCTION("split(I13,"" "")"),"ecgad")</f>
        <v>ecgad</v>
      </c>
      <c r="W13" s="6" t="str">
        <f>IFERROR(__xludf.DUMMYFUNCTION("""COMPUTED_VALUE"""),"abcfgde")</f>
        <v>abcfgde</v>
      </c>
      <c r="X13" s="6" t="str">
        <f>IFERROR(__xludf.DUMMYFUNCTION("""COMPUTED_VALUE"""),"gbdeaf")</f>
        <v>gbdeaf</v>
      </c>
      <c r="Y13" s="6" t="str">
        <f>IFERROR(__xludf.DUMMYFUNCTION("""COMPUTED_VALUE"""),"dfbce")</f>
        <v>dfbce</v>
      </c>
      <c r="Z13" s="6" t="str">
        <f>IFERROR(__xludf.DUMMYFUNCTION("CONCATENATE(SORT(TRANSPOSE(SPLIT(REGEXREPLACE(REGEXREPLACE(V13&amp;"""",""(?s)(.{1})"",""$1""&amp;CHAR(127)),""'"",""''""),CHAR(127))),1,true))"),"acdeg")</f>
        <v>acdeg</v>
      </c>
      <c r="AA13" s="6" t="str">
        <f>IFERROR(__xludf.DUMMYFUNCTION("CONCATENATE(SORT(TRANSPOSE(SPLIT(REGEXREPLACE(REGEXREPLACE(W13&amp;"""",""(?s)(.{1})"",""$1""&amp;CHAR(127)),""'"",""''""),CHAR(127))),1,true))"),"abcdefg")</f>
        <v>abcdefg</v>
      </c>
      <c r="AB13" s="6" t="str">
        <f>IFERROR(__xludf.DUMMYFUNCTION("CONCATENATE(SORT(TRANSPOSE(SPLIT(REGEXREPLACE(REGEXREPLACE(X13&amp;"""",""(?s)(.{1})"",""$1""&amp;CHAR(127)),""'"",""''""),CHAR(127))),1,true))"),"abdefg")</f>
        <v>abdefg</v>
      </c>
      <c r="AC13" s="6" t="str">
        <f>IFERROR(__xludf.DUMMYFUNCTION("CONCATENATE(SORT(TRANSPOSE(SPLIT(REGEXREPLACE(REGEXREPLACE(Y13&amp;"""",""(?s)(.{1})"",""$1""&amp;CHAR(127)),""'"",""''""),CHAR(127))),1,true))"),"bcdef")</f>
        <v>bcdef</v>
      </c>
      <c r="AD13" s="6">
        <f t="shared" ref="AD13:AG13" si="23">INDEX($AO$1:$CP$1,1,MATCH(CONCATENATE(Z13,"1"),$AO13:$CP13,0)+1)</f>
        <v>5</v>
      </c>
      <c r="AE13" s="6">
        <f t="shared" si="23"/>
        <v>8</v>
      </c>
      <c r="AF13" s="6">
        <f t="shared" si="23"/>
        <v>0</v>
      </c>
      <c r="AG13" s="6">
        <f t="shared" si="23"/>
        <v>2</v>
      </c>
      <c r="AH13" s="6">
        <f t="shared" si="3"/>
        <v>5802</v>
      </c>
      <c r="AI13" s="16"/>
      <c r="AJ13" s="9" t="str">
        <f>IFERROR(__xludf.DUMMYFUNCTION("REGEXREPLACE(AR13,CONCATENATE(""["",BY13,""]""),"""")"),"b")</f>
        <v>b</v>
      </c>
      <c r="AK13" s="10" t="str">
        <f>IFERROR(__xludf.DUMMYFUNCTION("FILTER($K13:$T13,len($K13:$T13)=6,NOT($K13:$T13=BY13))"),"ebgfad")</f>
        <v>ebgfad</v>
      </c>
      <c r="AL13" s="6" t="str">
        <f>IFERROR(__xludf.DUMMYFUNCTION("""COMPUTED_VALUE"""),"bdcaeg")</f>
        <v>bdcaeg</v>
      </c>
      <c r="AM13" s="6" t="str">
        <f>IFERROR(__xludf.DUMMYFUNCTION("REGEXREPLACE( $BG13, CONCATENATE(""["",AK13,""]""), """")"),"c")</f>
        <v>c</v>
      </c>
      <c r="AN13" s="6" t="str">
        <f>IFERROR(__xludf.DUMMYFUNCTION("REGEXREPLACE( $BG13, CONCATENATE(""["",AL13,""]""), """")"),"")</f>
        <v/>
      </c>
      <c r="AO13" s="11" t="str">
        <f t="shared" si="4"/>
        <v>ebgfad</v>
      </c>
      <c r="AP13" s="12" t="str">
        <f>IFERROR(__xludf.DUMMYFUNCTION("CONCATENATE(SORT(TRANSPOSE(SPLIT(REGEXREPLACE(REGEXREPLACE(AO13&amp;"""",""(?s)(.{1})"",""$1""&amp;CHAR(127)),""'"",""''""),CHAR(127))),1,true),""1"")"),"abdefg1")</f>
        <v>abdefg1</v>
      </c>
      <c r="AQ13" s="16"/>
      <c r="AR13" s="12" t="str">
        <f t="shared" si="5"/>
        <v>ba</v>
      </c>
      <c r="AS13" s="12" t="str">
        <f>IFERROR(__xludf.DUMMYFUNCTION("CONCATENATE(SORT(TRANSPOSE(SPLIT(REGEXREPLACE(REGEXREPLACE(AR13&amp;"""",""(?s)(.{1})"",""$1""&amp;CHAR(127)),""'"",""''""),CHAR(127))),1,true),""1"")"),"ab1")</f>
        <v>ab1</v>
      </c>
      <c r="AT13" s="16"/>
      <c r="AU13" s="13" t="str">
        <f>IFERROR(__xludf.DUMMYFUNCTION("FILTER($K13:$T13,len($K13:$T13)=5,NOT($K13:$T13=BD13),NOT($K13:$T13=BP13))"),"bfedc")</f>
        <v>bfedc</v>
      </c>
      <c r="AV13" s="12" t="str">
        <f>IFERROR(__xludf.DUMMYFUNCTION("CONCATENATE(SORT(TRANSPOSE(SPLIT(REGEXREPLACE(REGEXREPLACE(AU13&amp;"""",""(?s)(.{1})"",""$1""&amp;CHAR(127)),""'"",""''""),CHAR(127))),1,true),""1"")"),"bcdef1")</f>
        <v>bcdef1</v>
      </c>
      <c r="AW13" s="16"/>
      <c r="AX13" s="10" t="str">
        <f>IFERROR(__xludf.DUMMYFUNCTION("FILTER($K13:$T13,len($K13:$T13)=5)"),"ebadc")</f>
        <v>ebadc</v>
      </c>
      <c r="AY13" s="6" t="str">
        <f>IFERROR(__xludf.DUMMYFUNCTION("""COMPUTED_VALUE"""),"cgdea")</f>
        <v>cgdea</v>
      </c>
      <c r="AZ13" s="6" t="str">
        <f>IFERROR(__xludf.DUMMYFUNCTION("""COMPUTED_VALUE"""),"bfedc")</f>
        <v>bfedc</v>
      </c>
      <c r="BA13" s="6" t="str">
        <f>IFERROR(__xludf.DUMMYFUNCTION("REGEXREPLACE( $AR13, CONCATENATE(""["",AX13,""]""), """")"),"")</f>
        <v/>
      </c>
      <c r="BB13" s="6" t="str">
        <f>IFERROR(__xludf.DUMMYFUNCTION("REGEXREPLACE( $AR13, CONCATENATE(""["",AY13,""]""), """")"),"b")</f>
        <v>b</v>
      </c>
      <c r="BC13" s="6" t="str">
        <f>IFERROR(__xludf.DUMMYFUNCTION("REGEXREPLACE( $AR13, CONCATENATE(""["",AZ13,""]""), """")"),"a")</f>
        <v>a</v>
      </c>
      <c r="BD13" s="11" t="str">
        <f t="shared" si="6"/>
        <v>ebadc</v>
      </c>
      <c r="BE13" s="12" t="str">
        <f>IFERROR(__xludf.DUMMYFUNCTION("CONCATENATE(SORT(TRANSPOSE(SPLIT(REGEXREPLACE(REGEXREPLACE(BD13&amp;"""",""(?s)(.{1})"",""$1""&amp;CHAR(127)),""'"",""''""),CHAR(127))),1,true),""1"")"),"abcde1")</f>
        <v>abcde1</v>
      </c>
      <c r="BF13" s="16"/>
      <c r="BG13" s="12" t="str">
        <f t="shared" si="7"/>
        <v>gacb</v>
      </c>
      <c r="BH13" s="12" t="str">
        <f>IFERROR(__xludf.DUMMYFUNCTION("CONCATENATE(SORT(TRANSPOSE(SPLIT(REGEXREPLACE(REGEXREPLACE(BG13&amp;"""",""(?s)(.{1})"",""$1""&amp;CHAR(127)),""'"",""''""),CHAR(127))),1,true),""1"")"),"abcg1")</f>
        <v>abcg1</v>
      </c>
      <c r="BI13" s="16"/>
      <c r="BJ13" s="10" t="str">
        <f>IFERROR(__xludf.DUMMYFUNCTION("FILTER($K13:$T13,len($K13:$T13)=5)"),"ebadc")</f>
        <v>ebadc</v>
      </c>
      <c r="BK13" s="6" t="str">
        <f>IFERROR(__xludf.DUMMYFUNCTION("""COMPUTED_VALUE"""),"cgdea")</f>
        <v>cgdea</v>
      </c>
      <c r="BL13" s="6" t="str">
        <f>IFERROR(__xludf.DUMMYFUNCTION("""COMPUTED_VALUE"""),"bfedc")</f>
        <v>bfedc</v>
      </c>
      <c r="BM13" s="14" t="str">
        <f>IFERROR(__xludf.DUMMYFUNCTION("REGEXREPLACE( $BY13, CONCATENATE(""["",BJ13,""]""), """")"),"fg")</f>
        <v>fg</v>
      </c>
      <c r="BN13" s="14" t="str">
        <f>IFERROR(__xludf.DUMMYFUNCTION("REGEXREPLACE( $BY13, CONCATENATE(""["",BK13,""]""), """")"),"f")</f>
        <v>f</v>
      </c>
      <c r="BO13" s="14" t="str">
        <f>IFERROR(__xludf.DUMMYFUNCTION("REGEXREPLACE( $BY13, CONCATENATE(""["",BL13,""]""), """")"),"ga")</f>
        <v>ga</v>
      </c>
      <c r="BP13" s="11" t="str">
        <f t="shared" si="8"/>
        <v>cgdea</v>
      </c>
      <c r="BQ13" s="12" t="str">
        <f>IFERROR(__xludf.DUMMYFUNCTION("CONCATENATE(SORT(TRANSPOSE(SPLIT(REGEXREPLACE(REGEXREPLACE(BP13&amp;"""",""(?s)(.{1})"",""$1""&amp;CHAR(127)),""'"",""''""),CHAR(127))),1,true),""1"")"),"acdeg1")</f>
        <v>acdeg1</v>
      </c>
      <c r="BR13" s="16"/>
      <c r="BS13" s="10" t="str">
        <f>IFERROR(__xludf.DUMMYFUNCTION("FILTER(K13:T13,len(K13:T13)=6)"),"ebgfad")</f>
        <v>ebgfad</v>
      </c>
      <c r="BT13" s="6" t="str">
        <f>IFERROR(__xludf.DUMMYFUNCTION("""COMPUTED_VALUE"""),"fgeacd")</f>
        <v>fgeacd</v>
      </c>
      <c r="BU13" s="6" t="str">
        <f>IFERROR(__xludf.DUMMYFUNCTION("""COMPUTED_VALUE"""),"bdcaeg")</f>
        <v>bdcaeg</v>
      </c>
      <c r="BV13" s="6" t="str">
        <f>IFERROR(__xludf.DUMMYFUNCTION("REGEXREPLACE( $AR13, CONCATENATE(""["",BS13,""]""), """")"),"")</f>
        <v/>
      </c>
      <c r="BW13" s="6" t="str">
        <f>IFERROR(__xludf.DUMMYFUNCTION("REGEXREPLACE( $AR13, CONCATENATE(""["",BT13,""]""), """")"),"b")</f>
        <v>b</v>
      </c>
      <c r="BX13" s="6" t="str">
        <f>IFERROR(__xludf.DUMMYFUNCTION("REGEXREPLACE( $AR13, CONCATENATE(""["",BU13,""]""), """")"),"")</f>
        <v/>
      </c>
      <c r="BY13" s="12" t="str">
        <f t="shared" si="9"/>
        <v>fgeacd</v>
      </c>
      <c r="BZ13" s="12" t="str">
        <f>IFERROR(__xludf.DUMMYFUNCTION("CONCATENATE(SORT(TRANSPOSE(SPLIT(REGEXREPLACE(REGEXREPLACE(BY13&amp;"""",""(?s)(.{1})"",""$1""&amp;CHAR(127)),""'"",""''""),CHAR(127))),1,true),""1"")"),"acdefg1")</f>
        <v>acdefg1</v>
      </c>
      <c r="CA13" s="16"/>
      <c r="CB13" s="12" t="str">
        <f t="shared" si="10"/>
        <v>eab</v>
      </c>
      <c r="CC13" s="12" t="str">
        <f>IFERROR(__xludf.DUMMYFUNCTION("CONCATENATE(SORT(TRANSPOSE(SPLIT(REGEXREPLACE(REGEXREPLACE(CB13&amp;"""",""(?s)(.{1})"",""$1""&amp;CHAR(127)),""'"",""''""),CHAR(127))),1,true),""1"")"),"abe1")</f>
        <v>abe1</v>
      </c>
      <c r="CD13" s="16"/>
      <c r="CE13" s="12" t="str">
        <f t="shared" si="11"/>
        <v>deagfcb</v>
      </c>
      <c r="CF13" s="12" t="str">
        <f>IFERROR(__xludf.DUMMYFUNCTION("CONCATENATE(SORT(TRANSPOSE(SPLIT(REGEXREPLACE(REGEXREPLACE(CE13&amp;"""",""(?s)(.{1})"",""$1""&amp;CHAR(127)),""'"",""''""),CHAR(127))),1,true),""1"")"),"abcdefg1")</f>
        <v>abcdefg1</v>
      </c>
      <c r="CG13" s="16"/>
      <c r="CH13" s="10" t="str">
        <f>IFERROR(__xludf.DUMMYFUNCTION("FILTER(K13:T13,len(K13:T13)=6)"),"ebgfad")</f>
        <v>ebgfad</v>
      </c>
      <c r="CI13" s="6" t="str">
        <f>IFERROR(__xludf.DUMMYFUNCTION("""COMPUTED_VALUE"""),"fgeacd")</f>
        <v>fgeacd</v>
      </c>
      <c r="CJ13" s="6" t="str">
        <f>IFERROR(__xludf.DUMMYFUNCTION("""COMPUTED_VALUE"""),"bdcaeg")</f>
        <v>bdcaeg</v>
      </c>
      <c r="CK13" s="6" t="str">
        <f>IFERROR(__xludf.DUMMYFUNCTION("REGEXREPLACE( $BG13, CONCATENATE(""["",CH13,""]""), """")"),"c")</f>
        <v>c</v>
      </c>
      <c r="CL13" s="6" t="str">
        <f>IFERROR(__xludf.DUMMYFUNCTION("REGEXREPLACE( $BG13, CONCATENATE(""["",CI13,""]""), """")"),"b")</f>
        <v>b</v>
      </c>
      <c r="CM13" s="6" t="str">
        <f>IFERROR(__xludf.DUMMYFUNCTION("REGEXREPLACE( $BG13, CONCATENATE(""["",CJ13,""]""), """")"),"")</f>
        <v/>
      </c>
      <c r="CN13" s="12" t="str">
        <f t="shared" si="12"/>
        <v>bdcaeg</v>
      </c>
      <c r="CO13" s="12" t="str">
        <f>IFERROR(__xludf.DUMMYFUNCTION("CONCATENATE(SORT(TRANSPOSE(SPLIT(REGEXREPLACE(REGEXREPLACE(CN13&amp;"""",""(?s)(.{1})"",""$1""&amp;CHAR(127)),""'"",""''""),CHAR(127))),1,true),""1"")"),"abcdeg1")</f>
        <v>abcdeg1</v>
      </c>
      <c r="CP13" s="15"/>
    </row>
    <row r="14">
      <c r="A14" s="1" t="s">
        <v>34</v>
      </c>
      <c r="H14" s="6" t="str">
        <f>IFERROR(__xludf.DUMMYFUNCTION("SPLIT(A14,""|"")"),"cbega dfaeb fcgbad gf ecagdb aegcbf gbafe gfce bcdeagf fag ")</f>
        <v>cbega dfaeb fcgbad gf ecagdb aegcbf gbafe gfce bcdeagf fag </v>
      </c>
      <c r="I14" s="6" t="str">
        <f>IFERROR(__xludf.DUMMYFUNCTION("""COMPUTED_VALUE""")," bafge gbfeac fecbga gcafdbe")</f>
        <v> bafge gbfeac fecbga gcafdbe</v>
      </c>
      <c r="J14" s="15"/>
      <c r="K14" s="6" t="str">
        <f>IFERROR(__xludf.DUMMYFUNCTION("split(H14,"" "")"),"cbega")</f>
        <v>cbega</v>
      </c>
      <c r="L14" s="6" t="str">
        <f>IFERROR(__xludf.DUMMYFUNCTION("""COMPUTED_VALUE"""),"dfaeb")</f>
        <v>dfaeb</v>
      </c>
      <c r="M14" s="6" t="str">
        <f>IFERROR(__xludf.DUMMYFUNCTION("""COMPUTED_VALUE"""),"fcgbad")</f>
        <v>fcgbad</v>
      </c>
      <c r="N14" s="6" t="str">
        <f>IFERROR(__xludf.DUMMYFUNCTION("""COMPUTED_VALUE"""),"gf")</f>
        <v>gf</v>
      </c>
      <c r="O14" s="6" t="str">
        <f>IFERROR(__xludf.DUMMYFUNCTION("""COMPUTED_VALUE"""),"ecagdb")</f>
        <v>ecagdb</v>
      </c>
      <c r="P14" s="6" t="str">
        <f>IFERROR(__xludf.DUMMYFUNCTION("""COMPUTED_VALUE"""),"aegcbf")</f>
        <v>aegcbf</v>
      </c>
      <c r="Q14" s="6" t="str">
        <f>IFERROR(__xludf.DUMMYFUNCTION("""COMPUTED_VALUE"""),"gbafe")</f>
        <v>gbafe</v>
      </c>
      <c r="R14" s="6" t="str">
        <f>IFERROR(__xludf.DUMMYFUNCTION("""COMPUTED_VALUE"""),"gfce")</f>
        <v>gfce</v>
      </c>
      <c r="S14" s="6" t="str">
        <f>IFERROR(__xludf.DUMMYFUNCTION("""COMPUTED_VALUE"""),"bcdeagf")</f>
        <v>bcdeagf</v>
      </c>
      <c r="T14" s="6" t="str">
        <f>IFERROR(__xludf.DUMMYFUNCTION("""COMPUTED_VALUE"""),"fag")</f>
        <v>fag</v>
      </c>
      <c r="U14" s="15"/>
      <c r="V14" s="6" t="str">
        <f>IFERROR(__xludf.DUMMYFUNCTION("split(I14,"" "")"),"bafge")</f>
        <v>bafge</v>
      </c>
      <c r="W14" s="6" t="str">
        <f>IFERROR(__xludf.DUMMYFUNCTION("""COMPUTED_VALUE"""),"gbfeac")</f>
        <v>gbfeac</v>
      </c>
      <c r="X14" s="6" t="str">
        <f>IFERROR(__xludf.DUMMYFUNCTION("""COMPUTED_VALUE"""),"fecbga")</f>
        <v>fecbga</v>
      </c>
      <c r="Y14" s="6" t="str">
        <f>IFERROR(__xludf.DUMMYFUNCTION("""COMPUTED_VALUE"""),"gcafdbe")</f>
        <v>gcafdbe</v>
      </c>
      <c r="Z14" s="6" t="str">
        <f>IFERROR(__xludf.DUMMYFUNCTION("CONCATENATE(SORT(TRANSPOSE(SPLIT(REGEXREPLACE(REGEXREPLACE(V14&amp;"""",""(?s)(.{1})"",""$1""&amp;CHAR(127)),""'"",""''""),CHAR(127))),1,true))"),"abefg")</f>
        <v>abefg</v>
      </c>
      <c r="AA14" s="6" t="str">
        <f>IFERROR(__xludf.DUMMYFUNCTION("CONCATENATE(SORT(TRANSPOSE(SPLIT(REGEXREPLACE(REGEXREPLACE(W14&amp;"""",""(?s)(.{1})"",""$1""&amp;CHAR(127)),""'"",""''""),CHAR(127))),1,true))"),"abcefg")</f>
        <v>abcefg</v>
      </c>
      <c r="AB14" s="6" t="str">
        <f>IFERROR(__xludf.DUMMYFUNCTION("CONCATENATE(SORT(TRANSPOSE(SPLIT(REGEXREPLACE(REGEXREPLACE(X14&amp;"""",""(?s)(.{1})"",""$1""&amp;CHAR(127)),""'"",""''""),CHAR(127))),1,true))"),"abcefg")</f>
        <v>abcefg</v>
      </c>
      <c r="AC14" s="6" t="str">
        <f>IFERROR(__xludf.DUMMYFUNCTION("CONCATENATE(SORT(TRANSPOSE(SPLIT(REGEXREPLACE(REGEXREPLACE(Y14&amp;"""",""(?s)(.{1})"",""$1""&amp;CHAR(127)),""'"",""''""),CHAR(127))),1,true))"),"abcdefg")</f>
        <v>abcdefg</v>
      </c>
      <c r="AD14" s="6">
        <f t="shared" ref="AD14:AG14" si="24">INDEX($AO$1:$CP$1,1,MATCH(CONCATENATE(Z14,"1"),$AO14:$CP14,0)+1)</f>
        <v>3</v>
      </c>
      <c r="AE14" s="6">
        <f t="shared" si="24"/>
        <v>9</v>
      </c>
      <c r="AF14" s="6">
        <f t="shared" si="24"/>
        <v>9</v>
      </c>
      <c r="AG14" s="6">
        <f t="shared" si="24"/>
        <v>8</v>
      </c>
      <c r="AH14" s="6">
        <f t="shared" si="3"/>
        <v>3998</v>
      </c>
      <c r="AI14" s="16"/>
      <c r="AJ14" s="9" t="str">
        <f>IFERROR(__xludf.DUMMYFUNCTION("REGEXREPLACE(AR14,CONCATENATE(""["",BY14,""]""),"""")"),"f")</f>
        <v>f</v>
      </c>
      <c r="AK14" s="10" t="str">
        <f>IFERROR(__xludf.DUMMYFUNCTION("FILTER($K14:$T14,len($K14:$T14)=6,NOT($K14:$T14=BY14))"),"fcgbad")</f>
        <v>fcgbad</v>
      </c>
      <c r="AL14" s="6" t="str">
        <f>IFERROR(__xludf.DUMMYFUNCTION("""COMPUTED_VALUE"""),"aegcbf")</f>
        <v>aegcbf</v>
      </c>
      <c r="AM14" s="6" t="str">
        <f>IFERROR(__xludf.DUMMYFUNCTION("REGEXREPLACE( $BG14, CONCATENATE(""["",AK14,""]""), """")"),"e")</f>
        <v>e</v>
      </c>
      <c r="AN14" s="6" t="str">
        <f>IFERROR(__xludf.DUMMYFUNCTION("REGEXREPLACE( $BG14, CONCATENATE(""["",AL14,""]""), """")"),"")</f>
        <v/>
      </c>
      <c r="AO14" s="11" t="str">
        <f t="shared" si="4"/>
        <v>fcgbad</v>
      </c>
      <c r="AP14" s="12" t="str">
        <f>IFERROR(__xludf.DUMMYFUNCTION("CONCATENATE(SORT(TRANSPOSE(SPLIT(REGEXREPLACE(REGEXREPLACE(AO14&amp;"""",""(?s)(.{1})"",""$1""&amp;CHAR(127)),""'"",""''""),CHAR(127))),1,true),""1"")"),"abcdfg1")</f>
        <v>abcdfg1</v>
      </c>
      <c r="AQ14" s="16"/>
      <c r="AR14" s="12" t="str">
        <f t="shared" si="5"/>
        <v>gf</v>
      </c>
      <c r="AS14" s="12" t="str">
        <f>IFERROR(__xludf.DUMMYFUNCTION("CONCATENATE(SORT(TRANSPOSE(SPLIT(REGEXREPLACE(REGEXREPLACE(AR14&amp;"""",""(?s)(.{1})"",""$1""&amp;CHAR(127)),""'"",""''""),CHAR(127))),1,true),""1"")"),"fg1")</f>
        <v>fg1</v>
      </c>
      <c r="AT14" s="16"/>
      <c r="AU14" s="13" t="str">
        <f>IFERROR(__xludf.DUMMYFUNCTION("FILTER($K14:$T14,len($K14:$T14)=5,NOT($K14:$T14=BD14),NOT($K14:$T14=BP14))"),"dfaeb")</f>
        <v>dfaeb</v>
      </c>
      <c r="AV14" s="12" t="str">
        <f>IFERROR(__xludf.DUMMYFUNCTION("CONCATENATE(SORT(TRANSPOSE(SPLIT(REGEXREPLACE(REGEXREPLACE(AU14&amp;"""",""(?s)(.{1})"",""$1""&amp;CHAR(127)),""'"",""''""),CHAR(127))),1,true),""1"")"),"abdef1")</f>
        <v>abdef1</v>
      </c>
      <c r="AW14" s="16"/>
      <c r="AX14" s="10" t="str">
        <f>IFERROR(__xludf.DUMMYFUNCTION("FILTER($K14:$T14,len($K14:$T14)=5)"),"cbega")</f>
        <v>cbega</v>
      </c>
      <c r="AY14" s="6" t="str">
        <f>IFERROR(__xludf.DUMMYFUNCTION("""COMPUTED_VALUE"""),"dfaeb")</f>
        <v>dfaeb</v>
      </c>
      <c r="AZ14" s="6" t="str">
        <f>IFERROR(__xludf.DUMMYFUNCTION("""COMPUTED_VALUE"""),"gbafe")</f>
        <v>gbafe</v>
      </c>
      <c r="BA14" s="6" t="str">
        <f>IFERROR(__xludf.DUMMYFUNCTION("REGEXREPLACE( $AR14, CONCATENATE(""["",AX14,""]""), """")"),"f")</f>
        <v>f</v>
      </c>
      <c r="BB14" s="6" t="str">
        <f>IFERROR(__xludf.DUMMYFUNCTION("REGEXREPLACE( $AR14, CONCATENATE(""["",AY14,""]""), """")"),"g")</f>
        <v>g</v>
      </c>
      <c r="BC14" s="6" t="str">
        <f>IFERROR(__xludf.DUMMYFUNCTION("REGEXREPLACE( $AR14, CONCATENATE(""["",AZ14,""]""), """")"),"")</f>
        <v/>
      </c>
      <c r="BD14" s="11" t="str">
        <f t="shared" si="6"/>
        <v>gbafe</v>
      </c>
      <c r="BE14" s="12" t="str">
        <f>IFERROR(__xludf.DUMMYFUNCTION("CONCATENATE(SORT(TRANSPOSE(SPLIT(REGEXREPLACE(REGEXREPLACE(BD14&amp;"""",""(?s)(.{1})"",""$1""&amp;CHAR(127)),""'"",""''""),CHAR(127))),1,true),""1"")"),"abefg1")</f>
        <v>abefg1</v>
      </c>
      <c r="BF14" s="16"/>
      <c r="BG14" s="12" t="str">
        <f t="shared" si="7"/>
        <v>gfce</v>
      </c>
      <c r="BH14" s="12" t="str">
        <f>IFERROR(__xludf.DUMMYFUNCTION("CONCATENATE(SORT(TRANSPOSE(SPLIT(REGEXREPLACE(REGEXREPLACE(BG14&amp;"""",""(?s)(.{1})"",""$1""&amp;CHAR(127)),""'"",""''""),CHAR(127))),1,true),""1"")"),"cefg1")</f>
        <v>cefg1</v>
      </c>
      <c r="BI14" s="16"/>
      <c r="BJ14" s="10" t="str">
        <f>IFERROR(__xludf.DUMMYFUNCTION("FILTER($K14:$T14,len($K14:$T14)=5)"),"cbega")</f>
        <v>cbega</v>
      </c>
      <c r="BK14" s="6" t="str">
        <f>IFERROR(__xludf.DUMMYFUNCTION("""COMPUTED_VALUE"""),"dfaeb")</f>
        <v>dfaeb</v>
      </c>
      <c r="BL14" s="6" t="str">
        <f>IFERROR(__xludf.DUMMYFUNCTION("""COMPUTED_VALUE"""),"gbafe")</f>
        <v>gbafe</v>
      </c>
      <c r="BM14" s="14" t="str">
        <f>IFERROR(__xludf.DUMMYFUNCTION("REGEXREPLACE( $BY14, CONCATENATE(""["",BJ14,""]""), """")"),"d")</f>
        <v>d</v>
      </c>
      <c r="BN14" s="14" t="str">
        <f>IFERROR(__xludf.DUMMYFUNCTION("REGEXREPLACE( $BY14, CONCATENATE(""["",BK14,""]""), """")"),"cg")</f>
        <v>cg</v>
      </c>
      <c r="BO14" s="14" t="str">
        <f>IFERROR(__xludf.DUMMYFUNCTION("REGEXREPLACE( $BY14, CONCATENATE(""["",BL14,""]""), """")"),"cd")</f>
        <v>cd</v>
      </c>
      <c r="BP14" s="11" t="str">
        <f t="shared" si="8"/>
        <v>cbega</v>
      </c>
      <c r="BQ14" s="12" t="str">
        <f>IFERROR(__xludf.DUMMYFUNCTION("CONCATENATE(SORT(TRANSPOSE(SPLIT(REGEXREPLACE(REGEXREPLACE(BP14&amp;"""",""(?s)(.{1})"",""$1""&amp;CHAR(127)),""'"",""''""),CHAR(127))),1,true),""1"")"),"abceg1")</f>
        <v>abceg1</v>
      </c>
      <c r="BR14" s="16"/>
      <c r="BS14" s="10" t="str">
        <f>IFERROR(__xludf.DUMMYFUNCTION("FILTER(K14:T14,len(K14:T14)=6)"),"fcgbad")</f>
        <v>fcgbad</v>
      </c>
      <c r="BT14" s="6" t="str">
        <f>IFERROR(__xludf.DUMMYFUNCTION("""COMPUTED_VALUE"""),"ecagdb")</f>
        <v>ecagdb</v>
      </c>
      <c r="BU14" s="6" t="str">
        <f>IFERROR(__xludf.DUMMYFUNCTION("""COMPUTED_VALUE"""),"aegcbf")</f>
        <v>aegcbf</v>
      </c>
      <c r="BV14" s="6" t="str">
        <f>IFERROR(__xludf.DUMMYFUNCTION("REGEXREPLACE( $AR14, CONCATENATE(""["",BS14,""]""), """")"),"")</f>
        <v/>
      </c>
      <c r="BW14" s="6" t="str">
        <f>IFERROR(__xludf.DUMMYFUNCTION("REGEXREPLACE( $AR14, CONCATENATE(""["",BT14,""]""), """")"),"f")</f>
        <v>f</v>
      </c>
      <c r="BX14" s="6" t="str">
        <f>IFERROR(__xludf.DUMMYFUNCTION("REGEXREPLACE( $AR14, CONCATENATE(""["",BU14,""]""), """")"),"")</f>
        <v/>
      </c>
      <c r="BY14" s="12" t="str">
        <f t="shared" si="9"/>
        <v>ecagdb</v>
      </c>
      <c r="BZ14" s="12" t="str">
        <f>IFERROR(__xludf.DUMMYFUNCTION("CONCATENATE(SORT(TRANSPOSE(SPLIT(REGEXREPLACE(REGEXREPLACE(BY14&amp;"""",""(?s)(.{1})"",""$1""&amp;CHAR(127)),""'"",""''""),CHAR(127))),1,true),""1"")"),"abcdeg1")</f>
        <v>abcdeg1</v>
      </c>
      <c r="CA14" s="16"/>
      <c r="CB14" s="12" t="str">
        <f t="shared" si="10"/>
        <v>fag</v>
      </c>
      <c r="CC14" s="12" t="str">
        <f>IFERROR(__xludf.DUMMYFUNCTION("CONCATENATE(SORT(TRANSPOSE(SPLIT(REGEXREPLACE(REGEXREPLACE(CB14&amp;"""",""(?s)(.{1})"",""$1""&amp;CHAR(127)),""'"",""''""),CHAR(127))),1,true),""1"")"),"afg1")</f>
        <v>afg1</v>
      </c>
      <c r="CD14" s="16"/>
      <c r="CE14" s="12" t="str">
        <f t="shared" si="11"/>
        <v>bcdeagf</v>
      </c>
      <c r="CF14" s="12" t="str">
        <f>IFERROR(__xludf.DUMMYFUNCTION("CONCATENATE(SORT(TRANSPOSE(SPLIT(REGEXREPLACE(REGEXREPLACE(CE14&amp;"""",""(?s)(.{1})"",""$1""&amp;CHAR(127)),""'"",""''""),CHAR(127))),1,true),""1"")"),"abcdefg1")</f>
        <v>abcdefg1</v>
      </c>
      <c r="CG14" s="16"/>
      <c r="CH14" s="10" t="str">
        <f>IFERROR(__xludf.DUMMYFUNCTION("FILTER(K14:T14,len(K14:T14)=6)"),"fcgbad")</f>
        <v>fcgbad</v>
      </c>
      <c r="CI14" s="6" t="str">
        <f>IFERROR(__xludf.DUMMYFUNCTION("""COMPUTED_VALUE"""),"ecagdb")</f>
        <v>ecagdb</v>
      </c>
      <c r="CJ14" s="6" t="str">
        <f>IFERROR(__xludf.DUMMYFUNCTION("""COMPUTED_VALUE"""),"aegcbf")</f>
        <v>aegcbf</v>
      </c>
      <c r="CK14" s="6" t="str">
        <f>IFERROR(__xludf.DUMMYFUNCTION("REGEXREPLACE( $BG14, CONCATENATE(""["",CH14,""]""), """")"),"e")</f>
        <v>e</v>
      </c>
      <c r="CL14" s="6" t="str">
        <f>IFERROR(__xludf.DUMMYFUNCTION("REGEXREPLACE( $BG14, CONCATENATE(""["",CI14,""]""), """")"),"f")</f>
        <v>f</v>
      </c>
      <c r="CM14" s="6" t="str">
        <f>IFERROR(__xludf.DUMMYFUNCTION("REGEXREPLACE( $BG14, CONCATENATE(""["",CJ14,""]""), """")"),"")</f>
        <v/>
      </c>
      <c r="CN14" s="12" t="str">
        <f t="shared" si="12"/>
        <v>aegcbf</v>
      </c>
      <c r="CO14" s="12" t="str">
        <f>IFERROR(__xludf.DUMMYFUNCTION("CONCATENATE(SORT(TRANSPOSE(SPLIT(REGEXREPLACE(REGEXREPLACE(CN14&amp;"""",""(?s)(.{1})"",""$1""&amp;CHAR(127)),""'"",""''""),CHAR(127))),1,true),""1"")"),"abcefg1")</f>
        <v>abcefg1</v>
      </c>
      <c r="CP14" s="15"/>
    </row>
    <row r="15">
      <c r="A15" s="1" t="s">
        <v>35</v>
      </c>
      <c r="H15" s="6" t="str">
        <f>IFERROR(__xludf.DUMMYFUNCTION("SPLIT(A15,""|"")"),"bgd efabcg cafbgd bfdgeca gdfe cbgfde cebad bfceg gd dcegb ")</f>
        <v>bgd efabcg cafbgd bfdgeca gdfe cbgfde cebad bfceg gd dcegb </v>
      </c>
      <c r="I15" s="6" t="str">
        <f>IFERROR(__xludf.DUMMYFUNCTION("""COMPUTED_VALUE""")," egfd ebfcagd egdf adbec")</f>
        <v> egfd ebfcagd egdf adbec</v>
      </c>
      <c r="J15" s="15"/>
      <c r="K15" s="6" t="str">
        <f>IFERROR(__xludf.DUMMYFUNCTION("split(H15,"" "")"),"bgd")</f>
        <v>bgd</v>
      </c>
      <c r="L15" s="6" t="str">
        <f>IFERROR(__xludf.DUMMYFUNCTION("""COMPUTED_VALUE"""),"efabcg")</f>
        <v>efabcg</v>
      </c>
      <c r="M15" s="6" t="str">
        <f>IFERROR(__xludf.DUMMYFUNCTION("""COMPUTED_VALUE"""),"cafbgd")</f>
        <v>cafbgd</v>
      </c>
      <c r="N15" s="6" t="str">
        <f>IFERROR(__xludf.DUMMYFUNCTION("""COMPUTED_VALUE"""),"bfdgeca")</f>
        <v>bfdgeca</v>
      </c>
      <c r="O15" s="6" t="str">
        <f>IFERROR(__xludf.DUMMYFUNCTION("""COMPUTED_VALUE"""),"gdfe")</f>
        <v>gdfe</v>
      </c>
      <c r="P15" s="6" t="str">
        <f>IFERROR(__xludf.DUMMYFUNCTION("""COMPUTED_VALUE"""),"cbgfde")</f>
        <v>cbgfde</v>
      </c>
      <c r="Q15" s="6" t="str">
        <f>IFERROR(__xludf.DUMMYFUNCTION("""COMPUTED_VALUE"""),"cebad")</f>
        <v>cebad</v>
      </c>
      <c r="R15" s="6" t="str">
        <f>IFERROR(__xludf.DUMMYFUNCTION("""COMPUTED_VALUE"""),"bfceg")</f>
        <v>bfceg</v>
      </c>
      <c r="S15" s="6" t="str">
        <f>IFERROR(__xludf.DUMMYFUNCTION("""COMPUTED_VALUE"""),"gd")</f>
        <v>gd</v>
      </c>
      <c r="T15" s="6" t="str">
        <f>IFERROR(__xludf.DUMMYFUNCTION("""COMPUTED_VALUE"""),"dcegb")</f>
        <v>dcegb</v>
      </c>
      <c r="U15" s="15"/>
      <c r="V15" s="6" t="str">
        <f>IFERROR(__xludf.DUMMYFUNCTION("split(I15,"" "")"),"egfd")</f>
        <v>egfd</v>
      </c>
      <c r="W15" s="6" t="str">
        <f>IFERROR(__xludf.DUMMYFUNCTION("""COMPUTED_VALUE"""),"ebfcagd")</f>
        <v>ebfcagd</v>
      </c>
      <c r="X15" s="6" t="str">
        <f>IFERROR(__xludf.DUMMYFUNCTION("""COMPUTED_VALUE"""),"egdf")</f>
        <v>egdf</v>
      </c>
      <c r="Y15" s="6" t="str">
        <f>IFERROR(__xludf.DUMMYFUNCTION("""COMPUTED_VALUE"""),"adbec")</f>
        <v>adbec</v>
      </c>
      <c r="Z15" s="6" t="str">
        <f>IFERROR(__xludf.DUMMYFUNCTION("CONCATENATE(SORT(TRANSPOSE(SPLIT(REGEXREPLACE(REGEXREPLACE(V15&amp;"""",""(?s)(.{1})"",""$1""&amp;CHAR(127)),""'"",""''""),CHAR(127))),1,true))"),"defg")</f>
        <v>defg</v>
      </c>
      <c r="AA15" s="6" t="str">
        <f>IFERROR(__xludf.DUMMYFUNCTION("CONCATENATE(SORT(TRANSPOSE(SPLIT(REGEXREPLACE(REGEXREPLACE(W15&amp;"""",""(?s)(.{1})"",""$1""&amp;CHAR(127)),""'"",""''""),CHAR(127))),1,true))"),"abcdefg")</f>
        <v>abcdefg</v>
      </c>
      <c r="AB15" s="6" t="str">
        <f>IFERROR(__xludf.DUMMYFUNCTION("CONCATENATE(SORT(TRANSPOSE(SPLIT(REGEXREPLACE(REGEXREPLACE(X15&amp;"""",""(?s)(.{1})"",""$1""&amp;CHAR(127)),""'"",""''""),CHAR(127))),1,true))"),"defg")</f>
        <v>defg</v>
      </c>
      <c r="AC15" s="6" t="str">
        <f>IFERROR(__xludf.DUMMYFUNCTION("CONCATENATE(SORT(TRANSPOSE(SPLIT(REGEXREPLACE(REGEXREPLACE(Y15&amp;"""",""(?s)(.{1})"",""$1""&amp;CHAR(127)),""'"",""''""),CHAR(127))),1,true))"),"abcde")</f>
        <v>abcde</v>
      </c>
      <c r="AD15" s="6">
        <f t="shared" ref="AD15:AG15" si="25">INDEX($AO$1:$CP$1,1,MATCH(CONCATENATE(Z15,"1"),$AO15:$CP15,0)+1)</f>
        <v>4</v>
      </c>
      <c r="AE15" s="6">
        <f t="shared" si="25"/>
        <v>8</v>
      </c>
      <c r="AF15" s="6">
        <f t="shared" si="25"/>
        <v>4</v>
      </c>
      <c r="AG15" s="6">
        <f t="shared" si="25"/>
        <v>2</v>
      </c>
      <c r="AH15" s="6">
        <f t="shared" si="3"/>
        <v>4842</v>
      </c>
      <c r="AI15" s="16"/>
      <c r="AJ15" s="9" t="str">
        <f>IFERROR(__xludf.DUMMYFUNCTION("REGEXREPLACE(AR15,CONCATENATE(""["",BY15,""]""),"""")"),"d")</f>
        <v>d</v>
      </c>
      <c r="AK15" s="10" t="str">
        <f>IFERROR(__xludf.DUMMYFUNCTION("FILTER($K15:$T15,len($K15:$T15)=6,NOT($K15:$T15=BY15))"),"cafbgd")</f>
        <v>cafbgd</v>
      </c>
      <c r="AL15" s="6" t="str">
        <f>IFERROR(__xludf.DUMMYFUNCTION("""COMPUTED_VALUE"""),"cbgfde")</f>
        <v>cbgfde</v>
      </c>
      <c r="AM15" s="6" t="str">
        <f>IFERROR(__xludf.DUMMYFUNCTION("REGEXREPLACE( $BG15, CONCATENATE(""["",AK15,""]""), """")"),"e")</f>
        <v>e</v>
      </c>
      <c r="AN15" s="6" t="str">
        <f>IFERROR(__xludf.DUMMYFUNCTION("REGEXREPLACE( $BG15, CONCATENATE(""["",AL15,""]""), """")"),"")</f>
        <v/>
      </c>
      <c r="AO15" s="11" t="str">
        <f t="shared" si="4"/>
        <v>cafbgd</v>
      </c>
      <c r="AP15" s="12" t="str">
        <f>IFERROR(__xludf.DUMMYFUNCTION("CONCATENATE(SORT(TRANSPOSE(SPLIT(REGEXREPLACE(REGEXREPLACE(AO15&amp;"""",""(?s)(.{1})"",""$1""&amp;CHAR(127)),""'"",""''""),CHAR(127))),1,true),""1"")"),"abcdfg1")</f>
        <v>abcdfg1</v>
      </c>
      <c r="AQ15" s="16"/>
      <c r="AR15" s="12" t="str">
        <f t="shared" si="5"/>
        <v>gd</v>
      </c>
      <c r="AS15" s="12" t="str">
        <f>IFERROR(__xludf.DUMMYFUNCTION("CONCATENATE(SORT(TRANSPOSE(SPLIT(REGEXREPLACE(REGEXREPLACE(AR15&amp;"""",""(?s)(.{1})"",""$1""&amp;CHAR(127)),""'"",""''""),CHAR(127))),1,true),""1"")"),"dg1")</f>
        <v>dg1</v>
      </c>
      <c r="AT15" s="16"/>
      <c r="AU15" s="13" t="str">
        <f>IFERROR(__xludf.DUMMYFUNCTION("FILTER($K15:$T15,len($K15:$T15)=5,NOT($K15:$T15=BD15),NOT($K15:$T15=BP15))"),"cebad")</f>
        <v>cebad</v>
      </c>
      <c r="AV15" s="12" t="str">
        <f>IFERROR(__xludf.DUMMYFUNCTION("CONCATENATE(SORT(TRANSPOSE(SPLIT(REGEXREPLACE(REGEXREPLACE(AU15&amp;"""",""(?s)(.{1})"",""$1""&amp;CHAR(127)),""'"",""''""),CHAR(127))),1,true),""1"")"),"abcde1")</f>
        <v>abcde1</v>
      </c>
      <c r="AW15" s="16"/>
      <c r="AX15" s="10" t="str">
        <f>IFERROR(__xludf.DUMMYFUNCTION("FILTER($K15:$T15,len($K15:$T15)=5)"),"cebad")</f>
        <v>cebad</v>
      </c>
      <c r="AY15" s="6" t="str">
        <f>IFERROR(__xludf.DUMMYFUNCTION("""COMPUTED_VALUE"""),"bfceg")</f>
        <v>bfceg</v>
      </c>
      <c r="AZ15" s="6" t="str">
        <f>IFERROR(__xludf.DUMMYFUNCTION("""COMPUTED_VALUE"""),"dcegb")</f>
        <v>dcegb</v>
      </c>
      <c r="BA15" s="6" t="str">
        <f>IFERROR(__xludf.DUMMYFUNCTION("REGEXREPLACE( $AR15, CONCATENATE(""["",AX15,""]""), """")"),"g")</f>
        <v>g</v>
      </c>
      <c r="BB15" s="6" t="str">
        <f>IFERROR(__xludf.DUMMYFUNCTION("REGEXREPLACE( $AR15, CONCATENATE(""["",AY15,""]""), """")"),"d")</f>
        <v>d</v>
      </c>
      <c r="BC15" s="6" t="str">
        <f>IFERROR(__xludf.DUMMYFUNCTION("REGEXREPLACE( $AR15, CONCATENATE(""["",AZ15,""]""), """")"),"")</f>
        <v/>
      </c>
      <c r="BD15" s="11" t="str">
        <f t="shared" si="6"/>
        <v>dcegb</v>
      </c>
      <c r="BE15" s="12" t="str">
        <f>IFERROR(__xludf.DUMMYFUNCTION("CONCATENATE(SORT(TRANSPOSE(SPLIT(REGEXREPLACE(REGEXREPLACE(BD15&amp;"""",""(?s)(.{1})"",""$1""&amp;CHAR(127)),""'"",""''""),CHAR(127))),1,true),""1"")"),"bcdeg1")</f>
        <v>bcdeg1</v>
      </c>
      <c r="BF15" s="16"/>
      <c r="BG15" s="12" t="str">
        <f t="shared" si="7"/>
        <v>gdfe</v>
      </c>
      <c r="BH15" s="12" t="str">
        <f>IFERROR(__xludf.DUMMYFUNCTION("CONCATENATE(SORT(TRANSPOSE(SPLIT(REGEXREPLACE(REGEXREPLACE(BG15&amp;"""",""(?s)(.{1})"",""$1""&amp;CHAR(127)),""'"",""''""),CHAR(127))),1,true),""1"")"),"defg1")</f>
        <v>defg1</v>
      </c>
      <c r="BI15" s="16"/>
      <c r="BJ15" s="10" t="str">
        <f>IFERROR(__xludf.DUMMYFUNCTION("FILTER($K15:$T15,len($K15:$T15)=5)"),"cebad")</f>
        <v>cebad</v>
      </c>
      <c r="BK15" s="6" t="str">
        <f>IFERROR(__xludf.DUMMYFUNCTION("""COMPUTED_VALUE"""),"bfceg")</f>
        <v>bfceg</v>
      </c>
      <c r="BL15" s="6" t="str">
        <f>IFERROR(__xludf.DUMMYFUNCTION("""COMPUTED_VALUE"""),"dcegb")</f>
        <v>dcegb</v>
      </c>
      <c r="BM15" s="14" t="str">
        <f>IFERROR(__xludf.DUMMYFUNCTION("REGEXREPLACE( $BY15, CONCATENATE(""["",BJ15,""]""), """")"),"fg")</f>
        <v>fg</v>
      </c>
      <c r="BN15" s="14" t="str">
        <f>IFERROR(__xludf.DUMMYFUNCTION("REGEXREPLACE( $BY15, CONCATENATE(""["",BK15,""]""), """")"),"a")</f>
        <v>a</v>
      </c>
      <c r="BO15" s="14" t="str">
        <f>IFERROR(__xludf.DUMMYFUNCTION("REGEXREPLACE( $BY15, CONCATENATE(""["",BL15,""]""), """")"),"fa")</f>
        <v>fa</v>
      </c>
      <c r="BP15" s="11" t="str">
        <f t="shared" si="8"/>
        <v>bfceg</v>
      </c>
      <c r="BQ15" s="12" t="str">
        <f>IFERROR(__xludf.DUMMYFUNCTION("CONCATENATE(SORT(TRANSPOSE(SPLIT(REGEXREPLACE(REGEXREPLACE(BP15&amp;"""",""(?s)(.{1})"",""$1""&amp;CHAR(127)),""'"",""''""),CHAR(127))),1,true),""1"")"),"bcefg1")</f>
        <v>bcefg1</v>
      </c>
      <c r="BR15" s="16"/>
      <c r="BS15" s="10" t="str">
        <f>IFERROR(__xludf.DUMMYFUNCTION("FILTER(K15:T15,len(K15:T15)=6)"),"efabcg")</f>
        <v>efabcg</v>
      </c>
      <c r="BT15" s="6" t="str">
        <f>IFERROR(__xludf.DUMMYFUNCTION("""COMPUTED_VALUE"""),"cafbgd")</f>
        <v>cafbgd</v>
      </c>
      <c r="BU15" s="6" t="str">
        <f>IFERROR(__xludf.DUMMYFUNCTION("""COMPUTED_VALUE"""),"cbgfde")</f>
        <v>cbgfde</v>
      </c>
      <c r="BV15" s="6" t="str">
        <f>IFERROR(__xludf.DUMMYFUNCTION("REGEXREPLACE( $AR15, CONCATENATE(""["",BS15,""]""), """")"),"d")</f>
        <v>d</v>
      </c>
      <c r="BW15" s="6" t="str">
        <f>IFERROR(__xludf.DUMMYFUNCTION("REGEXREPLACE( $AR15, CONCATENATE(""["",BT15,""]""), """")"),"")</f>
        <v/>
      </c>
      <c r="BX15" s="6" t="str">
        <f>IFERROR(__xludf.DUMMYFUNCTION("REGEXREPLACE( $AR15, CONCATENATE(""["",BU15,""]""), """")"),"")</f>
        <v/>
      </c>
      <c r="BY15" s="12" t="str">
        <f t="shared" si="9"/>
        <v>efabcg</v>
      </c>
      <c r="BZ15" s="12" t="str">
        <f>IFERROR(__xludf.DUMMYFUNCTION("CONCATENATE(SORT(TRANSPOSE(SPLIT(REGEXREPLACE(REGEXREPLACE(BY15&amp;"""",""(?s)(.{1})"",""$1""&amp;CHAR(127)),""'"",""''""),CHAR(127))),1,true),""1"")"),"abcefg1")</f>
        <v>abcefg1</v>
      </c>
      <c r="CA15" s="16"/>
      <c r="CB15" s="12" t="str">
        <f t="shared" si="10"/>
        <v>bgd</v>
      </c>
      <c r="CC15" s="12" t="str">
        <f>IFERROR(__xludf.DUMMYFUNCTION("CONCATENATE(SORT(TRANSPOSE(SPLIT(REGEXREPLACE(REGEXREPLACE(CB15&amp;"""",""(?s)(.{1})"",""$1""&amp;CHAR(127)),""'"",""''""),CHAR(127))),1,true),""1"")"),"bdg1")</f>
        <v>bdg1</v>
      </c>
      <c r="CD15" s="16"/>
      <c r="CE15" s="12" t="str">
        <f t="shared" si="11"/>
        <v>bfdgeca</v>
      </c>
      <c r="CF15" s="12" t="str">
        <f>IFERROR(__xludf.DUMMYFUNCTION("CONCATENATE(SORT(TRANSPOSE(SPLIT(REGEXREPLACE(REGEXREPLACE(CE15&amp;"""",""(?s)(.{1})"",""$1""&amp;CHAR(127)),""'"",""''""),CHAR(127))),1,true),""1"")"),"abcdefg1")</f>
        <v>abcdefg1</v>
      </c>
      <c r="CG15" s="16"/>
      <c r="CH15" s="10" t="str">
        <f>IFERROR(__xludf.DUMMYFUNCTION("FILTER(K15:T15,len(K15:T15)=6)"),"efabcg")</f>
        <v>efabcg</v>
      </c>
      <c r="CI15" s="6" t="str">
        <f>IFERROR(__xludf.DUMMYFUNCTION("""COMPUTED_VALUE"""),"cafbgd")</f>
        <v>cafbgd</v>
      </c>
      <c r="CJ15" s="6" t="str">
        <f>IFERROR(__xludf.DUMMYFUNCTION("""COMPUTED_VALUE"""),"cbgfde")</f>
        <v>cbgfde</v>
      </c>
      <c r="CK15" s="6" t="str">
        <f>IFERROR(__xludf.DUMMYFUNCTION("REGEXREPLACE( $BG15, CONCATENATE(""["",CH15,""]""), """")"),"d")</f>
        <v>d</v>
      </c>
      <c r="CL15" s="6" t="str">
        <f>IFERROR(__xludf.DUMMYFUNCTION("REGEXREPLACE( $BG15, CONCATENATE(""["",CI15,""]""), """")"),"e")</f>
        <v>e</v>
      </c>
      <c r="CM15" s="6" t="str">
        <f>IFERROR(__xludf.DUMMYFUNCTION("REGEXREPLACE( $BG15, CONCATENATE(""["",CJ15,""]""), """")"),"")</f>
        <v/>
      </c>
      <c r="CN15" s="12" t="str">
        <f t="shared" si="12"/>
        <v>cbgfde</v>
      </c>
      <c r="CO15" s="12" t="str">
        <f>IFERROR(__xludf.DUMMYFUNCTION("CONCATENATE(SORT(TRANSPOSE(SPLIT(REGEXREPLACE(REGEXREPLACE(CN15&amp;"""",""(?s)(.{1})"",""$1""&amp;CHAR(127)),""'"",""''""),CHAR(127))),1,true),""1"")"),"bcdefg1")</f>
        <v>bcdefg1</v>
      </c>
      <c r="CP15" s="15"/>
    </row>
    <row r="16">
      <c r="A16" s="1" t="s">
        <v>36</v>
      </c>
      <c r="H16" s="6" t="str">
        <f>IFERROR(__xludf.DUMMYFUNCTION("SPLIT(A16,""|"")"),"dgbecaf dgcafe bedafc fb afgbec bcfda dabcg abf cafde dfbe ")</f>
        <v>dgbecaf dgcafe bedafc fb afgbec bcfda dabcg abf cafde dfbe </v>
      </c>
      <c r="I16" s="6" t="str">
        <f>IFERROR(__xludf.DUMMYFUNCTION("""COMPUTED_VALUE""")," abf gacfedb cedaf ecadf")</f>
        <v> abf gacfedb cedaf ecadf</v>
      </c>
      <c r="J16" s="15"/>
      <c r="K16" s="6" t="str">
        <f>IFERROR(__xludf.DUMMYFUNCTION("split(H16,"" "")"),"dgbecaf")</f>
        <v>dgbecaf</v>
      </c>
      <c r="L16" s="6" t="str">
        <f>IFERROR(__xludf.DUMMYFUNCTION("""COMPUTED_VALUE"""),"dgcafe")</f>
        <v>dgcafe</v>
      </c>
      <c r="M16" s="6" t="str">
        <f>IFERROR(__xludf.DUMMYFUNCTION("""COMPUTED_VALUE"""),"bedafc")</f>
        <v>bedafc</v>
      </c>
      <c r="N16" s="6" t="str">
        <f>IFERROR(__xludf.DUMMYFUNCTION("""COMPUTED_VALUE"""),"fb")</f>
        <v>fb</v>
      </c>
      <c r="O16" s="6" t="str">
        <f>IFERROR(__xludf.DUMMYFUNCTION("""COMPUTED_VALUE"""),"afgbec")</f>
        <v>afgbec</v>
      </c>
      <c r="P16" s="6" t="str">
        <f>IFERROR(__xludf.DUMMYFUNCTION("""COMPUTED_VALUE"""),"bcfda")</f>
        <v>bcfda</v>
      </c>
      <c r="Q16" s="6" t="str">
        <f>IFERROR(__xludf.DUMMYFUNCTION("""COMPUTED_VALUE"""),"dabcg")</f>
        <v>dabcg</v>
      </c>
      <c r="R16" s="6" t="str">
        <f>IFERROR(__xludf.DUMMYFUNCTION("""COMPUTED_VALUE"""),"abf")</f>
        <v>abf</v>
      </c>
      <c r="S16" s="6" t="str">
        <f>IFERROR(__xludf.DUMMYFUNCTION("""COMPUTED_VALUE"""),"cafde")</f>
        <v>cafde</v>
      </c>
      <c r="T16" s="6" t="str">
        <f>IFERROR(__xludf.DUMMYFUNCTION("""COMPUTED_VALUE"""),"dfbe")</f>
        <v>dfbe</v>
      </c>
      <c r="U16" s="15"/>
      <c r="V16" s="6" t="str">
        <f>IFERROR(__xludf.DUMMYFUNCTION("split(I16,"" "")"),"abf")</f>
        <v>abf</v>
      </c>
      <c r="W16" s="6" t="str">
        <f>IFERROR(__xludf.DUMMYFUNCTION("""COMPUTED_VALUE"""),"gacfedb")</f>
        <v>gacfedb</v>
      </c>
      <c r="X16" s="6" t="str">
        <f>IFERROR(__xludf.DUMMYFUNCTION("""COMPUTED_VALUE"""),"cedaf")</f>
        <v>cedaf</v>
      </c>
      <c r="Y16" s="6" t="str">
        <f>IFERROR(__xludf.DUMMYFUNCTION("""COMPUTED_VALUE"""),"ecadf")</f>
        <v>ecadf</v>
      </c>
      <c r="Z16" s="6" t="str">
        <f>IFERROR(__xludf.DUMMYFUNCTION("CONCATENATE(SORT(TRANSPOSE(SPLIT(REGEXREPLACE(REGEXREPLACE(V16&amp;"""",""(?s)(.{1})"",""$1""&amp;CHAR(127)),""'"",""''""),CHAR(127))),1,true))"),"abf")</f>
        <v>abf</v>
      </c>
      <c r="AA16" s="6" t="str">
        <f>IFERROR(__xludf.DUMMYFUNCTION("CONCATENATE(SORT(TRANSPOSE(SPLIT(REGEXREPLACE(REGEXREPLACE(W16&amp;"""",""(?s)(.{1})"",""$1""&amp;CHAR(127)),""'"",""''""),CHAR(127))),1,true))"),"abcdefg")</f>
        <v>abcdefg</v>
      </c>
      <c r="AB16" s="6" t="str">
        <f>IFERROR(__xludf.DUMMYFUNCTION("CONCATENATE(SORT(TRANSPOSE(SPLIT(REGEXREPLACE(REGEXREPLACE(X16&amp;"""",""(?s)(.{1})"",""$1""&amp;CHAR(127)),""'"",""''""),CHAR(127))),1,true))"),"acdef")</f>
        <v>acdef</v>
      </c>
      <c r="AC16" s="6" t="str">
        <f>IFERROR(__xludf.DUMMYFUNCTION("CONCATENATE(SORT(TRANSPOSE(SPLIT(REGEXREPLACE(REGEXREPLACE(Y16&amp;"""",""(?s)(.{1})"",""$1""&amp;CHAR(127)),""'"",""''""),CHAR(127))),1,true))"),"acdef")</f>
        <v>acdef</v>
      </c>
      <c r="AD16" s="6">
        <f t="shared" ref="AD16:AG16" si="26">INDEX($AO$1:$CP$1,1,MATCH(CONCATENATE(Z16,"1"),$AO16:$CP16,0)+1)</f>
        <v>7</v>
      </c>
      <c r="AE16" s="6">
        <f t="shared" si="26"/>
        <v>8</v>
      </c>
      <c r="AF16" s="6">
        <f t="shared" si="26"/>
        <v>5</v>
      </c>
      <c r="AG16" s="6">
        <f t="shared" si="26"/>
        <v>5</v>
      </c>
      <c r="AH16" s="6">
        <f t="shared" si="3"/>
        <v>7855</v>
      </c>
      <c r="AI16" s="16"/>
      <c r="AJ16" s="9" t="str">
        <f>IFERROR(__xludf.DUMMYFUNCTION("REGEXREPLACE(AR16,CONCATENATE(""["",BY16,""]""),"""")"),"b")</f>
        <v>b</v>
      </c>
      <c r="AK16" s="10" t="str">
        <f>IFERROR(__xludf.DUMMYFUNCTION("FILTER($K16:$T16,len($K16:$T16)=6,NOT($K16:$T16=BY16))"),"bedafc")</f>
        <v>bedafc</v>
      </c>
      <c r="AL16" s="6" t="str">
        <f>IFERROR(__xludf.DUMMYFUNCTION("""COMPUTED_VALUE"""),"afgbec")</f>
        <v>afgbec</v>
      </c>
      <c r="AM16" s="6" t="str">
        <f>IFERROR(__xludf.DUMMYFUNCTION("REGEXREPLACE( $BG16, CONCATENATE(""["",AK16,""]""), """")"),"")</f>
        <v/>
      </c>
      <c r="AN16" s="6" t="str">
        <f>IFERROR(__xludf.DUMMYFUNCTION("REGEXREPLACE( $BG16, CONCATENATE(""["",AL16,""]""), """")"),"d")</f>
        <v>d</v>
      </c>
      <c r="AO16" s="11" t="str">
        <f t="shared" si="4"/>
        <v>afgbec</v>
      </c>
      <c r="AP16" s="12" t="str">
        <f>IFERROR(__xludf.DUMMYFUNCTION("CONCATENATE(SORT(TRANSPOSE(SPLIT(REGEXREPLACE(REGEXREPLACE(AO16&amp;"""",""(?s)(.{1})"",""$1""&amp;CHAR(127)),""'"",""''""),CHAR(127))),1,true),""1"")"),"abcefg1")</f>
        <v>abcefg1</v>
      </c>
      <c r="AQ16" s="16"/>
      <c r="AR16" s="12" t="str">
        <f t="shared" si="5"/>
        <v>fb</v>
      </c>
      <c r="AS16" s="12" t="str">
        <f>IFERROR(__xludf.DUMMYFUNCTION("CONCATENATE(SORT(TRANSPOSE(SPLIT(REGEXREPLACE(REGEXREPLACE(AR16&amp;"""",""(?s)(.{1})"",""$1""&amp;CHAR(127)),""'"",""''""),CHAR(127))),1,true),""1"")"),"bf1")</f>
        <v>bf1</v>
      </c>
      <c r="AT16" s="16"/>
      <c r="AU16" s="13" t="str">
        <f>IFERROR(__xludf.DUMMYFUNCTION("FILTER($K16:$T16,len($K16:$T16)=5,NOT($K16:$T16=BD16),NOT($K16:$T16=BP16))"),"dabcg")</f>
        <v>dabcg</v>
      </c>
      <c r="AV16" s="12" t="str">
        <f>IFERROR(__xludf.DUMMYFUNCTION("CONCATENATE(SORT(TRANSPOSE(SPLIT(REGEXREPLACE(REGEXREPLACE(AU16&amp;"""",""(?s)(.{1})"",""$1""&amp;CHAR(127)),""'"",""''""),CHAR(127))),1,true),""1"")"),"abcdg1")</f>
        <v>abcdg1</v>
      </c>
      <c r="AW16" s="16"/>
      <c r="AX16" s="10" t="str">
        <f>IFERROR(__xludf.DUMMYFUNCTION("FILTER($K16:$T16,len($K16:$T16)=5)"),"bcfda")</f>
        <v>bcfda</v>
      </c>
      <c r="AY16" s="6" t="str">
        <f>IFERROR(__xludf.DUMMYFUNCTION("""COMPUTED_VALUE"""),"dabcg")</f>
        <v>dabcg</v>
      </c>
      <c r="AZ16" s="6" t="str">
        <f>IFERROR(__xludf.DUMMYFUNCTION("""COMPUTED_VALUE"""),"cafde")</f>
        <v>cafde</v>
      </c>
      <c r="BA16" s="6" t="str">
        <f>IFERROR(__xludf.DUMMYFUNCTION("REGEXREPLACE( $AR16, CONCATENATE(""["",AX16,""]""), """")"),"")</f>
        <v/>
      </c>
      <c r="BB16" s="6" t="str">
        <f>IFERROR(__xludf.DUMMYFUNCTION("REGEXREPLACE( $AR16, CONCATENATE(""["",AY16,""]""), """")"),"f")</f>
        <v>f</v>
      </c>
      <c r="BC16" s="6" t="str">
        <f>IFERROR(__xludf.DUMMYFUNCTION("REGEXREPLACE( $AR16, CONCATENATE(""["",AZ16,""]""), """")"),"b")</f>
        <v>b</v>
      </c>
      <c r="BD16" s="11" t="str">
        <f t="shared" si="6"/>
        <v>bcfda</v>
      </c>
      <c r="BE16" s="12" t="str">
        <f>IFERROR(__xludf.DUMMYFUNCTION("CONCATENATE(SORT(TRANSPOSE(SPLIT(REGEXREPLACE(REGEXREPLACE(BD16&amp;"""",""(?s)(.{1})"",""$1""&amp;CHAR(127)),""'"",""''""),CHAR(127))),1,true),""1"")"),"abcdf1")</f>
        <v>abcdf1</v>
      </c>
      <c r="BF16" s="16"/>
      <c r="BG16" s="12" t="str">
        <f t="shared" si="7"/>
        <v>dfbe</v>
      </c>
      <c r="BH16" s="12" t="str">
        <f>IFERROR(__xludf.DUMMYFUNCTION("CONCATENATE(SORT(TRANSPOSE(SPLIT(REGEXREPLACE(REGEXREPLACE(BG16&amp;"""",""(?s)(.{1})"",""$1""&amp;CHAR(127)),""'"",""''""),CHAR(127))),1,true),""1"")"),"bdef1")</f>
        <v>bdef1</v>
      </c>
      <c r="BI16" s="16"/>
      <c r="BJ16" s="10" t="str">
        <f>IFERROR(__xludf.DUMMYFUNCTION("FILTER($K16:$T16,len($K16:$T16)=5)"),"bcfda")</f>
        <v>bcfda</v>
      </c>
      <c r="BK16" s="6" t="str">
        <f>IFERROR(__xludf.DUMMYFUNCTION("""COMPUTED_VALUE"""),"dabcg")</f>
        <v>dabcg</v>
      </c>
      <c r="BL16" s="6" t="str">
        <f>IFERROR(__xludf.DUMMYFUNCTION("""COMPUTED_VALUE"""),"cafde")</f>
        <v>cafde</v>
      </c>
      <c r="BM16" s="14" t="str">
        <f>IFERROR(__xludf.DUMMYFUNCTION("REGEXREPLACE( $BY16, CONCATENATE(""["",BJ16,""]""), """")"),"ge")</f>
        <v>ge</v>
      </c>
      <c r="BN16" s="14" t="str">
        <f>IFERROR(__xludf.DUMMYFUNCTION("REGEXREPLACE( $BY16, CONCATENATE(""["",BK16,""]""), """")"),"fe")</f>
        <v>fe</v>
      </c>
      <c r="BO16" s="14" t="str">
        <f>IFERROR(__xludf.DUMMYFUNCTION("REGEXREPLACE( $BY16, CONCATENATE(""["",BL16,""]""), """")"),"g")</f>
        <v>g</v>
      </c>
      <c r="BP16" s="11" t="str">
        <f t="shared" si="8"/>
        <v>cafde</v>
      </c>
      <c r="BQ16" s="12" t="str">
        <f>IFERROR(__xludf.DUMMYFUNCTION("CONCATENATE(SORT(TRANSPOSE(SPLIT(REGEXREPLACE(REGEXREPLACE(BP16&amp;"""",""(?s)(.{1})"",""$1""&amp;CHAR(127)),""'"",""''""),CHAR(127))),1,true),""1"")"),"acdef1")</f>
        <v>acdef1</v>
      </c>
      <c r="BR16" s="16"/>
      <c r="BS16" s="10" t="str">
        <f>IFERROR(__xludf.DUMMYFUNCTION("FILTER(K16:T16,len(K16:T16)=6)"),"dgcafe")</f>
        <v>dgcafe</v>
      </c>
      <c r="BT16" s="6" t="str">
        <f>IFERROR(__xludf.DUMMYFUNCTION("""COMPUTED_VALUE"""),"bedafc")</f>
        <v>bedafc</v>
      </c>
      <c r="BU16" s="6" t="str">
        <f>IFERROR(__xludf.DUMMYFUNCTION("""COMPUTED_VALUE"""),"afgbec")</f>
        <v>afgbec</v>
      </c>
      <c r="BV16" s="6" t="str">
        <f>IFERROR(__xludf.DUMMYFUNCTION("REGEXREPLACE( $AR16, CONCATENATE(""["",BS16,""]""), """")"),"b")</f>
        <v>b</v>
      </c>
      <c r="BW16" s="6" t="str">
        <f>IFERROR(__xludf.DUMMYFUNCTION("REGEXREPLACE( $AR16, CONCATENATE(""["",BT16,""]""), """")"),"")</f>
        <v/>
      </c>
      <c r="BX16" s="6" t="str">
        <f>IFERROR(__xludf.DUMMYFUNCTION("REGEXREPLACE( $AR16, CONCATENATE(""["",BU16,""]""), """")"),"")</f>
        <v/>
      </c>
      <c r="BY16" s="12" t="str">
        <f t="shared" si="9"/>
        <v>dgcafe</v>
      </c>
      <c r="BZ16" s="12" t="str">
        <f>IFERROR(__xludf.DUMMYFUNCTION("CONCATENATE(SORT(TRANSPOSE(SPLIT(REGEXREPLACE(REGEXREPLACE(BY16&amp;"""",""(?s)(.{1})"",""$1""&amp;CHAR(127)),""'"",""''""),CHAR(127))),1,true),""1"")"),"acdefg1")</f>
        <v>acdefg1</v>
      </c>
      <c r="CA16" s="16"/>
      <c r="CB16" s="12" t="str">
        <f t="shared" si="10"/>
        <v>abf</v>
      </c>
      <c r="CC16" s="12" t="str">
        <f>IFERROR(__xludf.DUMMYFUNCTION("CONCATENATE(SORT(TRANSPOSE(SPLIT(REGEXREPLACE(REGEXREPLACE(CB16&amp;"""",""(?s)(.{1})"",""$1""&amp;CHAR(127)),""'"",""''""),CHAR(127))),1,true),""1"")"),"abf1")</f>
        <v>abf1</v>
      </c>
      <c r="CD16" s="16"/>
      <c r="CE16" s="12" t="str">
        <f t="shared" si="11"/>
        <v>dgbecaf</v>
      </c>
      <c r="CF16" s="12" t="str">
        <f>IFERROR(__xludf.DUMMYFUNCTION("CONCATENATE(SORT(TRANSPOSE(SPLIT(REGEXREPLACE(REGEXREPLACE(CE16&amp;"""",""(?s)(.{1})"",""$1""&amp;CHAR(127)),""'"",""''""),CHAR(127))),1,true),""1"")"),"abcdefg1")</f>
        <v>abcdefg1</v>
      </c>
      <c r="CG16" s="16"/>
      <c r="CH16" s="10" t="str">
        <f>IFERROR(__xludf.DUMMYFUNCTION("FILTER(K16:T16,len(K16:T16)=6)"),"dgcafe")</f>
        <v>dgcafe</v>
      </c>
      <c r="CI16" s="6" t="str">
        <f>IFERROR(__xludf.DUMMYFUNCTION("""COMPUTED_VALUE"""),"bedafc")</f>
        <v>bedafc</v>
      </c>
      <c r="CJ16" s="6" t="str">
        <f>IFERROR(__xludf.DUMMYFUNCTION("""COMPUTED_VALUE"""),"afgbec")</f>
        <v>afgbec</v>
      </c>
      <c r="CK16" s="6" t="str">
        <f>IFERROR(__xludf.DUMMYFUNCTION("REGEXREPLACE( $BG16, CONCATENATE(""["",CH16,""]""), """")"),"b")</f>
        <v>b</v>
      </c>
      <c r="CL16" s="6" t="str">
        <f>IFERROR(__xludf.DUMMYFUNCTION("REGEXREPLACE( $BG16, CONCATENATE(""["",CI16,""]""), """")"),"")</f>
        <v/>
      </c>
      <c r="CM16" s="6" t="str">
        <f>IFERROR(__xludf.DUMMYFUNCTION("REGEXREPLACE( $BG16, CONCATENATE(""["",CJ16,""]""), """")"),"d")</f>
        <v>d</v>
      </c>
      <c r="CN16" s="12" t="str">
        <f t="shared" si="12"/>
        <v>bedafc</v>
      </c>
      <c r="CO16" s="12" t="str">
        <f>IFERROR(__xludf.DUMMYFUNCTION("CONCATENATE(SORT(TRANSPOSE(SPLIT(REGEXREPLACE(REGEXREPLACE(CN16&amp;"""",""(?s)(.{1})"",""$1""&amp;CHAR(127)),""'"",""''""),CHAR(127))),1,true),""1"")"),"abcdef1")</f>
        <v>abcdef1</v>
      </c>
      <c r="CP16" s="15"/>
    </row>
    <row r="17">
      <c r="A17" s="1" t="s">
        <v>37</v>
      </c>
      <c r="H17" s="6" t="str">
        <f>IFERROR(__xludf.DUMMYFUNCTION("SPLIT(A17,""|"")"),"egfdcb afdcgb abcfedg gac ga fdgcea acfbg bfeca gbdfc gdab ")</f>
        <v>egfdcb afdcgb abcfedg gac ga fdgcea acfbg bfeca gbdfc gdab </v>
      </c>
      <c r="I17" s="6" t="str">
        <f>IFERROR(__xludf.DUMMYFUNCTION("""COMPUTED_VALUE""")," befcdag agfbc eadbgcf afceb")</f>
        <v> befcdag agfbc eadbgcf afceb</v>
      </c>
      <c r="J17" s="15"/>
      <c r="K17" s="6" t="str">
        <f>IFERROR(__xludf.DUMMYFUNCTION("split(H17,"" "")"),"egfdcb")</f>
        <v>egfdcb</v>
      </c>
      <c r="L17" s="6" t="str">
        <f>IFERROR(__xludf.DUMMYFUNCTION("""COMPUTED_VALUE"""),"afdcgb")</f>
        <v>afdcgb</v>
      </c>
      <c r="M17" s="6" t="str">
        <f>IFERROR(__xludf.DUMMYFUNCTION("""COMPUTED_VALUE"""),"abcfedg")</f>
        <v>abcfedg</v>
      </c>
      <c r="N17" s="6" t="str">
        <f>IFERROR(__xludf.DUMMYFUNCTION("""COMPUTED_VALUE"""),"gac")</f>
        <v>gac</v>
      </c>
      <c r="O17" s="6" t="str">
        <f>IFERROR(__xludf.DUMMYFUNCTION("""COMPUTED_VALUE"""),"ga")</f>
        <v>ga</v>
      </c>
      <c r="P17" s="6" t="str">
        <f>IFERROR(__xludf.DUMMYFUNCTION("""COMPUTED_VALUE"""),"fdgcea")</f>
        <v>fdgcea</v>
      </c>
      <c r="Q17" s="6" t="str">
        <f>IFERROR(__xludf.DUMMYFUNCTION("""COMPUTED_VALUE"""),"acfbg")</f>
        <v>acfbg</v>
      </c>
      <c r="R17" s="6" t="str">
        <f>IFERROR(__xludf.DUMMYFUNCTION("""COMPUTED_VALUE"""),"bfeca")</f>
        <v>bfeca</v>
      </c>
      <c r="S17" s="6" t="str">
        <f>IFERROR(__xludf.DUMMYFUNCTION("""COMPUTED_VALUE"""),"gbdfc")</f>
        <v>gbdfc</v>
      </c>
      <c r="T17" s="6" t="str">
        <f>IFERROR(__xludf.DUMMYFUNCTION("""COMPUTED_VALUE"""),"gdab")</f>
        <v>gdab</v>
      </c>
      <c r="U17" s="15"/>
      <c r="V17" s="6" t="str">
        <f>IFERROR(__xludf.DUMMYFUNCTION("split(I17,"" "")"),"befcdag")</f>
        <v>befcdag</v>
      </c>
      <c r="W17" s="6" t="str">
        <f>IFERROR(__xludf.DUMMYFUNCTION("""COMPUTED_VALUE"""),"agfbc")</f>
        <v>agfbc</v>
      </c>
      <c r="X17" s="6" t="str">
        <f>IFERROR(__xludf.DUMMYFUNCTION("""COMPUTED_VALUE"""),"eadbgcf")</f>
        <v>eadbgcf</v>
      </c>
      <c r="Y17" s="6" t="str">
        <f>IFERROR(__xludf.DUMMYFUNCTION("""COMPUTED_VALUE"""),"afceb")</f>
        <v>afceb</v>
      </c>
      <c r="Z17" s="6" t="str">
        <f>IFERROR(__xludf.DUMMYFUNCTION("CONCATENATE(SORT(TRANSPOSE(SPLIT(REGEXREPLACE(REGEXREPLACE(V17&amp;"""",""(?s)(.{1})"",""$1""&amp;CHAR(127)),""'"",""''""),CHAR(127))),1,true))"),"abcdefg")</f>
        <v>abcdefg</v>
      </c>
      <c r="AA17" s="6" t="str">
        <f>IFERROR(__xludf.DUMMYFUNCTION("CONCATENATE(SORT(TRANSPOSE(SPLIT(REGEXREPLACE(REGEXREPLACE(W17&amp;"""",""(?s)(.{1})"",""$1""&amp;CHAR(127)),""'"",""''""),CHAR(127))),1,true))"),"abcfg")</f>
        <v>abcfg</v>
      </c>
      <c r="AB17" s="6" t="str">
        <f>IFERROR(__xludf.DUMMYFUNCTION("CONCATENATE(SORT(TRANSPOSE(SPLIT(REGEXREPLACE(REGEXREPLACE(X17&amp;"""",""(?s)(.{1})"",""$1""&amp;CHAR(127)),""'"",""''""),CHAR(127))),1,true))"),"abcdefg")</f>
        <v>abcdefg</v>
      </c>
      <c r="AC17" s="6" t="str">
        <f>IFERROR(__xludf.DUMMYFUNCTION("CONCATENATE(SORT(TRANSPOSE(SPLIT(REGEXREPLACE(REGEXREPLACE(Y17&amp;"""",""(?s)(.{1})"",""$1""&amp;CHAR(127)),""'"",""''""),CHAR(127))),1,true))"),"abcef")</f>
        <v>abcef</v>
      </c>
      <c r="AD17" s="6">
        <f t="shared" ref="AD17:AG17" si="27">INDEX($AO$1:$CP$1,1,MATCH(CONCATENATE(Z17,"1"),$AO17:$CP17,0)+1)</f>
        <v>8</v>
      </c>
      <c r="AE17" s="6">
        <f t="shared" si="27"/>
        <v>3</v>
      </c>
      <c r="AF17" s="6">
        <f t="shared" si="27"/>
        <v>8</v>
      </c>
      <c r="AG17" s="6">
        <f t="shared" si="27"/>
        <v>2</v>
      </c>
      <c r="AH17" s="6">
        <f t="shared" si="3"/>
        <v>8382</v>
      </c>
      <c r="AI17" s="16"/>
      <c r="AJ17" s="9" t="str">
        <f>IFERROR(__xludf.DUMMYFUNCTION("REGEXREPLACE(AR17,CONCATENATE(""["",BY17,""]""),"""")"),"a")</f>
        <v>a</v>
      </c>
      <c r="AK17" s="10" t="str">
        <f>IFERROR(__xludf.DUMMYFUNCTION("FILTER($K17:$T17,len($K17:$T17)=6,NOT($K17:$T17=BY17))"),"afdcgb")</f>
        <v>afdcgb</v>
      </c>
      <c r="AL17" s="6" t="str">
        <f>IFERROR(__xludf.DUMMYFUNCTION("""COMPUTED_VALUE"""),"fdgcea")</f>
        <v>fdgcea</v>
      </c>
      <c r="AM17" s="6" t="str">
        <f>IFERROR(__xludf.DUMMYFUNCTION("REGEXREPLACE( $BG17, CONCATENATE(""["",AK17,""]""), """")"),"")</f>
        <v/>
      </c>
      <c r="AN17" s="6" t="str">
        <f>IFERROR(__xludf.DUMMYFUNCTION("REGEXREPLACE( $BG17, CONCATENATE(""["",AL17,""]""), """")"),"b")</f>
        <v>b</v>
      </c>
      <c r="AO17" s="11" t="str">
        <f t="shared" si="4"/>
        <v>fdgcea</v>
      </c>
      <c r="AP17" s="12" t="str">
        <f>IFERROR(__xludf.DUMMYFUNCTION("CONCATENATE(SORT(TRANSPOSE(SPLIT(REGEXREPLACE(REGEXREPLACE(AO17&amp;"""",""(?s)(.{1})"",""$1""&amp;CHAR(127)),""'"",""''""),CHAR(127))),1,true),""1"")"),"acdefg1")</f>
        <v>acdefg1</v>
      </c>
      <c r="AQ17" s="16"/>
      <c r="AR17" s="12" t="str">
        <f t="shared" si="5"/>
        <v>ga</v>
      </c>
      <c r="AS17" s="12" t="str">
        <f>IFERROR(__xludf.DUMMYFUNCTION("CONCATENATE(SORT(TRANSPOSE(SPLIT(REGEXREPLACE(REGEXREPLACE(AR17&amp;"""",""(?s)(.{1})"",""$1""&amp;CHAR(127)),""'"",""''""),CHAR(127))),1,true),""1"")"),"ag1")</f>
        <v>ag1</v>
      </c>
      <c r="AT17" s="16"/>
      <c r="AU17" s="13" t="str">
        <f>IFERROR(__xludf.DUMMYFUNCTION("FILTER($K17:$T17,len($K17:$T17)=5,NOT($K17:$T17=BD17),NOT($K17:$T17=BP17))"),"bfeca")</f>
        <v>bfeca</v>
      </c>
      <c r="AV17" s="12" t="str">
        <f>IFERROR(__xludf.DUMMYFUNCTION("CONCATENATE(SORT(TRANSPOSE(SPLIT(REGEXREPLACE(REGEXREPLACE(AU17&amp;"""",""(?s)(.{1})"",""$1""&amp;CHAR(127)),""'"",""''""),CHAR(127))),1,true),""1"")"),"abcef1")</f>
        <v>abcef1</v>
      </c>
      <c r="AW17" s="16"/>
      <c r="AX17" s="10" t="str">
        <f>IFERROR(__xludf.DUMMYFUNCTION("FILTER($K17:$T17,len($K17:$T17)=5)"),"acfbg")</f>
        <v>acfbg</v>
      </c>
      <c r="AY17" s="6" t="str">
        <f>IFERROR(__xludf.DUMMYFUNCTION("""COMPUTED_VALUE"""),"bfeca")</f>
        <v>bfeca</v>
      </c>
      <c r="AZ17" s="6" t="str">
        <f>IFERROR(__xludf.DUMMYFUNCTION("""COMPUTED_VALUE"""),"gbdfc")</f>
        <v>gbdfc</v>
      </c>
      <c r="BA17" s="6" t="str">
        <f>IFERROR(__xludf.DUMMYFUNCTION("REGEXREPLACE( $AR17, CONCATENATE(""["",AX17,""]""), """")"),"")</f>
        <v/>
      </c>
      <c r="BB17" s="6" t="str">
        <f>IFERROR(__xludf.DUMMYFUNCTION("REGEXREPLACE( $AR17, CONCATENATE(""["",AY17,""]""), """")"),"g")</f>
        <v>g</v>
      </c>
      <c r="BC17" s="6" t="str">
        <f>IFERROR(__xludf.DUMMYFUNCTION("REGEXREPLACE( $AR17, CONCATENATE(""["",AZ17,""]""), """")"),"a")</f>
        <v>a</v>
      </c>
      <c r="BD17" s="11" t="str">
        <f t="shared" si="6"/>
        <v>acfbg</v>
      </c>
      <c r="BE17" s="12" t="str">
        <f>IFERROR(__xludf.DUMMYFUNCTION("CONCATENATE(SORT(TRANSPOSE(SPLIT(REGEXREPLACE(REGEXREPLACE(BD17&amp;"""",""(?s)(.{1})"",""$1""&amp;CHAR(127)),""'"",""''""),CHAR(127))),1,true),""1"")"),"abcfg1")</f>
        <v>abcfg1</v>
      </c>
      <c r="BF17" s="16"/>
      <c r="BG17" s="12" t="str">
        <f t="shared" si="7"/>
        <v>gdab</v>
      </c>
      <c r="BH17" s="12" t="str">
        <f>IFERROR(__xludf.DUMMYFUNCTION("CONCATENATE(SORT(TRANSPOSE(SPLIT(REGEXREPLACE(REGEXREPLACE(BG17&amp;"""",""(?s)(.{1})"",""$1""&amp;CHAR(127)),""'"",""''""),CHAR(127))),1,true),""1"")"),"abdg1")</f>
        <v>abdg1</v>
      </c>
      <c r="BI17" s="16"/>
      <c r="BJ17" s="10" t="str">
        <f>IFERROR(__xludf.DUMMYFUNCTION("FILTER($K17:$T17,len($K17:$T17)=5)"),"acfbg")</f>
        <v>acfbg</v>
      </c>
      <c r="BK17" s="6" t="str">
        <f>IFERROR(__xludf.DUMMYFUNCTION("""COMPUTED_VALUE"""),"bfeca")</f>
        <v>bfeca</v>
      </c>
      <c r="BL17" s="6" t="str">
        <f>IFERROR(__xludf.DUMMYFUNCTION("""COMPUTED_VALUE"""),"gbdfc")</f>
        <v>gbdfc</v>
      </c>
      <c r="BM17" s="14" t="str">
        <f>IFERROR(__xludf.DUMMYFUNCTION("REGEXREPLACE( $BY17, CONCATENATE(""["",BJ17,""]""), """")"),"ed")</f>
        <v>ed</v>
      </c>
      <c r="BN17" s="14" t="str">
        <f>IFERROR(__xludf.DUMMYFUNCTION("REGEXREPLACE( $BY17, CONCATENATE(""["",BK17,""]""), """")"),"gd")</f>
        <v>gd</v>
      </c>
      <c r="BO17" s="14" t="str">
        <f>IFERROR(__xludf.DUMMYFUNCTION("REGEXREPLACE( $BY17, CONCATENATE(""["",BL17,""]""), """")"),"e")</f>
        <v>e</v>
      </c>
      <c r="BP17" s="11" t="str">
        <f t="shared" si="8"/>
        <v>gbdfc</v>
      </c>
      <c r="BQ17" s="12" t="str">
        <f>IFERROR(__xludf.DUMMYFUNCTION("CONCATENATE(SORT(TRANSPOSE(SPLIT(REGEXREPLACE(REGEXREPLACE(BP17&amp;"""",""(?s)(.{1})"",""$1""&amp;CHAR(127)),""'"",""''""),CHAR(127))),1,true),""1"")"),"bcdfg1")</f>
        <v>bcdfg1</v>
      </c>
      <c r="BR17" s="16"/>
      <c r="BS17" s="10" t="str">
        <f>IFERROR(__xludf.DUMMYFUNCTION("FILTER(K17:T17,len(K17:T17)=6)"),"egfdcb")</f>
        <v>egfdcb</v>
      </c>
      <c r="BT17" s="6" t="str">
        <f>IFERROR(__xludf.DUMMYFUNCTION("""COMPUTED_VALUE"""),"afdcgb")</f>
        <v>afdcgb</v>
      </c>
      <c r="BU17" s="6" t="str">
        <f>IFERROR(__xludf.DUMMYFUNCTION("""COMPUTED_VALUE"""),"fdgcea")</f>
        <v>fdgcea</v>
      </c>
      <c r="BV17" s="6" t="str">
        <f>IFERROR(__xludf.DUMMYFUNCTION("REGEXREPLACE( $AR17, CONCATENATE(""["",BS17,""]""), """")"),"a")</f>
        <v>a</v>
      </c>
      <c r="BW17" s="6" t="str">
        <f>IFERROR(__xludf.DUMMYFUNCTION("REGEXREPLACE( $AR17, CONCATENATE(""["",BT17,""]""), """")"),"")</f>
        <v/>
      </c>
      <c r="BX17" s="6" t="str">
        <f>IFERROR(__xludf.DUMMYFUNCTION("REGEXREPLACE( $AR17, CONCATENATE(""["",BU17,""]""), """")"),"")</f>
        <v/>
      </c>
      <c r="BY17" s="12" t="str">
        <f t="shared" si="9"/>
        <v>egfdcb</v>
      </c>
      <c r="BZ17" s="12" t="str">
        <f>IFERROR(__xludf.DUMMYFUNCTION("CONCATENATE(SORT(TRANSPOSE(SPLIT(REGEXREPLACE(REGEXREPLACE(BY17&amp;"""",""(?s)(.{1})"",""$1""&amp;CHAR(127)),""'"",""''""),CHAR(127))),1,true),""1"")"),"bcdefg1")</f>
        <v>bcdefg1</v>
      </c>
      <c r="CA17" s="16"/>
      <c r="CB17" s="12" t="str">
        <f t="shared" si="10"/>
        <v>gac</v>
      </c>
      <c r="CC17" s="12" t="str">
        <f>IFERROR(__xludf.DUMMYFUNCTION("CONCATENATE(SORT(TRANSPOSE(SPLIT(REGEXREPLACE(REGEXREPLACE(CB17&amp;"""",""(?s)(.{1})"",""$1""&amp;CHAR(127)),""'"",""''""),CHAR(127))),1,true),""1"")"),"acg1")</f>
        <v>acg1</v>
      </c>
      <c r="CD17" s="16"/>
      <c r="CE17" s="12" t="str">
        <f t="shared" si="11"/>
        <v>abcfedg</v>
      </c>
      <c r="CF17" s="12" t="str">
        <f>IFERROR(__xludf.DUMMYFUNCTION("CONCATENATE(SORT(TRANSPOSE(SPLIT(REGEXREPLACE(REGEXREPLACE(CE17&amp;"""",""(?s)(.{1})"",""$1""&amp;CHAR(127)),""'"",""''""),CHAR(127))),1,true),""1"")"),"abcdefg1")</f>
        <v>abcdefg1</v>
      </c>
      <c r="CG17" s="16"/>
      <c r="CH17" s="10" t="str">
        <f>IFERROR(__xludf.DUMMYFUNCTION("FILTER(K17:T17,len(K17:T17)=6)"),"egfdcb")</f>
        <v>egfdcb</v>
      </c>
      <c r="CI17" s="6" t="str">
        <f>IFERROR(__xludf.DUMMYFUNCTION("""COMPUTED_VALUE"""),"afdcgb")</f>
        <v>afdcgb</v>
      </c>
      <c r="CJ17" s="6" t="str">
        <f>IFERROR(__xludf.DUMMYFUNCTION("""COMPUTED_VALUE"""),"fdgcea")</f>
        <v>fdgcea</v>
      </c>
      <c r="CK17" s="6" t="str">
        <f>IFERROR(__xludf.DUMMYFUNCTION("REGEXREPLACE( $BG17, CONCATENATE(""["",CH17,""]""), """")"),"a")</f>
        <v>a</v>
      </c>
      <c r="CL17" s="6" t="str">
        <f>IFERROR(__xludf.DUMMYFUNCTION("REGEXREPLACE( $BG17, CONCATENATE(""["",CI17,""]""), """")"),"")</f>
        <v/>
      </c>
      <c r="CM17" s="6" t="str">
        <f>IFERROR(__xludf.DUMMYFUNCTION("REGEXREPLACE( $BG17, CONCATENATE(""["",CJ17,""]""), """")"),"b")</f>
        <v>b</v>
      </c>
      <c r="CN17" s="12" t="str">
        <f t="shared" si="12"/>
        <v>afdcgb</v>
      </c>
      <c r="CO17" s="12" t="str">
        <f>IFERROR(__xludf.DUMMYFUNCTION("CONCATENATE(SORT(TRANSPOSE(SPLIT(REGEXREPLACE(REGEXREPLACE(CN17&amp;"""",""(?s)(.{1})"",""$1""&amp;CHAR(127)),""'"",""''""),CHAR(127))),1,true),""1"")"),"abcdfg1")</f>
        <v>abcdfg1</v>
      </c>
      <c r="CP17" s="15"/>
    </row>
    <row r="18">
      <c r="A18" s="1" t="s">
        <v>38</v>
      </c>
      <c r="H18" s="6" t="str">
        <f>IFERROR(__xludf.DUMMYFUNCTION("SPLIT(A18,""|"")"),"gfdaeb gafceb ecdb fcdaegb acfgd cgeab ecgda abdgce eda de ")</f>
        <v>gfdaeb gafceb ecdb fcdaegb acfgd cgeab ecgda abdgce eda de </v>
      </c>
      <c r="I18" s="6" t="str">
        <f>IFERROR(__xludf.DUMMYFUNCTION("""COMPUTED_VALUE""")," dcbe dbfgeac gcbea baecg")</f>
        <v> dcbe dbfgeac gcbea baecg</v>
      </c>
      <c r="J18" s="15"/>
      <c r="K18" s="6" t="str">
        <f>IFERROR(__xludf.DUMMYFUNCTION("split(H18,"" "")"),"gfdaeb")</f>
        <v>gfdaeb</v>
      </c>
      <c r="L18" s="6" t="str">
        <f>IFERROR(__xludf.DUMMYFUNCTION("""COMPUTED_VALUE"""),"gafceb")</f>
        <v>gafceb</v>
      </c>
      <c r="M18" s="6" t="str">
        <f>IFERROR(__xludf.DUMMYFUNCTION("""COMPUTED_VALUE"""),"ecdb")</f>
        <v>ecdb</v>
      </c>
      <c r="N18" s="6" t="str">
        <f>IFERROR(__xludf.DUMMYFUNCTION("""COMPUTED_VALUE"""),"fcdaegb")</f>
        <v>fcdaegb</v>
      </c>
      <c r="O18" s="6" t="str">
        <f>IFERROR(__xludf.DUMMYFUNCTION("""COMPUTED_VALUE"""),"acfgd")</f>
        <v>acfgd</v>
      </c>
      <c r="P18" s="6" t="str">
        <f>IFERROR(__xludf.DUMMYFUNCTION("""COMPUTED_VALUE"""),"cgeab")</f>
        <v>cgeab</v>
      </c>
      <c r="Q18" s="6" t="str">
        <f>IFERROR(__xludf.DUMMYFUNCTION("""COMPUTED_VALUE"""),"ecgda")</f>
        <v>ecgda</v>
      </c>
      <c r="R18" s="6" t="str">
        <f>IFERROR(__xludf.DUMMYFUNCTION("""COMPUTED_VALUE"""),"abdgce")</f>
        <v>abdgce</v>
      </c>
      <c r="S18" s="6" t="str">
        <f>IFERROR(__xludf.DUMMYFUNCTION("""COMPUTED_VALUE"""),"eda")</f>
        <v>eda</v>
      </c>
      <c r="T18" s="6" t="str">
        <f>IFERROR(__xludf.DUMMYFUNCTION("""COMPUTED_VALUE"""),"de")</f>
        <v>de</v>
      </c>
      <c r="U18" s="15"/>
      <c r="V18" s="6" t="str">
        <f>IFERROR(__xludf.DUMMYFUNCTION("split(I18,"" "")"),"dcbe")</f>
        <v>dcbe</v>
      </c>
      <c r="W18" s="6" t="str">
        <f>IFERROR(__xludf.DUMMYFUNCTION("""COMPUTED_VALUE"""),"dbfgeac")</f>
        <v>dbfgeac</v>
      </c>
      <c r="X18" s="6" t="str">
        <f>IFERROR(__xludf.DUMMYFUNCTION("""COMPUTED_VALUE"""),"gcbea")</f>
        <v>gcbea</v>
      </c>
      <c r="Y18" s="6" t="str">
        <f>IFERROR(__xludf.DUMMYFUNCTION("""COMPUTED_VALUE"""),"baecg")</f>
        <v>baecg</v>
      </c>
      <c r="Z18" s="6" t="str">
        <f>IFERROR(__xludf.DUMMYFUNCTION("CONCATENATE(SORT(TRANSPOSE(SPLIT(REGEXREPLACE(REGEXREPLACE(V18&amp;"""",""(?s)(.{1})"",""$1""&amp;CHAR(127)),""'"",""''""),CHAR(127))),1,true))"),"bcde")</f>
        <v>bcde</v>
      </c>
      <c r="AA18" s="6" t="str">
        <f>IFERROR(__xludf.DUMMYFUNCTION("CONCATENATE(SORT(TRANSPOSE(SPLIT(REGEXREPLACE(REGEXREPLACE(W18&amp;"""",""(?s)(.{1})"",""$1""&amp;CHAR(127)),""'"",""''""),CHAR(127))),1,true))"),"abcdefg")</f>
        <v>abcdefg</v>
      </c>
      <c r="AB18" s="6" t="str">
        <f>IFERROR(__xludf.DUMMYFUNCTION("CONCATENATE(SORT(TRANSPOSE(SPLIT(REGEXREPLACE(REGEXREPLACE(X18&amp;"""",""(?s)(.{1})"",""$1""&amp;CHAR(127)),""'"",""''""),CHAR(127))),1,true))"),"abceg")</f>
        <v>abceg</v>
      </c>
      <c r="AC18" s="6" t="str">
        <f>IFERROR(__xludf.DUMMYFUNCTION("CONCATENATE(SORT(TRANSPOSE(SPLIT(REGEXREPLACE(REGEXREPLACE(Y18&amp;"""",""(?s)(.{1})"",""$1""&amp;CHAR(127)),""'"",""''""),CHAR(127))),1,true))"),"abceg")</f>
        <v>abceg</v>
      </c>
      <c r="AD18" s="6">
        <f t="shared" ref="AD18:AG18" si="28">INDEX($AO$1:$CP$1,1,MATCH(CONCATENATE(Z18,"1"),$AO18:$CP18,0)+1)</f>
        <v>4</v>
      </c>
      <c r="AE18" s="6">
        <f t="shared" si="28"/>
        <v>8</v>
      </c>
      <c r="AF18" s="6">
        <f t="shared" si="28"/>
        <v>5</v>
      </c>
      <c r="AG18" s="6">
        <f t="shared" si="28"/>
        <v>5</v>
      </c>
      <c r="AH18" s="6">
        <f t="shared" si="3"/>
        <v>4855</v>
      </c>
      <c r="AI18" s="16"/>
      <c r="AJ18" s="9" t="str">
        <f>IFERROR(__xludf.DUMMYFUNCTION("REGEXREPLACE(AR18,CONCATENATE(""["",BY18,""]""),"""")"),"d")</f>
        <v>d</v>
      </c>
      <c r="AK18" s="10" t="str">
        <f>IFERROR(__xludf.DUMMYFUNCTION("FILTER($K18:$T18,len($K18:$T18)=6,NOT($K18:$T18=BY18))"),"gfdaeb")</f>
        <v>gfdaeb</v>
      </c>
      <c r="AL18" s="6" t="str">
        <f>IFERROR(__xludf.DUMMYFUNCTION("""COMPUTED_VALUE"""),"abdgce")</f>
        <v>abdgce</v>
      </c>
      <c r="AM18" s="6" t="str">
        <f>IFERROR(__xludf.DUMMYFUNCTION("REGEXREPLACE( $BG18, CONCATENATE(""["",AK18,""]""), """")"),"c")</f>
        <v>c</v>
      </c>
      <c r="AN18" s="6" t="str">
        <f>IFERROR(__xludf.DUMMYFUNCTION("REGEXREPLACE( $BG18, CONCATENATE(""["",AL18,""]""), """")"),"")</f>
        <v/>
      </c>
      <c r="AO18" s="11" t="str">
        <f t="shared" si="4"/>
        <v>gfdaeb</v>
      </c>
      <c r="AP18" s="12" t="str">
        <f>IFERROR(__xludf.DUMMYFUNCTION("CONCATENATE(SORT(TRANSPOSE(SPLIT(REGEXREPLACE(REGEXREPLACE(AO18&amp;"""",""(?s)(.{1})"",""$1""&amp;CHAR(127)),""'"",""''""),CHAR(127))),1,true),""1"")"),"abdefg1")</f>
        <v>abdefg1</v>
      </c>
      <c r="AQ18" s="16"/>
      <c r="AR18" s="12" t="str">
        <f t="shared" si="5"/>
        <v>de</v>
      </c>
      <c r="AS18" s="12" t="str">
        <f>IFERROR(__xludf.DUMMYFUNCTION("CONCATENATE(SORT(TRANSPOSE(SPLIT(REGEXREPLACE(REGEXREPLACE(AR18&amp;"""",""(?s)(.{1})"",""$1""&amp;CHAR(127)),""'"",""''""),CHAR(127))),1,true),""1"")"),"de1")</f>
        <v>de1</v>
      </c>
      <c r="AT18" s="16"/>
      <c r="AU18" s="13" t="str">
        <f>IFERROR(__xludf.DUMMYFUNCTION("FILTER($K18:$T18,len($K18:$T18)=5,NOT($K18:$T18=BD18),NOT($K18:$T18=BP18))"),"acfgd")</f>
        <v>acfgd</v>
      </c>
      <c r="AV18" s="12" t="str">
        <f>IFERROR(__xludf.DUMMYFUNCTION("CONCATENATE(SORT(TRANSPOSE(SPLIT(REGEXREPLACE(REGEXREPLACE(AU18&amp;"""",""(?s)(.{1})"",""$1""&amp;CHAR(127)),""'"",""''""),CHAR(127))),1,true),""1"")"),"acdfg1")</f>
        <v>acdfg1</v>
      </c>
      <c r="AW18" s="16"/>
      <c r="AX18" s="10" t="str">
        <f>IFERROR(__xludf.DUMMYFUNCTION("FILTER($K18:$T18,len($K18:$T18)=5)"),"acfgd")</f>
        <v>acfgd</v>
      </c>
      <c r="AY18" s="6" t="str">
        <f>IFERROR(__xludf.DUMMYFUNCTION("""COMPUTED_VALUE"""),"cgeab")</f>
        <v>cgeab</v>
      </c>
      <c r="AZ18" s="6" t="str">
        <f>IFERROR(__xludf.DUMMYFUNCTION("""COMPUTED_VALUE"""),"ecgda")</f>
        <v>ecgda</v>
      </c>
      <c r="BA18" s="6" t="str">
        <f>IFERROR(__xludf.DUMMYFUNCTION("REGEXREPLACE( $AR18, CONCATENATE(""["",AX18,""]""), """")"),"e")</f>
        <v>e</v>
      </c>
      <c r="BB18" s="6" t="str">
        <f>IFERROR(__xludf.DUMMYFUNCTION("REGEXREPLACE( $AR18, CONCATENATE(""["",AY18,""]""), """")"),"d")</f>
        <v>d</v>
      </c>
      <c r="BC18" s="6" t="str">
        <f>IFERROR(__xludf.DUMMYFUNCTION("REGEXREPLACE( $AR18, CONCATENATE(""["",AZ18,""]""), """")"),"")</f>
        <v/>
      </c>
      <c r="BD18" s="11" t="str">
        <f t="shared" si="6"/>
        <v>ecgda</v>
      </c>
      <c r="BE18" s="12" t="str">
        <f>IFERROR(__xludf.DUMMYFUNCTION("CONCATENATE(SORT(TRANSPOSE(SPLIT(REGEXREPLACE(REGEXREPLACE(BD18&amp;"""",""(?s)(.{1})"",""$1""&amp;CHAR(127)),""'"",""''""),CHAR(127))),1,true),""1"")"),"acdeg1")</f>
        <v>acdeg1</v>
      </c>
      <c r="BF18" s="16"/>
      <c r="BG18" s="12" t="str">
        <f t="shared" si="7"/>
        <v>ecdb</v>
      </c>
      <c r="BH18" s="12" t="str">
        <f>IFERROR(__xludf.DUMMYFUNCTION("CONCATENATE(SORT(TRANSPOSE(SPLIT(REGEXREPLACE(REGEXREPLACE(BG18&amp;"""",""(?s)(.{1})"",""$1""&amp;CHAR(127)),""'"",""''""),CHAR(127))),1,true),""1"")"),"bcde1")</f>
        <v>bcde1</v>
      </c>
      <c r="BI18" s="16"/>
      <c r="BJ18" s="10" t="str">
        <f>IFERROR(__xludf.DUMMYFUNCTION("FILTER($K18:$T18,len($K18:$T18)=5)"),"acfgd")</f>
        <v>acfgd</v>
      </c>
      <c r="BK18" s="6" t="str">
        <f>IFERROR(__xludf.DUMMYFUNCTION("""COMPUTED_VALUE"""),"cgeab")</f>
        <v>cgeab</v>
      </c>
      <c r="BL18" s="6" t="str">
        <f>IFERROR(__xludf.DUMMYFUNCTION("""COMPUTED_VALUE"""),"ecgda")</f>
        <v>ecgda</v>
      </c>
      <c r="BM18" s="14" t="str">
        <f>IFERROR(__xludf.DUMMYFUNCTION("REGEXREPLACE( $BY18, CONCATENATE(""["",BJ18,""]""), """")"),"eb")</f>
        <v>eb</v>
      </c>
      <c r="BN18" s="14" t="str">
        <f>IFERROR(__xludf.DUMMYFUNCTION("REGEXREPLACE( $BY18, CONCATENATE(""["",BK18,""]""), """")"),"f")</f>
        <v>f</v>
      </c>
      <c r="BO18" s="14" t="str">
        <f>IFERROR(__xludf.DUMMYFUNCTION("REGEXREPLACE( $BY18, CONCATENATE(""["",BL18,""]""), """")"),"fb")</f>
        <v>fb</v>
      </c>
      <c r="BP18" s="11" t="str">
        <f t="shared" si="8"/>
        <v>cgeab</v>
      </c>
      <c r="BQ18" s="12" t="str">
        <f>IFERROR(__xludf.DUMMYFUNCTION("CONCATENATE(SORT(TRANSPOSE(SPLIT(REGEXREPLACE(REGEXREPLACE(BP18&amp;"""",""(?s)(.{1})"",""$1""&amp;CHAR(127)),""'"",""''""),CHAR(127))),1,true),""1"")"),"abceg1")</f>
        <v>abceg1</v>
      </c>
      <c r="BR18" s="16"/>
      <c r="BS18" s="10" t="str">
        <f>IFERROR(__xludf.DUMMYFUNCTION("FILTER(K18:T18,len(K18:T18)=6)"),"gfdaeb")</f>
        <v>gfdaeb</v>
      </c>
      <c r="BT18" s="6" t="str">
        <f>IFERROR(__xludf.DUMMYFUNCTION("""COMPUTED_VALUE"""),"gafceb")</f>
        <v>gafceb</v>
      </c>
      <c r="BU18" s="6" t="str">
        <f>IFERROR(__xludf.DUMMYFUNCTION("""COMPUTED_VALUE"""),"abdgce")</f>
        <v>abdgce</v>
      </c>
      <c r="BV18" s="6" t="str">
        <f>IFERROR(__xludf.DUMMYFUNCTION("REGEXREPLACE( $AR18, CONCATENATE(""["",BS18,""]""), """")"),"")</f>
        <v/>
      </c>
      <c r="BW18" s="6" t="str">
        <f>IFERROR(__xludf.DUMMYFUNCTION("REGEXREPLACE( $AR18, CONCATENATE(""["",BT18,""]""), """")"),"d")</f>
        <v>d</v>
      </c>
      <c r="BX18" s="6" t="str">
        <f>IFERROR(__xludf.DUMMYFUNCTION("REGEXREPLACE( $AR18, CONCATENATE(""["",BU18,""]""), """")"),"")</f>
        <v/>
      </c>
      <c r="BY18" s="12" t="str">
        <f t="shared" si="9"/>
        <v>gafceb</v>
      </c>
      <c r="BZ18" s="12" t="str">
        <f>IFERROR(__xludf.DUMMYFUNCTION("CONCATENATE(SORT(TRANSPOSE(SPLIT(REGEXREPLACE(REGEXREPLACE(BY18&amp;"""",""(?s)(.{1})"",""$1""&amp;CHAR(127)),""'"",""''""),CHAR(127))),1,true),""1"")"),"abcefg1")</f>
        <v>abcefg1</v>
      </c>
      <c r="CA18" s="16"/>
      <c r="CB18" s="12" t="str">
        <f t="shared" si="10"/>
        <v>eda</v>
      </c>
      <c r="CC18" s="12" t="str">
        <f>IFERROR(__xludf.DUMMYFUNCTION("CONCATENATE(SORT(TRANSPOSE(SPLIT(REGEXREPLACE(REGEXREPLACE(CB18&amp;"""",""(?s)(.{1})"",""$1""&amp;CHAR(127)),""'"",""''""),CHAR(127))),1,true),""1"")"),"ade1")</f>
        <v>ade1</v>
      </c>
      <c r="CD18" s="16"/>
      <c r="CE18" s="12" t="str">
        <f t="shared" si="11"/>
        <v>fcdaegb</v>
      </c>
      <c r="CF18" s="12" t="str">
        <f>IFERROR(__xludf.DUMMYFUNCTION("CONCATENATE(SORT(TRANSPOSE(SPLIT(REGEXREPLACE(REGEXREPLACE(CE18&amp;"""",""(?s)(.{1})"",""$1""&amp;CHAR(127)),""'"",""''""),CHAR(127))),1,true),""1"")"),"abcdefg1")</f>
        <v>abcdefg1</v>
      </c>
      <c r="CG18" s="16"/>
      <c r="CH18" s="10" t="str">
        <f>IFERROR(__xludf.DUMMYFUNCTION("FILTER(K18:T18,len(K18:T18)=6)"),"gfdaeb")</f>
        <v>gfdaeb</v>
      </c>
      <c r="CI18" s="6" t="str">
        <f>IFERROR(__xludf.DUMMYFUNCTION("""COMPUTED_VALUE"""),"gafceb")</f>
        <v>gafceb</v>
      </c>
      <c r="CJ18" s="6" t="str">
        <f>IFERROR(__xludf.DUMMYFUNCTION("""COMPUTED_VALUE"""),"abdgce")</f>
        <v>abdgce</v>
      </c>
      <c r="CK18" s="6" t="str">
        <f>IFERROR(__xludf.DUMMYFUNCTION("REGEXREPLACE( $BG18, CONCATENATE(""["",CH18,""]""), """")"),"c")</f>
        <v>c</v>
      </c>
      <c r="CL18" s="6" t="str">
        <f>IFERROR(__xludf.DUMMYFUNCTION("REGEXREPLACE( $BG18, CONCATENATE(""["",CI18,""]""), """")"),"d")</f>
        <v>d</v>
      </c>
      <c r="CM18" s="6" t="str">
        <f>IFERROR(__xludf.DUMMYFUNCTION("REGEXREPLACE( $BG18, CONCATENATE(""["",CJ18,""]""), """")"),"")</f>
        <v/>
      </c>
      <c r="CN18" s="12" t="str">
        <f t="shared" si="12"/>
        <v>abdgce</v>
      </c>
      <c r="CO18" s="12" t="str">
        <f>IFERROR(__xludf.DUMMYFUNCTION("CONCATENATE(SORT(TRANSPOSE(SPLIT(REGEXREPLACE(REGEXREPLACE(CN18&amp;"""",""(?s)(.{1})"",""$1""&amp;CHAR(127)),""'"",""''""),CHAR(127))),1,true),""1"")"),"abcdeg1")</f>
        <v>abcdeg1</v>
      </c>
      <c r="CP18" s="15"/>
    </row>
    <row r="19">
      <c r="A19" s="1" t="s">
        <v>39</v>
      </c>
      <c r="H19" s="6" t="str">
        <f>IFERROR(__xludf.DUMMYFUNCTION("SPLIT(A19,""|"")"),"ega bgdafe gafbcd afgbc abced baceg cfgbead fgec eg agfbec ")</f>
        <v>ega bgdafe gafbcd afgbc abced baceg cfgbead fgec eg agfbec </v>
      </c>
      <c r="I19" s="6" t="str">
        <f>IFERROR(__xludf.DUMMYFUNCTION("""COMPUTED_VALUE""")," eg dbegfca aeg fgce")</f>
        <v> eg dbegfca aeg fgce</v>
      </c>
      <c r="J19" s="15"/>
      <c r="K19" s="6" t="str">
        <f>IFERROR(__xludf.DUMMYFUNCTION("split(H19,"" "")"),"ega")</f>
        <v>ega</v>
      </c>
      <c r="L19" s="6" t="str">
        <f>IFERROR(__xludf.DUMMYFUNCTION("""COMPUTED_VALUE"""),"bgdafe")</f>
        <v>bgdafe</v>
      </c>
      <c r="M19" s="6" t="str">
        <f>IFERROR(__xludf.DUMMYFUNCTION("""COMPUTED_VALUE"""),"gafbcd")</f>
        <v>gafbcd</v>
      </c>
      <c r="N19" s="6" t="str">
        <f>IFERROR(__xludf.DUMMYFUNCTION("""COMPUTED_VALUE"""),"afgbc")</f>
        <v>afgbc</v>
      </c>
      <c r="O19" s="6" t="str">
        <f>IFERROR(__xludf.DUMMYFUNCTION("""COMPUTED_VALUE"""),"abced")</f>
        <v>abced</v>
      </c>
      <c r="P19" s="6" t="str">
        <f>IFERROR(__xludf.DUMMYFUNCTION("""COMPUTED_VALUE"""),"baceg")</f>
        <v>baceg</v>
      </c>
      <c r="Q19" s="6" t="str">
        <f>IFERROR(__xludf.DUMMYFUNCTION("""COMPUTED_VALUE"""),"cfgbead")</f>
        <v>cfgbead</v>
      </c>
      <c r="R19" s="6" t="str">
        <f>IFERROR(__xludf.DUMMYFUNCTION("""COMPUTED_VALUE"""),"fgec")</f>
        <v>fgec</v>
      </c>
      <c r="S19" s="6" t="str">
        <f>IFERROR(__xludf.DUMMYFUNCTION("""COMPUTED_VALUE"""),"eg")</f>
        <v>eg</v>
      </c>
      <c r="T19" s="6" t="str">
        <f>IFERROR(__xludf.DUMMYFUNCTION("""COMPUTED_VALUE"""),"agfbec")</f>
        <v>agfbec</v>
      </c>
      <c r="U19" s="15"/>
      <c r="V19" s="6" t="str">
        <f>IFERROR(__xludf.DUMMYFUNCTION("split(I19,"" "")"),"eg")</f>
        <v>eg</v>
      </c>
      <c r="W19" s="6" t="str">
        <f>IFERROR(__xludf.DUMMYFUNCTION("""COMPUTED_VALUE"""),"dbegfca")</f>
        <v>dbegfca</v>
      </c>
      <c r="X19" s="6" t="str">
        <f>IFERROR(__xludf.DUMMYFUNCTION("""COMPUTED_VALUE"""),"aeg")</f>
        <v>aeg</v>
      </c>
      <c r="Y19" s="6" t="str">
        <f>IFERROR(__xludf.DUMMYFUNCTION("""COMPUTED_VALUE"""),"fgce")</f>
        <v>fgce</v>
      </c>
      <c r="Z19" s="6" t="str">
        <f>IFERROR(__xludf.DUMMYFUNCTION("CONCATENATE(SORT(TRANSPOSE(SPLIT(REGEXREPLACE(REGEXREPLACE(V19&amp;"""",""(?s)(.{1})"",""$1""&amp;CHAR(127)),""'"",""''""),CHAR(127))),1,true))"),"eg")</f>
        <v>eg</v>
      </c>
      <c r="AA19" s="6" t="str">
        <f>IFERROR(__xludf.DUMMYFUNCTION("CONCATENATE(SORT(TRANSPOSE(SPLIT(REGEXREPLACE(REGEXREPLACE(W19&amp;"""",""(?s)(.{1})"",""$1""&amp;CHAR(127)),""'"",""''""),CHAR(127))),1,true))"),"abcdefg")</f>
        <v>abcdefg</v>
      </c>
      <c r="AB19" s="6" t="str">
        <f>IFERROR(__xludf.DUMMYFUNCTION("CONCATENATE(SORT(TRANSPOSE(SPLIT(REGEXREPLACE(REGEXREPLACE(X19&amp;"""",""(?s)(.{1})"",""$1""&amp;CHAR(127)),""'"",""''""),CHAR(127))),1,true))"),"aeg")</f>
        <v>aeg</v>
      </c>
      <c r="AC19" s="6" t="str">
        <f>IFERROR(__xludf.DUMMYFUNCTION("CONCATENATE(SORT(TRANSPOSE(SPLIT(REGEXREPLACE(REGEXREPLACE(Y19&amp;"""",""(?s)(.{1})"",""$1""&amp;CHAR(127)),""'"",""''""),CHAR(127))),1,true))"),"cefg")</f>
        <v>cefg</v>
      </c>
      <c r="AD19" s="6">
        <f t="shared" ref="AD19:AG19" si="29">INDEX($AO$1:$CP$1,1,MATCH(CONCATENATE(Z19,"1"),$AO19:$CP19,0)+1)</f>
        <v>1</v>
      </c>
      <c r="AE19" s="6">
        <f t="shared" si="29"/>
        <v>8</v>
      </c>
      <c r="AF19" s="6">
        <f t="shared" si="29"/>
        <v>7</v>
      </c>
      <c r="AG19" s="6">
        <f t="shared" si="29"/>
        <v>4</v>
      </c>
      <c r="AH19" s="6">
        <f t="shared" si="3"/>
        <v>1874</v>
      </c>
      <c r="AI19" s="16"/>
      <c r="AJ19" s="9" t="str">
        <f>IFERROR(__xludf.DUMMYFUNCTION("REGEXREPLACE(AR19,CONCATENATE(""["",BY19,""]""),"""")"),"e")</f>
        <v>e</v>
      </c>
      <c r="AK19" s="10" t="str">
        <f>IFERROR(__xludf.DUMMYFUNCTION("FILTER($K19:$T19,len($K19:$T19)=6,NOT($K19:$T19=BY19))"),"bgdafe")</f>
        <v>bgdafe</v>
      </c>
      <c r="AL19" s="6" t="str">
        <f>IFERROR(__xludf.DUMMYFUNCTION("""COMPUTED_VALUE"""),"agfbec")</f>
        <v>agfbec</v>
      </c>
      <c r="AM19" s="6" t="str">
        <f>IFERROR(__xludf.DUMMYFUNCTION("REGEXREPLACE( $BG19, CONCATENATE(""["",AK19,""]""), """")"),"c")</f>
        <v>c</v>
      </c>
      <c r="AN19" s="6" t="str">
        <f>IFERROR(__xludf.DUMMYFUNCTION("REGEXREPLACE( $BG19, CONCATENATE(""["",AL19,""]""), """")"),"")</f>
        <v/>
      </c>
      <c r="AO19" s="11" t="str">
        <f t="shared" si="4"/>
        <v>bgdafe</v>
      </c>
      <c r="AP19" s="12" t="str">
        <f>IFERROR(__xludf.DUMMYFUNCTION("CONCATENATE(SORT(TRANSPOSE(SPLIT(REGEXREPLACE(REGEXREPLACE(AO19&amp;"""",""(?s)(.{1})"",""$1""&amp;CHAR(127)),""'"",""''""),CHAR(127))),1,true),""1"")"),"abdefg1")</f>
        <v>abdefg1</v>
      </c>
      <c r="AQ19" s="16"/>
      <c r="AR19" s="12" t="str">
        <f t="shared" si="5"/>
        <v>eg</v>
      </c>
      <c r="AS19" s="12" t="str">
        <f>IFERROR(__xludf.DUMMYFUNCTION("CONCATENATE(SORT(TRANSPOSE(SPLIT(REGEXREPLACE(REGEXREPLACE(AR19&amp;"""",""(?s)(.{1})"",""$1""&amp;CHAR(127)),""'"",""''""),CHAR(127))),1,true),""1"")"),"eg1")</f>
        <v>eg1</v>
      </c>
      <c r="AT19" s="16"/>
      <c r="AU19" s="13" t="str">
        <f>IFERROR(__xludf.DUMMYFUNCTION("FILTER($K19:$T19,len($K19:$T19)=5,NOT($K19:$T19=BD19),NOT($K19:$T19=BP19))"),"abced")</f>
        <v>abced</v>
      </c>
      <c r="AV19" s="12" t="str">
        <f>IFERROR(__xludf.DUMMYFUNCTION("CONCATENATE(SORT(TRANSPOSE(SPLIT(REGEXREPLACE(REGEXREPLACE(AU19&amp;"""",""(?s)(.{1})"",""$1""&amp;CHAR(127)),""'"",""''""),CHAR(127))),1,true),""1"")"),"abcde1")</f>
        <v>abcde1</v>
      </c>
      <c r="AW19" s="16"/>
      <c r="AX19" s="10" t="str">
        <f>IFERROR(__xludf.DUMMYFUNCTION("FILTER($K19:$T19,len($K19:$T19)=5)"),"afgbc")</f>
        <v>afgbc</v>
      </c>
      <c r="AY19" s="6" t="str">
        <f>IFERROR(__xludf.DUMMYFUNCTION("""COMPUTED_VALUE"""),"abced")</f>
        <v>abced</v>
      </c>
      <c r="AZ19" s="6" t="str">
        <f>IFERROR(__xludf.DUMMYFUNCTION("""COMPUTED_VALUE"""),"baceg")</f>
        <v>baceg</v>
      </c>
      <c r="BA19" s="6" t="str">
        <f>IFERROR(__xludf.DUMMYFUNCTION("REGEXREPLACE( $AR19, CONCATENATE(""["",AX19,""]""), """")"),"e")</f>
        <v>e</v>
      </c>
      <c r="BB19" s="6" t="str">
        <f>IFERROR(__xludf.DUMMYFUNCTION("REGEXREPLACE( $AR19, CONCATENATE(""["",AY19,""]""), """")"),"g")</f>
        <v>g</v>
      </c>
      <c r="BC19" s="6" t="str">
        <f>IFERROR(__xludf.DUMMYFUNCTION("REGEXREPLACE( $AR19, CONCATENATE(""["",AZ19,""]""), """")"),"")</f>
        <v/>
      </c>
      <c r="BD19" s="11" t="str">
        <f t="shared" si="6"/>
        <v>baceg</v>
      </c>
      <c r="BE19" s="12" t="str">
        <f>IFERROR(__xludf.DUMMYFUNCTION("CONCATENATE(SORT(TRANSPOSE(SPLIT(REGEXREPLACE(REGEXREPLACE(BD19&amp;"""",""(?s)(.{1})"",""$1""&amp;CHAR(127)),""'"",""''""),CHAR(127))),1,true),""1"")"),"abceg1")</f>
        <v>abceg1</v>
      </c>
      <c r="BF19" s="16"/>
      <c r="BG19" s="12" t="str">
        <f t="shared" si="7"/>
        <v>fgec</v>
      </c>
      <c r="BH19" s="12" t="str">
        <f>IFERROR(__xludf.DUMMYFUNCTION("CONCATENATE(SORT(TRANSPOSE(SPLIT(REGEXREPLACE(REGEXREPLACE(BG19&amp;"""",""(?s)(.{1})"",""$1""&amp;CHAR(127)),""'"",""''""),CHAR(127))),1,true),""1"")"),"cefg1")</f>
        <v>cefg1</v>
      </c>
      <c r="BI19" s="16"/>
      <c r="BJ19" s="10" t="str">
        <f>IFERROR(__xludf.DUMMYFUNCTION("FILTER($K19:$T19,len($K19:$T19)=5)"),"afgbc")</f>
        <v>afgbc</v>
      </c>
      <c r="BK19" s="6" t="str">
        <f>IFERROR(__xludf.DUMMYFUNCTION("""COMPUTED_VALUE"""),"abced")</f>
        <v>abced</v>
      </c>
      <c r="BL19" s="6" t="str">
        <f>IFERROR(__xludf.DUMMYFUNCTION("""COMPUTED_VALUE"""),"baceg")</f>
        <v>baceg</v>
      </c>
      <c r="BM19" s="14" t="str">
        <f>IFERROR(__xludf.DUMMYFUNCTION("REGEXREPLACE( $BY19, CONCATENATE(""["",BJ19,""]""), """")"),"d")</f>
        <v>d</v>
      </c>
      <c r="BN19" s="14" t="str">
        <f>IFERROR(__xludf.DUMMYFUNCTION("REGEXREPLACE( $BY19, CONCATENATE(""["",BK19,""]""), """")"),"gf")</f>
        <v>gf</v>
      </c>
      <c r="BO19" s="14" t="str">
        <f>IFERROR(__xludf.DUMMYFUNCTION("REGEXREPLACE( $BY19, CONCATENATE(""["",BL19,""]""), """")"),"fd")</f>
        <v>fd</v>
      </c>
      <c r="BP19" s="11" t="str">
        <f t="shared" si="8"/>
        <v>afgbc</v>
      </c>
      <c r="BQ19" s="12" t="str">
        <f>IFERROR(__xludf.DUMMYFUNCTION("CONCATENATE(SORT(TRANSPOSE(SPLIT(REGEXREPLACE(REGEXREPLACE(BP19&amp;"""",""(?s)(.{1})"",""$1""&amp;CHAR(127)),""'"",""''""),CHAR(127))),1,true),""1"")"),"abcfg1")</f>
        <v>abcfg1</v>
      </c>
      <c r="BR19" s="16"/>
      <c r="BS19" s="10" t="str">
        <f>IFERROR(__xludf.DUMMYFUNCTION("FILTER(K19:T19,len(K19:T19)=6)"),"bgdafe")</f>
        <v>bgdafe</v>
      </c>
      <c r="BT19" s="6" t="str">
        <f>IFERROR(__xludf.DUMMYFUNCTION("""COMPUTED_VALUE"""),"gafbcd")</f>
        <v>gafbcd</v>
      </c>
      <c r="BU19" s="6" t="str">
        <f>IFERROR(__xludf.DUMMYFUNCTION("""COMPUTED_VALUE"""),"agfbec")</f>
        <v>agfbec</v>
      </c>
      <c r="BV19" s="6" t="str">
        <f>IFERROR(__xludf.DUMMYFUNCTION("REGEXREPLACE( $AR19, CONCATENATE(""["",BS19,""]""), """")"),"")</f>
        <v/>
      </c>
      <c r="BW19" s="6" t="str">
        <f>IFERROR(__xludf.DUMMYFUNCTION("REGEXREPLACE( $AR19, CONCATENATE(""["",BT19,""]""), """")"),"e")</f>
        <v>e</v>
      </c>
      <c r="BX19" s="6" t="str">
        <f>IFERROR(__xludf.DUMMYFUNCTION("REGEXREPLACE( $AR19, CONCATENATE(""["",BU19,""]""), """")"),"")</f>
        <v/>
      </c>
      <c r="BY19" s="12" t="str">
        <f t="shared" si="9"/>
        <v>gafbcd</v>
      </c>
      <c r="BZ19" s="12" t="str">
        <f>IFERROR(__xludf.DUMMYFUNCTION("CONCATENATE(SORT(TRANSPOSE(SPLIT(REGEXREPLACE(REGEXREPLACE(BY19&amp;"""",""(?s)(.{1})"",""$1""&amp;CHAR(127)),""'"",""''""),CHAR(127))),1,true),""1"")"),"abcdfg1")</f>
        <v>abcdfg1</v>
      </c>
      <c r="CA19" s="16"/>
      <c r="CB19" s="12" t="str">
        <f t="shared" si="10"/>
        <v>ega</v>
      </c>
      <c r="CC19" s="12" t="str">
        <f>IFERROR(__xludf.DUMMYFUNCTION("CONCATENATE(SORT(TRANSPOSE(SPLIT(REGEXREPLACE(REGEXREPLACE(CB19&amp;"""",""(?s)(.{1})"",""$1""&amp;CHAR(127)),""'"",""''""),CHAR(127))),1,true),""1"")"),"aeg1")</f>
        <v>aeg1</v>
      </c>
      <c r="CD19" s="16"/>
      <c r="CE19" s="12" t="str">
        <f t="shared" si="11"/>
        <v>cfgbead</v>
      </c>
      <c r="CF19" s="12" t="str">
        <f>IFERROR(__xludf.DUMMYFUNCTION("CONCATENATE(SORT(TRANSPOSE(SPLIT(REGEXREPLACE(REGEXREPLACE(CE19&amp;"""",""(?s)(.{1})"",""$1""&amp;CHAR(127)),""'"",""''""),CHAR(127))),1,true),""1"")"),"abcdefg1")</f>
        <v>abcdefg1</v>
      </c>
      <c r="CG19" s="16"/>
      <c r="CH19" s="10" t="str">
        <f>IFERROR(__xludf.DUMMYFUNCTION("FILTER(K19:T19,len(K19:T19)=6)"),"bgdafe")</f>
        <v>bgdafe</v>
      </c>
      <c r="CI19" s="6" t="str">
        <f>IFERROR(__xludf.DUMMYFUNCTION("""COMPUTED_VALUE"""),"gafbcd")</f>
        <v>gafbcd</v>
      </c>
      <c r="CJ19" s="6" t="str">
        <f>IFERROR(__xludf.DUMMYFUNCTION("""COMPUTED_VALUE"""),"agfbec")</f>
        <v>agfbec</v>
      </c>
      <c r="CK19" s="6" t="str">
        <f>IFERROR(__xludf.DUMMYFUNCTION("REGEXREPLACE( $BG19, CONCATENATE(""["",CH19,""]""), """")"),"c")</f>
        <v>c</v>
      </c>
      <c r="CL19" s="6" t="str">
        <f>IFERROR(__xludf.DUMMYFUNCTION("REGEXREPLACE( $BG19, CONCATENATE(""["",CI19,""]""), """")"),"e")</f>
        <v>e</v>
      </c>
      <c r="CM19" s="6" t="str">
        <f>IFERROR(__xludf.DUMMYFUNCTION("REGEXREPLACE( $BG19, CONCATENATE(""["",CJ19,""]""), """")"),"")</f>
        <v/>
      </c>
      <c r="CN19" s="12" t="str">
        <f t="shared" si="12"/>
        <v>agfbec</v>
      </c>
      <c r="CO19" s="12" t="str">
        <f>IFERROR(__xludf.DUMMYFUNCTION("CONCATENATE(SORT(TRANSPOSE(SPLIT(REGEXREPLACE(REGEXREPLACE(CN19&amp;"""",""(?s)(.{1})"",""$1""&amp;CHAR(127)),""'"",""''""),CHAR(127))),1,true),""1"")"),"abcefg1")</f>
        <v>abcefg1</v>
      </c>
      <c r="CP19" s="15"/>
    </row>
    <row r="20">
      <c r="A20" s="1" t="s">
        <v>40</v>
      </c>
      <c r="H20" s="6" t="str">
        <f>IFERROR(__xludf.DUMMYFUNCTION("SPLIT(A20,""|"")"),"dfbacg acbdeg afg bedga gf efgd eabdgf bcafe fagbe fbacgde ")</f>
        <v>dfbacg acbdeg afg bedga gf efgd eabdgf bcafe fagbe fbacgde </v>
      </c>
      <c r="I20" s="6" t="str">
        <f>IFERROR(__xludf.DUMMYFUNCTION("""COMPUTED_VALUE""")," egdba fag cabfe gfa")</f>
        <v> egdba fag cabfe gfa</v>
      </c>
      <c r="J20" s="15"/>
      <c r="K20" s="6" t="str">
        <f>IFERROR(__xludf.DUMMYFUNCTION("split(H20,"" "")"),"dfbacg")</f>
        <v>dfbacg</v>
      </c>
      <c r="L20" s="6" t="str">
        <f>IFERROR(__xludf.DUMMYFUNCTION("""COMPUTED_VALUE"""),"acbdeg")</f>
        <v>acbdeg</v>
      </c>
      <c r="M20" s="6" t="str">
        <f>IFERROR(__xludf.DUMMYFUNCTION("""COMPUTED_VALUE"""),"afg")</f>
        <v>afg</v>
      </c>
      <c r="N20" s="6" t="str">
        <f>IFERROR(__xludf.DUMMYFUNCTION("""COMPUTED_VALUE"""),"bedga")</f>
        <v>bedga</v>
      </c>
      <c r="O20" s="6" t="str">
        <f>IFERROR(__xludf.DUMMYFUNCTION("""COMPUTED_VALUE"""),"gf")</f>
        <v>gf</v>
      </c>
      <c r="P20" s="6" t="str">
        <f>IFERROR(__xludf.DUMMYFUNCTION("""COMPUTED_VALUE"""),"efgd")</f>
        <v>efgd</v>
      </c>
      <c r="Q20" s="6" t="str">
        <f>IFERROR(__xludf.DUMMYFUNCTION("""COMPUTED_VALUE"""),"eabdgf")</f>
        <v>eabdgf</v>
      </c>
      <c r="R20" s="6" t="str">
        <f>IFERROR(__xludf.DUMMYFUNCTION("""COMPUTED_VALUE"""),"bcafe")</f>
        <v>bcafe</v>
      </c>
      <c r="S20" s="6" t="str">
        <f>IFERROR(__xludf.DUMMYFUNCTION("""COMPUTED_VALUE"""),"fagbe")</f>
        <v>fagbe</v>
      </c>
      <c r="T20" s="6" t="str">
        <f>IFERROR(__xludf.DUMMYFUNCTION("""COMPUTED_VALUE"""),"fbacgde")</f>
        <v>fbacgde</v>
      </c>
      <c r="U20" s="15"/>
      <c r="V20" s="6" t="str">
        <f>IFERROR(__xludf.DUMMYFUNCTION("split(I20,"" "")"),"egdba")</f>
        <v>egdba</v>
      </c>
      <c r="W20" s="6" t="str">
        <f>IFERROR(__xludf.DUMMYFUNCTION("""COMPUTED_VALUE"""),"fag")</f>
        <v>fag</v>
      </c>
      <c r="X20" s="6" t="str">
        <f>IFERROR(__xludf.DUMMYFUNCTION("""COMPUTED_VALUE"""),"cabfe")</f>
        <v>cabfe</v>
      </c>
      <c r="Y20" s="6" t="str">
        <f>IFERROR(__xludf.DUMMYFUNCTION("""COMPUTED_VALUE"""),"gfa")</f>
        <v>gfa</v>
      </c>
      <c r="Z20" s="6" t="str">
        <f>IFERROR(__xludf.DUMMYFUNCTION("CONCATENATE(SORT(TRANSPOSE(SPLIT(REGEXREPLACE(REGEXREPLACE(V20&amp;"""",""(?s)(.{1})"",""$1""&amp;CHAR(127)),""'"",""''""),CHAR(127))),1,true))"),"abdeg")</f>
        <v>abdeg</v>
      </c>
      <c r="AA20" s="6" t="str">
        <f>IFERROR(__xludf.DUMMYFUNCTION("CONCATENATE(SORT(TRANSPOSE(SPLIT(REGEXREPLACE(REGEXREPLACE(W20&amp;"""",""(?s)(.{1})"",""$1""&amp;CHAR(127)),""'"",""''""),CHAR(127))),1,true))"),"afg")</f>
        <v>afg</v>
      </c>
      <c r="AB20" s="6" t="str">
        <f>IFERROR(__xludf.DUMMYFUNCTION("CONCATENATE(SORT(TRANSPOSE(SPLIT(REGEXREPLACE(REGEXREPLACE(X20&amp;"""",""(?s)(.{1})"",""$1""&amp;CHAR(127)),""'"",""''""),CHAR(127))),1,true))"),"abcef")</f>
        <v>abcef</v>
      </c>
      <c r="AC20" s="6" t="str">
        <f>IFERROR(__xludf.DUMMYFUNCTION("CONCATENATE(SORT(TRANSPOSE(SPLIT(REGEXREPLACE(REGEXREPLACE(Y20&amp;"""",""(?s)(.{1})"",""$1""&amp;CHAR(127)),""'"",""''""),CHAR(127))),1,true))"),"afg")</f>
        <v>afg</v>
      </c>
      <c r="AD20" s="6">
        <f t="shared" ref="AD20:AG20" si="30">INDEX($AO$1:$CP$1,1,MATCH(CONCATENATE(Z20,"1"),$AO20:$CP20,0)+1)</f>
        <v>5</v>
      </c>
      <c r="AE20" s="6">
        <f t="shared" si="30"/>
        <v>7</v>
      </c>
      <c r="AF20" s="6">
        <f t="shared" si="30"/>
        <v>2</v>
      </c>
      <c r="AG20" s="6">
        <f t="shared" si="30"/>
        <v>7</v>
      </c>
      <c r="AH20" s="6">
        <f t="shared" si="3"/>
        <v>5727</v>
      </c>
      <c r="AI20" s="16"/>
      <c r="AJ20" s="9" t="str">
        <f>IFERROR(__xludf.DUMMYFUNCTION("REGEXREPLACE(AR20,CONCATENATE(""["",BY20,""]""),"""")"),"f")</f>
        <v>f</v>
      </c>
      <c r="AK20" s="10" t="str">
        <f>IFERROR(__xludf.DUMMYFUNCTION("FILTER($K20:$T20,len($K20:$T20)=6,NOT($K20:$T20=BY20))"),"dfbacg")</f>
        <v>dfbacg</v>
      </c>
      <c r="AL20" s="6" t="str">
        <f>IFERROR(__xludf.DUMMYFUNCTION("""COMPUTED_VALUE"""),"eabdgf")</f>
        <v>eabdgf</v>
      </c>
      <c r="AM20" s="6" t="str">
        <f>IFERROR(__xludf.DUMMYFUNCTION("REGEXREPLACE( $BG20, CONCATENATE(""["",AK20,""]""), """")"),"e")</f>
        <v>e</v>
      </c>
      <c r="AN20" s="6" t="str">
        <f>IFERROR(__xludf.DUMMYFUNCTION("REGEXREPLACE( $BG20, CONCATENATE(""["",AL20,""]""), """")"),"")</f>
        <v/>
      </c>
      <c r="AO20" s="11" t="str">
        <f t="shared" si="4"/>
        <v>dfbacg</v>
      </c>
      <c r="AP20" s="12" t="str">
        <f>IFERROR(__xludf.DUMMYFUNCTION("CONCATENATE(SORT(TRANSPOSE(SPLIT(REGEXREPLACE(REGEXREPLACE(AO20&amp;"""",""(?s)(.{1})"",""$1""&amp;CHAR(127)),""'"",""''""),CHAR(127))),1,true),""1"")"),"abcdfg1")</f>
        <v>abcdfg1</v>
      </c>
      <c r="AQ20" s="16"/>
      <c r="AR20" s="12" t="str">
        <f t="shared" si="5"/>
        <v>gf</v>
      </c>
      <c r="AS20" s="12" t="str">
        <f>IFERROR(__xludf.DUMMYFUNCTION("CONCATENATE(SORT(TRANSPOSE(SPLIT(REGEXREPLACE(REGEXREPLACE(AR20&amp;"""",""(?s)(.{1})"",""$1""&amp;CHAR(127)),""'"",""''""),CHAR(127))),1,true),""1"")"),"fg1")</f>
        <v>fg1</v>
      </c>
      <c r="AT20" s="16"/>
      <c r="AU20" s="13" t="str">
        <f>IFERROR(__xludf.DUMMYFUNCTION("FILTER($K20:$T20,len($K20:$T20)=5,NOT($K20:$T20=BD20),NOT($K20:$T20=BP20))"),"bcafe")</f>
        <v>bcafe</v>
      </c>
      <c r="AV20" s="12" t="str">
        <f>IFERROR(__xludf.DUMMYFUNCTION("CONCATENATE(SORT(TRANSPOSE(SPLIT(REGEXREPLACE(REGEXREPLACE(AU20&amp;"""",""(?s)(.{1})"",""$1""&amp;CHAR(127)),""'"",""''""),CHAR(127))),1,true),""1"")"),"abcef1")</f>
        <v>abcef1</v>
      </c>
      <c r="AW20" s="16"/>
      <c r="AX20" s="10" t="str">
        <f>IFERROR(__xludf.DUMMYFUNCTION("FILTER($K20:$T20,len($K20:$T20)=5)"),"bedga")</f>
        <v>bedga</v>
      </c>
      <c r="AY20" s="6" t="str">
        <f>IFERROR(__xludf.DUMMYFUNCTION("""COMPUTED_VALUE"""),"bcafe")</f>
        <v>bcafe</v>
      </c>
      <c r="AZ20" s="6" t="str">
        <f>IFERROR(__xludf.DUMMYFUNCTION("""COMPUTED_VALUE"""),"fagbe")</f>
        <v>fagbe</v>
      </c>
      <c r="BA20" s="6" t="str">
        <f>IFERROR(__xludf.DUMMYFUNCTION("REGEXREPLACE( $AR20, CONCATENATE(""["",AX20,""]""), """")"),"f")</f>
        <v>f</v>
      </c>
      <c r="BB20" s="6" t="str">
        <f>IFERROR(__xludf.DUMMYFUNCTION("REGEXREPLACE( $AR20, CONCATENATE(""["",AY20,""]""), """")"),"g")</f>
        <v>g</v>
      </c>
      <c r="BC20" s="6" t="str">
        <f>IFERROR(__xludf.DUMMYFUNCTION("REGEXREPLACE( $AR20, CONCATENATE(""["",AZ20,""]""), """")"),"")</f>
        <v/>
      </c>
      <c r="BD20" s="11" t="str">
        <f t="shared" si="6"/>
        <v>fagbe</v>
      </c>
      <c r="BE20" s="12" t="str">
        <f>IFERROR(__xludf.DUMMYFUNCTION("CONCATENATE(SORT(TRANSPOSE(SPLIT(REGEXREPLACE(REGEXREPLACE(BD20&amp;"""",""(?s)(.{1})"",""$1""&amp;CHAR(127)),""'"",""''""),CHAR(127))),1,true),""1"")"),"abefg1")</f>
        <v>abefg1</v>
      </c>
      <c r="BF20" s="16"/>
      <c r="BG20" s="12" t="str">
        <f t="shared" si="7"/>
        <v>efgd</v>
      </c>
      <c r="BH20" s="12" t="str">
        <f>IFERROR(__xludf.DUMMYFUNCTION("CONCATENATE(SORT(TRANSPOSE(SPLIT(REGEXREPLACE(REGEXREPLACE(BG20&amp;"""",""(?s)(.{1})"",""$1""&amp;CHAR(127)),""'"",""''""),CHAR(127))),1,true),""1"")"),"defg1")</f>
        <v>defg1</v>
      </c>
      <c r="BI20" s="16"/>
      <c r="BJ20" s="10" t="str">
        <f>IFERROR(__xludf.DUMMYFUNCTION("FILTER($K20:$T20,len($K20:$T20)=5)"),"bedga")</f>
        <v>bedga</v>
      </c>
      <c r="BK20" s="6" t="str">
        <f>IFERROR(__xludf.DUMMYFUNCTION("""COMPUTED_VALUE"""),"bcafe")</f>
        <v>bcafe</v>
      </c>
      <c r="BL20" s="6" t="str">
        <f>IFERROR(__xludf.DUMMYFUNCTION("""COMPUTED_VALUE"""),"fagbe")</f>
        <v>fagbe</v>
      </c>
      <c r="BM20" s="14" t="str">
        <f>IFERROR(__xludf.DUMMYFUNCTION("REGEXREPLACE( $BY20, CONCATENATE(""["",BJ20,""]""), """")"),"c")</f>
        <v>c</v>
      </c>
      <c r="BN20" s="14" t="str">
        <f>IFERROR(__xludf.DUMMYFUNCTION("REGEXREPLACE( $BY20, CONCATENATE(""["",BK20,""]""), """")"),"dg")</f>
        <v>dg</v>
      </c>
      <c r="BO20" s="14" t="str">
        <f>IFERROR(__xludf.DUMMYFUNCTION("REGEXREPLACE( $BY20, CONCATENATE(""["",BL20,""]""), """")"),"cd")</f>
        <v>cd</v>
      </c>
      <c r="BP20" s="11" t="str">
        <f t="shared" si="8"/>
        <v>bedga</v>
      </c>
      <c r="BQ20" s="12" t="str">
        <f>IFERROR(__xludf.DUMMYFUNCTION("CONCATENATE(SORT(TRANSPOSE(SPLIT(REGEXREPLACE(REGEXREPLACE(BP20&amp;"""",""(?s)(.{1})"",""$1""&amp;CHAR(127)),""'"",""''""),CHAR(127))),1,true),""1"")"),"abdeg1")</f>
        <v>abdeg1</v>
      </c>
      <c r="BR20" s="16"/>
      <c r="BS20" s="10" t="str">
        <f>IFERROR(__xludf.DUMMYFUNCTION("FILTER(K20:T20,len(K20:T20)=6)"),"dfbacg")</f>
        <v>dfbacg</v>
      </c>
      <c r="BT20" s="6" t="str">
        <f>IFERROR(__xludf.DUMMYFUNCTION("""COMPUTED_VALUE"""),"acbdeg")</f>
        <v>acbdeg</v>
      </c>
      <c r="BU20" s="6" t="str">
        <f>IFERROR(__xludf.DUMMYFUNCTION("""COMPUTED_VALUE"""),"eabdgf")</f>
        <v>eabdgf</v>
      </c>
      <c r="BV20" s="6" t="str">
        <f>IFERROR(__xludf.DUMMYFUNCTION("REGEXREPLACE( $AR20, CONCATENATE(""["",BS20,""]""), """")"),"")</f>
        <v/>
      </c>
      <c r="BW20" s="6" t="str">
        <f>IFERROR(__xludf.DUMMYFUNCTION("REGEXREPLACE( $AR20, CONCATENATE(""["",BT20,""]""), """")"),"f")</f>
        <v>f</v>
      </c>
      <c r="BX20" s="6" t="str">
        <f>IFERROR(__xludf.DUMMYFUNCTION("REGEXREPLACE( $AR20, CONCATENATE(""["",BU20,""]""), """")"),"")</f>
        <v/>
      </c>
      <c r="BY20" s="12" t="str">
        <f t="shared" si="9"/>
        <v>acbdeg</v>
      </c>
      <c r="BZ20" s="12" t="str">
        <f>IFERROR(__xludf.DUMMYFUNCTION("CONCATENATE(SORT(TRANSPOSE(SPLIT(REGEXREPLACE(REGEXREPLACE(BY20&amp;"""",""(?s)(.{1})"",""$1""&amp;CHAR(127)),""'"",""''""),CHAR(127))),1,true),""1"")"),"abcdeg1")</f>
        <v>abcdeg1</v>
      </c>
      <c r="CA20" s="16"/>
      <c r="CB20" s="12" t="str">
        <f t="shared" si="10"/>
        <v>afg</v>
      </c>
      <c r="CC20" s="12" t="str">
        <f>IFERROR(__xludf.DUMMYFUNCTION("CONCATENATE(SORT(TRANSPOSE(SPLIT(REGEXREPLACE(REGEXREPLACE(CB20&amp;"""",""(?s)(.{1})"",""$1""&amp;CHAR(127)),""'"",""''""),CHAR(127))),1,true),""1"")"),"afg1")</f>
        <v>afg1</v>
      </c>
      <c r="CD20" s="16"/>
      <c r="CE20" s="12" t="str">
        <f t="shared" si="11"/>
        <v>fbacgde</v>
      </c>
      <c r="CF20" s="12" t="str">
        <f>IFERROR(__xludf.DUMMYFUNCTION("CONCATENATE(SORT(TRANSPOSE(SPLIT(REGEXREPLACE(REGEXREPLACE(CE20&amp;"""",""(?s)(.{1})"",""$1""&amp;CHAR(127)),""'"",""''""),CHAR(127))),1,true),""1"")"),"abcdefg1")</f>
        <v>abcdefg1</v>
      </c>
      <c r="CG20" s="16"/>
      <c r="CH20" s="10" t="str">
        <f>IFERROR(__xludf.DUMMYFUNCTION("FILTER(K20:T20,len(K20:T20)=6)"),"dfbacg")</f>
        <v>dfbacg</v>
      </c>
      <c r="CI20" s="6" t="str">
        <f>IFERROR(__xludf.DUMMYFUNCTION("""COMPUTED_VALUE"""),"acbdeg")</f>
        <v>acbdeg</v>
      </c>
      <c r="CJ20" s="6" t="str">
        <f>IFERROR(__xludf.DUMMYFUNCTION("""COMPUTED_VALUE"""),"eabdgf")</f>
        <v>eabdgf</v>
      </c>
      <c r="CK20" s="6" t="str">
        <f>IFERROR(__xludf.DUMMYFUNCTION("REGEXREPLACE( $BG20, CONCATENATE(""["",CH20,""]""), """")"),"e")</f>
        <v>e</v>
      </c>
      <c r="CL20" s="6" t="str">
        <f>IFERROR(__xludf.DUMMYFUNCTION("REGEXREPLACE( $BG20, CONCATENATE(""["",CI20,""]""), """")"),"f")</f>
        <v>f</v>
      </c>
      <c r="CM20" s="6" t="str">
        <f>IFERROR(__xludf.DUMMYFUNCTION("REGEXREPLACE( $BG20, CONCATENATE(""["",CJ20,""]""), """")"),"")</f>
        <v/>
      </c>
      <c r="CN20" s="12" t="str">
        <f t="shared" si="12"/>
        <v>eabdgf</v>
      </c>
      <c r="CO20" s="12" t="str">
        <f>IFERROR(__xludf.DUMMYFUNCTION("CONCATENATE(SORT(TRANSPOSE(SPLIT(REGEXREPLACE(REGEXREPLACE(CN20&amp;"""",""(?s)(.{1})"",""$1""&amp;CHAR(127)),""'"",""''""),CHAR(127))),1,true),""1"")"),"abdefg1")</f>
        <v>abdefg1</v>
      </c>
      <c r="CP20" s="15"/>
    </row>
    <row r="21">
      <c r="A21" s="1" t="s">
        <v>41</v>
      </c>
      <c r="H21" s="6" t="str">
        <f>IFERROR(__xludf.DUMMYFUNCTION("SPLIT(A21,""|"")"),"dfbgeac feadcb aefcd abefd ebfdg gfcdae beca ab cdafgb bfa ")</f>
        <v>dfbgeac feadcb aefcd abefd ebfdg gfcdae beca ab cdafgb bfa </v>
      </c>
      <c r="I21" s="6" t="str">
        <f>IFERROR(__xludf.DUMMYFUNCTION("""COMPUTED_VALUE""")," abfed dbaefc cdaef dbfgac")</f>
        <v> abfed dbaefc cdaef dbfgac</v>
      </c>
      <c r="J21" s="15"/>
      <c r="K21" s="6" t="str">
        <f>IFERROR(__xludf.DUMMYFUNCTION("split(H21,"" "")"),"dfbgeac")</f>
        <v>dfbgeac</v>
      </c>
      <c r="L21" s="6" t="str">
        <f>IFERROR(__xludf.DUMMYFUNCTION("""COMPUTED_VALUE"""),"feadcb")</f>
        <v>feadcb</v>
      </c>
      <c r="M21" s="6" t="str">
        <f>IFERROR(__xludf.DUMMYFUNCTION("""COMPUTED_VALUE"""),"aefcd")</f>
        <v>aefcd</v>
      </c>
      <c r="N21" s="6" t="str">
        <f>IFERROR(__xludf.DUMMYFUNCTION("""COMPUTED_VALUE"""),"abefd")</f>
        <v>abefd</v>
      </c>
      <c r="O21" s="6" t="str">
        <f>IFERROR(__xludf.DUMMYFUNCTION("""COMPUTED_VALUE"""),"ebfdg")</f>
        <v>ebfdg</v>
      </c>
      <c r="P21" s="6" t="str">
        <f>IFERROR(__xludf.DUMMYFUNCTION("""COMPUTED_VALUE"""),"gfcdae")</f>
        <v>gfcdae</v>
      </c>
      <c r="Q21" s="6" t="str">
        <f>IFERROR(__xludf.DUMMYFUNCTION("""COMPUTED_VALUE"""),"beca")</f>
        <v>beca</v>
      </c>
      <c r="R21" s="6" t="str">
        <f>IFERROR(__xludf.DUMMYFUNCTION("""COMPUTED_VALUE"""),"ab")</f>
        <v>ab</v>
      </c>
      <c r="S21" s="6" t="str">
        <f>IFERROR(__xludf.DUMMYFUNCTION("""COMPUTED_VALUE"""),"cdafgb")</f>
        <v>cdafgb</v>
      </c>
      <c r="T21" s="6" t="str">
        <f>IFERROR(__xludf.DUMMYFUNCTION("""COMPUTED_VALUE"""),"bfa")</f>
        <v>bfa</v>
      </c>
      <c r="U21" s="15"/>
      <c r="V21" s="6" t="str">
        <f>IFERROR(__xludf.DUMMYFUNCTION("split(I21,"" "")"),"abfed")</f>
        <v>abfed</v>
      </c>
      <c r="W21" s="6" t="str">
        <f>IFERROR(__xludf.DUMMYFUNCTION("""COMPUTED_VALUE"""),"dbaefc")</f>
        <v>dbaefc</v>
      </c>
      <c r="X21" s="6" t="str">
        <f>IFERROR(__xludf.DUMMYFUNCTION("""COMPUTED_VALUE"""),"cdaef")</f>
        <v>cdaef</v>
      </c>
      <c r="Y21" s="6" t="str">
        <f>IFERROR(__xludf.DUMMYFUNCTION("""COMPUTED_VALUE"""),"dbfgac")</f>
        <v>dbfgac</v>
      </c>
      <c r="Z21" s="6" t="str">
        <f>IFERROR(__xludf.DUMMYFUNCTION("CONCATENATE(SORT(TRANSPOSE(SPLIT(REGEXREPLACE(REGEXREPLACE(V21&amp;"""",""(?s)(.{1})"",""$1""&amp;CHAR(127)),""'"",""''""),CHAR(127))),1,true))"),"abdef")</f>
        <v>abdef</v>
      </c>
      <c r="AA21" s="6" t="str">
        <f>IFERROR(__xludf.DUMMYFUNCTION("CONCATENATE(SORT(TRANSPOSE(SPLIT(REGEXREPLACE(REGEXREPLACE(W21&amp;"""",""(?s)(.{1})"",""$1""&amp;CHAR(127)),""'"",""''""),CHAR(127))),1,true))"),"abcdef")</f>
        <v>abcdef</v>
      </c>
      <c r="AB21" s="6" t="str">
        <f>IFERROR(__xludf.DUMMYFUNCTION("CONCATENATE(SORT(TRANSPOSE(SPLIT(REGEXREPLACE(REGEXREPLACE(X21&amp;"""",""(?s)(.{1})"",""$1""&amp;CHAR(127)),""'"",""''""),CHAR(127))),1,true))"),"acdef")</f>
        <v>acdef</v>
      </c>
      <c r="AC21" s="6" t="str">
        <f>IFERROR(__xludf.DUMMYFUNCTION("CONCATENATE(SORT(TRANSPOSE(SPLIT(REGEXREPLACE(REGEXREPLACE(Y21&amp;"""",""(?s)(.{1})"",""$1""&amp;CHAR(127)),""'"",""''""),CHAR(127))),1,true))"),"abcdfg")</f>
        <v>abcdfg</v>
      </c>
      <c r="AD21" s="6">
        <f t="shared" ref="AD21:AG21" si="31">INDEX($AO$1:$CP$1,1,MATCH(CONCATENATE(Z21,"1"),$AO21:$CP21,0)+1)</f>
        <v>3</v>
      </c>
      <c r="AE21" s="6">
        <f t="shared" si="31"/>
        <v>9</v>
      </c>
      <c r="AF21" s="6">
        <f t="shared" si="31"/>
        <v>5</v>
      </c>
      <c r="AG21" s="6">
        <f t="shared" si="31"/>
        <v>0</v>
      </c>
      <c r="AH21" s="6">
        <f t="shared" si="3"/>
        <v>3950</v>
      </c>
      <c r="AI21" s="16"/>
      <c r="AJ21" s="9" t="str">
        <f>IFERROR(__xludf.DUMMYFUNCTION("REGEXREPLACE(AR21,CONCATENATE(""["",BY21,""]""),"""")"),"b")</f>
        <v>b</v>
      </c>
      <c r="AK21" s="10" t="str">
        <f>IFERROR(__xludf.DUMMYFUNCTION("FILTER($K21:$T21,len($K21:$T21)=6,NOT($K21:$T21=BY21))"),"feadcb")</f>
        <v>feadcb</v>
      </c>
      <c r="AL21" s="6" t="str">
        <f>IFERROR(__xludf.DUMMYFUNCTION("""COMPUTED_VALUE"""),"cdafgb")</f>
        <v>cdafgb</v>
      </c>
      <c r="AM21" s="6" t="str">
        <f>IFERROR(__xludf.DUMMYFUNCTION("REGEXREPLACE( $BG21, CONCATENATE(""["",AK21,""]""), """")"),"")</f>
        <v/>
      </c>
      <c r="AN21" s="6" t="str">
        <f>IFERROR(__xludf.DUMMYFUNCTION("REGEXREPLACE( $BG21, CONCATENATE(""["",AL21,""]""), """")"),"e")</f>
        <v>e</v>
      </c>
      <c r="AO21" s="11" t="str">
        <f t="shared" si="4"/>
        <v>cdafgb</v>
      </c>
      <c r="AP21" s="12" t="str">
        <f>IFERROR(__xludf.DUMMYFUNCTION("CONCATENATE(SORT(TRANSPOSE(SPLIT(REGEXREPLACE(REGEXREPLACE(AO21&amp;"""",""(?s)(.{1})"",""$1""&amp;CHAR(127)),""'"",""''""),CHAR(127))),1,true),""1"")"),"abcdfg1")</f>
        <v>abcdfg1</v>
      </c>
      <c r="AQ21" s="16"/>
      <c r="AR21" s="12" t="str">
        <f t="shared" si="5"/>
        <v>ab</v>
      </c>
      <c r="AS21" s="12" t="str">
        <f>IFERROR(__xludf.DUMMYFUNCTION("CONCATENATE(SORT(TRANSPOSE(SPLIT(REGEXREPLACE(REGEXREPLACE(AR21&amp;"""",""(?s)(.{1})"",""$1""&amp;CHAR(127)),""'"",""''""),CHAR(127))),1,true),""1"")"),"ab1")</f>
        <v>ab1</v>
      </c>
      <c r="AT21" s="16"/>
      <c r="AU21" s="13" t="str">
        <f>IFERROR(__xludf.DUMMYFUNCTION("FILTER($K21:$T21,len($K21:$T21)=5,NOT($K21:$T21=BD21),NOT($K21:$T21=BP21))"),"ebfdg")</f>
        <v>ebfdg</v>
      </c>
      <c r="AV21" s="12" t="str">
        <f>IFERROR(__xludf.DUMMYFUNCTION("CONCATENATE(SORT(TRANSPOSE(SPLIT(REGEXREPLACE(REGEXREPLACE(AU21&amp;"""",""(?s)(.{1})"",""$1""&amp;CHAR(127)),""'"",""''""),CHAR(127))),1,true),""1"")"),"bdefg1")</f>
        <v>bdefg1</v>
      </c>
      <c r="AW21" s="16"/>
      <c r="AX21" s="10" t="str">
        <f>IFERROR(__xludf.DUMMYFUNCTION("FILTER($K21:$T21,len($K21:$T21)=5)"),"aefcd")</f>
        <v>aefcd</v>
      </c>
      <c r="AY21" s="6" t="str">
        <f>IFERROR(__xludf.DUMMYFUNCTION("""COMPUTED_VALUE"""),"abefd")</f>
        <v>abefd</v>
      </c>
      <c r="AZ21" s="6" t="str">
        <f>IFERROR(__xludf.DUMMYFUNCTION("""COMPUTED_VALUE"""),"ebfdg")</f>
        <v>ebfdg</v>
      </c>
      <c r="BA21" s="6" t="str">
        <f>IFERROR(__xludf.DUMMYFUNCTION("REGEXREPLACE( $AR21, CONCATENATE(""["",AX21,""]""), """")"),"b")</f>
        <v>b</v>
      </c>
      <c r="BB21" s="6" t="str">
        <f>IFERROR(__xludf.DUMMYFUNCTION("REGEXREPLACE( $AR21, CONCATENATE(""["",AY21,""]""), """")"),"")</f>
        <v/>
      </c>
      <c r="BC21" s="6" t="str">
        <f>IFERROR(__xludf.DUMMYFUNCTION("REGEXREPLACE( $AR21, CONCATENATE(""["",AZ21,""]""), """")"),"a")</f>
        <v>a</v>
      </c>
      <c r="BD21" s="11" t="str">
        <f t="shared" si="6"/>
        <v>abefd</v>
      </c>
      <c r="BE21" s="12" t="str">
        <f>IFERROR(__xludf.DUMMYFUNCTION("CONCATENATE(SORT(TRANSPOSE(SPLIT(REGEXREPLACE(REGEXREPLACE(BD21&amp;"""",""(?s)(.{1})"",""$1""&amp;CHAR(127)),""'"",""''""),CHAR(127))),1,true),""1"")"),"abdef1")</f>
        <v>abdef1</v>
      </c>
      <c r="BF21" s="16"/>
      <c r="BG21" s="12" t="str">
        <f t="shared" si="7"/>
        <v>beca</v>
      </c>
      <c r="BH21" s="12" t="str">
        <f>IFERROR(__xludf.DUMMYFUNCTION("CONCATENATE(SORT(TRANSPOSE(SPLIT(REGEXREPLACE(REGEXREPLACE(BG21&amp;"""",""(?s)(.{1})"",""$1""&amp;CHAR(127)),""'"",""''""),CHAR(127))),1,true),""1"")"),"abce1")</f>
        <v>abce1</v>
      </c>
      <c r="BI21" s="16"/>
      <c r="BJ21" s="10" t="str">
        <f>IFERROR(__xludf.DUMMYFUNCTION("FILTER($K21:$T21,len($K21:$T21)=5)"),"aefcd")</f>
        <v>aefcd</v>
      </c>
      <c r="BK21" s="6" t="str">
        <f>IFERROR(__xludf.DUMMYFUNCTION("""COMPUTED_VALUE"""),"abefd")</f>
        <v>abefd</v>
      </c>
      <c r="BL21" s="6" t="str">
        <f>IFERROR(__xludf.DUMMYFUNCTION("""COMPUTED_VALUE"""),"ebfdg")</f>
        <v>ebfdg</v>
      </c>
      <c r="BM21" s="14" t="str">
        <f>IFERROR(__xludf.DUMMYFUNCTION("REGEXREPLACE( $BY21, CONCATENATE(""["",BJ21,""]""), """")"),"g")</f>
        <v>g</v>
      </c>
      <c r="BN21" s="14" t="str">
        <f>IFERROR(__xludf.DUMMYFUNCTION("REGEXREPLACE( $BY21, CONCATENATE(""["",BK21,""]""), """")"),"gc")</f>
        <v>gc</v>
      </c>
      <c r="BO21" s="14" t="str">
        <f>IFERROR(__xludf.DUMMYFUNCTION("REGEXREPLACE( $BY21, CONCATENATE(""["",BL21,""]""), """")"),"ca")</f>
        <v>ca</v>
      </c>
      <c r="BP21" s="11" t="str">
        <f t="shared" si="8"/>
        <v>aefcd</v>
      </c>
      <c r="BQ21" s="12" t="str">
        <f>IFERROR(__xludf.DUMMYFUNCTION("CONCATENATE(SORT(TRANSPOSE(SPLIT(REGEXREPLACE(REGEXREPLACE(BP21&amp;"""",""(?s)(.{1})"",""$1""&amp;CHAR(127)),""'"",""''""),CHAR(127))),1,true),""1"")"),"acdef1")</f>
        <v>acdef1</v>
      </c>
      <c r="BR21" s="16"/>
      <c r="BS21" s="10" t="str">
        <f>IFERROR(__xludf.DUMMYFUNCTION("FILTER(K21:T21,len(K21:T21)=6)"),"feadcb")</f>
        <v>feadcb</v>
      </c>
      <c r="BT21" s="6" t="str">
        <f>IFERROR(__xludf.DUMMYFUNCTION("""COMPUTED_VALUE"""),"gfcdae")</f>
        <v>gfcdae</v>
      </c>
      <c r="BU21" s="6" t="str">
        <f>IFERROR(__xludf.DUMMYFUNCTION("""COMPUTED_VALUE"""),"cdafgb")</f>
        <v>cdafgb</v>
      </c>
      <c r="BV21" s="6" t="str">
        <f>IFERROR(__xludf.DUMMYFUNCTION("REGEXREPLACE( $AR21, CONCATENATE(""["",BS21,""]""), """")"),"")</f>
        <v/>
      </c>
      <c r="BW21" s="6" t="str">
        <f>IFERROR(__xludf.DUMMYFUNCTION("REGEXREPLACE( $AR21, CONCATENATE(""["",BT21,""]""), """")"),"b")</f>
        <v>b</v>
      </c>
      <c r="BX21" s="6" t="str">
        <f>IFERROR(__xludf.DUMMYFUNCTION("REGEXREPLACE( $AR21, CONCATENATE(""["",BU21,""]""), """")"),"")</f>
        <v/>
      </c>
      <c r="BY21" s="12" t="str">
        <f t="shared" si="9"/>
        <v>gfcdae</v>
      </c>
      <c r="BZ21" s="12" t="str">
        <f>IFERROR(__xludf.DUMMYFUNCTION("CONCATENATE(SORT(TRANSPOSE(SPLIT(REGEXREPLACE(REGEXREPLACE(BY21&amp;"""",""(?s)(.{1})"",""$1""&amp;CHAR(127)),""'"",""''""),CHAR(127))),1,true),""1"")"),"acdefg1")</f>
        <v>acdefg1</v>
      </c>
      <c r="CA21" s="16"/>
      <c r="CB21" s="12" t="str">
        <f t="shared" si="10"/>
        <v>bfa</v>
      </c>
      <c r="CC21" s="12" t="str">
        <f>IFERROR(__xludf.DUMMYFUNCTION("CONCATENATE(SORT(TRANSPOSE(SPLIT(REGEXREPLACE(REGEXREPLACE(CB21&amp;"""",""(?s)(.{1})"",""$1""&amp;CHAR(127)),""'"",""''""),CHAR(127))),1,true),""1"")"),"abf1")</f>
        <v>abf1</v>
      </c>
      <c r="CD21" s="16"/>
      <c r="CE21" s="12" t="str">
        <f t="shared" si="11"/>
        <v>dfbgeac</v>
      </c>
      <c r="CF21" s="12" t="str">
        <f>IFERROR(__xludf.DUMMYFUNCTION("CONCATENATE(SORT(TRANSPOSE(SPLIT(REGEXREPLACE(REGEXREPLACE(CE21&amp;"""",""(?s)(.{1})"",""$1""&amp;CHAR(127)),""'"",""''""),CHAR(127))),1,true),""1"")"),"abcdefg1")</f>
        <v>abcdefg1</v>
      </c>
      <c r="CG21" s="16"/>
      <c r="CH21" s="10" t="str">
        <f>IFERROR(__xludf.DUMMYFUNCTION("FILTER(K21:T21,len(K21:T21)=6)"),"feadcb")</f>
        <v>feadcb</v>
      </c>
      <c r="CI21" s="6" t="str">
        <f>IFERROR(__xludf.DUMMYFUNCTION("""COMPUTED_VALUE"""),"gfcdae")</f>
        <v>gfcdae</v>
      </c>
      <c r="CJ21" s="6" t="str">
        <f>IFERROR(__xludf.DUMMYFUNCTION("""COMPUTED_VALUE"""),"cdafgb")</f>
        <v>cdafgb</v>
      </c>
      <c r="CK21" s="6" t="str">
        <f>IFERROR(__xludf.DUMMYFUNCTION("REGEXREPLACE( $BG21, CONCATENATE(""["",CH21,""]""), """")"),"")</f>
        <v/>
      </c>
      <c r="CL21" s="6" t="str">
        <f>IFERROR(__xludf.DUMMYFUNCTION("REGEXREPLACE( $BG21, CONCATENATE(""["",CI21,""]""), """")"),"b")</f>
        <v>b</v>
      </c>
      <c r="CM21" s="6" t="str">
        <f>IFERROR(__xludf.DUMMYFUNCTION("REGEXREPLACE( $BG21, CONCATENATE(""["",CJ21,""]""), """")"),"e")</f>
        <v>e</v>
      </c>
      <c r="CN21" s="12" t="str">
        <f t="shared" si="12"/>
        <v>feadcb</v>
      </c>
      <c r="CO21" s="12" t="str">
        <f>IFERROR(__xludf.DUMMYFUNCTION("CONCATENATE(SORT(TRANSPOSE(SPLIT(REGEXREPLACE(REGEXREPLACE(CN21&amp;"""",""(?s)(.{1})"",""$1""&amp;CHAR(127)),""'"",""''""),CHAR(127))),1,true),""1"")"),"abcdef1")</f>
        <v>abcdef1</v>
      </c>
      <c r="CP21" s="15"/>
    </row>
    <row r="22">
      <c r="A22" s="1" t="s">
        <v>42</v>
      </c>
      <c r="H22" s="6" t="str">
        <f>IFERROR(__xludf.DUMMYFUNCTION("SPLIT(A22,""|"")"),"ecgafbd gbaecd bfed fedbca geabfc de dfeac dae fgcda fbeca ")</f>
        <v>ecgafbd gbaecd bfed fedbca geabfc de dfeac dae fgcda fbeca </v>
      </c>
      <c r="I22" s="6" t="str">
        <f>IFERROR(__xludf.DUMMYFUNCTION("""COMPUTED_VALUE""")," acbdef acfbge bcfea beafc")</f>
        <v> acbdef acfbge bcfea beafc</v>
      </c>
      <c r="J22" s="15"/>
      <c r="K22" s="6" t="str">
        <f>IFERROR(__xludf.DUMMYFUNCTION("split(H22,"" "")"),"ecgafbd")</f>
        <v>ecgafbd</v>
      </c>
      <c r="L22" s="6" t="str">
        <f>IFERROR(__xludf.DUMMYFUNCTION("""COMPUTED_VALUE"""),"gbaecd")</f>
        <v>gbaecd</v>
      </c>
      <c r="M22" s="6" t="str">
        <f>IFERROR(__xludf.DUMMYFUNCTION("""COMPUTED_VALUE"""),"bfed")</f>
        <v>bfed</v>
      </c>
      <c r="N22" s="6" t="str">
        <f>IFERROR(__xludf.DUMMYFUNCTION("""COMPUTED_VALUE"""),"fedbca")</f>
        <v>fedbca</v>
      </c>
      <c r="O22" s="6" t="str">
        <f>IFERROR(__xludf.DUMMYFUNCTION("""COMPUTED_VALUE"""),"geabfc")</f>
        <v>geabfc</v>
      </c>
      <c r="P22" s="6" t="str">
        <f>IFERROR(__xludf.DUMMYFUNCTION("""COMPUTED_VALUE"""),"de")</f>
        <v>de</v>
      </c>
      <c r="Q22" s="6" t="str">
        <f>IFERROR(__xludf.DUMMYFUNCTION("""COMPUTED_VALUE"""),"dfeac")</f>
        <v>dfeac</v>
      </c>
      <c r="R22" s="6" t="str">
        <f>IFERROR(__xludf.DUMMYFUNCTION("""COMPUTED_VALUE"""),"dae")</f>
        <v>dae</v>
      </c>
      <c r="S22" s="6" t="str">
        <f>IFERROR(__xludf.DUMMYFUNCTION("""COMPUTED_VALUE"""),"fgcda")</f>
        <v>fgcda</v>
      </c>
      <c r="T22" s="6" t="str">
        <f>IFERROR(__xludf.DUMMYFUNCTION("""COMPUTED_VALUE"""),"fbeca")</f>
        <v>fbeca</v>
      </c>
      <c r="U22" s="15"/>
      <c r="V22" s="6" t="str">
        <f>IFERROR(__xludf.DUMMYFUNCTION("split(I22,"" "")"),"acbdef")</f>
        <v>acbdef</v>
      </c>
      <c r="W22" s="6" t="str">
        <f>IFERROR(__xludf.DUMMYFUNCTION("""COMPUTED_VALUE"""),"acfbge")</f>
        <v>acfbge</v>
      </c>
      <c r="X22" s="6" t="str">
        <f>IFERROR(__xludf.DUMMYFUNCTION("""COMPUTED_VALUE"""),"bcfea")</f>
        <v>bcfea</v>
      </c>
      <c r="Y22" s="6" t="str">
        <f>IFERROR(__xludf.DUMMYFUNCTION("""COMPUTED_VALUE"""),"beafc")</f>
        <v>beafc</v>
      </c>
      <c r="Z22" s="6" t="str">
        <f>IFERROR(__xludf.DUMMYFUNCTION("CONCATENATE(SORT(TRANSPOSE(SPLIT(REGEXREPLACE(REGEXREPLACE(V22&amp;"""",""(?s)(.{1})"",""$1""&amp;CHAR(127)),""'"",""''""),CHAR(127))),1,true))"),"abcdef")</f>
        <v>abcdef</v>
      </c>
      <c r="AA22" s="6" t="str">
        <f>IFERROR(__xludf.DUMMYFUNCTION("CONCATENATE(SORT(TRANSPOSE(SPLIT(REGEXREPLACE(REGEXREPLACE(W22&amp;"""",""(?s)(.{1})"",""$1""&amp;CHAR(127)),""'"",""''""),CHAR(127))),1,true))"),"abcefg")</f>
        <v>abcefg</v>
      </c>
      <c r="AB22" s="6" t="str">
        <f>IFERROR(__xludf.DUMMYFUNCTION("CONCATENATE(SORT(TRANSPOSE(SPLIT(REGEXREPLACE(REGEXREPLACE(X22&amp;"""",""(?s)(.{1})"",""$1""&amp;CHAR(127)),""'"",""''""),CHAR(127))),1,true))"),"abcef")</f>
        <v>abcef</v>
      </c>
      <c r="AC22" s="6" t="str">
        <f>IFERROR(__xludf.DUMMYFUNCTION("CONCATENATE(SORT(TRANSPOSE(SPLIT(REGEXREPLACE(REGEXREPLACE(Y22&amp;"""",""(?s)(.{1})"",""$1""&amp;CHAR(127)),""'"",""''""),CHAR(127))),1,true))"),"abcef")</f>
        <v>abcef</v>
      </c>
      <c r="AD22" s="6">
        <f t="shared" ref="AD22:AG22" si="32">INDEX($AO$1:$CP$1,1,MATCH(CONCATENATE(Z22,"1"),$AO22:$CP22,0)+1)</f>
        <v>9</v>
      </c>
      <c r="AE22" s="6">
        <f t="shared" si="32"/>
        <v>6</v>
      </c>
      <c r="AF22" s="6">
        <f t="shared" si="32"/>
        <v>5</v>
      </c>
      <c r="AG22" s="6">
        <f t="shared" si="32"/>
        <v>5</v>
      </c>
      <c r="AH22" s="6">
        <f t="shared" si="3"/>
        <v>9655</v>
      </c>
      <c r="AI22" s="16"/>
      <c r="AJ22" s="9" t="str">
        <f>IFERROR(__xludf.DUMMYFUNCTION("REGEXREPLACE(AR22,CONCATENATE(""["",BY22,""]""),"""")"),"d")</f>
        <v>d</v>
      </c>
      <c r="AK22" s="10" t="str">
        <f>IFERROR(__xludf.DUMMYFUNCTION("FILTER($K22:$T22,len($K22:$T22)=6,NOT($K22:$T22=BY22))"),"gbaecd")</f>
        <v>gbaecd</v>
      </c>
      <c r="AL22" s="6" t="str">
        <f>IFERROR(__xludf.DUMMYFUNCTION("""COMPUTED_VALUE"""),"fedbca")</f>
        <v>fedbca</v>
      </c>
      <c r="AM22" s="6" t="str">
        <f>IFERROR(__xludf.DUMMYFUNCTION("REGEXREPLACE( $BG22, CONCATENATE(""["",AK22,""]""), """")"),"f")</f>
        <v>f</v>
      </c>
      <c r="AN22" s="6" t="str">
        <f>IFERROR(__xludf.DUMMYFUNCTION("REGEXREPLACE( $BG22, CONCATENATE(""["",AL22,""]""), """")"),"")</f>
        <v/>
      </c>
      <c r="AO22" s="11" t="str">
        <f t="shared" si="4"/>
        <v>gbaecd</v>
      </c>
      <c r="AP22" s="12" t="str">
        <f>IFERROR(__xludf.DUMMYFUNCTION("CONCATENATE(SORT(TRANSPOSE(SPLIT(REGEXREPLACE(REGEXREPLACE(AO22&amp;"""",""(?s)(.{1})"",""$1""&amp;CHAR(127)),""'"",""''""),CHAR(127))),1,true),""1"")"),"abcdeg1")</f>
        <v>abcdeg1</v>
      </c>
      <c r="AQ22" s="16"/>
      <c r="AR22" s="12" t="str">
        <f t="shared" si="5"/>
        <v>de</v>
      </c>
      <c r="AS22" s="12" t="str">
        <f>IFERROR(__xludf.DUMMYFUNCTION("CONCATENATE(SORT(TRANSPOSE(SPLIT(REGEXREPLACE(REGEXREPLACE(AR22&amp;"""",""(?s)(.{1})"",""$1""&amp;CHAR(127)),""'"",""''""),CHAR(127))),1,true),""1"")"),"de1")</f>
        <v>de1</v>
      </c>
      <c r="AT22" s="16"/>
      <c r="AU22" s="13" t="str">
        <f>IFERROR(__xludf.DUMMYFUNCTION("FILTER($K22:$T22,len($K22:$T22)=5,NOT($K22:$T22=BD22),NOT($K22:$T22=BP22))"),"fgcda")</f>
        <v>fgcda</v>
      </c>
      <c r="AV22" s="12" t="str">
        <f>IFERROR(__xludf.DUMMYFUNCTION("CONCATENATE(SORT(TRANSPOSE(SPLIT(REGEXREPLACE(REGEXREPLACE(AU22&amp;"""",""(?s)(.{1})"",""$1""&amp;CHAR(127)),""'"",""''""),CHAR(127))),1,true),""1"")"),"acdfg1")</f>
        <v>acdfg1</v>
      </c>
      <c r="AW22" s="16"/>
      <c r="AX22" s="10" t="str">
        <f>IFERROR(__xludf.DUMMYFUNCTION("FILTER($K22:$T22,len($K22:$T22)=5)"),"dfeac")</f>
        <v>dfeac</v>
      </c>
      <c r="AY22" s="6" t="str">
        <f>IFERROR(__xludf.DUMMYFUNCTION("""COMPUTED_VALUE"""),"fgcda")</f>
        <v>fgcda</v>
      </c>
      <c r="AZ22" s="6" t="str">
        <f>IFERROR(__xludf.DUMMYFUNCTION("""COMPUTED_VALUE"""),"fbeca")</f>
        <v>fbeca</v>
      </c>
      <c r="BA22" s="6" t="str">
        <f>IFERROR(__xludf.DUMMYFUNCTION("REGEXREPLACE( $AR22, CONCATENATE(""["",AX22,""]""), """")"),"")</f>
        <v/>
      </c>
      <c r="BB22" s="6" t="str">
        <f>IFERROR(__xludf.DUMMYFUNCTION("REGEXREPLACE( $AR22, CONCATENATE(""["",AY22,""]""), """")"),"e")</f>
        <v>e</v>
      </c>
      <c r="BC22" s="6" t="str">
        <f>IFERROR(__xludf.DUMMYFUNCTION("REGEXREPLACE( $AR22, CONCATENATE(""["",AZ22,""]""), """")"),"d")</f>
        <v>d</v>
      </c>
      <c r="BD22" s="11" t="str">
        <f t="shared" si="6"/>
        <v>dfeac</v>
      </c>
      <c r="BE22" s="12" t="str">
        <f>IFERROR(__xludf.DUMMYFUNCTION("CONCATENATE(SORT(TRANSPOSE(SPLIT(REGEXREPLACE(REGEXREPLACE(BD22&amp;"""",""(?s)(.{1})"",""$1""&amp;CHAR(127)),""'"",""''""),CHAR(127))),1,true),""1"")"),"acdef1")</f>
        <v>acdef1</v>
      </c>
      <c r="BF22" s="16"/>
      <c r="BG22" s="12" t="str">
        <f t="shared" si="7"/>
        <v>bfed</v>
      </c>
      <c r="BH22" s="12" t="str">
        <f>IFERROR(__xludf.DUMMYFUNCTION("CONCATENATE(SORT(TRANSPOSE(SPLIT(REGEXREPLACE(REGEXREPLACE(BG22&amp;"""",""(?s)(.{1})"",""$1""&amp;CHAR(127)),""'"",""''""),CHAR(127))),1,true),""1"")"),"bdef1")</f>
        <v>bdef1</v>
      </c>
      <c r="BI22" s="16"/>
      <c r="BJ22" s="10" t="str">
        <f>IFERROR(__xludf.DUMMYFUNCTION("FILTER($K22:$T22,len($K22:$T22)=5)"),"dfeac")</f>
        <v>dfeac</v>
      </c>
      <c r="BK22" s="6" t="str">
        <f>IFERROR(__xludf.DUMMYFUNCTION("""COMPUTED_VALUE"""),"fgcda")</f>
        <v>fgcda</v>
      </c>
      <c r="BL22" s="6" t="str">
        <f>IFERROR(__xludf.DUMMYFUNCTION("""COMPUTED_VALUE"""),"fbeca")</f>
        <v>fbeca</v>
      </c>
      <c r="BM22" s="14" t="str">
        <f>IFERROR(__xludf.DUMMYFUNCTION("REGEXREPLACE( $BY22, CONCATENATE(""["",BJ22,""]""), """")"),"gb")</f>
        <v>gb</v>
      </c>
      <c r="BN22" s="14" t="str">
        <f>IFERROR(__xludf.DUMMYFUNCTION("REGEXREPLACE( $BY22, CONCATENATE(""["",BK22,""]""), """")"),"eb")</f>
        <v>eb</v>
      </c>
      <c r="BO22" s="14" t="str">
        <f>IFERROR(__xludf.DUMMYFUNCTION("REGEXREPLACE( $BY22, CONCATENATE(""["",BL22,""]""), """")"),"g")</f>
        <v>g</v>
      </c>
      <c r="BP22" s="11" t="str">
        <f t="shared" si="8"/>
        <v>fbeca</v>
      </c>
      <c r="BQ22" s="12" t="str">
        <f>IFERROR(__xludf.DUMMYFUNCTION("CONCATENATE(SORT(TRANSPOSE(SPLIT(REGEXREPLACE(REGEXREPLACE(BP22&amp;"""",""(?s)(.{1})"",""$1""&amp;CHAR(127)),""'"",""''""),CHAR(127))),1,true),""1"")"),"abcef1")</f>
        <v>abcef1</v>
      </c>
      <c r="BR22" s="16"/>
      <c r="BS22" s="10" t="str">
        <f>IFERROR(__xludf.DUMMYFUNCTION("FILTER(K22:T22,len(K22:T22)=6)"),"gbaecd")</f>
        <v>gbaecd</v>
      </c>
      <c r="BT22" s="6" t="str">
        <f>IFERROR(__xludf.DUMMYFUNCTION("""COMPUTED_VALUE"""),"fedbca")</f>
        <v>fedbca</v>
      </c>
      <c r="BU22" s="6" t="str">
        <f>IFERROR(__xludf.DUMMYFUNCTION("""COMPUTED_VALUE"""),"geabfc")</f>
        <v>geabfc</v>
      </c>
      <c r="BV22" s="6" t="str">
        <f>IFERROR(__xludf.DUMMYFUNCTION("REGEXREPLACE( $AR22, CONCATENATE(""["",BS22,""]""), """")"),"")</f>
        <v/>
      </c>
      <c r="BW22" s="6" t="str">
        <f>IFERROR(__xludf.DUMMYFUNCTION("REGEXREPLACE( $AR22, CONCATENATE(""["",BT22,""]""), """")"),"")</f>
        <v/>
      </c>
      <c r="BX22" s="6" t="str">
        <f>IFERROR(__xludf.DUMMYFUNCTION("REGEXREPLACE( $AR22, CONCATENATE(""["",BU22,""]""), """")"),"d")</f>
        <v>d</v>
      </c>
      <c r="BY22" s="12" t="str">
        <f t="shared" si="9"/>
        <v>geabfc</v>
      </c>
      <c r="BZ22" s="12" t="str">
        <f>IFERROR(__xludf.DUMMYFUNCTION("CONCATENATE(SORT(TRANSPOSE(SPLIT(REGEXREPLACE(REGEXREPLACE(BY22&amp;"""",""(?s)(.{1})"",""$1""&amp;CHAR(127)),""'"",""''""),CHAR(127))),1,true),""1"")"),"abcefg1")</f>
        <v>abcefg1</v>
      </c>
      <c r="CA22" s="16"/>
      <c r="CB22" s="12" t="str">
        <f t="shared" si="10"/>
        <v>dae</v>
      </c>
      <c r="CC22" s="12" t="str">
        <f>IFERROR(__xludf.DUMMYFUNCTION("CONCATENATE(SORT(TRANSPOSE(SPLIT(REGEXREPLACE(REGEXREPLACE(CB22&amp;"""",""(?s)(.{1})"",""$1""&amp;CHAR(127)),""'"",""''""),CHAR(127))),1,true),""1"")"),"ade1")</f>
        <v>ade1</v>
      </c>
      <c r="CD22" s="16"/>
      <c r="CE22" s="12" t="str">
        <f t="shared" si="11"/>
        <v>ecgafbd</v>
      </c>
      <c r="CF22" s="12" t="str">
        <f>IFERROR(__xludf.DUMMYFUNCTION("CONCATENATE(SORT(TRANSPOSE(SPLIT(REGEXREPLACE(REGEXREPLACE(CE22&amp;"""",""(?s)(.{1})"",""$1""&amp;CHAR(127)),""'"",""''""),CHAR(127))),1,true),""1"")"),"abcdefg1")</f>
        <v>abcdefg1</v>
      </c>
      <c r="CG22" s="16"/>
      <c r="CH22" s="10" t="str">
        <f>IFERROR(__xludf.DUMMYFUNCTION("FILTER(K22:T22,len(K22:T22)=6)"),"gbaecd")</f>
        <v>gbaecd</v>
      </c>
      <c r="CI22" s="6" t="str">
        <f>IFERROR(__xludf.DUMMYFUNCTION("""COMPUTED_VALUE"""),"fedbca")</f>
        <v>fedbca</v>
      </c>
      <c r="CJ22" s="6" t="str">
        <f>IFERROR(__xludf.DUMMYFUNCTION("""COMPUTED_VALUE"""),"geabfc")</f>
        <v>geabfc</v>
      </c>
      <c r="CK22" s="6" t="str">
        <f>IFERROR(__xludf.DUMMYFUNCTION("REGEXREPLACE( $BG22, CONCATENATE(""["",CH22,""]""), """")"),"f")</f>
        <v>f</v>
      </c>
      <c r="CL22" s="6" t="str">
        <f>IFERROR(__xludf.DUMMYFUNCTION("REGEXREPLACE( $BG22, CONCATENATE(""["",CI22,""]""), """")"),"")</f>
        <v/>
      </c>
      <c r="CM22" s="6" t="str">
        <f>IFERROR(__xludf.DUMMYFUNCTION("REGEXREPLACE( $BG22, CONCATENATE(""["",CJ22,""]""), """")"),"d")</f>
        <v>d</v>
      </c>
      <c r="CN22" s="12" t="str">
        <f t="shared" si="12"/>
        <v>fedbca</v>
      </c>
      <c r="CO22" s="12" t="str">
        <f>IFERROR(__xludf.DUMMYFUNCTION("CONCATENATE(SORT(TRANSPOSE(SPLIT(REGEXREPLACE(REGEXREPLACE(CN22&amp;"""",""(?s)(.{1})"",""$1""&amp;CHAR(127)),""'"",""''""),CHAR(127))),1,true),""1"")"),"abcdef1")</f>
        <v>abcdef1</v>
      </c>
      <c r="CP22" s="15"/>
    </row>
    <row r="23">
      <c r="A23" s="1" t="s">
        <v>43</v>
      </c>
      <c r="H23" s="6" t="str">
        <f>IFERROR(__xludf.DUMMYFUNCTION("SPLIT(A23,""|"")"),"adb bfedac cagdf eacfgd gcdbefa ecgdb gbaf abfgdc abcgd ba ")</f>
        <v>adb bfedac cagdf eacfgd gcdbefa ecgdb gbaf abfgdc abcgd ba </v>
      </c>
      <c r="I23" s="6" t="str">
        <f>IFERROR(__xludf.DUMMYFUNCTION("""COMPUTED_VALUE""")," cdgab acdgf dab ab")</f>
        <v> cdgab acdgf dab ab</v>
      </c>
      <c r="J23" s="15"/>
      <c r="K23" s="6" t="str">
        <f>IFERROR(__xludf.DUMMYFUNCTION("split(H23,"" "")"),"adb")</f>
        <v>adb</v>
      </c>
      <c r="L23" s="6" t="str">
        <f>IFERROR(__xludf.DUMMYFUNCTION("""COMPUTED_VALUE"""),"bfedac")</f>
        <v>bfedac</v>
      </c>
      <c r="M23" s="6" t="str">
        <f>IFERROR(__xludf.DUMMYFUNCTION("""COMPUTED_VALUE"""),"cagdf")</f>
        <v>cagdf</v>
      </c>
      <c r="N23" s="6" t="str">
        <f>IFERROR(__xludf.DUMMYFUNCTION("""COMPUTED_VALUE"""),"eacfgd")</f>
        <v>eacfgd</v>
      </c>
      <c r="O23" s="6" t="str">
        <f>IFERROR(__xludf.DUMMYFUNCTION("""COMPUTED_VALUE"""),"gcdbefa")</f>
        <v>gcdbefa</v>
      </c>
      <c r="P23" s="6" t="str">
        <f>IFERROR(__xludf.DUMMYFUNCTION("""COMPUTED_VALUE"""),"ecgdb")</f>
        <v>ecgdb</v>
      </c>
      <c r="Q23" s="6" t="str">
        <f>IFERROR(__xludf.DUMMYFUNCTION("""COMPUTED_VALUE"""),"gbaf")</f>
        <v>gbaf</v>
      </c>
      <c r="R23" s="6" t="str">
        <f>IFERROR(__xludf.DUMMYFUNCTION("""COMPUTED_VALUE"""),"abfgdc")</f>
        <v>abfgdc</v>
      </c>
      <c r="S23" s="6" t="str">
        <f>IFERROR(__xludf.DUMMYFUNCTION("""COMPUTED_VALUE"""),"abcgd")</f>
        <v>abcgd</v>
      </c>
      <c r="T23" s="6" t="str">
        <f>IFERROR(__xludf.DUMMYFUNCTION("""COMPUTED_VALUE"""),"ba")</f>
        <v>ba</v>
      </c>
      <c r="U23" s="15"/>
      <c r="V23" s="6" t="str">
        <f>IFERROR(__xludf.DUMMYFUNCTION("split(I23,"" "")"),"cdgab")</f>
        <v>cdgab</v>
      </c>
      <c r="W23" s="6" t="str">
        <f>IFERROR(__xludf.DUMMYFUNCTION("""COMPUTED_VALUE"""),"acdgf")</f>
        <v>acdgf</v>
      </c>
      <c r="X23" s="6" t="str">
        <f>IFERROR(__xludf.DUMMYFUNCTION("""COMPUTED_VALUE"""),"dab")</f>
        <v>dab</v>
      </c>
      <c r="Y23" s="6" t="str">
        <f>IFERROR(__xludf.DUMMYFUNCTION("""COMPUTED_VALUE"""),"ab")</f>
        <v>ab</v>
      </c>
      <c r="Z23" s="6" t="str">
        <f>IFERROR(__xludf.DUMMYFUNCTION("CONCATENATE(SORT(TRANSPOSE(SPLIT(REGEXREPLACE(REGEXREPLACE(V23&amp;"""",""(?s)(.{1})"",""$1""&amp;CHAR(127)),""'"",""''""),CHAR(127))),1,true))"),"abcdg")</f>
        <v>abcdg</v>
      </c>
      <c r="AA23" s="6" t="str">
        <f>IFERROR(__xludf.DUMMYFUNCTION("CONCATENATE(SORT(TRANSPOSE(SPLIT(REGEXREPLACE(REGEXREPLACE(W23&amp;"""",""(?s)(.{1})"",""$1""&amp;CHAR(127)),""'"",""''""),CHAR(127))),1,true))"),"acdfg")</f>
        <v>acdfg</v>
      </c>
      <c r="AB23" s="6" t="str">
        <f>IFERROR(__xludf.DUMMYFUNCTION("CONCATENATE(SORT(TRANSPOSE(SPLIT(REGEXREPLACE(REGEXREPLACE(X23&amp;"""",""(?s)(.{1})"",""$1""&amp;CHAR(127)),""'"",""''""),CHAR(127))),1,true))"),"abd")</f>
        <v>abd</v>
      </c>
      <c r="AC23" s="6" t="str">
        <f>IFERROR(__xludf.DUMMYFUNCTION("CONCATENATE(SORT(TRANSPOSE(SPLIT(REGEXREPLACE(REGEXREPLACE(Y23&amp;"""",""(?s)(.{1})"",""$1""&amp;CHAR(127)),""'"",""''""),CHAR(127))),1,true))"),"ab")</f>
        <v>ab</v>
      </c>
      <c r="AD23" s="6">
        <f t="shared" ref="AD23:AG23" si="33">INDEX($AO$1:$CP$1,1,MATCH(CONCATENATE(Z23,"1"),$AO23:$CP23,0)+1)</f>
        <v>3</v>
      </c>
      <c r="AE23" s="6">
        <f t="shared" si="33"/>
        <v>5</v>
      </c>
      <c r="AF23" s="6">
        <f t="shared" si="33"/>
        <v>7</v>
      </c>
      <c r="AG23" s="6">
        <f t="shared" si="33"/>
        <v>1</v>
      </c>
      <c r="AH23" s="6">
        <f t="shared" si="3"/>
        <v>3571</v>
      </c>
      <c r="AI23" s="16"/>
      <c r="AJ23" s="9" t="str">
        <f>IFERROR(__xludf.DUMMYFUNCTION("REGEXREPLACE(AR23,CONCATENATE(""["",BY23,""]""),"""")"),"b")</f>
        <v>b</v>
      </c>
      <c r="AK23" s="10" t="str">
        <f>IFERROR(__xludf.DUMMYFUNCTION("FILTER($K23:$T23,len($K23:$T23)=6,NOT($K23:$T23=BY23))"),"bfedac")</f>
        <v>bfedac</v>
      </c>
      <c r="AL23" s="6" t="str">
        <f>IFERROR(__xludf.DUMMYFUNCTION("""COMPUTED_VALUE"""),"abfgdc")</f>
        <v>abfgdc</v>
      </c>
      <c r="AM23" s="6" t="str">
        <f>IFERROR(__xludf.DUMMYFUNCTION("REGEXREPLACE( $BG23, CONCATENATE(""["",AK23,""]""), """")"),"g")</f>
        <v>g</v>
      </c>
      <c r="AN23" s="6" t="str">
        <f>IFERROR(__xludf.DUMMYFUNCTION("REGEXREPLACE( $BG23, CONCATENATE(""["",AL23,""]""), """")"),"")</f>
        <v/>
      </c>
      <c r="AO23" s="11" t="str">
        <f t="shared" si="4"/>
        <v>bfedac</v>
      </c>
      <c r="AP23" s="12" t="str">
        <f>IFERROR(__xludf.DUMMYFUNCTION("CONCATENATE(SORT(TRANSPOSE(SPLIT(REGEXREPLACE(REGEXREPLACE(AO23&amp;"""",""(?s)(.{1})"",""$1""&amp;CHAR(127)),""'"",""''""),CHAR(127))),1,true),""1"")"),"abcdef1")</f>
        <v>abcdef1</v>
      </c>
      <c r="AQ23" s="16"/>
      <c r="AR23" s="12" t="str">
        <f t="shared" si="5"/>
        <v>ba</v>
      </c>
      <c r="AS23" s="12" t="str">
        <f>IFERROR(__xludf.DUMMYFUNCTION("CONCATENATE(SORT(TRANSPOSE(SPLIT(REGEXREPLACE(REGEXREPLACE(AR23&amp;"""",""(?s)(.{1})"",""$1""&amp;CHAR(127)),""'"",""''""),CHAR(127))),1,true),""1"")"),"ab1")</f>
        <v>ab1</v>
      </c>
      <c r="AT23" s="16"/>
      <c r="AU23" s="13" t="str">
        <f>IFERROR(__xludf.DUMMYFUNCTION("FILTER($K23:$T23,len($K23:$T23)=5,NOT($K23:$T23=BD23),NOT($K23:$T23=BP23))"),"ecgdb")</f>
        <v>ecgdb</v>
      </c>
      <c r="AV23" s="12" t="str">
        <f>IFERROR(__xludf.DUMMYFUNCTION("CONCATENATE(SORT(TRANSPOSE(SPLIT(REGEXREPLACE(REGEXREPLACE(AU23&amp;"""",""(?s)(.{1})"",""$1""&amp;CHAR(127)),""'"",""''""),CHAR(127))),1,true),""1"")"),"bcdeg1")</f>
        <v>bcdeg1</v>
      </c>
      <c r="AW23" s="16"/>
      <c r="AX23" s="10" t="str">
        <f>IFERROR(__xludf.DUMMYFUNCTION("FILTER($K23:$T23,len($K23:$T23)=5)"),"cagdf")</f>
        <v>cagdf</v>
      </c>
      <c r="AY23" s="6" t="str">
        <f>IFERROR(__xludf.DUMMYFUNCTION("""COMPUTED_VALUE"""),"ecgdb")</f>
        <v>ecgdb</v>
      </c>
      <c r="AZ23" s="6" t="str">
        <f>IFERROR(__xludf.DUMMYFUNCTION("""COMPUTED_VALUE"""),"abcgd")</f>
        <v>abcgd</v>
      </c>
      <c r="BA23" s="6" t="str">
        <f>IFERROR(__xludf.DUMMYFUNCTION("REGEXREPLACE( $AR23, CONCATENATE(""["",AX23,""]""), """")"),"b")</f>
        <v>b</v>
      </c>
      <c r="BB23" s="6" t="str">
        <f>IFERROR(__xludf.DUMMYFUNCTION("REGEXREPLACE( $AR23, CONCATENATE(""["",AY23,""]""), """")"),"a")</f>
        <v>a</v>
      </c>
      <c r="BC23" s="6" t="str">
        <f>IFERROR(__xludf.DUMMYFUNCTION("REGEXREPLACE( $AR23, CONCATENATE(""["",AZ23,""]""), """")"),"")</f>
        <v/>
      </c>
      <c r="BD23" s="11" t="str">
        <f t="shared" si="6"/>
        <v>abcgd</v>
      </c>
      <c r="BE23" s="12" t="str">
        <f>IFERROR(__xludf.DUMMYFUNCTION("CONCATENATE(SORT(TRANSPOSE(SPLIT(REGEXREPLACE(REGEXREPLACE(BD23&amp;"""",""(?s)(.{1})"",""$1""&amp;CHAR(127)),""'"",""''""),CHAR(127))),1,true),""1"")"),"abcdg1")</f>
        <v>abcdg1</v>
      </c>
      <c r="BF23" s="16"/>
      <c r="BG23" s="12" t="str">
        <f t="shared" si="7"/>
        <v>gbaf</v>
      </c>
      <c r="BH23" s="12" t="str">
        <f>IFERROR(__xludf.DUMMYFUNCTION("CONCATENATE(SORT(TRANSPOSE(SPLIT(REGEXREPLACE(REGEXREPLACE(BG23&amp;"""",""(?s)(.{1})"",""$1""&amp;CHAR(127)),""'"",""''""),CHAR(127))),1,true),""1"")"),"abfg1")</f>
        <v>abfg1</v>
      </c>
      <c r="BI23" s="16"/>
      <c r="BJ23" s="10" t="str">
        <f>IFERROR(__xludf.DUMMYFUNCTION("FILTER($K23:$T23,len($K23:$T23)=5)"),"cagdf")</f>
        <v>cagdf</v>
      </c>
      <c r="BK23" s="6" t="str">
        <f>IFERROR(__xludf.DUMMYFUNCTION("""COMPUTED_VALUE"""),"ecgdb")</f>
        <v>ecgdb</v>
      </c>
      <c r="BL23" s="6" t="str">
        <f>IFERROR(__xludf.DUMMYFUNCTION("""COMPUTED_VALUE"""),"abcgd")</f>
        <v>abcgd</v>
      </c>
      <c r="BM23" s="14" t="str">
        <f>IFERROR(__xludf.DUMMYFUNCTION("REGEXREPLACE( $BY23, CONCATENATE(""["",BJ23,""]""), """")"),"e")</f>
        <v>e</v>
      </c>
      <c r="BN23" s="14" t="str">
        <f>IFERROR(__xludf.DUMMYFUNCTION("REGEXREPLACE( $BY23, CONCATENATE(""["",BK23,""]""), """")"),"af")</f>
        <v>af</v>
      </c>
      <c r="BO23" s="14" t="str">
        <f>IFERROR(__xludf.DUMMYFUNCTION("REGEXREPLACE( $BY23, CONCATENATE(""["",BL23,""]""), """")"),"ef")</f>
        <v>ef</v>
      </c>
      <c r="BP23" s="11" t="str">
        <f t="shared" si="8"/>
        <v>cagdf</v>
      </c>
      <c r="BQ23" s="12" t="str">
        <f>IFERROR(__xludf.DUMMYFUNCTION("CONCATENATE(SORT(TRANSPOSE(SPLIT(REGEXREPLACE(REGEXREPLACE(BP23&amp;"""",""(?s)(.{1})"",""$1""&amp;CHAR(127)),""'"",""''""),CHAR(127))),1,true),""1"")"),"acdfg1")</f>
        <v>acdfg1</v>
      </c>
      <c r="BR23" s="16"/>
      <c r="BS23" s="10" t="str">
        <f>IFERROR(__xludf.DUMMYFUNCTION("FILTER(K23:T23,len(K23:T23)=6)"),"bfedac")</f>
        <v>bfedac</v>
      </c>
      <c r="BT23" s="6" t="str">
        <f>IFERROR(__xludf.DUMMYFUNCTION("""COMPUTED_VALUE"""),"eacfgd")</f>
        <v>eacfgd</v>
      </c>
      <c r="BU23" s="6" t="str">
        <f>IFERROR(__xludf.DUMMYFUNCTION("""COMPUTED_VALUE"""),"abfgdc")</f>
        <v>abfgdc</v>
      </c>
      <c r="BV23" s="6" t="str">
        <f>IFERROR(__xludf.DUMMYFUNCTION("REGEXREPLACE( $AR23, CONCATENATE(""["",BS23,""]""), """")"),"")</f>
        <v/>
      </c>
      <c r="BW23" s="6" t="str">
        <f>IFERROR(__xludf.DUMMYFUNCTION("REGEXREPLACE( $AR23, CONCATENATE(""["",BT23,""]""), """")"),"b")</f>
        <v>b</v>
      </c>
      <c r="BX23" s="6" t="str">
        <f>IFERROR(__xludf.DUMMYFUNCTION("REGEXREPLACE( $AR23, CONCATENATE(""["",BU23,""]""), """")"),"")</f>
        <v/>
      </c>
      <c r="BY23" s="12" t="str">
        <f t="shared" si="9"/>
        <v>eacfgd</v>
      </c>
      <c r="BZ23" s="12" t="str">
        <f>IFERROR(__xludf.DUMMYFUNCTION("CONCATENATE(SORT(TRANSPOSE(SPLIT(REGEXREPLACE(REGEXREPLACE(BY23&amp;"""",""(?s)(.{1})"",""$1""&amp;CHAR(127)),""'"",""''""),CHAR(127))),1,true),""1"")"),"acdefg1")</f>
        <v>acdefg1</v>
      </c>
      <c r="CA23" s="16"/>
      <c r="CB23" s="12" t="str">
        <f t="shared" si="10"/>
        <v>adb</v>
      </c>
      <c r="CC23" s="12" t="str">
        <f>IFERROR(__xludf.DUMMYFUNCTION("CONCATENATE(SORT(TRANSPOSE(SPLIT(REGEXREPLACE(REGEXREPLACE(CB23&amp;"""",""(?s)(.{1})"",""$1""&amp;CHAR(127)),""'"",""''""),CHAR(127))),1,true),""1"")"),"abd1")</f>
        <v>abd1</v>
      </c>
      <c r="CD23" s="16"/>
      <c r="CE23" s="12" t="str">
        <f t="shared" si="11"/>
        <v>gcdbefa</v>
      </c>
      <c r="CF23" s="12" t="str">
        <f>IFERROR(__xludf.DUMMYFUNCTION("CONCATENATE(SORT(TRANSPOSE(SPLIT(REGEXREPLACE(REGEXREPLACE(CE23&amp;"""",""(?s)(.{1})"",""$1""&amp;CHAR(127)),""'"",""''""),CHAR(127))),1,true),""1"")"),"abcdefg1")</f>
        <v>abcdefg1</v>
      </c>
      <c r="CG23" s="16"/>
      <c r="CH23" s="10" t="str">
        <f>IFERROR(__xludf.DUMMYFUNCTION("FILTER(K23:T23,len(K23:T23)=6)"),"bfedac")</f>
        <v>bfedac</v>
      </c>
      <c r="CI23" s="6" t="str">
        <f>IFERROR(__xludf.DUMMYFUNCTION("""COMPUTED_VALUE"""),"eacfgd")</f>
        <v>eacfgd</v>
      </c>
      <c r="CJ23" s="6" t="str">
        <f>IFERROR(__xludf.DUMMYFUNCTION("""COMPUTED_VALUE"""),"abfgdc")</f>
        <v>abfgdc</v>
      </c>
      <c r="CK23" s="6" t="str">
        <f>IFERROR(__xludf.DUMMYFUNCTION("REGEXREPLACE( $BG23, CONCATENATE(""["",CH23,""]""), """")"),"g")</f>
        <v>g</v>
      </c>
      <c r="CL23" s="6" t="str">
        <f>IFERROR(__xludf.DUMMYFUNCTION("REGEXREPLACE( $BG23, CONCATENATE(""["",CI23,""]""), """")"),"b")</f>
        <v>b</v>
      </c>
      <c r="CM23" s="6" t="str">
        <f>IFERROR(__xludf.DUMMYFUNCTION("REGEXREPLACE( $BG23, CONCATENATE(""["",CJ23,""]""), """")"),"")</f>
        <v/>
      </c>
      <c r="CN23" s="12" t="str">
        <f t="shared" si="12"/>
        <v>abfgdc</v>
      </c>
      <c r="CO23" s="12" t="str">
        <f>IFERROR(__xludf.DUMMYFUNCTION("CONCATENATE(SORT(TRANSPOSE(SPLIT(REGEXREPLACE(REGEXREPLACE(CN23&amp;"""",""(?s)(.{1})"",""$1""&amp;CHAR(127)),""'"",""''""),CHAR(127))),1,true),""1"")"),"abcdfg1")</f>
        <v>abcdfg1</v>
      </c>
      <c r="CP23" s="15"/>
    </row>
    <row r="24">
      <c r="A24" s="1" t="s">
        <v>44</v>
      </c>
      <c r="H24" s="6" t="str">
        <f>IFERROR(__xludf.DUMMYFUNCTION("SPLIT(A24,""|"")"),"aegcdb ag bdgef aefcbd gbdae gacd aegfbc cgdbeaf dbace bga ")</f>
        <v>aegcdb ag bdgef aefcbd gbdae gacd aegfbc cgdbeaf dbace bga </v>
      </c>
      <c r="I24" s="6" t="str">
        <f>IFERROR(__xludf.DUMMYFUNCTION("""COMPUTED_VALUE""")," gba dgca fbegd fbdge")</f>
        <v> gba dgca fbegd fbdge</v>
      </c>
      <c r="J24" s="15"/>
      <c r="K24" s="6" t="str">
        <f>IFERROR(__xludf.DUMMYFUNCTION("split(H24,"" "")"),"aegcdb")</f>
        <v>aegcdb</v>
      </c>
      <c r="L24" s="6" t="str">
        <f>IFERROR(__xludf.DUMMYFUNCTION("""COMPUTED_VALUE"""),"ag")</f>
        <v>ag</v>
      </c>
      <c r="M24" s="6" t="str">
        <f>IFERROR(__xludf.DUMMYFUNCTION("""COMPUTED_VALUE"""),"bdgef")</f>
        <v>bdgef</v>
      </c>
      <c r="N24" s="6" t="str">
        <f>IFERROR(__xludf.DUMMYFUNCTION("""COMPUTED_VALUE"""),"aefcbd")</f>
        <v>aefcbd</v>
      </c>
      <c r="O24" s="6" t="str">
        <f>IFERROR(__xludf.DUMMYFUNCTION("""COMPUTED_VALUE"""),"gbdae")</f>
        <v>gbdae</v>
      </c>
      <c r="P24" s="6" t="str">
        <f>IFERROR(__xludf.DUMMYFUNCTION("""COMPUTED_VALUE"""),"gacd")</f>
        <v>gacd</v>
      </c>
      <c r="Q24" s="6" t="str">
        <f>IFERROR(__xludf.DUMMYFUNCTION("""COMPUTED_VALUE"""),"aegfbc")</f>
        <v>aegfbc</v>
      </c>
      <c r="R24" s="6" t="str">
        <f>IFERROR(__xludf.DUMMYFUNCTION("""COMPUTED_VALUE"""),"cgdbeaf")</f>
        <v>cgdbeaf</v>
      </c>
      <c r="S24" s="6" t="str">
        <f>IFERROR(__xludf.DUMMYFUNCTION("""COMPUTED_VALUE"""),"dbace")</f>
        <v>dbace</v>
      </c>
      <c r="T24" s="6" t="str">
        <f>IFERROR(__xludf.DUMMYFUNCTION("""COMPUTED_VALUE"""),"bga")</f>
        <v>bga</v>
      </c>
      <c r="U24" s="15"/>
      <c r="V24" s="6" t="str">
        <f>IFERROR(__xludf.DUMMYFUNCTION("split(I24,"" "")"),"gba")</f>
        <v>gba</v>
      </c>
      <c r="W24" s="6" t="str">
        <f>IFERROR(__xludf.DUMMYFUNCTION("""COMPUTED_VALUE"""),"dgca")</f>
        <v>dgca</v>
      </c>
      <c r="X24" s="6" t="str">
        <f>IFERROR(__xludf.DUMMYFUNCTION("""COMPUTED_VALUE"""),"fbegd")</f>
        <v>fbegd</v>
      </c>
      <c r="Y24" s="6" t="str">
        <f>IFERROR(__xludf.DUMMYFUNCTION("""COMPUTED_VALUE"""),"fbdge")</f>
        <v>fbdge</v>
      </c>
      <c r="Z24" s="6" t="str">
        <f>IFERROR(__xludf.DUMMYFUNCTION("CONCATENATE(SORT(TRANSPOSE(SPLIT(REGEXREPLACE(REGEXREPLACE(V24&amp;"""",""(?s)(.{1})"",""$1""&amp;CHAR(127)),""'"",""''""),CHAR(127))),1,true))"),"abg")</f>
        <v>abg</v>
      </c>
      <c r="AA24" s="6" t="str">
        <f>IFERROR(__xludf.DUMMYFUNCTION("CONCATENATE(SORT(TRANSPOSE(SPLIT(REGEXREPLACE(REGEXREPLACE(W24&amp;"""",""(?s)(.{1})"",""$1""&amp;CHAR(127)),""'"",""''""),CHAR(127))),1,true))"),"acdg")</f>
        <v>acdg</v>
      </c>
      <c r="AB24" s="6" t="str">
        <f>IFERROR(__xludf.DUMMYFUNCTION("CONCATENATE(SORT(TRANSPOSE(SPLIT(REGEXREPLACE(REGEXREPLACE(X24&amp;"""",""(?s)(.{1})"",""$1""&amp;CHAR(127)),""'"",""''""),CHAR(127))),1,true))"),"bdefg")</f>
        <v>bdefg</v>
      </c>
      <c r="AC24" s="6" t="str">
        <f>IFERROR(__xludf.DUMMYFUNCTION("CONCATENATE(SORT(TRANSPOSE(SPLIT(REGEXREPLACE(REGEXREPLACE(Y24&amp;"""",""(?s)(.{1})"",""$1""&amp;CHAR(127)),""'"",""''""),CHAR(127))),1,true))"),"bdefg")</f>
        <v>bdefg</v>
      </c>
      <c r="AD24" s="6">
        <f t="shared" ref="AD24:AG24" si="34">INDEX($AO$1:$CP$1,1,MATCH(CONCATENATE(Z24,"1"),$AO24:$CP24,0)+1)</f>
        <v>7</v>
      </c>
      <c r="AE24" s="6">
        <f t="shared" si="34"/>
        <v>4</v>
      </c>
      <c r="AF24" s="6">
        <f t="shared" si="34"/>
        <v>2</v>
      </c>
      <c r="AG24" s="6">
        <f t="shared" si="34"/>
        <v>2</v>
      </c>
      <c r="AH24" s="6">
        <f t="shared" si="3"/>
        <v>7422</v>
      </c>
      <c r="AI24" s="16"/>
      <c r="AJ24" s="9" t="str">
        <f>IFERROR(__xludf.DUMMYFUNCTION("REGEXREPLACE(AR24,CONCATENATE(""["",BY24,""]""),"""")"),"g")</f>
        <v>g</v>
      </c>
      <c r="AK24" s="10" t="str">
        <f>IFERROR(__xludf.DUMMYFUNCTION("FILTER($K24:$T24,len($K24:$T24)=6,NOT($K24:$T24=BY24))"),"aegcdb")</f>
        <v>aegcdb</v>
      </c>
      <c r="AL24" s="6" t="str">
        <f>IFERROR(__xludf.DUMMYFUNCTION("""COMPUTED_VALUE"""),"aegfbc")</f>
        <v>aegfbc</v>
      </c>
      <c r="AM24" s="6" t="str">
        <f>IFERROR(__xludf.DUMMYFUNCTION("REGEXREPLACE( $BG24, CONCATENATE(""["",AK24,""]""), """")"),"")</f>
        <v/>
      </c>
      <c r="AN24" s="6" t="str">
        <f>IFERROR(__xludf.DUMMYFUNCTION("REGEXREPLACE( $BG24, CONCATENATE(""["",AL24,""]""), """")"),"d")</f>
        <v>d</v>
      </c>
      <c r="AO24" s="11" t="str">
        <f t="shared" si="4"/>
        <v>aegfbc</v>
      </c>
      <c r="AP24" s="12" t="str">
        <f>IFERROR(__xludf.DUMMYFUNCTION("CONCATENATE(SORT(TRANSPOSE(SPLIT(REGEXREPLACE(REGEXREPLACE(AO24&amp;"""",""(?s)(.{1})"",""$1""&amp;CHAR(127)),""'"",""''""),CHAR(127))),1,true),""1"")"),"abcefg1")</f>
        <v>abcefg1</v>
      </c>
      <c r="AQ24" s="16"/>
      <c r="AR24" s="12" t="str">
        <f t="shared" si="5"/>
        <v>ag</v>
      </c>
      <c r="AS24" s="12" t="str">
        <f>IFERROR(__xludf.DUMMYFUNCTION("CONCATENATE(SORT(TRANSPOSE(SPLIT(REGEXREPLACE(REGEXREPLACE(AR24&amp;"""",""(?s)(.{1})"",""$1""&amp;CHAR(127)),""'"",""''""),CHAR(127))),1,true),""1"")"),"ag1")</f>
        <v>ag1</v>
      </c>
      <c r="AT24" s="16"/>
      <c r="AU24" s="13" t="str">
        <f>IFERROR(__xludf.DUMMYFUNCTION("FILTER($K24:$T24,len($K24:$T24)=5,NOT($K24:$T24=BD24),NOT($K24:$T24=BP24))"),"bdgef")</f>
        <v>bdgef</v>
      </c>
      <c r="AV24" s="12" t="str">
        <f>IFERROR(__xludf.DUMMYFUNCTION("CONCATENATE(SORT(TRANSPOSE(SPLIT(REGEXREPLACE(REGEXREPLACE(AU24&amp;"""",""(?s)(.{1})"",""$1""&amp;CHAR(127)),""'"",""''""),CHAR(127))),1,true),""1"")"),"bdefg1")</f>
        <v>bdefg1</v>
      </c>
      <c r="AW24" s="16"/>
      <c r="AX24" s="10" t="str">
        <f>IFERROR(__xludf.DUMMYFUNCTION("FILTER($K24:$T24,len($K24:$T24)=5)"),"bdgef")</f>
        <v>bdgef</v>
      </c>
      <c r="AY24" s="6" t="str">
        <f>IFERROR(__xludf.DUMMYFUNCTION("""COMPUTED_VALUE"""),"gbdae")</f>
        <v>gbdae</v>
      </c>
      <c r="AZ24" s="6" t="str">
        <f>IFERROR(__xludf.DUMMYFUNCTION("""COMPUTED_VALUE"""),"dbace")</f>
        <v>dbace</v>
      </c>
      <c r="BA24" s="6" t="str">
        <f>IFERROR(__xludf.DUMMYFUNCTION("REGEXREPLACE( $AR24, CONCATENATE(""["",AX24,""]""), """")"),"a")</f>
        <v>a</v>
      </c>
      <c r="BB24" s="6" t="str">
        <f>IFERROR(__xludf.DUMMYFUNCTION("REGEXREPLACE( $AR24, CONCATENATE(""["",AY24,""]""), """")"),"")</f>
        <v/>
      </c>
      <c r="BC24" s="6" t="str">
        <f>IFERROR(__xludf.DUMMYFUNCTION("REGEXREPLACE( $AR24, CONCATENATE(""["",AZ24,""]""), """")"),"g")</f>
        <v>g</v>
      </c>
      <c r="BD24" s="11" t="str">
        <f t="shared" si="6"/>
        <v>gbdae</v>
      </c>
      <c r="BE24" s="12" t="str">
        <f>IFERROR(__xludf.DUMMYFUNCTION("CONCATENATE(SORT(TRANSPOSE(SPLIT(REGEXREPLACE(REGEXREPLACE(BD24&amp;"""",""(?s)(.{1})"",""$1""&amp;CHAR(127)),""'"",""''""),CHAR(127))),1,true),""1"")"),"abdeg1")</f>
        <v>abdeg1</v>
      </c>
      <c r="BF24" s="16"/>
      <c r="BG24" s="12" t="str">
        <f t="shared" si="7"/>
        <v>gacd</v>
      </c>
      <c r="BH24" s="12" t="str">
        <f>IFERROR(__xludf.DUMMYFUNCTION("CONCATENATE(SORT(TRANSPOSE(SPLIT(REGEXREPLACE(REGEXREPLACE(BG24&amp;"""",""(?s)(.{1})"",""$1""&amp;CHAR(127)),""'"",""''""),CHAR(127))),1,true),""1"")"),"acdg1")</f>
        <v>acdg1</v>
      </c>
      <c r="BI24" s="16"/>
      <c r="BJ24" s="10" t="str">
        <f>IFERROR(__xludf.DUMMYFUNCTION("FILTER($K24:$T24,len($K24:$T24)=5)"),"bdgef")</f>
        <v>bdgef</v>
      </c>
      <c r="BK24" s="6" t="str">
        <f>IFERROR(__xludf.DUMMYFUNCTION("""COMPUTED_VALUE"""),"gbdae")</f>
        <v>gbdae</v>
      </c>
      <c r="BL24" s="6" t="str">
        <f>IFERROR(__xludf.DUMMYFUNCTION("""COMPUTED_VALUE"""),"dbace")</f>
        <v>dbace</v>
      </c>
      <c r="BM24" s="14" t="str">
        <f>IFERROR(__xludf.DUMMYFUNCTION("REGEXREPLACE( $BY24, CONCATENATE(""["",BJ24,""]""), """")"),"ac")</f>
        <v>ac</v>
      </c>
      <c r="BN24" s="14" t="str">
        <f>IFERROR(__xludf.DUMMYFUNCTION("REGEXREPLACE( $BY24, CONCATENATE(""["",BK24,""]""), """")"),"fc")</f>
        <v>fc</v>
      </c>
      <c r="BO24" s="14" t="str">
        <f>IFERROR(__xludf.DUMMYFUNCTION("REGEXREPLACE( $BY24, CONCATENATE(""["",BL24,""]""), """")"),"f")</f>
        <v>f</v>
      </c>
      <c r="BP24" s="11" t="str">
        <f t="shared" si="8"/>
        <v>dbace</v>
      </c>
      <c r="BQ24" s="12" t="str">
        <f>IFERROR(__xludf.DUMMYFUNCTION("CONCATENATE(SORT(TRANSPOSE(SPLIT(REGEXREPLACE(REGEXREPLACE(BP24&amp;"""",""(?s)(.{1})"",""$1""&amp;CHAR(127)),""'"",""''""),CHAR(127))),1,true),""1"")"),"abcde1")</f>
        <v>abcde1</v>
      </c>
      <c r="BR24" s="16"/>
      <c r="BS24" s="10" t="str">
        <f>IFERROR(__xludf.DUMMYFUNCTION("FILTER(K24:T24,len(K24:T24)=6)"),"aegcdb")</f>
        <v>aegcdb</v>
      </c>
      <c r="BT24" s="6" t="str">
        <f>IFERROR(__xludf.DUMMYFUNCTION("""COMPUTED_VALUE"""),"aefcbd")</f>
        <v>aefcbd</v>
      </c>
      <c r="BU24" s="6" t="str">
        <f>IFERROR(__xludf.DUMMYFUNCTION("""COMPUTED_VALUE"""),"aegfbc")</f>
        <v>aegfbc</v>
      </c>
      <c r="BV24" s="6" t="str">
        <f>IFERROR(__xludf.DUMMYFUNCTION("REGEXREPLACE( $AR24, CONCATENATE(""["",BS24,""]""), """")"),"")</f>
        <v/>
      </c>
      <c r="BW24" s="6" t="str">
        <f>IFERROR(__xludf.DUMMYFUNCTION("REGEXREPLACE( $AR24, CONCATENATE(""["",BT24,""]""), """")"),"g")</f>
        <v>g</v>
      </c>
      <c r="BX24" s="6" t="str">
        <f>IFERROR(__xludf.DUMMYFUNCTION("REGEXREPLACE( $AR24, CONCATENATE(""["",BU24,""]""), """")"),"")</f>
        <v/>
      </c>
      <c r="BY24" s="12" t="str">
        <f t="shared" si="9"/>
        <v>aefcbd</v>
      </c>
      <c r="BZ24" s="12" t="str">
        <f>IFERROR(__xludf.DUMMYFUNCTION("CONCATENATE(SORT(TRANSPOSE(SPLIT(REGEXREPLACE(REGEXREPLACE(BY24&amp;"""",""(?s)(.{1})"",""$1""&amp;CHAR(127)),""'"",""''""),CHAR(127))),1,true),""1"")"),"abcdef1")</f>
        <v>abcdef1</v>
      </c>
      <c r="CA24" s="16"/>
      <c r="CB24" s="12" t="str">
        <f t="shared" si="10"/>
        <v>bga</v>
      </c>
      <c r="CC24" s="12" t="str">
        <f>IFERROR(__xludf.DUMMYFUNCTION("CONCATENATE(SORT(TRANSPOSE(SPLIT(REGEXREPLACE(REGEXREPLACE(CB24&amp;"""",""(?s)(.{1})"",""$1""&amp;CHAR(127)),""'"",""''""),CHAR(127))),1,true),""1"")"),"abg1")</f>
        <v>abg1</v>
      </c>
      <c r="CD24" s="16"/>
      <c r="CE24" s="12" t="str">
        <f t="shared" si="11"/>
        <v>cgdbeaf</v>
      </c>
      <c r="CF24" s="12" t="str">
        <f>IFERROR(__xludf.DUMMYFUNCTION("CONCATENATE(SORT(TRANSPOSE(SPLIT(REGEXREPLACE(REGEXREPLACE(CE24&amp;"""",""(?s)(.{1})"",""$1""&amp;CHAR(127)),""'"",""''""),CHAR(127))),1,true),""1"")"),"abcdefg1")</f>
        <v>abcdefg1</v>
      </c>
      <c r="CG24" s="16"/>
      <c r="CH24" s="10" t="str">
        <f>IFERROR(__xludf.DUMMYFUNCTION("FILTER(K24:T24,len(K24:T24)=6)"),"aegcdb")</f>
        <v>aegcdb</v>
      </c>
      <c r="CI24" s="6" t="str">
        <f>IFERROR(__xludf.DUMMYFUNCTION("""COMPUTED_VALUE"""),"aefcbd")</f>
        <v>aefcbd</v>
      </c>
      <c r="CJ24" s="6" t="str">
        <f>IFERROR(__xludf.DUMMYFUNCTION("""COMPUTED_VALUE"""),"aegfbc")</f>
        <v>aegfbc</v>
      </c>
      <c r="CK24" s="6" t="str">
        <f>IFERROR(__xludf.DUMMYFUNCTION("REGEXREPLACE( $BG24, CONCATENATE(""["",CH24,""]""), """")"),"")</f>
        <v/>
      </c>
      <c r="CL24" s="6" t="str">
        <f>IFERROR(__xludf.DUMMYFUNCTION("REGEXREPLACE( $BG24, CONCATENATE(""["",CI24,""]""), """")"),"g")</f>
        <v>g</v>
      </c>
      <c r="CM24" s="6" t="str">
        <f>IFERROR(__xludf.DUMMYFUNCTION("REGEXREPLACE( $BG24, CONCATENATE(""["",CJ24,""]""), """")"),"d")</f>
        <v>d</v>
      </c>
      <c r="CN24" s="12" t="str">
        <f t="shared" si="12"/>
        <v>aegcdb</v>
      </c>
      <c r="CO24" s="12" t="str">
        <f>IFERROR(__xludf.DUMMYFUNCTION("CONCATENATE(SORT(TRANSPOSE(SPLIT(REGEXREPLACE(REGEXREPLACE(CN24&amp;"""",""(?s)(.{1})"",""$1""&amp;CHAR(127)),""'"",""''""),CHAR(127))),1,true),""1"")"),"abcdeg1")</f>
        <v>abcdeg1</v>
      </c>
      <c r="CP24" s="15"/>
    </row>
    <row r="25">
      <c r="A25" s="1" t="s">
        <v>45</v>
      </c>
      <c r="H25" s="6" t="str">
        <f>IFERROR(__xludf.DUMMYFUNCTION("SPLIT(A25,""|"")"),"cgea fdbega cfagd dae feacd bfdec ae fcgbad egafcd aedgfcb ")</f>
        <v>cgea fdbega cfagd dae feacd bfdec ae fcgbad egafcd aedgfcb </v>
      </c>
      <c r="I25" s="6" t="str">
        <f>IFERROR(__xludf.DUMMYFUNCTION("""COMPUTED_VALUE""")," gace agefcdb caefbgd ae")</f>
        <v> gace agefcdb caefbgd ae</v>
      </c>
      <c r="J25" s="15"/>
      <c r="K25" s="6" t="str">
        <f>IFERROR(__xludf.DUMMYFUNCTION("split(H25,"" "")"),"cgea")</f>
        <v>cgea</v>
      </c>
      <c r="L25" s="6" t="str">
        <f>IFERROR(__xludf.DUMMYFUNCTION("""COMPUTED_VALUE"""),"fdbega")</f>
        <v>fdbega</v>
      </c>
      <c r="M25" s="6" t="str">
        <f>IFERROR(__xludf.DUMMYFUNCTION("""COMPUTED_VALUE"""),"cfagd")</f>
        <v>cfagd</v>
      </c>
      <c r="N25" s="6" t="str">
        <f>IFERROR(__xludf.DUMMYFUNCTION("""COMPUTED_VALUE"""),"dae")</f>
        <v>dae</v>
      </c>
      <c r="O25" s="6" t="str">
        <f>IFERROR(__xludf.DUMMYFUNCTION("""COMPUTED_VALUE"""),"feacd")</f>
        <v>feacd</v>
      </c>
      <c r="P25" s="6" t="str">
        <f>IFERROR(__xludf.DUMMYFUNCTION("""COMPUTED_VALUE"""),"bfdec")</f>
        <v>bfdec</v>
      </c>
      <c r="Q25" s="6" t="str">
        <f>IFERROR(__xludf.DUMMYFUNCTION("""COMPUTED_VALUE"""),"ae")</f>
        <v>ae</v>
      </c>
      <c r="R25" s="6" t="str">
        <f>IFERROR(__xludf.DUMMYFUNCTION("""COMPUTED_VALUE"""),"fcgbad")</f>
        <v>fcgbad</v>
      </c>
      <c r="S25" s="6" t="str">
        <f>IFERROR(__xludf.DUMMYFUNCTION("""COMPUTED_VALUE"""),"egafcd")</f>
        <v>egafcd</v>
      </c>
      <c r="T25" s="6" t="str">
        <f>IFERROR(__xludf.DUMMYFUNCTION("""COMPUTED_VALUE"""),"aedgfcb")</f>
        <v>aedgfcb</v>
      </c>
      <c r="U25" s="15"/>
      <c r="V25" s="6" t="str">
        <f>IFERROR(__xludf.DUMMYFUNCTION("split(I25,"" "")"),"gace")</f>
        <v>gace</v>
      </c>
      <c r="W25" s="6" t="str">
        <f>IFERROR(__xludf.DUMMYFUNCTION("""COMPUTED_VALUE"""),"agefcdb")</f>
        <v>agefcdb</v>
      </c>
      <c r="X25" s="6" t="str">
        <f>IFERROR(__xludf.DUMMYFUNCTION("""COMPUTED_VALUE"""),"caefbgd")</f>
        <v>caefbgd</v>
      </c>
      <c r="Y25" s="6" t="str">
        <f>IFERROR(__xludf.DUMMYFUNCTION("""COMPUTED_VALUE"""),"ae")</f>
        <v>ae</v>
      </c>
      <c r="Z25" s="6" t="str">
        <f>IFERROR(__xludf.DUMMYFUNCTION("CONCATENATE(SORT(TRANSPOSE(SPLIT(REGEXREPLACE(REGEXREPLACE(V25&amp;"""",""(?s)(.{1})"",""$1""&amp;CHAR(127)),""'"",""''""),CHAR(127))),1,true))"),"aceg")</f>
        <v>aceg</v>
      </c>
      <c r="AA25" s="6" t="str">
        <f>IFERROR(__xludf.DUMMYFUNCTION("CONCATENATE(SORT(TRANSPOSE(SPLIT(REGEXREPLACE(REGEXREPLACE(W25&amp;"""",""(?s)(.{1})"",""$1""&amp;CHAR(127)),""'"",""''""),CHAR(127))),1,true))"),"abcdefg")</f>
        <v>abcdefg</v>
      </c>
      <c r="AB25" s="6" t="str">
        <f>IFERROR(__xludf.DUMMYFUNCTION("CONCATENATE(SORT(TRANSPOSE(SPLIT(REGEXREPLACE(REGEXREPLACE(X25&amp;"""",""(?s)(.{1})"",""$1""&amp;CHAR(127)),""'"",""''""),CHAR(127))),1,true))"),"abcdefg")</f>
        <v>abcdefg</v>
      </c>
      <c r="AC25" s="6" t="str">
        <f>IFERROR(__xludf.DUMMYFUNCTION("CONCATENATE(SORT(TRANSPOSE(SPLIT(REGEXREPLACE(REGEXREPLACE(Y25&amp;"""",""(?s)(.{1})"",""$1""&amp;CHAR(127)),""'"",""''""),CHAR(127))),1,true))"),"ae")</f>
        <v>ae</v>
      </c>
      <c r="AD25" s="6">
        <f t="shared" ref="AD25:AG25" si="35">INDEX($AO$1:$CP$1,1,MATCH(CONCATENATE(Z25,"1"),$AO25:$CP25,0)+1)</f>
        <v>4</v>
      </c>
      <c r="AE25" s="6">
        <f t="shared" si="35"/>
        <v>8</v>
      </c>
      <c r="AF25" s="6">
        <f t="shared" si="35"/>
        <v>8</v>
      </c>
      <c r="AG25" s="6">
        <f t="shared" si="35"/>
        <v>1</v>
      </c>
      <c r="AH25" s="6">
        <f t="shared" si="3"/>
        <v>4881</v>
      </c>
      <c r="AI25" s="16"/>
      <c r="AJ25" s="9" t="str">
        <f>IFERROR(__xludf.DUMMYFUNCTION("REGEXREPLACE(AR25,CONCATENATE(""["",BY25,""]""),"""")"),"e")</f>
        <v>e</v>
      </c>
      <c r="AK25" s="10" t="str">
        <f>IFERROR(__xludf.DUMMYFUNCTION("FILTER($K25:$T25,len($K25:$T25)=6,NOT($K25:$T25=BY25))"),"fdbega")</f>
        <v>fdbega</v>
      </c>
      <c r="AL25" s="6" t="str">
        <f>IFERROR(__xludf.DUMMYFUNCTION("""COMPUTED_VALUE"""),"egafcd")</f>
        <v>egafcd</v>
      </c>
      <c r="AM25" s="6" t="str">
        <f>IFERROR(__xludf.DUMMYFUNCTION("REGEXREPLACE( $BG25, CONCATENATE(""["",AK25,""]""), """")"),"c")</f>
        <v>c</v>
      </c>
      <c r="AN25" s="6" t="str">
        <f>IFERROR(__xludf.DUMMYFUNCTION("REGEXREPLACE( $BG25, CONCATENATE(""["",AL25,""]""), """")"),"")</f>
        <v/>
      </c>
      <c r="AO25" s="11" t="str">
        <f t="shared" si="4"/>
        <v>fdbega</v>
      </c>
      <c r="AP25" s="12" t="str">
        <f>IFERROR(__xludf.DUMMYFUNCTION("CONCATENATE(SORT(TRANSPOSE(SPLIT(REGEXREPLACE(REGEXREPLACE(AO25&amp;"""",""(?s)(.{1})"",""$1""&amp;CHAR(127)),""'"",""''""),CHAR(127))),1,true),""1"")"),"abdefg1")</f>
        <v>abdefg1</v>
      </c>
      <c r="AQ25" s="16"/>
      <c r="AR25" s="12" t="str">
        <f t="shared" si="5"/>
        <v>ae</v>
      </c>
      <c r="AS25" s="12" t="str">
        <f>IFERROR(__xludf.DUMMYFUNCTION("CONCATENATE(SORT(TRANSPOSE(SPLIT(REGEXREPLACE(REGEXREPLACE(AR25&amp;"""",""(?s)(.{1})"",""$1""&amp;CHAR(127)),""'"",""''""),CHAR(127))),1,true),""1"")"),"ae1")</f>
        <v>ae1</v>
      </c>
      <c r="AT25" s="16"/>
      <c r="AU25" s="13" t="str">
        <f>IFERROR(__xludf.DUMMYFUNCTION("FILTER($K25:$T25,len($K25:$T25)=5,NOT($K25:$T25=BD25),NOT($K25:$T25=BP25))"),"bfdec")</f>
        <v>bfdec</v>
      </c>
      <c r="AV25" s="12" t="str">
        <f>IFERROR(__xludf.DUMMYFUNCTION("CONCATENATE(SORT(TRANSPOSE(SPLIT(REGEXREPLACE(REGEXREPLACE(AU25&amp;"""",""(?s)(.{1})"",""$1""&amp;CHAR(127)),""'"",""''""),CHAR(127))),1,true),""1"")"),"bcdef1")</f>
        <v>bcdef1</v>
      </c>
      <c r="AW25" s="16"/>
      <c r="AX25" s="10" t="str">
        <f>IFERROR(__xludf.DUMMYFUNCTION("FILTER($K25:$T25,len($K25:$T25)=5)"),"cfagd")</f>
        <v>cfagd</v>
      </c>
      <c r="AY25" s="6" t="str">
        <f>IFERROR(__xludf.DUMMYFUNCTION("""COMPUTED_VALUE"""),"feacd")</f>
        <v>feacd</v>
      </c>
      <c r="AZ25" s="6" t="str">
        <f>IFERROR(__xludf.DUMMYFUNCTION("""COMPUTED_VALUE"""),"bfdec")</f>
        <v>bfdec</v>
      </c>
      <c r="BA25" s="6" t="str">
        <f>IFERROR(__xludf.DUMMYFUNCTION("REGEXREPLACE( $AR25, CONCATENATE(""["",AX25,""]""), """")"),"e")</f>
        <v>e</v>
      </c>
      <c r="BB25" s="6" t="str">
        <f>IFERROR(__xludf.DUMMYFUNCTION("REGEXREPLACE( $AR25, CONCATENATE(""["",AY25,""]""), """")"),"")</f>
        <v/>
      </c>
      <c r="BC25" s="6" t="str">
        <f>IFERROR(__xludf.DUMMYFUNCTION("REGEXREPLACE( $AR25, CONCATENATE(""["",AZ25,""]""), """")"),"a")</f>
        <v>a</v>
      </c>
      <c r="BD25" s="11" t="str">
        <f t="shared" si="6"/>
        <v>feacd</v>
      </c>
      <c r="BE25" s="12" t="str">
        <f>IFERROR(__xludf.DUMMYFUNCTION("CONCATENATE(SORT(TRANSPOSE(SPLIT(REGEXREPLACE(REGEXREPLACE(BD25&amp;"""",""(?s)(.{1})"",""$1""&amp;CHAR(127)),""'"",""''""),CHAR(127))),1,true),""1"")"),"acdef1")</f>
        <v>acdef1</v>
      </c>
      <c r="BF25" s="16"/>
      <c r="BG25" s="12" t="str">
        <f t="shared" si="7"/>
        <v>cgea</v>
      </c>
      <c r="BH25" s="12" t="str">
        <f>IFERROR(__xludf.DUMMYFUNCTION("CONCATENATE(SORT(TRANSPOSE(SPLIT(REGEXREPLACE(REGEXREPLACE(BG25&amp;"""",""(?s)(.{1})"",""$1""&amp;CHAR(127)),""'"",""''""),CHAR(127))),1,true),""1"")"),"aceg1")</f>
        <v>aceg1</v>
      </c>
      <c r="BI25" s="16"/>
      <c r="BJ25" s="10" t="str">
        <f>IFERROR(__xludf.DUMMYFUNCTION("FILTER($K25:$T25,len($K25:$T25)=5)"),"cfagd")</f>
        <v>cfagd</v>
      </c>
      <c r="BK25" s="6" t="str">
        <f>IFERROR(__xludf.DUMMYFUNCTION("""COMPUTED_VALUE"""),"feacd")</f>
        <v>feacd</v>
      </c>
      <c r="BL25" s="6" t="str">
        <f>IFERROR(__xludf.DUMMYFUNCTION("""COMPUTED_VALUE"""),"bfdec")</f>
        <v>bfdec</v>
      </c>
      <c r="BM25" s="14" t="str">
        <f>IFERROR(__xludf.DUMMYFUNCTION("REGEXREPLACE( $BY25, CONCATENATE(""["",BJ25,""]""), """")"),"b")</f>
        <v>b</v>
      </c>
      <c r="BN25" s="14" t="str">
        <f>IFERROR(__xludf.DUMMYFUNCTION("REGEXREPLACE( $BY25, CONCATENATE(""["",BK25,""]""), """")"),"gb")</f>
        <v>gb</v>
      </c>
      <c r="BO25" s="14" t="str">
        <f>IFERROR(__xludf.DUMMYFUNCTION("REGEXREPLACE( $BY25, CONCATENATE(""["",BL25,""]""), """")"),"ga")</f>
        <v>ga</v>
      </c>
      <c r="BP25" s="11" t="str">
        <f t="shared" si="8"/>
        <v>cfagd</v>
      </c>
      <c r="BQ25" s="12" t="str">
        <f>IFERROR(__xludf.DUMMYFUNCTION("CONCATENATE(SORT(TRANSPOSE(SPLIT(REGEXREPLACE(REGEXREPLACE(BP25&amp;"""",""(?s)(.{1})"",""$1""&amp;CHAR(127)),""'"",""''""),CHAR(127))),1,true),""1"")"),"acdfg1")</f>
        <v>acdfg1</v>
      </c>
      <c r="BR25" s="16"/>
      <c r="BS25" s="10" t="str">
        <f>IFERROR(__xludf.DUMMYFUNCTION("FILTER(K25:T25,len(K25:T25)=6)"),"fdbega")</f>
        <v>fdbega</v>
      </c>
      <c r="BT25" s="6" t="str">
        <f>IFERROR(__xludf.DUMMYFUNCTION("""COMPUTED_VALUE"""),"fcgbad")</f>
        <v>fcgbad</v>
      </c>
      <c r="BU25" s="6" t="str">
        <f>IFERROR(__xludf.DUMMYFUNCTION("""COMPUTED_VALUE"""),"egafcd")</f>
        <v>egafcd</v>
      </c>
      <c r="BV25" s="6" t="str">
        <f>IFERROR(__xludf.DUMMYFUNCTION("REGEXREPLACE( $AR25, CONCATENATE(""["",BS25,""]""), """")"),"")</f>
        <v/>
      </c>
      <c r="BW25" s="6" t="str">
        <f>IFERROR(__xludf.DUMMYFUNCTION("REGEXREPLACE( $AR25, CONCATENATE(""["",BT25,""]""), """")"),"e")</f>
        <v>e</v>
      </c>
      <c r="BX25" s="6" t="str">
        <f>IFERROR(__xludf.DUMMYFUNCTION("REGEXREPLACE( $AR25, CONCATENATE(""["",BU25,""]""), """")"),"")</f>
        <v/>
      </c>
      <c r="BY25" s="12" t="str">
        <f t="shared" si="9"/>
        <v>fcgbad</v>
      </c>
      <c r="BZ25" s="12" t="str">
        <f>IFERROR(__xludf.DUMMYFUNCTION("CONCATENATE(SORT(TRANSPOSE(SPLIT(REGEXREPLACE(REGEXREPLACE(BY25&amp;"""",""(?s)(.{1})"",""$1""&amp;CHAR(127)),""'"",""''""),CHAR(127))),1,true),""1"")"),"abcdfg1")</f>
        <v>abcdfg1</v>
      </c>
      <c r="CA25" s="16"/>
      <c r="CB25" s="12" t="str">
        <f t="shared" si="10"/>
        <v>dae</v>
      </c>
      <c r="CC25" s="12" t="str">
        <f>IFERROR(__xludf.DUMMYFUNCTION("CONCATENATE(SORT(TRANSPOSE(SPLIT(REGEXREPLACE(REGEXREPLACE(CB25&amp;"""",""(?s)(.{1})"",""$1""&amp;CHAR(127)),""'"",""''""),CHAR(127))),1,true),""1"")"),"ade1")</f>
        <v>ade1</v>
      </c>
      <c r="CD25" s="16"/>
      <c r="CE25" s="12" t="str">
        <f t="shared" si="11"/>
        <v>aedgfcb</v>
      </c>
      <c r="CF25" s="12" t="str">
        <f>IFERROR(__xludf.DUMMYFUNCTION("CONCATENATE(SORT(TRANSPOSE(SPLIT(REGEXREPLACE(REGEXREPLACE(CE25&amp;"""",""(?s)(.{1})"",""$1""&amp;CHAR(127)),""'"",""''""),CHAR(127))),1,true),""1"")"),"abcdefg1")</f>
        <v>abcdefg1</v>
      </c>
      <c r="CG25" s="16"/>
      <c r="CH25" s="10" t="str">
        <f>IFERROR(__xludf.DUMMYFUNCTION("FILTER(K25:T25,len(K25:T25)=6)"),"fdbega")</f>
        <v>fdbega</v>
      </c>
      <c r="CI25" s="6" t="str">
        <f>IFERROR(__xludf.DUMMYFUNCTION("""COMPUTED_VALUE"""),"fcgbad")</f>
        <v>fcgbad</v>
      </c>
      <c r="CJ25" s="6" t="str">
        <f>IFERROR(__xludf.DUMMYFUNCTION("""COMPUTED_VALUE"""),"egafcd")</f>
        <v>egafcd</v>
      </c>
      <c r="CK25" s="6" t="str">
        <f>IFERROR(__xludf.DUMMYFUNCTION("REGEXREPLACE( $BG25, CONCATENATE(""["",CH25,""]""), """")"),"c")</f>
        <v>c</v>
      </c>
      <c r="CL25" s="6" t="str">
        <f>IFERROR(__xludf.DUMMYFUNCTION("REGEXREPLACE( $BG25, CONCATENATE(""["",CI25,""]""), """")"),"e")</f>
        <v>e</v>
      </c>
      <c r="CM25" s="6" t="str">
        <f>IFERROR(__xludf.DUMMYFUNCTION("REGEXREPLACE( $BG25, CONCATENATE(""["",CJ25,""]""), """")"),"")</f>
        <v/>
      </c>
      <c r="CN25" s="12" t="str">
        <f t="shared" si="12"/>
        <v>egafcd</v>
      </c>
      <c r="CO25" s="12" t="str">
        <f>IFERROR(__xludf.DUMMYFUNCTION("CONCATENATE(SORT(TRANSPOSE(SPLIT(REGEXREPLACE(REGEXREPLACE(CN25&amp;"""",""(?s)(.{1})"",""$1""&amp;CHAR(127)),""'"",""''""),CHAR(127))),1,true),""1"")"),"acdefg1")</f>
        <v>acdefg1</v>
      </c>
      <c r="CP25" s="15"/>
    </row>
    <row r="26">
      <c r="A26" s="1" t="s">
        <v>46</v>
      </c>
      <c r="H26" s="6" t="str">
        <f>IFERROR(__xludf.DUMMYFUNCTION("SPLIT(A26,""|"")"),"egfc cae gacbfe fdbae ceabf ce cgedab fdgcba fdbaegc fbagc ")</f>
        <v>egfc cae gacbfe fdbae ceabf ce cgedab fdgcba fdbaegc fbagc </v>
      </c>
      <c r="I26" s="6" t="str">
        <f>IFERROR(__xludf.DUMMYFUNCTION("""COMPUTED_VALUE""")," egcdfab cgef ecfg fgcab")</f>
        <v> egcdfab cgef ecfg fgcab</v>
      </c>
      <c r="J26" s="15"/>
      <c r="K26" s="6" t="str">
        <f>IFERROR(__xludf.DUMMYFUNCTION("split(H26,"" "")"),"egfc")</f>
        <v>egfc</v>
      </c>
      <c r="L26" s="6" t="str">
        <f>IFERROR(__xludf.DUMMYFUNCTION("""COMPUTED_VALUE"""),"cae")</f>
        <v>cae</v>
      </c>
      <c r="M26" s="6" t="str">
        <f>IFERROR(__xludf.DUMMYFUNCTION("""COMPUTED_VALUE"""),"gacbfe")</f>
        <v>gacbfe</v>
      </c>
      <c r="N26" s="6" t="str">
        <f>IFERROR(__xludf.DUMMYFUNCTION("""COMPUTED_VALUE"""),"fdbae")</f>
        <v>fdbae</v>
      </c>
      <c r="O26" s="6" t="str">
        <f>IFERROR(__xludf.DUMMYFUNCTION("""COMPUTED_VALUE"""),"ceabf")</f>
        <v>ceabf</v>
      </c>
      <c r="P26" s="6" t="str">
        <f>IFERROR(__xludf.DUMMYFUNCTION("""COMPUTED_VALUE"""),"ce")</f>
        <v>ce</v>
      </c>
      <c r="Q26" s="6" t="str">
        <f>IFERROR(__xludf.DUMMYFUNCTION("""COMPUTED_VALUE"""),"cgedab")</f>
        <v>cgedab</v>
      </c>
      <c r="R26" s="6" t="str">
        <f>IFERROR(__xludf.DUMMYFUNCTION("""COMPUTED_VALUE"""),"fdgcba")</f>
        <v>fdgcba</v>
      </c>
      <c r="S26" s="6" t="str">
        <f>IFERROR(__xludf.DUMMYFUNCTION("""COMPUTED_VALUE"""),"fdbaegc")</f>
        <v>fdbaegc</v>
      </c>
      <c r="T26" s="6" t="str">
        <f>IFERROR(__xludf.DUMMYFUNCTION("""COMPUTED_VALUE"""),"fbagc")</f>
        <v>fbagc</v>
      </c>
      <c r="U26" s="15"/>
      <c r="V26" s="6" t="str">
        <f>IFERROR(__xludf.DUMMYFUNCTION("split(I26,"" "")"),"egcdfab")</f>
        <v>egcdfab</v>
      </c>
      <c r="W26" s="6" t="str">
        <f>IFERROR(__xludf.DUMMYFUNCTION("""COMPUTED_VALUE"""),"cgef")</f>
        <v>cgef</v>
      </c>
      <c r="X26" s="6" t="str">
        <f>IFERROR(__xludf.DUMMYFUNCTION("""COMPUTED_VALUE"""),"ecfg")</f>
        <v>ecfg</v>
      </c>
      <c r="Y26" s="6" t="str">
        <f>IFERROR(__xludf.DUMMYFUNCTION("""COMPUTED_VALUE"""),"fgcab")</f>
        <v>fgcab</v>
      </c>
      <c r="Z26" s="6" t="str">
        <f>IFERROR(__xludf.DUMMYFUNCTION("CONCATENATE(SORT(TRANSPOSE(SPLIT(REGEXREPLACE(REGEXREPLACE(V26&amp;"""",""(?s)(.{1})"",""$1""&amp;CHAR(127)),""'"",""''""),CHAR(127))),1,true))"),"abcdefg")</f>
        <v>abcdefg</v>
      </c>
      <c r="AA26" s="6" t="str">
        <f>IFERROR(__xludf.DUMMYFUNCTION("CONCATENATE(SORT(TRANSPOSE(SPLIT(REGEXREPLACE(REGEXREPLACE(W26&amp;"""",""(?s)(.{1})"",""$1""&amp;CHAR(127)),""'"",""''""),CHAR(127))),1,true))"),"cefg")</f>
        <v>cefg</v>
      </c>
      <c r="AB26" s="6" t="str">
        <f>IFERROR(__xludf.DUMMYFUNCTION("CONCATENATE(SORT(TRANSPOSE(SPLIT(REGEXREPLACE(REGEXREPLACE(X26&amp;"""",""(?s)(.{1})"",""$1""&amp;CHAR(127)),""'"",""''""),CHAR(127))),1,true))"),"cefg")</f>
        <v>cefg</v>
      </c>
      <c r="AC26" s="6" t="str">
        <f>IFERROR(__xludf.DUMMYFUNCTION("CONCATENATE(SORT(TRANSPOSE(SPLIT(REGEXREPLACE(REGEXREPLACE(Y26&amp;"""",""(?s)(.{1})"",""$1""&amp;CHAR(127)),""'"",""''""),CHAR(127))),1,true))"),"abcfg")</f>
        <v>abcfg</v>
      </c>
      <c r="AD26" s="6">
        <f t="shared" ref="AD26:AG26" si="36">INDEX($AO$1:$CP$1,1,MATCH(CONCATENATE(Z26,"1"),$AO26:$CP26,0)+1)</f>
        <v>8</v>
      </c>
      <c r="AE26" s="6">
        <f t="shared" si="36"/>
        <v>4</v>
      </c>
      <c r="AF26" s="6">
        <f t="shared" si="36"/>
        <v>4</v>
      </c>
      <c r="AG26" s="6">
        <f t="shared" si="36"/>
        <v>5</v>
      </c>
      <c r="AH26" s="6">
        <f t="shared" si="3"/>
        <v>8445</v>
      </c>
      <c r="AI26" s="16"/>
      <c r="AJ26" s="9" t="str">
        <f>IFERROR(__xludf.DUMMYFUNCTION("REGEXREPLACE(AR26,CONCATENATE(""["",BY26,""]""),"""")"),"e")</f>
        <v>e</v>
      </c>
      <c r="AK26" s="10" t="str">
        <f>IFERROR(__xludf.DUMMYFUNCTION("FILTER($K26:$T26,len($K26:$T26)=6,NOT($K26:$T26=BY26))"),"gacbfe")</f>
        <v>gacbfe</v>
      </c>
      <c r="AL26" s="6" t="str">
        <f>IFERROR(__xludf.DUMMYFUNCTION("""COMPUTED_VALUE"""),"cgedab")</f>
        <v>cgedab</v>
      </c>
      <c r="AM26" s="6" t="str">
        <f>IFERROR(__xludf.DUMMYFUNCTION("REGEXREPLACE( $BG26, CONCATENATE(""["",AK26,""]""), """")"),"")</f>
        <v/>
      </c>
      <c r="AN26" s="6" t="str">
        <f>IFERROR(__xludf.DUMMYFUNCTION("REGEXREPLACE( $BG26, CONCATENATE(""["",AL26,""]""), """")"),"f")</f>
        <v>f</v>
      </c>
      <c r="AO26" s="11" t="str">
        <f t="shared" si="4"/>
        <v>cgedab</v>
      </c>
      <c r="AP26" s="12" t="str">
        <f>IFERROR(__xludf.DUMMYFUNCTION("CONCATENATE(SORT(TRANSPOSE(SPLIT(REGEXREPLACE(REGEXREPLACE(AO26&amp;"""",""(?s)(.{1})"",""$1""&amp;CHAR(127)),""'"",""''""),CHAR(127))),1,true),""1"")"),"abcdeg1")</f>
        <v>abcdeg1</v>
      </c>
      <c r="AQ26" s="16"/>
      <c r="AR26" s="12" t="str">
        <f t="shared" si="5"/>
        <v>ce</v>
      </c>
      <c r="AS26" s="12" t="str">
        <f>IFERROR(__xludf.DUMMYFUNCTION("CONCATENATE(SORT(TRANSPOSE(SPLIT(REGEXREPLACE(REGEXREPLACE(AR26&amp;"""",""(?s)(.{1})"",""$1""&amp;CHAR(127)),""'"",""''""),CHAR(127))),1,true),""1"")"),"ce1")</f>
        <v>ce1</v>
      </c>
      <c r="AT26" s="16"/>
      <c r="AU26" s="13" t="str">
        <f>IFERROR(__xludf.DUMMYFUNCTION("FILTER($K26:$T26,len($K26:$T26)=5,NOT($K26:$T26=BD26),NOT($K26:$T26=BP26))"),"fdbae")</f>
        <v>fdbae</v>
      </c>
      <c r="AV26" s="12" t="str">
        <f>IFERROR(__xludf.DUMMYFUNCTION("CONCATENATE(SORT(TRANSPOSE(SPLIT(REGEXREPLACE(REGEXREPLACE(AU26&amp;"""",""(?s)(.{1})"",""$1""&amp;CHAR(127)),""'"",""''""),CHAR(127))),1,true),""1"")"),"abdef1")</f>
        <v>abdef1</v>
      </c>
      <c r="AW26" s="16"/>
      <c r="AX26" s="10" t="str">
        <f>IFERROR(__xludf.DUMMYFUNCTION("FILTER($K26:$T26,len($K26:$T26)=5)"),"fdbae")</f>
        <v>fdbae</v>
      </c>
      <c r="AY26" s="6" t="str">
        <f>IFERROR(__xludf.DUMMYFUNCTION("""COMPUTED_VALUE"""),"ceabf")</f>
        <v>ceabf</v>
      </c>
      <c r="AZ26" s="6" t="str">
        <f>IFERROR(__xludf.DUMMYFUNCTION("""COMPUTED_VALUE"""),"fbagc")</f>
        <v>fbagc</v>
      </c>
      <c r="BA26" s="6" t="str">
        <f>IFERROR(__xludf.DUMMYFUNCTION("REGEXREPLACE( $AR26, CONCATENATE(""["",AX26,""]""), """")"),"c")</f>
        <v>c</v>
      </c>
      <c r="BB26" s="6" t="str">
        <f>IFERROR(__xludf.DUMMYFUNCTION("REGEXREPLACE( $AR26, CONCATENATE(""["",AY26,""]""), """")"),"")</f>
        <v/>
      </c>
      <c r="BC26" s="6" t="str">
        <f>IFERROR(__xludf.DUMMYFUNCTION("REGEXREPLACE( $AR26, CONCATENATE(""["",AZ26,""]""), """")"),"e")</f>
        <v>e</v>
      </c>
      <c r="BD26" s="11" t="str">
        <f t="shared" si="6"/>
        <v>ceabf</v>
      </c>
      <c r="BE26" s="12" t="str">
        <f>IFERROR(__xludf.DUMMYFUNCTION("CONCATENATE(SORT(TRANSPOSE(SPLIT(REGEXREPLACE(REGEXREPLACE(BD26&amp;"""",""(?s)(.{1})"",""$1""&amp;CHAR(127)),""'"",""''""),CHAR(127))),1,true),""1"")"),"abcef1")</f>
        <v>abcef1</v>
      </c>
      <c r="BF26" s="16"/>
      <c r="BG26" s="12" t="str">
        <f t="shared" si="7"/>
        <v>egfc</v>
      </c>
      <c r="BH26" s="12" t="str">
        <f>IFERROR(__xludf.DUMMYFUNCTION("CONCATENATE(SORT(TRANSPOSE(SPLIT(REGEXREPLACE(REGEXREPLACE(BG26&amp;"""",""(?s)(.{1})"",""$1""&amp;CHAR(127)),""'"",""''""),CHAR(127))),1,true),""1"")"),"cefg1")</f>
        <v>cefg1</v>
      </c>
      <c r="BI26" s="16"/>
      <c r="BJ26" s="10" t="str">
        <f>IFERROR(__xludf.DUMMYFUNCTION("FILTER($K26:$T26,len($K26:$T26)=5)"),"fdbae")</f>
        <v>fdbae</v>
      </c>
      <c r="BK26" s="6" t="str">
        <f>IFERROR(__xludf.DUMMYFUNCTION("""COMPUTED_VALUE"""),"ceabf")</f>
        <v>ceabf</v>
      </c>
      <c r="BL26" s="6" t="str">
        <f>IFERROR(__xludf.DUMMYFUNCTION("""COMPUTED_VALUE"""),"fbagc")</f>
        <v>fbagc</v>
      </c>
      <c r="BM26" s="14" t="str">
        <f>IFERROR(__xludf.DUMMYFUNCTION("REGEXREPLACE( $BY26, CONCATENATE(""["",BJ26,""]""), """")"),"gc")</f>
        <v>gc</v>
      </c>
      <c r="BN26" s="14" t="str">
        <f>IFERROR(__xludf.DUMMYFUNCTION("REGEXREPLACE( $BY26, CONCATENATE(""["",BK26,""]""), """")"),"dg")</f>
        <v>dg</v>
      </c>
      <c r="BO26" s="14" t="str">
        <f>IFERROR(__xludf.DUMMYFUNCTION("REGEXREPLACE( $BY26, CONCATENATE(""["",BL26,""]""), """")"),"d")</f>
        <v>d</v>
      </c>
      <c r="BP26" s="11" t="str">
        <f t="shared" si="8"/>
        <v>fbagc</v>
      </c>
      <c r="BQ26" s="12" t="str">
        <f>IFERROR(__xludf.DUMMYFUNCTION("CONCATENATE(SORT(TRANSPOSE(SPLIT(REGEXREPLACE(REGEXREPLACE(BP26&amp;"""",""(?s)(.{1})"",""$1""&amp;CHAR(127)),""'"",""''""),CHAR(127))),1,true),""1"")"),"abcfg1")</f>
        <v>abcfg1</v>
      </c>
      <c r="BR26" s="16"/>
      <c r="BS26" s="10" t="str">
        <f>IFERROR(__xludf.DUMMYFUNCTION("FILTER(K26:T26,len(K26:T26)=6)"),"gacbfe")</f>
        <v>gacbfe</v>
      </c>
      <c r="BT26" s="6" t="str">
        <f>IFERROR(__xludf.DUMMYFUNCTION("""COMPUTED_VALUE"""),"cgedab")</f>
        <v>cgedab</v>
      </c>
      <c r="BU26" s="6" t="str">
        <f>IFERROR(__xludf.DUMMYFUNCTION("""COMPUTED_VALUE"""),"fdgcba")</f>
        <v>fdgcba</v>
      </c>
      <c r="BV26" s="6" t="str">
        <f>IFERROR(__xludf.DUMMYFUNCTION("REGEXREPLACE( $AR26, CONCATENATE(""["",BS26,""]""), """")"),"")</f>
        <v/>
      </c>
      <c r="BW26" s="6" t="str">
        <f>IFERROR(__xludf.DUMMYFUNCTION("REGEXREPLACE( $AR26, CONCATENATE(""["",BT26,""]""), """")"),"")</f>
        <v/>
      </c>
      <c r="BX26" s="6" t="str">
        <f>IFERROR(__xludf.DUMMYFUNCTION("REGEXREPLACE( $AR26, CONCATENATE(""["",BU26,""]""), """")"),"e")</f>
        <v>e</v>
      </c>
      <c r="BY26" s="12" t="str">
        <f t="shared" si="9"/>
        <v>fdgcba</v>
      </c>
      <c r="BZ26" s="12" t="str">
        <f>IFERROR(__xludf.DUMMYFUNCTION("CONCATENATE(SORT(TRANSPOSE(SPLIT(REGEXREPLACE(REGEXREPLACE(BY26&amp;"""",""(?s)(.{1})"",""$1""&amp;CHAR(127)),""'"",""''""),CHAR(127))),1,true),""1"")"),"abcdfg1")</f>
        <v>abcdfg1</v>
      </c>
      <c r="CA26" s="16"/>
      <c r="CB26" s="12" t="str">
        <f t="shared" si="10"/>
        <v>cae</v>
      </c>
      <c r="CC26" s="12" t="str">
        <f>IFERROR(__xludf.DUMMYFUNCTION("CONCATENATE(SORT(TRANSPOSE(SPLIT(REGEXREPLACE(REGEXREPLACE(CB26&amp;"""",""(?s)(.{1})"",""$1""&amp;CHAR(127)),""'"",""''""),CHAR(127))),1,true),""1"")"),"ace1")</f>
        <v>ace1</v>
      </c>
      <c r="CD26" s="16"/>
      <c r="CE26" s="12" t="str">
        <f t="shared" si="11"/>
        <v>fdbaegc</v>
      </c>
      <c r="CF26" s="12" t="str">
        <f>IFERROR(__xludf.DUMMYFUNCTION("CONCATENATE(SORT(TRANSPOSE(SPLIT(REGEXREPLACE(REGEXREPLACE(CE26&amp;"""",""(?s)(.{1})"",""$1""&amp;CHAR(127)),""'"",""''""),CHAR(127))),1,true),""1"")"),"abcdefg1")</f>
        <v>abcdefg1</v>
      </c>
      <c r="CG26" s="16"/>
      <c r="CH26" s="10" t="str">
        <f>IFERROR(__xludf.DUMMYFUNCTION("FILTER(K26:T26,len(K26:T26)=6)"),"gacbfe")</f>
        <v>gacbfe</v>
      </c>
      <c r="CI26" s="6" t="str">
        <f>IFERROR(__xludf.DUMMYFUNCTION("""COMPUTED_VALUE"""),"cgedab")</f>
        <v>cgedab</v>
      </c>
      <c r="CJ26" s="6" t="str">
        <f>IFERROR(__xludf.DUMMYFUNCTION("""COMPUTED_VALUE"""),"fdgcba")</f>
        <v>fdgcba</v>
      </c>
      <c r="CK26" s="6" t="str">
        <f>IFERROR(__xludf.DUMMYFUNCTION("REGEXREPLACE( $BG26, CONCATENATE(""["",CH26,""]""), """")"),"")</f>
        <v/>
      </c>
      <c r="CL26" s="6" t="str">
        <f>IFERROR(__xludf.DUMMYFUNCTION("REGEXREPLACE( $BG26, CONCATENATE(""["",CI26,""]""), """")"),"f")</f>
        <v>f</v>
      </c>
      <c r="CM26" s="6" t="str">
        <f>IFERROR(__xludf.DUMMYFUNCTION("REGEXREPLACE( $BG26, CONCATENATE(""["",CJ26,""]""), """")"),"e")</f>
        <v>e</v>
      </c>
      <c r="CN26" s="12" t="str">
        <f t="shared" si="12"/>
        <v>gacbfe</v>
      </c>
      <c r="CO26" s="12" t="str">
        <f>IFERROR(__xludf.DUMMYFUNCTION("CONCATENATE(SORT(TRANSPOSE(SPLIT(REGEXREPLACE(REGEXREPLACE(CN26&amp;"""",""(?s)(.{1})"",""$1""&amp;CHAR(127)),""'"",""''""),CHAR(127))),1,true),""1"")"),"abcefg1")</f>
        <v>abcefg1</v>
      </c>
      <c r="CP26" s="15"/>
    </row>
    <row r="27">
      <c r="A27" s="1" t="s">
        <v>47</v>
      </c>
      <c r="H27" s="6" t="str">
        <f>IFERROR(__xludf.DUMMYFUNCTION("SPLIT(A27,""|"")"),"bagcd afgdcb cdfa dcebfg fbcaedg bcefga ac dbeag fdcbg cba ")</f>
        <v>bagcd afgdcb cdfa dcebfg fbcaedg bcefga ac dbeag fdcbg cba </v>
      </c>
      <c r="I27" s="6" t="str">
        <f>IFERROR(__xludf.DUMMYFUNCTION("""COMPUTED_VALUE""")," ac cfgbd ebfdacg acdf")</f>
        <v> ac cfgbd ebfdacg acdf</v>
      </c>
      <c r="J27" s="15"/>
      <c r="K27" s="6" t="str">
        <f>IFERROR(__xludf.DUMMYFUNCTION("split(H27,"" "")"),"bagcd")</f>
        <v>bagcd</v>
      </c>
      <c r="L27" s="6" t="str">
        <f>IFERROR(__xludf.DUMMYFUNCTION("""COMPUTED_VALUE"""),"afgdcb")</f>
        <v>afgdcb</v>
      </c>
      <c r="M27" s="6" t="str">
        <f>IFERROR(__xludf.DUMMYFUNCTION("""COMPUTED_VALUE"""),"cdfa")</f>
        <v>cdfa</v>
      </c>
      <c r="N27" s="6" t="str">
        <f>IFERROR(__xludf.DUMMYFUNCTION("""COMPUTED_VALUE"""),"dcebfg")</f>
        <v>dcebfg</v>
      </c>
      <c r="O27" s="6" t="str">
        <f>IFERROR(__xludf.DUMMYFUNCTION("""COMPUTED_VALUE"""),"fbcaedg")</f>
        <v>fbcaedg</v>
      </c>
      <c r="P27" s="6" t="str">
        <f>IFERROR(__xludf.DUMMYFUNCTION("""COMPUTED_VALUE"""),"bcefga")</f>
        <v>bcefga</v>
      </c>
      <c r="Q27" s="6" t="str">
        <f>IFERROR(__xludf.DUMMYFUNCTION("""COMPUTED_VALUE"""),"ac")</f>
        <v>ac</v>
      </c>
      <c r="R27" s="6" t="str">
        <f>IFERROR(__xludf.DUMMYFUNCTION("""COMPUTED_VALUE"""),"dbeag")</f>
        <v>dbeag</v>
      </c>
      <c r="S27" s="6" t="str">
        <f>IFERROR(__xludf.DUMMYFUNCTION("""COMPUTED_VALUE"""),"fdcbg")</f>
        <v>fdcbg</v>
      </c>
      <c r="T27" s="6" t="str">
        <f>IFERROR(__xludf.DUMMYFUNCTION("""COMPUTED_VALUE"""),"cba")</f>
        <v>cba</v>
      </c>
      <c r="U27" s="15"/>
      <c r="V27" s="6" t="str">
        <f>IFERROR(__xludf.DUMMYFUNCTION("split(I27,"" "")"),"ac")</f>
        <v>ac</v>
      </c>
      <c r="W27" s="6" t="str">
        <f>IFERROR(__xludf.DUMMYFUNCTION("""COMPUTED_VALUE"""),"cfgbd")</f>
        <v>cfgbd</v>
      </c>
      <c r="X27" s="6" t="str">
        <f>IFERROR(__xludf.DUMMYFUNCTION("""COMPUTED_VALUE"""),"ebfdacg")</f>
        <v>ebfdacg</v>
      </c>
      <c r="Y27" s="6" t="str">
        <f>IFERROR(__xludf.DUMMYFUNCTION("""COMPUTED_VALUE"""),"acdf")</f>
        <v>acdf</v>
      </c>
      <c r="Z27" s="6" t="str">
        <f>IFERROR(__xludf.DUMMYFUNCTION("CONCATENATE(SORT(TRANSPOSE(SPLIT(REGEXREPLACE(REGEXREPLACE(V27&amp;"""",""(?s)(.{1})"",""$1""&amp;CHAR(127)),""'"",""''""),CHAR(127))),1,true))"),"ac")</f>
        <v>ac</v>
      </c>
      <c r="AA27" s="6" t="str">
        <f>IFERROR(__xludf.DUMMYFUNCTION("CONCATENATE(SORT(TRANSPOSE(SPLIT(REGEXREPLACE(REGEXREPLACE(W27&amp;"""",""(?s)(.{1})"",""$1""&amp;CHAR(127)),""'"",""''""),CHAR(127))),1,true))"),"bcdfg")</f>
        <v>bcdfg</v>
      </c>
      <c r="AB27" s="6" t="str">
        <f>IFERROR(__xludf.DUMMYFUNCTION("CONCATENATE(SORT(TRANSPOSE(SPLIT(REGEXREPLACE(REGEXREPLACE(X27&amp;"""",""(?s)(.{1})"",""$1""&amp;CHAR(127)),""'"",""''""),CHAR(127))),1,true))"),"abcdefg")</f>
        <v>abcdefg</v>
      </c>
      <c r="AC27" s="6" t="str">
        <f>IFERROR(__xludf.DUMMYFUNCTION("CONCATENATE(SORT(TRANSPOSE(SPLIT(REGEXREPLACE(REGEXREPLACE(Y27&amp;"""",""(?s)(.{1})"",""$1""&amp;CHAR(127)),""'"",""''""),CHAR(127))),1,true))"),"acdf")</f>
        <v>acdf</v>
      </c>
      <c r="AD27" s="6">
        <f t="shared" ref="AD27:AG27" si="37">INDEX($AO$1:$CP$1,1,MATCH(CONCATENATE(Z27,"1"),$AO27:$CP27,0)+1)</f>
        <v>1</v>
      </c>
      <c r="AE27" s="6">
        <f t="shared" si="37"/>
        <v>5</v>
      </c>
      <c r="AF27" s="6">
        <f t="shared" si="37"/>
        <v>8</v>
      </c>
      <c r="AG27" s="6">
        <f t="shared" si="37"/>
        <v>4</v>
      </c>
      <c r="AH27" s="6">
        <f t="shared" si="3"/>
        <v>1584</v>
      </c>
      <c r="AI27" s="16"/>
      <c r="AJ27" s="9" t="str">
        <f>IFERROR(__xludf.DUMMYFUNCTION("REGEXREPLACE(AR27,CONCATENATE(""["",BY27,""]""),"""")"),"a")</f>
        <v>a</v>
      </c>
      <c r="AK27" s="10" t="str">
        <f>IFERROR(__xludf.DUMMYFUNCTION("FILTER($K27:$T27,len($K27:$T27)=6,NOT($K27:$T27=BY27))"),"afgdcb")</f>
        <v>afgdcb</v>
      </c>
      <c r="AL27" s="6" t="str">
        <f>IFERROR(__xludf.DUMMYFUNCTION("""COMPUTED_VALUE"""),"bcefga")</f>
        <v>bcefga</v>
      </c>
      <c r="AM27" s="6" t="str">
        <f>IFERROR(__xludf.DUMMYFUNCTION("REGEXREPLACE( $BG27, CONCATENATE(""["",AK27,""]""), """")"),"")</f>
        <v/>
      </c>
      <c r="AN27" s="6" t="str">
        <f>IFERROR(__xludf.DUMMYFUNCTION("REGEXREPLACE( $BG27, CONCATENATE(""["",AL27,""]""), """")"),"d")</f>
        <v>d</v>
      </c>
      <c r="AO27" s="11" t="str">
        <f t="shared" si="4"/>
        <v>bcefga</v>
      </c>
      <c r="AP27" s="12" t="str">
        <f>IFERROR(__xludf.DUMMYFUNCTION("CONCATENATE(SORT(TRANSPOSE(SPLIT(REGEXREPLACE(REGEXREPLACE(AO27&amp;"""",""(?s)(.{1})"",""$1""&amp;CHAR(127)),""'"",""''""),CHAR(127))),1,true),""1"")"),"abcefg1")</f>
        <v>abcefg1</v>
      </c>
      <c r="AQ27" s="16"/>
      <c r="AR27" s="12" t="str">
        <f t="shared" si="5"/>
        <v>ac</v>
      </c>
      <c r="AS27" s="12" t="str">
        <f>IFERROR(__xludf.DUMMYFUNCTION("CONCATENATE(SORT(TRANSPOSE(SPLIT(REGEXREPLACE(REGEXREPLACE(AR27&amp;"""",""(?s)(.{1})"",""$1""&amp;CHAR(127)),""'"",""''""),CHAR(127))),1,true),""1"")"),"ac1")</f>
        <v>ac1</v>
      </c>
      <c r="AT27" s="16"/>
      <c r="AU27" s="13" t="str">
        <f>IFERROR(__xludf.DUMMYFUNCTION("FILTER($K27:$T27,len($K27:$T27)=5,NOT($K27:$T27=BD27),NOT($K27:$T27=BP27))"),"dbeag")</f>
        <v>dbeag</v>
      </c>
      <c r="AV27" s="12" t="str">
        <f>IFERROR(__xludf.DUMMYFUNCTION("CONCATENATE(SORT(TRANSPOSE(SPLIT(REGEXREPLACE(REGEXREPLACE(AU27&amp;"""",""(?s)(.{1})"",""$1""&amp;CHAR(127)),""'"",""''""),CHAR(127))),1,true),""1"")"),"abdeg1")</f>
        <v>abdeg1</v>
      </c>
      <c r="AW27" s="16"/>
      <c r="AX27" s="10" t="str">
        <f>IFERROR(__xludf.DUMMYFUNCTION("FILTER($K27:$T27,len($K27:$T27)=5)"),"bagcd")</f>
        <v>bagcd</v>
      </c>
      <c r="AY27" s="6" t="str">
        <f>IFERROR(__xludf.DUMMYFUNCTION("""COMPUTED_VALUE"""),"dbeag")</f>
        <v>dbeag</v>
      </c>
      <c r="AZ27" s="6" t="str">
        <f>IFERROR(__xludf.DUMMYFUNCTION("""COMPUTED_VALUE"""),"fdcbg")</f>
        <v>fdcbg</v>
      </c>
      <c r="BA27" s="6" t="str">
        <f>IFERROR(__xludf.DUMMYFUNCTION("REGEXREPLACE( $AR27, CONCATENATE(""["",AX27,""]""), """")"),"")</f>
        <v/>
      </c>
      <c r="BB27" s="6" t="str">
        <f>IFERROR(__xludf.DUMMYFUNCTION("REGEXREPLACE( $AR27, CONCATENATE(""["",AY27,""]""), """")"),"c")</f>
        <v>c</v>
      </c>
      <c r="BC27" s="6" t="str">
        <f>IFERROR(__xludf.DUMMYFUNCTION("REGEXREPLACE( $AR27, CONCATENATE(""["",AZ27,""]""), """")"),"a")</f>
        <v>a</v>
      </c>
      <c r="BD27" s="11" t="str">
        <f t="shared" si="6"/>
        <v>bagcd</v>
      </c>
      <c r="BE27" s="12" t="str">
        <f>IFERROR(__xludf.DUMMYFUNCTION("CONCATENATE(SORT(TRANSPOSE(SPLIT(REGEXREPLACE(REGEXREPLACE(BD27&amp;"""",""(?s)(.{1})"",""$1""&amp;CHAR(127)),""'"",""''""),CHAR(127))),1,true),""1"")"),"abcdg1")</f>
        <v>abcdg1</v>
      </c>
      <c r="BF27" s="16"/>
      <c r="BG27" s="12" t="str">
        <f t="shared" si="7"/>
        <v>cdfa</v>
      </c>
      <c r="BH27" s="12" t="str">
        <f>IFERROR(__xludf.DUMMYFUNCTION("CONCATENATE(SORT(TRANSPOSE(SPLIT(REGEXREPLACE(REGEXREPLACE(BG27&amp;"""",""(?s)(.{1})"",""$1""&amp;CHAR(127)),""'"",""''""),CHAR(127))),1,true),""1"")"),"acdf1")</f>
        <v>acdf1</v>
      </c>
      <c r="BI27" s="16"/>
      <c r="BJ27" s="10" t="str">
        <f>IFERROR(__xludf.DUMMYFUNCTION("FILTER($K27:$T27,len($K27:$T27)=5)"),"bagcd")</f>
        <v>bagcd</v>
      </c>
      <c r="BK27" s="6" t="str">
        <f>IFERROR(__xludf.DUMMYFUNCTION("""COMPUTED_VALUE"""),"dbeag")</f>
        <v>dbeag</v>
      </c>
      <c r="BL27" s="6" t="str">
        <f>IFERROR(__xludf.DUMMYFUNCTION("""COMPUTED_VALUE"""),"fdcbg")</f>
        <v>fdcbg</v>
      </c>
      <c r="BM27" s="14" t="str">
        <f>IFERROR(__xludf.DUMMYFUNCTION("REGEXREPLACE( $BY27, CONCATENATE(""["",BJ27,""]""), """")"),"ef")</f>
        <v>ef</v>
      </c>
      <c r="BN27" s="14" t="str">
        <f>IFERROR(__xludf.DUMMYFUNCTION("REGEXREPLACE( $BY27, CONCATENATE(""["",BK27,""]""), """")"),"cf")</f>
        <v>cf</v>
      </c>
      <c r="BO27" s="14" t="str">
        <f>IFERROR(__xludf.DUMMYFUNCTION("REGEXREPLACE( $BY27, CONCATENATE(""["",BL27,""]""), """")"),"e")</f>
        <v>e</v>
      </c>
      <c r="BP27" s="11" t="str">
        <f t="shared" si="8"/>
        <v>fdcbg</v>
      </c>
      <c r="BQ27" s="12" t="str">
        <f>IFERROR(__xludf.DUMMYFUNCTION("CONCATENATE(SORT(TRANSPOSE(SPLIT(REGEXREPLACE(REGEXREPLACE(BP27&amp;"""",""(?s)(.{1})"",""$1""&amp;CHAR(127)),""'"",""''""),CHAR(127))),1,true),""1"")"),"bcdfg1")</f>
        <v>bcdfg1</v>
      </c>
      <c r="BR27" s="16"/>
      <c r="BS27" s="10" t="str">
        <f>IFERROR(__xludf.DUMMYFUNCTION("FILTER(K27:T27,len(K27:T27)=6)"),"afgdcb")</f>
        <v>afgdcb</v>
      </c>
      <c r="BT27" s="6" t="str">
        <f>IFERROR(__xludf.DUMMYFUNCTION("""COMPUTED_VALUE"""),"dcebfg")</f>
        <v>dcebfg</v>
      </c>
      <c r="BU27" s="6" t="str">
        <f>IFERROR(__xludf.DUMMYFUNCTION("""COMPUTED_VALUE"""),"bcefga")</f>
        <v>bcefga</v>
      </c>
      <c r="BV27" s="6" t="str">
        <f>IFERROR(__xludf.DUMMYFUNCTION("REGEXREPLACE( $AR27, CONCATENATE(""["",BS27,""]""), """")"),"")</f>
        <v/>
      </c>
      <c r="BW27" s="6" t="str">
        <f>IFERROR(__xludf.DUMMYFUNCTION("REGEXREPLACE( $AR27, CONCATENATE(""["",BT27,""]""), """")"),"a")</f>
        <v>a</v>
      </c>
      <c r="BX27" s="6" t="str">
        <f>IFERROR(__xludf.DUMMYFUNCTION("REGEXREPLACE( $AR27, CONCATENATE(""["",BU27,""]""), """")"),"")</f>
        <v/>
      </c>
      <c r="BY27" s="12" t="str">
        <f t="shared" si="9"/>
        <v>dcebfg</v>
      </c>
      <c r="BZ27" s="12" t="str">
        <f>IFERROR(__xludf.DUMMYFUNCTION("CONCATENATE(SORT(TRANSPOSE(SPLIT(REGEXREPLACE(REGEXREPLACE(BY27&amp;"""",""(?s)(.{1})"",""$1""&amp;CHAR(127)),""'"",""''""),CHAR(127))),1,true),""1"")"),"bcdefg1")</f>
        <v>bcdefg1</v>
      </c>
      <c r="CA27" s="16"/>
      <c r="CB27" s="12" t="str">
        <f t="shared" si="10"/>
        <v>cba</v>
      </c>
      <c r="CC27" s="12" t="str">
        <f>IFERROR(__xludf.DUMMYFUNCTION("CONCATENATE(SORT(TRANSPOSE(SPLIT(REGEXREPLACE(REGEXREPLACE(CB27&amp;"""",""(?s)(.{1})"",""$1""&amp;CHAR(127)),""'"",""''""),CHAR(127))),1,true),""1"")"),"abc1")</f>
        <v>abc1</v>
      </c>
      <c r="CD27" s="16"/>
      <c r="CE27" s="12" t="str">
        <f t="shared" si="11"/>
        <v>fbcaedg</v>
      </c>
      <c r="CF27" s="12" t="str">
        <f>IFERROR(__xludf.DUMMYFUNCTION("CONCATENATE(SORT(TRANSPOSE(SPLIT(REGEXREPLACE(REGEXREPLACE(CE27&amp;"""",""(?s)(.{1})"",""$1""&amp;CHAR(127)),""'"",""''""),CHAR(127))),1,true),""1"")"),"abcdefg1")</f>
        <v>abcdefg1</v>
      </c>
      <c r="CG27" s="16"/>
      <c r="CH27" s="10" t="str">
        <f>IFERROR(__xludf.DUMMYFUNCTION("FILTER(K27:T27,len(K27:T27)=6)"),"afgdcb")</f>
        <v>afgdcb</v>
      </c>
      <c r="CI27" s="6" t="str">
        <f>IFERROR(__xludf.DUMMYFUNCTION("""COMPUTED_VALUE"""),"dcebfg")</f>
        <v>dcebfg</v>
      </c>
      <c r="CJ27" s="6" t="str">
        <f>IFERROR(__xludf.DUMMYFUNCTION("""COMPUTED_VALUE"""),"bcefga")</f>
        <v>bcefga</v>
      </c>
      <c r="CK27" s="6" t="str">
        <f>IFERROR(__xludf.DUMMYFUNCTION("REGEXREPLACE( $BG27, CONCATENATE(""["",CH27,""]""), """")"),"")</f>
        <v/>
      </c>
      <c r="CL27" s="6" t="str">
        <f>IFERROR(__xludf.DUMMYFUNCTION("REGEXREPLACE( $BG27, CONCATENATE(""["",CI27,""]""), """")"),"a")</f>
        <v>a</v>
      </c>
      <c r="CM27" s="6" t="str">
        <f>IFERROR(__xludf.DUMMYFUNCTION("REGEXREPLACE( $BG27, CONCATENATE(""["",CJ27,""]""), """")"),"d")</f>
        <v>d</v>
      </c>
      <c r="CN27" s="12" t="str">
        <f t="shared" si="12"/>
        <v>afgdcb</v>
      </c>
      <c r="CO27" s="12" t="str">
        <f>IFERROR(__xludf.DUMMYFUNCTION("CONCATENATE(SORT(TRANSPOSE(SPLIT(REGEXREPLACE(REGEXREPLACE(CN27&amp;"""",""(?s)(.{1})"",""$1""&amp;CHAR(127)),""'"",""''""),CHAR(127))),1,true),""1"")"),"abcdfg1")</f>
        <v>abcdfg1</v>
      </c>
      <c r="CP27" s="15"/>
    </row>
    <row r="28">
      <c r="A28" s="1" t="s">
        <v>48</v>
      </c>
      <c r="H28" s="6" t="str">
        <f>IFERROR(__xludf.DUMMYFUNCTION("SPLIT(A28,""|"")"),"abgec bcaed bcaefg dafcge fdecb dabg ead ad gaedbc acdfbeg ")</f>
        <v>abgec bcaed bcaefg dafcge fdecb dabg ead ad gaedbc acdfbeg </v>
      </c>
      <c r="I28" s="6" t="str">
        <f>IFERROR(__xludf.DUMMYFUNCTION("""COMPUTED_VALUE""")," ceadgbf bgda bagfec ade")</f>
        <v> ceadgbf bgda bagfec ade</v>
      </c>
      <c r="J28" s="15"/>
      <c r="K28" s="6" t="str">
        <f>IFERROR(__xludf.DUMMYFUNCTION("split(H28,"" "")"),"abgec")</f>
        <v>abgec</v>
      </c>
      <c r="L28" s="6" t="str">
        <f>IFERROR(__xludf.DUMMYFUNCTION("""COMPUTED_VALUE"""),"bcaed")</f>
        <v>bcaed</v>
      </c>
      <c r="M28" s="6" t="str">
        <f>IFERROR(__xludf.DUMMYFUNCTION("""COMPUTED_VALUE"""),"bcaefg")</f>
        <v>bcaefg</v>
      </c>
      <c r="N28" s="6" t="str">
        <f>IFERROR(__xludf.DUMMYFUNCTION("""COMPUTED_VALUE"""),"dafcge")</f>
        <v>dafcge</v>
      </c>
      <c r="O28" s="6" t="str">
        <f>IFERROR(__xludf.DUMMYFUNCTION("""COMPUTED_VALUE"""),"fdecb")</f>
        <v>fdecb</v>
      </c>
      <c r="P28" s="6" t="str">
        <f>IFERROR(__xludf.DUMMYFUNCTION("""COMPUTED_VALUE"""),"dabg")</f>
        <v>dabg</v>
      </c>
      <c r="Q28" s="6" t="str">
        <f>IFERROR(__xludf.DUMMYFUNCTION("""COMPUTED_VALUE"""),"ead")</f>
        <v>ead</v>
      </c>
      <c r="R28" s="6" t="str">
        <f>IFERROR(__xludf.DUMMYFUNCTION("""COMPUTED_VALUE"""),"ad")</f>
        <v>ad</v>
      </c>
      <c r="S28" s="6" t="str">
        <f>IFERROR(__xludf.DUMMYFUNCTION("""COMPUTED_VALUE"""),"gaedbc")</f>
        <v>gaedbc</v>
      </c>
      <c r="T28" s="6" t="str">
        <f>IFERROR(__xludf.DUMMYFUNCTION("""COMPUTED_VALUE"""),"acdfbeg")</f>
        <v>acdfbeg</v>
      </c>
      <c r="U28" s="15"/>
      <c r="V28" s="6" t="str">
        <f>IFERROR(__xludf.DUMMYFUNCTION("split(I28,"" "")"),"ceadgbf")</f>
        <v>ceadgbf</v>
      </c>
      <c r="W28" s="6" t="str">
        <f>IFERROR(__xludf.DUMMYFUNCTION("""COMPUTED_VALUE"""),"bgda")</f>
        <v>bgda</v>
      </c>
      <c r="X28" s="6" t="str">
        <f>IFERROR(__xludf.DUMMYFUNCTION("""COMPUTED_VALUE"""),"bagfec")</f>
        <v>bagfec</v>
      </c>
      <c r="Y28" s="6" t="str">
        <f>IFERROR(__xludf.DUMMYFUNCTION("""COMPUTED_VALUE"""),"ade")</f>
        <v>ade</v>
      </c>
      <c r="Z28" s="6" t="str">
        <f>IFERROR(__xludf.DUMMYFUNCTION("CONCATENATE(SORT(TRANSPOSE(SPLIT(REGEXREPLACE(REGEXREPLACE(V28&amp;"""",""(?s)(.{1})"",""$1""&amp;CHAR(127)),""'"",""''""),CHAR(127))),1,true))"),"abcdefg")</f>
        <v>abcdefg</v>
      </c>
      <c r="AA28" s="6" t="str">
        <f>IFERROR(__xludf.DUMMYFUNCTION("CONCATENATE(SORT(TRANSPOSE(SPLIT(REGEXREPLACE(REGEXREPLACE(W28&amp;"""",""(?s)(.{1})"",""$1""&amp;CHAR(127)),""'"",""''""),CHAR(127))),1,true))"),"abdg")</f>
        <v>abdg</v>
      </c>
      <c r="AB28" s="6" t="str">
        <f>IFERROR(__xludf.DUMMYFUNCTION("CONCATENATE(SORT(TRANSPOSE(SPLIT(REGEXREPLACE(REGEXREPLACE(X28&amp;"""",""(?s)(.{1})"",""$1""&amp;CHAR(127)),""'"",""''""),CHAR(127))),1,true))"),"abcefg")</f>
        <v>abcefg</v>
      </c>
      <c r="AC28" s="6" t="str">
        <f>IFERROR(__xludf.DUMMYFUNCTION("CONCATENATE(SORT(TRANSPOSE(SPLIT(REGEXREPLACE(REGEXREPLACE(Y28&amp;"""",""(?s)(.{1})"",""$1""&amp;CHAR(127)),""'"",""''""),CHAR(127))),1,true))"),"ade")</f>
        <v>ade</v>
      </c>
      <c r="AD28" s="6">
        <f t="shared" ref="AD28:AG28" si="38">INDEX($AO$1:$CP$1,1,MATCH(CONCATENATE(Z28,"1"),$AO28:$CP28,0)+1)</f>
        <v>8</v>
      </c>
      <c r="AE28" s="6">
        <f t="shared" si="38"/>
        <v>4</v>
      </c>
      <c r="AF28" s="6">
        <f t="shared" si="38"/>
        <v>6</v>
      </c>
      <c r="AG28" s="6">
        <f t="shared" si="38"/>
        <v>7</v>
      </c>
      <c r="AH28" s="6">
        <f t="shared" si="3"/>
        <v>8467</v>
      </c>
      <c r="AI28" s="16"/>
      <c r="AJ28" s="9" t="str">
        <f>IFERROR(__xludf.DUMMYFUNCTION("REGEXREPLACE(AR28,CONCATENATE(""["",BY28,""]""),"""")"),"d")</f>
        <v>d</v>
      </c>
      <c r="AK28" s="10" t="str">
        <f>IFERROR(__xludf.DUMMYFUNCTION("FILTER($K28:$T28,len($K28:$T28)=6,NOT($K28:$T28=BY28))"),"dafcge")</f>
        <v>dafcge</v>
      </c>
      <c r="AL28" s="6" t="str">
        <f>IFERROR(__xludf.DUMMYFUNCTION("""COMPUTED_VALUE"""),"gaedbc")</f>
        <v>gaedbc</v>
      </c>
      <c r="AM28" s="6" t="str">
        <f>IFERROR(__xludf.DUMMYFUNCTION("REGEXREPLACE( $BG28, CONCATENATE(""["",AK28,""]""), """")"),"b")</f>
        <v>b</v>
      </c>
      <c r="AN28" s="6" t="str">
        <f>IFERROR(__xludf.DUMMYFUNCTION("REGEXREPLACE( $BG28, CONCATENATE(""["",AL28,""]""), """")"),"")</f>
        <v/>
      </c>
      <c r="AO28" s="11" t="str">
        <f t="shared" si="4"/>
        <v>dafcge</v>
      </c>
      <c r="AP28" s="12" t="str">
        <f>IFERROR(__xludf.DUMMYFUNCTION("CONCATENATE(SORT(TRANSPOSE(SPLIT(REGEXREPLACE(REGEXREPLACE(AO28&amp;"""",""(?s)(.{1})"",""$1""&amp;CHAR(127)),""'"",""''""),CHAR(127))),1,true),""1"")"),"acdefg1")</f>
        <v>acdefg1</v>
      </c>
      <c r="AQ28" s="16"/>
      <c r="AR28" s="12" t="str">
        <f t="shared" si="5"/>
        <v>ad</v>
      </c>
      <c r="AS28" s="12" t="str">
        <f>IFERROR(__xludf.DUMMYFUNCTION("CONCATENATE(SORT(TRANSPOSE(SPLIT(REGEXREPLACE(REGEXREPLACE(AR28&amp;"""",""(?s)(.{1})"",""$1""&amp;CHAR(127)),""'"",""''""),CHAR(127))),1,true),""1"")"),"ad1")</f>
        <v>ad1</v>
      </c>
      <c r="AT28" s="16"/>
      <c r="AU28" s="13" t="str">
        <f>IFERROR(__xludf.DUMMYFUNCTION("FILTER($K28:$T28,len($K28:$T28)=5,NOT($K28:$T28=BD28),NOT($K28:$T28=BP28))"),"fdecb")</f>
        <v>fdecb</v>
      </c>
      <c r="AV28" s="12" t="str">
        <f>IFERROR(__xludf.DUMMYFUNCTION("CONCATENATE(SORT(TRANSPOSE(SPLIT(REGEXREPLACE(REGEXREPLACE(AU28&amp;"""",""(?s)(.{1})"",""$1""&amp;CHAR(127)),""'"",""''""),CHAR(127))),1,true),""1"")"),"bcdef1")</f>
        <v>bcdef1</v>
      </c>
      <c r="AW28" s="16"/>
      <c r="AX28" s="10" t="str">
        <f>IFERROR(__xludf.DUMMYFUNCTION("FILTER($K28:$T28,len($K28:$T28)=5)"),"abgec")</f>
        <v>abgec</v>
      </c>
      <c r="AY28" s="6" t="str">
        <f>IFERROR(__xludf.DUMMYFUNCTION("""COMPUTED_VALUE"""),"bcaed")</f>
        <v>bcaed</v>
      </c>
      <c r="AZ28" s="6" t="str">
        <f>IFERROR(__xludf.DUMMYFUNCTION("""COMPUTED_VALUE"""),"fdecb")</f>
        <v>fdecb</v>
      </c>
      <c r="BA28" s="6" t="str">
        <f>IFERROR(__xludf.DUMMYFUNCTION("REGEXREPLACE( $AR28, CONCATENATE(""["",AX28,""]""), """")"),"d")</f>
        <v>d</v>
      </c>
      <c r="BB28" s="6" t="str">
        <f>IFERROR(__xludf.DUMMYFUNCTION("REGEXREPLACE( $AR28, CONCATENATE(""["",AY28,""]""), """")"),"")</f>
        <v/>
      </c>
      <c r="BC28" s="6" t="str">
        <f>IFERROR(__xludf.DUMMYFUNCTION("REGEXREPLACE( $AR28, CONCATENATE(""["",AZ28,""]""), """")"),"a")</f>
        <v>a</v>
      </c>
      <c r="BD28" s="11" t="str">
        <f t="shared" si="6"/>
        <v>bcaed</v>
      </c>
      <c r="BE28" s="12" t="str">
        <f>IFERROR(__xludf.DUMMYFUNCTION("CONCATENATE(SORT(TRANSPOSE(SPLIT(REGEXREPLACE(REGEXREPLACE(BD28&amp;"""",""(?s)(.{1})"",""$1""&amp;CHAR(127)),""'"",""''""),CHAR(127))),1,true),""1"")"),"abcde1")</f>
        <v>abcde1</v>
      </c>
      <c r="BF28" s="16"/>
      <c r="BG28" s="12" t="str">
        <f t="shared" si="7"/>
        <v>dabg</v>
      </c>
      <c r="BH28" s="12" t="str">
        <f>IFERROR(__xludf.DUMMYFUNCTION("CONCATENATE(SORT(TRANSPOSE(SPLIT(REGEXREPLACE(REGEXREPLACE(BG28&amp;"""",""(?s)(.{1})"",""$1""&amp;CHAR(127)),""'"",""''""),CHAR(127))),1,true),""1"")"),"abdg1")</f>
        <v>abdg1</v>
      </c>
      <c r="BI28" s="16"/>
      <c r="BJ28" s="10" t="str">
        <f>IFERROR(__xludf.DUMMYFUNCTION("FILTER($K28:$T28,len($K28:$T28)=5)"),"abgec")</f>
        <v>abgec</v>
      </c>
      <c r="BK28" s="6" t="str">
        <f>IFERROR(__xludf.DUMMYFUNCTION("""COMPUTED_VALUE"""),"bcaed")</f>
        <v>bcaed</v>
      </c>
      <c r="BL28" s="6" t="str">
        <f>IFERROR(__xludf.DUMMYFUNCTION("""COMPUTED_VALUE"""),"fdecb")</f>
        <v>fdecb</v>
      </c>
      <c r="BM28" s="14" t="str">
        <f>IFERROR(__xludf.DUMMYFUNCTION("REGEXREPLACE( $BY28, CONCATENATE(""["",BJ28,""]""), """")"),"f")</f>
        <v>f</v>
      </c>
      <c r="BN28" s="14" t="str">
        <f>IFERROR(__xludf.DUMMYFUNCTION("REGEXREPLACE( $BY28, CONCATENATE(""["",BK28,""]""), """")"),"fg")</f>
        <v>fg</v>
      </c>
      <c r="BO28" s="14" t="str">
        <f>IFERROR(__xludf.DUMMYFUNCTION("REGEXREPLACE( $BY28, CONCATENATE(""["",BL28,""]""), """")"),"ag")</f>
        <v>ag</v>
      </c>
      <c r="BP28" s="11" t="str">
        <f t="shared" si="8"/>
        <v>abgec</v>
      </c>
      <c r="BQ28" s="12" t="str">
        <f>IFERROR(__xludf.DUMMYFUNCTION("CONCATENATE(SORT(TRANSPOSE(SPLIT(REGEXREPLACE(REGEXREPLACE(BP28&amp;"""",""(?s)(.{1})"",""$1""&amp;CHAR(127)),""'"",""''""),CHAR(127))),1,true),""1"")"),"abceg1")</f>
        <v>abceg1</v>
      </c>
      <c r="BR28" s="16"/>
      <c r="BS28" s="10" t="str">
        <f>IFERROR(__xludf.DUMMYFUNCTION("FILTER(K28:T28,len(K28:T28)=6)"),"bcaefg")</f>
        <v>bcaefg</v>
      </c>
      <c r="BT28" s="6" t="str">
        <f>IFERROR(__xludf.DUMMYFUNCTION("""COMPUTED_VALUE"""),"dafcge")</f>
        <v>dafcge</v>
      </c>
      <c r="BU28" s="6" t="str">
        <f>IFERROR(__xludf.DUMMYFUNCTION("""COMPUTED_VALUE"""),"gaedbc")</f>
        <v>gaedbc</v>
      </c>
      <c r="BV28" s="6" t="str">
        <f>IFERROR(__xludf.DUMMYFUNCTION("REGEXREPLACE( $AR28, CONCATENATE(""["",BS28,""]""), """")"),"d")</f>
        <v>d</v>
      </c>
      <c r="BW28" s="6" t="str">
        <f>IFERROR(__xludf.DUMMYFUNCTION("REGEXREPLACE( $AR28, CONCATENATE(""["",BT28,""]""), """")"),"")</f>
        <v/>
      </c>
      <c r="BX28" s="6" t="str">
        <f>IFERROR(__xludf.DUMMYFUNCTION("REGEXREPLACE( $AR28, CONCATENATE(""["",BU28,""]""), """")"),"")</f>
        <v/>
      </c>
      <c r="BY28" s="12" t="str">
        <f t="shared" si="9"/>
        <v>bcaefg</v>
      </c>
      <c r="BZ28" s="12" t="str">
        <f>IFERROR(__xludf.DUMMYFUNCTION("CONCATENATE(SORT(TRANSPOSE(SPLIT(REGEXREPLACE(REGEXREPLACE(BY28&amp;"""",""(?s)(.{1})"",""$1""&amp;CHAR(127)),""'"",""''""),CHAR(127))),1,true),""1"")"),"abcefg1")</f>
        <v>abcefg1</v>
      </c>
      <c r="CA28" s="16"/>
      <c r="CB28" s="12" t="str">
        <f t="shared" si="10"/>
        <v>ead</v>
      </c>
      <c r="CC28" s="12" t="str">
        <f>IFERROR(__xludf.DUMMYFUNCTION("CONCATENATE(SORT(TRANSPOSE(SPLIT(REGEXREPLACE(REGEXREPLACE(CB28&amp;"""",""(?s)(.{1})"",""$1""&amp;CHAR(127)),""'"",""''""),CHAR(127))),1,true),""1"")"),"ade1")</f>
        <v>ade1</v>
      </c>
      <c r="CD28" s="16"/>
      <c r="CE28" s="12" t="str">
        <f t="shared" si="11"/>
        <v>acdfbeg</v>
      </c>
      <c r="CF28" s="12" t="str">
        <f>IFERROR(__xludf.DUMMYFUNCTION("CONCATENATE(SORT(TRANSPOSE(SPLIT(REGEXREPLACE(REGEXREPLACE(CE28&amp;"""",""(?s)(.{1})"",""$1""&amp;CHAR(127)),""'"",""''""),CHAR(127))),1,true),""1"")"),"abcdefg1")</f>
        <v>abcdefg1</v>
      </c>
      <c r="CG28" s="16"/>
      <c r="CH28" s="10" t="str">
        <f>IFERROR(__xludf.DUMMYFUNCTION("FILTER(K28:T28,len(K28:T28)=6)"),"bcaefg")</f>
        <v>bcaefg</v>
      </c>
      <c r="CI28" s="6" t="str">
        <f>IFERROR(__xludf.DUMMYFUNCTION("""COMPUTED_VALUE"""),"dafcge")</f>
        <v>dafcge</v>
      </c>
      <c r="CJ28" s="6" t="str">
        <f>IFERROR(__xludf.DUMMYFUNCTION("""COMPUTED_VALUE"""),"gaedbc")</f>
        <v>gaedbc</v>
      </c>
      <c r="CK28" s="6" t="str">
        <f>IFERROR(__xludf.DUMMYFUNCTION("REGEXREPLACE( $BG28, CONCATENATE(""["",CH28,""]""), """")"),"d")</f>
        <v>d</v>
      </c>
      <c r="CL28" s="6" t="str">
        <f>IFERROR(__xludf.DUMMYFUNCTION("REGEXREPLACE( $BG28, CONCATENATE(""["",CI28,""]""), """")"),"b")</f>
        <v>b</v>
      </c>
      <c r="CM28" s="6" t="str">
        <f>IFERROR(__xludf.DUMMYFUNCTION("REGEXREPLACE( $BG28, CONCATENATE(""["",CJ28,""]""), """")"),"")</f>
        <v/>
      </c>
      <c r="CN28" s="12" t="str">
        <f t="shared" si="12"/>
        <v>gaedbc</v>
      </c>
      <c r="CO28" s="12" t="str">
        <f>IFERROR(__xludf.DUMMYFUNCTION("CONCATENATE(SORT(TRANSPOSE(SPLIT(REGEXREPLACE(REGEXREPLACE(CN28&amp;"""",""(?s)(.{1})"",""$1""&amp;CHAR(127)),""'"",""''""),CHAR(127))),1,true),""1"")"),"abcdeg1")</f>
        <v>abcdeg1</v>
      </c>
      <c r="CP28" s="15"/>
    </row>
    <row r="29">
      <c r="A29" s="1" t="s">
        <v>49</v>
      </c>
      <c r="H29" s="6" t="str">
        <f>IFERROR(__xludf.DUMMYFUNCTION("SPLIT(A29,""|"")"),"acgde fcg acgebd dagfc bfdac adcefbg gf dgbcef feag dceagf ")</f>
        <v>acgde fcg acgebd dagfc bfdac adcefbg gf dgbcef feag dceagf </v>
      </c>
      <c r="I29" s="6" t="str">
        <f>IFERROR(__xludf.DUMMYFUNCTION("""COMPUTED_VALUE""")," bcgdfe fcg fega gf")</f>
        <v> bcgdfe fcg fega gf</v>
      </c>
      <c r="J29" s="15"/>
      <c r="K29" s="6" t="str">
        <f>IFERROR(__xludf.DUMMYFUNCTION("split(H29,"" "")"),"acgde")</f>
        <v>acgde</v>
      </c>
      <c r="L29" s="6" t="str">
        <f>IFERROR(__xludf.DUMMYFUNCTION("""COMPUTED_VALUE"""),"fcg")</f>
        <v>fcg</v>
      </c>
      <c r="M29" s="6" t="str">
        <f>IFERROR(__xludf.DUMMYFUNCTION("""COMPUTED_VALUE"""),"acgebd")</f>
        <v>acgebd</v>
      </c>
      <c r="N29" s="6" t="str">
        <f>IFERROR(__xludf.DUMMYFUNCTION("""COMPUTED_VALUE"""),"dagfc")</f>
        <v>dagfc</v>
      </c>
      <c r="O29" s="6" t="str">
        <f>IFERROR(__xludf.DUMMYFUNCTION("""COMPUTED_VALUE"""),"bfdac")</f>
        <v>bfdac</v>
      </c>
      <c r="P29" s="6" t="str">
        <f>IFERROR(__xludf.DUMMYFUNCTION("""COMPUTED_VALUE"""),"adcefbg")</f>
        <v>adcefbg</v>
      </c>
      <c r="Q29" s="6" t="str">
        <f>IFERROR(__xludf.DUMMYFUNCTION("""COMPUTED_VALUE"""),"gf")</f>
        <v>gf</v>
      </c>
      <c r="R29" s="6" t="str">
        <f>IFERROR(__xludf.DUMMYFUNCTION("""COMPUTED_VALUE"""),"dgbcef")</f>
        <v>dgbcef</v>
      </c>
      <c r="S29" s="6" t="str">
        <f>IFERROR(__xludf.DUMMYFUNCTION("""COMPUTED_VALUE"""),"feag")</f>
        <v>feag</v>
      </c>
      <c r="T29" s="6" t="str">
        <f>IFERROR(__xludf.DUMMYFUNCTION("""COMPUTED_VALUE"""),"dceagf")</f>
        <v>dceagf</v>
      </c>
      <c r="U29" s="15"/>
      <c r="V29" s="6" t="str">
        <f>IFERROR(__xludf.DUMMYFUNCTION("split(I29,"" "")"),"bcgdfe")</f>
        <v>bcgdfe</v>
      </c>
      <c r="W29" s="6" t="str">
        <f>IFERROR(__xludf.DUMMYFUNCTION("""COMPUTED_VALUE"""),"fcg")</f>
        <v>fcg</v>
      </c>
      <c r="X29" s="6" t="str">
        <f>IFERROR(__xludf.DUMMYFUNCTION("""COMPUTED_VALUE"""),"fega")</f>
        <v>fega</v>
      </c>
      <c r="Y29" s="6" t="str">
        <f>IFERROR(__xludf.DUMMYFUNCTION("""COMPUTED_VALUE"""),"gf")</f>
        <v>gf</v>
      </c>
      <c r="Z29" s="6" t="str">
        <f>IFERROR(__xludf.DUMMYFUNCTION("CONCATENATE(SORT(TRANSPOSE(SPLIT(REGEXREPLACE(REGEXREPLACE(V29&amp;"""",""(?s)(.{1})"",""$1""&amp;CHAR(127)),""'"",""''""),CHAR(127))),1,true))"),"bcdefg")</f>
        <v>bcdefg</v>
      </c>
      <c r="AA29" s="6" t="str">
        <f>IFERROR(__xludf.DUMMYFUNCTION("CONCATENATE(SORT(TRANSPOSE(SPLIT(REGEXREPLACE(REGEXREPLACE(W29&amp;"""",""(?s)(.{1})"",""$1""&amp;CHAR(127)),""'"",""''""),CHAR(127))),1,true))"),"cfg")</f>
        <v>cfg</v>
      </c>
      <c r="AB29" s="6" t="str">
        <f>IFERROR(__xludf.DUMMYFUNCTION("CONCATENATE(SORT(TRANSPOSE(SPLIT(REGEXREPLACE(REGEXREPLACE(X29&amp;"""",""(?s)(.{1})"",""$1""&amp;CHAR(127)),""'"",""''""),CHAR(127))),1,true))"),"aefg")</f>
        <v>aefg</v>
      </c>
      <c r="AC29" s="6" t="str">
        <f>IFERROR(__xludf.DUMMYFUNCTION("CONCATENATE(SORT(TRANSPOSE(SPLIT(REGEXREPLACE(REGEXREPLACE(Y29&amp;"""",""(?s)(.{1})"",""$1""&amp;CHAR(127)),""'"",""''""),CHAR(127))),1,true))"),"fg")</f>
        <v>fg</v>
      </c>
      <c r="AD29" s="6">
        <f t="shared" ref="AD29:AG29" si="39">INDEX($AO$1:$CP$1,1,MATCH(CONCATENATE(Z29,"1"),$AO29:$CP29,0)+1)</f>
        <v>0</v>
      </c>
      <c r="AE29" s="6">
        <f t="shared" si="39"/>
        <v>7</v>
      </c>
      <c r="AF29" s="6">
        <f t="shared" si="39"/>
        <v>4</v>
      </c>
      <c r="AG29" s="6">
        <f t="shared" si="39"/>
        <v>1</v>
      </c>
      <c r="AH29" s="6">
        <f t="shared" si="3"/>
        <v>741</v>
      </c>
      <c r="AI29" s="16"/>
      <c r="AJ29" s="9" t="str">
        <f>IFERROR(__xludf.DUMMYFUNCTION("REGEXREPLACE(AR29,CONCATENATE(""["",BY29,""]""),"""")"),"f")</f>
        <v>f</v>
      </c>
      <c r="AK29" s="10" t="str">
        <f>IFERROR(__xludf.DUMMYFUNCTION("FILTER($K29:$T29,len($K29:$T29)=6,NOT($K29:$T29=BY29))"),"dgbcef")</f>
        <v>dgbcef</v>
      </c>
      <c r="AL29" s="6" t="str">
        <f>IFERROR(__xludf.DUMMYFUNCTION("""COMPUTED_VALUE"""),"dceagf")</f>
        <v>dceagf</v>
      </c>
      <c r="AM29" s="6" t="str">
        <f>IFERROR(__xludf.DUMMYFUNCTION("REGEXREPLACE( $BG29, CONCATENATE(""["",AK29,""]""), """")"),"a")</f>
        <v>a</v>
      </c>
      <c r="AN29" s="6" t="str">
        <f>IFERROR(__xludf.DUMMYFUNCTION("REGEXREPLACE( $BG29, CONCATENATE(""["",AL29,""]""), """")"),"")</f>
        <v/>
      </c>
      <c r="AO29" s="11" t="str">
        <f t="shared" si="4"/>
        <v>dgbcef</v>
      </c>
      <c r="AP29" s="12" t="str">
        <f>IFERROR(__xludf.DUMMYFUNCTION("CONCATENATE(SORT(TRANSPOSE(SPLIT(REGEXREPLACE(REGEXREPLACE(AO29&amp;"""",""(?s)(.{1})"",""$1""&amp;CHAR(127)),""'"",""''""),CHAR(127))),1,true),""1"")"),"bcdefg1")</f>
        <v>bcdefg1</v>
      </c>
      <c r="AQ29" s="16"/>
      <c r="AR29" s="12" t="str">
        <f t="shared" si="5"/>
        <v>gf</v>
      </c>
      <c r="AS29" s="12" t="str">
        <f>IFERROR(__xludf.DUMMYFUNCTION("CONCATENATE(SORT(TRANSPOSE(SPLIT(REGEXREPLACE(REGEXREPLACE(AR29&amp;"""",""(?s)(.{1})"",""$1""&amp;CHAR(127)),""'"",""''""),CHAR(127))),1,true),""1"")"),"fg1")</f>
        <v>fg1</v>
      </c>
      <c r="AT29" s="16"/>
      <c r="AU29" s="13" t="str">
        <f>IFERROR(__xludf.DUMMYFUNCTION("FILTER($K29:$T29,len($K29:$T29)=5,NOT($K29:$T29=BD29),NOT($K29:$T29=BP29))"),"bfdac")</f>
        <v>bfdac</v>
      </c>
      <c r="AV29" s="12" t="str">
        <f>IFERROR(__xludf.DUMMYFUNCTION("CONCATENATE(SORT(TRANSPOSE(SPLIT(REGEXREPLACE(REGEXREPLACE(AU29&amp;"""",""(?s)(.{1})"",""$1""&amp;CHAR(127)),""'"",""''""),CHAR(127))),1,true),""1"")"),"abcdf1")</f>
        <v>abcdf1</v>
      </c>
      <c r="AW29" s="16"/>
      <c r="AX29" s="10" t="str">
        <f>IFERROR(__xludf.DUMMYFUNCTION("FILTER($K29:$T29,len($K29:$T29)=5)"),"acgde")</f>
        <v>acgde</v>
      </c>
      <c r="AY29" s="6" t="str">
        <f>IFERROR(__xludf.DUMMYFUNCTION("""COMPUTED_VALUE"""),"dagfc")</f>
        <v>dagfc</v>
      </c>
      <c r="AZ29" s="6" t="str">
        <f>IFERROR(__xludf.DUMMYFUNCTION("""COMPUTED_VALUE"""),"bfdac")</f>
        <v>bfdac</v>
      </c>
      <c r="BA29" s="6" t="str">
        <f>IFERROR(__xludf.DUMMYFUNCTION("REGEXREPLACE( $AR29, CONCATENATE(""["",AX29,""]""), """")"),"f")</f>
        <v>f</v>
      </c>
      <c r="BB29" s="6" t="str">
        <f>IFERROR(__xludf.DUMMYFUNCTION("REGEXREPLACE( $AR29, CONCATENATE(""["",AY29,""]""), """")"),"")</f>
        <v/>
      </c>
      <c r="BC29" s="6" t="str">
        <f>IFERROR(__xludf.DUMMYFUNCTION("REGEXREPLACE( $AR29, CONCATENATE(""["",AZ29,""]""), """")"),"g")</f>
        <v>g</v>
      </c>
      <c r="BD29" s="11" t="str">
        <f t="shared" si="6"/>
        <v>dagfc</v>
      </c>
      <c r="BE29" s="12" t="str">
        <f>IFERROR(__xludf.DUMMYFUNCTION("CONCATENATE(SORT(TRANSPOSE(SPLIT(REGEXREPLACE(REGEXREPLACE(BD29&amp;"""",""(?s)(.{1})"",""$1""&amp;CHAR(127)),""'"",""''""),CHAR(127))),1,true),""1"")"),"acdfg1")</f>
        <v>acdfg1</v>
      </c>
      <c r="BF29" s="16"/>
      <c r="BG29" s="12" t="str">
        <f t="shared" si="7"/>
        <v>feag</v>
      </c>
      <c r="BH29" s="12" t="str">
        <f>IFERROR(__xludf.DUMMYFUNCTION("CONCATENATE(SORT(TRANSPOSE(SPLIT(REGEXREPLACE(REGEXREPLACE(BG29&amp;"""",""(?s)(.{1})"",""$1""&amp;CHAR(127)),""'"",""''""),CHAR(127))),1,true),""1"")"),"aefg1")</f>
        <v>aefg1</v>
      </c>
      <c r="BI29" s="16"/>
      <c r="BJ29" s="10" t="str">
        <f>IFERROR(__xludf.DUMMYFUNCTION("FILTER($K29:$T29,len($K29:$T29)=5)"),"acgde")</f>
        <v>acgde</v>
      </c>
      <c r="BK29" s="6" t="str">
        <f>IFERROR(__xludf.DUMMYFUNCTION("""COMPUTED_VALUE"""),"dagfc")</f>
        <v>dagfc</v>
      </c>
      <c r="BL29" s="6" t="str">
        <f>IFERROR(__xludf.DUMMYFUNCTION("""COMPUTED_VALUE"""),"bfdac")</f>
        <v>bfdac</v>
      </c>
      <c r="BM29" s="14" t="str">
        <f>IFERROR(__xludf.DUMMYFUNCTION("REGEXREPLACE( $BY29, CONCATENATE(""["",BJ29,""]""), """")"),"b")</f>
        <v>b</v>
      </c>
      <c r="BN29" s="14" t="str">
        <f>IFERROR(__xludf.DUMMYFUNCTION("REGEXREPLACE( $BY29, CONCATENATE(""["",BK29,""]""), """")"),"eb")</f>
        <v>eb</v>
      </c>
      <c r="BO29" s="14" t="str">
        <f>IFERROR(__xludf.DUMMYFUNCTION("REGEXREPLACE( $BY29, CONCATENATE(""["",BL29,""]""), """")"),"ge")</f>
        <v>ge</v>
      </c>
      <c r="BP29" s="11" t="str">
        <f t="shared" si="8"/>
        <v>acgde</v>
      </c>
      <c r="BQ29" s="12" t="str">
        <f>IFERROR(__xludf.DUMMYFUNCTION("CONCATENATE(SORT(TRANSPOSE(SPLIT(REGEXREPLACE(REGEXREPLACE(BP29&amp;"""",""(?s)(.{1})"",""$1""&amp;CHAR(127)),""'"",""''""),CHAR(127))),1,true),""1"")"),"acdeg1")</f>
        <v>acdeg1</v>
      </c>
      <c r="BR29" s="16"/>
      <c r="BS29" s="10" t="str">
        <f>IFERROR(__xludf.DUMMYFUNCTION("FILTER(K29:T29,len(K29:T29)=6)"),"acgebd")</f>
        <v>acgebd</v>
      </c>
      <c r="BT29" s="6" t="str">
        <f>IFERROR(__xludf.DUMMYFUNCTION("""COMPUTED_VALUE"""),"dgbcef")</f>
        <v>dgbcef</v>
      </c>
      <c r="BU29" s="6" t="str">
        <f>IFERROR(__xludf.DUMMYFUNCTION("""COMPUTED_VALUE"""),"dceagf")</f>
        <v>dceagf</v>
      </c>
      <c r="BV29" s="6" t="str">
        <f>IFERROR(__xludf.DUMMYFUNCTION("REGEXREPLACE( $AR29, CONCATENATE(""["",BS29,""]""), """")"),"f")</f>
        <v>f</v>
      </c>
      <c r="BW29" s="6" t="str">
        <f>IFERROR(__xludf.DUMMYFUNCTION("REGEXREPLACE( $AR29, CONCATENATE(""["",BT29,""]""), """")"),"")</f>
        <v/>
      </c>
      <c r="BX29" s="6" t="str">
        <f>IFERROR(__xludf.DUMMYFUNCTION("REGEXREPLACE( $AR29, CONCATENATE(""["",BU29,""]""), """")"),"")</f>
        <v/>
      </c>
      <c r="BY29" s="12" t="str">
        <f t="shared" si="9"/>
        <v>acgebd</v>
      </c>
      <c r="BZ29" s="12" t="str">
        <f>IFERROR(__xludf.DUMMYFUNCTION("CONCATENATE(SORT(TRANSPOSE(SPLIT(REGEXREPLACE(REGEXREPLACE(BY29&amp;"""",""(?s)(.{1})"",""$1""&amp;CHAR(127)),""'"",""''""),CHAR(127))),1,true),""1"")"),"abcdeg1")</f>
        <v>abcdeg1</v>
      </c>
      <c r="CA29" s="16"/>
      <c r="CB29" s="12" t="str">
        <f t="shared" si="10"/>
        <v>fcg</v>
      </c>
      <c r="CC29" s="12" t="str">
        <f>IFERROR(__xludf.DUMMYFUNCTION("CONCATENATE(SORT(TRANSPOSE(SPLIT(REGEXREPLACE(REGEXREPLACE(CB29&amp;"""",""(?s)(.{1})"",""$1""&amp;CHAR(127)),""'"",""''""),CHAR(127))),1,true),""1"")"),"cfg1")</f>
        <v>cfg1</v>
      </c>
      <c r="CD29" s="16"/>
      <c r="CE29" s="12" t="str">
        <f t="shared" si="11"/>
        <v>adcefbg</v>
      </c>
      <c r="CF29" s="12" t="str">
        <f>IFERROR(__xludf.DUMMYFUNCTION("CONCATENATE(SORT(TRANSPOSE(SPLIT(REGEXREPLACE(REGEXREPLACE(CE29&amp;"""",""(?s)(.{1})"",""$1""&amp;CHAR(127)),""'"",""''""),CHAR(127))),1,true),""1"")"),"abcdefg1")</f>
        <v>abcdefg1</v>
      </c>
      <c r="CG29" s="16"/>
      <c r="CH29" s="10" t="str">
        <f>IFERROR(__xludf.DUMMYFUNCTION("FILTER(K29:T29,len(K29:T29)=6)"),"acgebd")</f>
        <v>acgebd</v>
      </c>
      <c r="CI29" s="6" t="str">
        <f>IFERROR(__xludf.DUMMYFUNCTION("""COMPUTED_VALUE"""),"dgbcef")</f>
        <v>dgbcef</v>
      </c>
      <c r="CJ29" s="6" t="str">
        <f>IFERROR(__xludf.DUMMYFUNCTION("""COMPUTED_VALUE"""),"dceagf")</f>
        <v>dceagf</v>
      </c>
      <c r="CK29" s="6" t="str">
        <f>IFERROR(__xludf.DUMMYFUNCTION("REGEXREPLACE( $BG29, CONCATENATE(""["",CH29,""]""), """")"),"f")</f>
        <v>f</v>
      </c>
      <c r="CL29" s="6" t="str">
        <f>IFERROR(__xludf.DUMMYFUNCTION("REGEXREPLACE( $BG29, CONCATENATE(""["",CI29,""]""), """")"),"a")</f>
        <v>a</v>
      </c>
      <c r="CM29" s="6" t="str">
        <f>IFERROR(__xludf.DUMMYFUNCTION("REGEXREPLACE( $BG29, CONCATENATE(""["",CJ29,""]""), """")"),"")</f>
        <v/>
      </c>
      <c r="CN29" s="12" t="str">
        <f t="shared" si="12"/>
        <v>dceagf</v>
      </c>
      <c r="CO29" s="12" t="str">
        <f>IFERROR(__xludf.DUMMYFUNCTION("CONCATENATE(SORT(TRANSPOSE(SPLIT(REGEXREPLACE(REGEXREPLACE(CN29&amp;"""",""(?s)(.{1})"",""$1""&amp;CHAR(127)),""'"",""''""),CHAR(127))),1,true),""1"")"),"acdefg1")</f>
        <v>acdefg1</v>
      </c>
      <c r="CP29" s="15"/>
    </row>
    <row r="30">
      <c r="A30" s="1" t="s">
        <v>50</v>
      </c>
      <c r="H30" s="6" t="str">
        <f>IFERROR(__xludf.DUMMYFUNCTION("SPLIT(A30,""|"")"),"facgeb bfacg dabefcg cdaebg ec edbaf ecfab fceg cae cdbagf ")</f>
        <v>facgeb bfacg dabefcg cdaebg ec edbaf ecfab fceg cae cdbagf </v>
      </c>
      <c r="I30" s="6" t="str">
        <f>IFERROR(__xludf.DUMMYFUNCTION("""COMPUTED_VALUE""")," cae gcef adefb facbged")</f>
        <v> cae gcef adefb facbged</v>
      </c>
      <c r="J30" s="15"/>
      <c r="K30" s="6" t="str">
        <f>IFERROR(__xludf.DUMMYFUNCTION("split(H30,"" "")"),"facgeb")</f>
        <v>facgeb</v>
      </c>
      <c r="L30" s="6" t="str">
        <f>IFERROR(__xludf.DUMMYFUNCTION("""COMPUTED_VALUE"""),"bfacg")</f>
        <v>bfacg</v>
      </c>
      <c r="M30" s="6" t="str">
        <f>IFERROR(__xludf.DUMMYFUNCTION("""COMPUTED_VALUE"""),"dabefcg")</f>
        <v>dabefcg</v>
      </c>
      <c r="N30" s="6" t="str">
        <f>IFERROR(__xludf.DUMMYFUNCTION("""COMPUTED_VALUE"""),"cdaebg")</f>
        <v>cdaebg</v>
      </c>
      <c r="O30" s="6" t="str">
        <f>IFERROR(__xludf.DUMMYFUNCTION("""COMPUTED_VALUE"""),"ec")</f>
        <v>ec</v>
      </c>
      <c r="P30" s="6" t="str">
        <f>IFERROR(__xludf.DUMMYFUNCTION("""COMPUTED_VALUE"""),"edbaf")</f>
        <v>edbaf</v>
      </c>
      <c r="Q30" s="6" t="str">
        <f>IFERROR(__xludf.DUMMYFUNCTION("""COMPUTED_VALUE"""),"ecfab")</f>
        <v>ecfab</v>
      </c>
      <c r="R30" s="6" t="str">
        <f>IFERROR(__xludf.DUMMYFUNCTION("""COMPUTED_VALUE"""),"fceg")</f>
        <v>fceg</v>
      </c>
      <c r="S30" s="6" t="str">
        <f>IFERROR(__xludf.DUMMYFUNCTION("""COMPUTED_VALUE"""),"cae")</f>
        <v>cae</v>
      </c>
      <c r="T30" s="6" t="str">
        <f>IFERROR(__xludf.DUMMYFUNCTION("""COMPUTED_VALUE"""),"cdbagf")</f>
        <v>cdbagf</v>
      </c>
      <c r="U30" s="15"/>
      <c r="V30" s="6" t="str">
        <f>IFERROR(__xludf.DUMMYFUNCTION("split(I30,"" "")"),"cae")</f>
        <v>cae</v>
      </c>
      <c r="W30" s="6" t="str">
        <f>IFERROR(__xludf.DUMMYFUNCTION("""COMPUTED_VALUE"""),"gcef")</f>
        <v>gcef</v>
      </c>
      <c r="X30" s="6" t="str">
        <f>IFERROR(__xludf.DUMMYFUNCTION("""COMPUTED_VALUE"""),"adefb")</f>
        <v>adefb</v>
      </c>
      <c r="Y30" s="6" t="str">
        <f>IFERROR(__xludf.DUMMYFUNCTION("""COMPUTED_VALUE"""),"facbged")</f>
        <v>facbged</v>
      </c>
      <c r="Z30" s="6" t="str">
        <f>IFERROR(__xludf.DUMMYFUNCTION("CONCATENATE(SORT(TRANSPOSE(SPLIT(REGEXREPLACE(REGEXREPLACE(V30&amp;"""",""(?s)(.{1})"",""$1""&amp;CHAR(127)),""'"",""''""),CHAR(127))),1,true))"),"ace")</f>
        <v>ace</v>
      </c>
      <c r="AA30" s="6" t="str">
        <f>IFERROR(__xludf.DUMMYFUNCTION("CONCATENATE(SORT(TRANSPOSE(SPLIT(REGEXREPLACE(REGEXREPLACE(W30&amp;"""",""(?s)(.{1})"",""$1""&amp;CHAR(127)),""'"",""''""),CHAR(127))),1,true))"),"cefg")</f>
        <v>cefg</v>
      </c>
      <c r="AB30" s="6" t="str">
        <f>IFERROR(__xludf.DUMMYFUNCTION("CONCATENATE(SORT(TRANSPOSE(SPLIT(REGEXREPLACE(REGEXREPLACE(X30&amp;"""",""(?s)(.{1})"",""$1""&amp;CHAR(127)),""'"",""''""),CHAR(127))),1,true))"),"abdef")</f>
        <v>abdef</v>
      </c>
      <c r="AC30" s="6" t="str">
        <f>IFERROR(__xludf.DUMMYFUNCTION("CONCATENATE(SORT(TRANSPOSE(SPLIT(REGEXREPLACE(REGEXREPLACE(Y30&amp;"""",""(?s)(.{1})"",""$1""&amp;CHAR(127)),""'"",""''""),CHAR(127))),1,true))"),"abcdefg")</f>
        <v>abcdefg</v>
      </c>
      <c r="AD30" s="6">
        <f t="shared" ref="AD30:AG30" si="40">INDEX($AO$1:$CP$1,1,MATCH(CONCATENATE(Z30,"1"),$AO30:$CP30,0)+1)</f>
        <v>7</v>
      </c>
      <c r="AE30" s="6">
        <f t="shared" si="40"/>
        <v>4</v>
      </c>
      <c r="AF30" s="6">
        <f t="shared" si="40"/>
        <v>2</v>
      </c>
      <c r="AG30" s="6">
        <f t="shared" si="40"/>
        <v>8</v>
      </c>
      <c r="AH30" s="6">
        <f t="shared" si="3"/>
        <v>7428</v>
      </c>
      <c r="AI30" s="16"/>
      <c r="AJ30" s="9" t="str">
        <f>IFERROR(__xludf.DUMMYFUNCTION("REGEXREPLACE(AR30,CONCATENATE(""["",BY30,""]""),"""")"),"e")</f>
        <v>e</v>
      </c>
      <c r="AK30" s="10" t="str">
        <f>IFERROR(__xludf.DUMMYFUNCTION("FILTER($K30:$T30,len($K30:$T30)=6,NOT($K30:$T30=BY30))"),"facgeb")</f>
        <v>facgeb</v>
      </c>
      <c r="AL30" s="6" t="str">
        <f>IFERROR(__xludf.DUMMYFUNCTION("""COMPUTED_VALUE"""),"cdaebg")</f>
        <v>cdaebg</v>
      </c>
      <c r="AM30" s="6" t="str">
        <f>IFERROR(__xludf.DUMMYFUNCTION("REGEXREPLACE( $BG30, CONCATENATE(""["",AK30,""]""), """")"),"")</f>
        <v/>
      </c>
      <c r="AN30" s="6" t="str">
        <f>IFERROR(__xludf.DUMMYFUNCTION("REGEXREPLACE( $BG30, CONCATENATE(""["",AL30,""]""), """")"),"f")</f>
        <v>f</v>
      </c>
      <c r="AO30" s="11" t="str">
        <f t="shared" si="4"/>
        <v>cdaebg</v>
      </c>
      <c r="AP30" s="12" t="str">
        <f>IFERROR(__xludf.DUMMYFUNCTION("CONCATENATE(SORT(TRANSPOSE(SPLIT(REGEXREPLACE(REGEXREPLACE(AO30&amp;"""",""(?s)(.{1})"",""$1""&amp;CHAR(127)),""'"",""''""),CHAR(127))),1,true),""1"")"),"abcdeg1")</f>
        <v>abcdeg1</v>
      </c>
      <c r="AQ30" s="16"/>
      <c r="AR30" s="12" t="str">
        <f t="shared" si="5"/>
        <v>ec</v>
      </c>
      <c r="AS30" s="12" t="str">
        <f>IFERROR(__xludf.DUMMYFUNCTION("CONCATENATE(SORT(TRANSPOSE(SPLIT(REGEXREPLACE(REGEXREPLACE(AR30&amp;"""",""(?s)(.{1})"",""$1""&amp;CHAR(127)),""'"",""''""),CHAR(127))),1,true),""1"")"),"ce1")</f>
        <v>ce1</v>
      </c>
      <c r="AT30" s="16"/>
      <c r="AU30" s="13" t="str">
        <f>IFERROR(__xludf.DUMMYFUNCTION("FILTER($K30:$T30,len($K30:$T30)=5,NOT($K30:$T30=BD30),NOT($K30:$T30=BP30))"),"edbaf")</f>
        <v>edbaf</v>
      </c>
      <c r="AV30" s="12" t="str">
        <f>IFERROR(__xludf.DUMMYFUNCTION("CONCATENATE(SORT(TRANSPOSE(SPLIT(REGEXREPLACE(REGEXREPLACE(AU30&amp;"""",""(?s)(.{1})"",""$1""&amp;CHAR(127)),""'"",""''""),CHAR(127))),1,true),""1"")"),"abdef1")</f>
        <v>abdef1</v>
      </c>
      <c r="AW30" s="16"/>
      <c r="AX30" s="10" t="str">
        <f>IFERROR(__xludf.DUMMYFUNCTION("FILTER($K30:$T30,len($K30:$T30)=5)"),"bfacg")</f>
        <v>bfacg</v>
      </c>
      <c r="AY30" s="6" t="str">
        <f>IFERROR(__xludf.DUMMYFUNCTION("""COMPUTED_VALUE"""),"edbaf")</f>
        <v>edbaf</v>
      </c>
      <c r="AZ30" s="6" t="str">
        <f>IFERROR(__xludf.DUMMYFUNCTION("""COMPUTED_VALUE"""),"ecfab")</f>
        <v>ecfab</v>
      </c>
      <c r="BA30" s="6" t="str">
        <f>IFERROR(__xludf.DUMMYFUNCTION("REGEXREPLACE( $AR30, CONCATENATE(""["",AX30,""]""), """")"),"e")</f>
        <v>e</v>
      </c>
      <c r="BB30" s="6" t="str">
        <f>IFERROR(__xludf.DUMMYFUNCTION("REGEXREPLACE( $AR30, CONCATENATE(""["",AY30,""]""), """")"),"c")</f>
        <v>c</v>
      </c>
      <c r="BC30" s="6" t="str">
        <f>IFERROR(__xludf.DUMMYFUNCTION("REGEXREPLACE( $AR30, CONCATENATE(""["",AZ30,""]""), """")"),"")</f>
        <v/>
      </c>
      <c r="BD30" s="11" t="str">
        <f t="shared" si="6"/>
        <v>ecfab</v>
      </c>
      <c r="BE30" s="12" t="str">
        <f>IFERROR(__xludf.DUMMYFUNCTION("CONCATENATE(SORT(TRANSPOSE(SPLIT(REGEXREPLACE(REGEXREPLACE(BD30&amp;"""",""(?s)(.{1})"",""$1""&amp;CHAR(127)),""'"",""''""),CHAR(127))),1,true),""1"")"),"abcef1")</f>
        <v>abcef1</v>
      </c>
      <c r="BF30" s="16"/>
      <c r="BG30" s="12" t="str">
        <f t="shared" si="7"/>
        <v>fceg</v>
      </c>
      <c r="BH30" s="12" t="str">
        <f>IFERROR(__xludf.DUMMYFUNCTION("CONCATENATE(SORT(TRANSPOSE(SPLIT(REGEXREPLACE(REGEXREPLACE(BG30&amp;"""",""(?s)(.{1})"",""$1""&amp;CHAR(127)),""'"",""''""),CHAR(127))),1,true),""1"")"),"cefg1")</f>
        <v>cefg1</v>
      </c>
      <c r="BI30" s="16"/>
      <c r="BJ30" s="10" t="str">
        <f>IFERROR(__xludf.DUMMYFUNCTION("FILTER($K30:$T30,len($K30:$T30)=5)"),"bfacg")</f>
        <v>bfacg</v>
      </c>
      <c r="BK30" s="6" t="str">
        <f>IFERROR(__xludf.DUMMYFUNCTION("""COMPUTED_VALUE"""),"edbaf")</f>
        <v>edbaf</v>
      </c>
      <c r="BL30" s="6" t="str">
        <f>IFERROR(__xludf.DUMMYFUNCTION("""COMPUTED_VALUE"""),"ecfab")</f>
        <v>ecfab</v>
      </c>
      <c r="BM30" s="14" t="str">
        <f>IFERROR(__xludf.DUMMYFUNCTION("REGEXREPLACE( $BY30, CONCATENATE(""["",BJ30,""]""), """")"),"d")</f>
        <v>d</v>
      </c>
      <c r="BN30" s="14" t="str">
        <f>IFERROR(__xludf.DUMMYFUNCTION("REGEXREPLACE( $BY30, CONCATENATE(""["",BK30,""]""), """")"),"cg")</f>
        <v>cg</v>
      </c>
      <c r="BO30" s="14" t="str">
        <f>IFERROR(__xludf.DUMMYFUNCTION("REGEXREPLACE( $BY30, CONCATENATE(""["",BL30,""]""), """")"),"dg")</f>
        <v>dg</v>
      </c>
      <c r="BP30" s="11" t="str">
        <f t="shared" si="8"/>
        <v>bfacg</v>
      </c>
      <c r="BQ30" s="12" t="str">
        <f>IFERROR(__xludf.DUMMYFUNCTION("CONCATENATE(SORT(TRANSPOSE(SPLIT(REGEXREPLACE(REGEXREPLACE(BP30&amp;"""",""(?s)(.{1})"",""$1""&amp;CHAR(127)),""'"",""''""),CHAR(127))),1,true),""1"")"),"abcfg1")</f>
        <v>abcfg1</v>
      </c>
      <c r="BR30" s="16"/>
      <c r="BS30" s="10" t="str">
        <f>IFERROR(__xludf.DUMMYFUNCTION("FILTER(K30:T30,len(K30:T30)=6)"),"facgeb")</f>
        <v>facgeb</v>
      </c>
      <c r="BT30" s="6" t="str">
        <f>IFERROR(__xludf.DUMMYFUNCTION("""COMPUTED_VALUE"""),"cdaebg")</f>
        <v>cdaebg</v>
      </c>
      <c r="BU30" s="6" t="str">
        <f>IFERROR(__xludf.DUMMYFUNCTION("""COMPUTED_VALUE"""),"cdbagf")</f>
        <v>cdbagf</v>
      </c>
      <c r="BV30" s="6" t="str">
        <f>IFERROR(__xludf.DUMMYFUNCTION("REGEXREPLACE( $AR30, CONCATENATE(""["",BS30,""]""), """")"),"")</f>
        <v/>
      </c>
      <c r="BW30" s="6" t="str">
        <f>IFERROR(__xludf.DUMMYFUNCTION("REGEXREPLACE( $AR30, CONCATENATE(""["",BT30,""]""), """")"),"")</f>
        <v/>
      </c>
      <c r="BX30" s="6" t="str">
        <f>IFERROR(__xludf.DUMMYFUNCTION("REGEXREPLACE( $AR30, CONCATENATE(""["",BU30,""]""), """")"),"e")</f>
        <v>e</v>
      </c>
      <c r="BY30" s="12" t="str">
        <f t="shared" si="9"/>
        <v>cdbagf</v>
      </c>
      <c r="BZ30" s="12" t="str">
        <f>IFERROR(__xludf.DUMMYFUNCTION("CONCATENATE(SORT(TRANSPOSE(SPLIT(REGEXREPLACE(REGEXREPLACE(BY30&amp;"""",""(?s)(.{1})"",""$1""&amp;CHAR(127)),""'"",""''""),CHAR(127))),1,true),""1"")"),"abcdfg1")</f>
        <v>abcdfg1</v>
      </c>
      <c r="CA30" s="16"/>
      <c r="CB30" s="12" t="str">
        <f t="shared" si="10"/>
        <v>cae</v>
      </c>
      <c r="CC30" s="12" t="str">
        <f>IFERROR(__xludf.DUMMYFUNCTION("CONCATENATE(SORT(TRANSPOSE(SPLIT(REGEXREPLACE(REGEXREPLACE(CB30&amp;"""",""(?s)(.{1})"",""$1""&amp;CHAR(127)),""'"",""''""),CHAR(127))),1,true),""1"")"),"ace1")</f>
        <v>ace1</v>
      </c>
      <c r="CD30" s="16"/>
      <c r="CE30" s="12" t="str">
        <f t="shared" si="11"/>
        <v>dabefcg</v>
      </c>
      <c r="CF30" s="12" t="str">
        <f>IFERROR(__xludf.DUMMYFUNCTION("CONCATENATE(SORT(TRANSPOSE(SPLIT(REGEXREPLACE(REGEXREPLACE(CE30&amp;"""",""(?s)(.{1})"",""$1""&amp;CHAR(127)),""'"",""''""),CHAR(127))),1,true),""1"")"),"abcdefg1")</f>
        <v>abcdefg1</v>
      </c>
      <c r="CG30" s="16"/>
      <c r="CH30" s="10" t="str">
        <f>IFERROR(__xludf.DUMMYFUNCTION("FILTER(K30:T30,len(K30:T30)=6)"),"facgeb")</f>
        <v>facgeb</v>
      </c>
      <c r="CI30" s="6" t="str">
        <f>IFERROR(__xludf.DUMMYFUNCTION("""COMPUTED_VALUE"""),"cdaebg")</f>
        <v>cdaebg</v>
      </c>
      <c r="CJ30" s="6" t="str">
        <f>IFERROR(__xludf.DUMMYFUNCTION("""COMPUTED_VALUE"""),"cdbagf")</f>
        <v>cdbagf</v>
      </c>
      <c r="CK30" s="6" t="str">
        <f>IFERROR(__xludf.DUMMYFUNCTION("REGEXREPLACE( $BG30, CONCATENATE(""["",CH30,""]""), """")"),"")</f>
        <v/>
      </c>
      <c r="CL30" s="6" t="str">
        <f>IFERROR(__xludf.DUMMYFUNCTION("REGEXREPLACE( $BG30, CONCATENATE(""["",CI30,""]""), """")"),"f")</f>
        <v>f</v>
      </c>
      <c r="CM30" s="6" t="str">
        <f>IFERROR(__xludf.DUMMYFUNCTION("REGEXREPLACE( $BG30, CONCATENATE(""["",CJ30,""]""), """")"),"e")</f>
        <v>e</v>
      </c>
      <c r="CN30" s="12" t="str">
        <f t="shared" si="12"/>
        <v>facgeb</v>
      </c>
      <c r="CO30" s="12" t="str">
        <f>IFERROR(__xludf.DUMMYFUNCTION("CONCATENATE(SORT(TRANSPOSE(SPLIT(REGEXREPLACE(REGEXREPLACE(CN30&amp;"""",""(?s)(.{1})"",""$1""&amp;CHAR(127)),""'"",""''""),CHAR(127))),1,true),""1"")"),"abcefg1")</f>
        <v>abcefg1</v>
      </c>
      <c r="CP30" s="15"/>
    </row>
    <row r="31">
      <c r="A31" s="1" t="s">
        <v>51</v>
      </c>
      <c r="H31" s="6" t="str">
        <f>IFERROR(__xludf.DUMMYFUNCTION("SPLIT(A31,""|"")"),"gfeacd gbecad bce cfgba eb daeb efbcgd agcfdbe bagec dgcae ")</f>
        <v>gfeacd gbecad bce cfgba eb daeb efbcgd agcfdbe bagec dgcae </v>
      </c>
      <c r="I31" s="6" t="str">
        <f>IFERROR(__xludf.DUMMYFUNCTION("""COMPUTED_VALUE""")," ecb eabd bec egbdfc")</f>
        <v> ecb eabd bec egbdfc</v>
      </c>
      <c r="J31" s="15"/>
      <c r="K31" s="6" t="str">
        <f>IFERROR(__xludf.DUMMYFUNCTION("split(H31,"" "")"),"gfeacd")</f>
        <v>gfeacd</v>
      </c>
      <c r="L31" s="6" t="str">
        <f>IFERROR(__xludf.DUMMYFUNCTION("""COMPUTED_VALUE"""),"gbecad")</f>
        <v>gbecad</v>
      </c>
      <c r="M31" s="6" t="str">
        <f>IFERROR(__xludf.DUMMYFUNCTION("""COMPUTED_VALUE"""),"bce")</f>
        <v>bce</v>
      </c>
      <c r="N31" s="6" t="str">
        <f>IFERROR(__xludf.DUMMYFUNCTION("""COMPUTED_VALUE"""),"cfgba")</f>
        <v>cfgba</v>
      </c>
      <c r="O31" s="6" t="str">
        <f>IFERROR(__xludf.DUMMYFUNCTION("""COMPUTED_VALUE"""),"eb")</f>
        <v>eb</v>
      </c>
      <c r="P31" s="6" t="str">
        <f>IFERROR(__xludf.DUMMYFUNCTION("""COMPUTED_VALUE"""),"daeb")</f>
        <v>daeb</v>
      </c>
      <c r="Q31" s="6" t="str">
        <f>IFERROR(__xludf.DUMMYFUNCTION("""COMPUTED_VALUE"""),"efbcgd")</f>
        <v>efbcgd</v>
      </c>
      <c r="R31" s="6" t="str">
        <f>IFERROR(__xludf.DUMMYFUNCTION("""COMPUTED_VALUE"""),"agcfdbe")</f>
        <v>agcfdbe</v>
      </c>
      <c r="S31" s="6" t="str">
        <f>IFERROR(__xludf.DUMMYFUNCTION("""COMPUTED_VALUE"""),"bagec")</f>
        <v>bagec</v>
      </c>
      <c r="T31" s="6" t="str">
        <f>IFERROR(__xludf.DUMMYFUNCTION("""COMPUTED_VALUE"""),"dgcae")</f>
        <v>dgcae</v>
      </c>
      <c r="U31" s="15"/>
      <c r="V31" s="6" t="str">
        <f>IFERROR(__xludf.DUMMYFUNCTION("split(I31,"" "")"),"ecb")</f>
        <v>ecb</v>
      </c>
      <c r="W31" s="6" t="str">
        <f>IFERROR(__xludf.DUMMYFUNCTION("""COMPUTED_VALUE"""),"eabd")</f>
        <v>eabd</v>
      </c>
      <c r="X31" s="6" t="str">
        <f>IFERROR(__xludf.DUMMYFUNCTION("""COMPUTED_VALUE"""),"bec")</f>
        <v>bec</v>
      </c>
      <c r="Y31" s="6" t="str">
        <f>IFERROR(__xludf.DUMMYFUNCTION("""COMPUTED_VALUE"""),"egbdfc")</f>
        <v>egbdfc</v>
      </c>
      <c r="Z31" s="6" t="str">
        <f>IFERROR(__xludf.DUMMYFUNCTION("CONCATENATE(SORT(TRANSPOSE(SPLIT(REGEXREPLACE(REGEXREPLACE(V31&amp;"""",""(?s)(.{1})"",""$1""&amp;CHAR(127)),""'"",""''""),CHAR(127))),1,true))"),"bce")</f>
        <v>bce</v>
      </c>
      <c r="AA31" s="6" t="str">
        <f>IFERROR(__xludf.DUMMYFUNCTION("CONCATENATE(SORT(TRANSPOSE(SPLIT(REGEXREPLACE(REGEXREPLACE(W31&amp;"""",""(?s)(.{1})"",""$1""&amp;CHAR(127)),""'"",""''""),CHAR(127))),1,true))"),"abde")</f>
        <v>abde</v>
      </c>
      <c r="AB31" s="6" t="str">
        <f>IFERROR(__xludf.DUMMYFUNCTION("CONCATENATE(SORT(TRANSPOSE(SPLIT(REGEXREPLACE(REGEXREPLACE(X31&amp;"""",""(?s)(.{1})"",""$1""&amp;CHAR(127)),""'"",""''""),CHAR(127))),1,true))"),"bce")</f>
        <v>bce</v>
      </c>
      <c r="AC31" s="6" t="str">
        <f>IFERROR(__xludf.DUMMYFUNCTION("CONCATENATE(SORT(TRANSPOSE(SPLIT(REGEXREPLACE(REGEXREPLACE(Y31&amp;"""",""(?s)(.{1})"",""$1""&amp;CHAR(127)),""'"",""''""),CHAR(127))),1,true))"),"bcdefg")</f>
        <v>bcdefg</v>
      </c>
      <c r="AD31" s="6">
        <f t="shared" ref="AD31:AG31" si="41">INDEX($AO$1:$CP$1,1,MATCH(CONCATENATE(Z31,"1"),$AO31:$CP31,0)+1)</f>
        <v>7</v>
      </c>
      <c r="AE31" s="6">
        <f t="shared" si="41"/>
        <v>4</v>
      </c>
      <c r="AF31" s="6">
        <f t="shared" si="41"/>
        <v>7</v>
      </c>
      <c r="AG31" s="6">
        <f t="shared" si="41"/>
        <v>0</v>
      </c>
      <c r="AH31" s="6">
        <f t="shared" si="3"/>
        <v>7470</v>
      </c>
      <c r="AI31" s="16"/>
      <c r="AJ31" s="9" t="str">
        <f>IFERROR(__xludf.DUMMYFUNCTION("REGEXREPLACE(AR31,CONCATENATE(""["",BY31,""]""),"""")"),"b")</f>
        <v>b</v>
      </c>
      <c r="AK31" s="10" t="str">
        <f>IFERROR(__xludf.DUMMYFUNCTION("FILTER($K31:$T31,len($K31:$T31)=6,NOT($K31:$T31=BY31))"),"gbecad")</f>
        <v>gbecad</v>
      </c>
      <c r="AL31" s="6" t="str">
        <f>IFERROR(__xludf.DUMMYFUNCTION("""COMPUTED_VALUE"""),"efbcgd")</f>
        <v>efbcgd</v>
      </c>
      <c r="AM31" s="6" t="str">
        <f>IFERROR(__xludf.DUMMYFUNCTION("REGEXREPLACE( $BG31, CONCATENATE(""["",AK31,""]""), """")"),"")</f>
        <v/>
      </c>
      <c r="AN31" s="6" t="str">
        <f>IFERROR(__xludf.DUMMYFUNCTION("REGEXREPLACE( $BG31, CONCATENATE(""["",AL31,""]""), """")"),"a")</f>
        <v>a</v>
      </c>
      <c r="AO31" s="11" t="str">
        <f t="shared" si="4"/>
        <v>efbcgd</v>
      </c>
      <c r="AP31" s="12" t="str">
        <f>IFERROR(__xludf.DUMMYFUNCTION("CONCATENATE(SORT(TRANSPOSE(SPLIT(REGEXREPLACE(REGEXREPLACE(AO31&amp;"""",""(?s)(.{1})"",""$1""&amp;CHAR(127)),""'"",""''""),CHAR(127))),1,true),""1"")"),"bcdefg1")</f>
        <v>bcdefg1</v>
      </c>
      <c r="AQ31" s="16"/>
      <c r="AR31" s="12" t="str">
        <f t="shared" si="5"/>
        <v>eb</v>
      </c>
      <c r="AS31" s="12" t="str">
        <f>IFERROR(__xludf.DUMMYFUNCTION("CONCATENATE(SORT(TRANSPOSE(SPLIT(REGEXREPLACE(REGEXREPLACE(AR31&amp;"""",""(?s)(.{1})"",""$1""&amp;CHAR(127)),""'"",""''""),CHAR(127))),1,true),""1"")"),"be1")</f>
        <v>be1</v>
      </c>
      <c r="AT31" s="16"/>
      <c r="AU31" s="13" t="str">
        <f>IFERROR(__xludf.DUMMYFUNCTION("FILTER($K31:$T31,len($K31:$T31)=5,NOT($K31:$T31=BD31),NOT($K31:$T31=BP31))"),"cfgba")</f>
        <v>cfgba</v>
      </c>
      <c r="AV31" s="12" t="str">
        <f>IFERROR(__xludf.DUMMYFUNCTION("CONCATENATE(SORT(TRANSPOSE(SPLIT(REGEXREPLACE(REGEXREPLACE(AU31&amp;"""",""(?s)(.{1})"",""$1""&amp;CHAR(127)),""'"",""''""),CHAR(127))),1,true),""1"")"),"abcfg1")</f>
        <v>abcfg1</v>
      </c>
      <c r="AW31" s="16"/>
      <c r="AX31" s="10" t="str">
        <f>IFERROR(__xludf.DUMMYFUNCTION("FILTER($K31:$T31,len($K31:$T31)=5)"),"cfgba")</f>
        <v>cfgba</v>
      </c>
      <c r="AY31" s="6" t="str">
        <f>IFERROR(__xludf.DUMMYFUNCTION("""COMPUTED_VALUE"""),"bagec")</f>
        <v>bagec</v>
      </c>
      <c r="AZ31" s="6" t="str">
        <f>IFERROR(__xludf.DUMMYFUNCTION("""COMPUTED_VALUE"""),"dgcae")</f>
        <v>dgcae</v>
      </c>
      <c r="BA31" s="6" t="str">
        <f>IFERROR(__xludf.DUMMYFUNCTION("REGEXREPLACE( $AR31, CONCATENATE(""["",AX31,""]""), """")"),"e")</f>
        <v>e</v>
      </c>
      <c r="BB31" s="6" t="str">
        <f>IFERROR(__xludf.DUMMYFUNCTION("REGEXREPLACE( $AR31, CONCATENATE(""["",AY31,""]""), """")"),"")</f>
        <v/>
      </c>
      <c r="BC31" s="6" t="str">
        <f>IFERROR(__xludf.DUMMYFUNCTION("REGEXREPLACE( $AR31, CONCATENATE(""["",AZ31,""]""), """")"),"b")</f>
        <v>b</v>
      </c>
      <c r="BD31" s="11" t="str">
        <f t="shared" si="6"/>
        <v>bagec</v>
      </c>
      <c r="BE31" s="12" t="str">
        <f>IFERROR(__xludf.DUMMYFUNCTION("CONCATENATE(SORT(TRANSPOSE(SPLIT(REGEXREPLACE(REGEXREPLACE(BD31&amp;"""",""(?s)(.{1})"",""$1""&amp;CHAR(127)),""'"",""''""),CHAR(127))),1,true),""1"")"),"abceg1")</f>
        <v>abceg1</v>
      </c>
      <c r="BF31" s="16"/>
      <c r="BG31" s="12" t="str">
        <f t="shared" si="7"/>
        <v>daeb</v>
      </c>
      <c r="BH31" s="12" t="str">
        <f>IFERROR(__xludf.DUMMYFUNCTION("CONCATENATE(SORT(TRANSPOSE(SPLIT(REGEXREPLACE(REGEXREPLACE(BG31&amp;"""",""(?s)(.{1})"",""$1""&amp;CHAR(127)),""'"",""''""),CHAR(127))),1,true),""1"")"),"abde1")</f>
        <v>abde1</v>
      </c>
      <c r="BI31" s="16"/>
      <c r="BJ31" s="10" t="str">
        <f>IFERROR(__xludf.DUMMYFUNCTION("FILTER($K31:$T31,len($K31:$T31)=5)"),"cfgba")</f>
        <v>cfgba</v>
      </c>
      <c r="BK31" s="6" t="str">
        <f>IFERROR(__xludf.DUMMYFUNCTION("""COMPUTED_VALUE"""),"bagec")</f>
        <v>bagec</v>
      </c>
      <c r="BL31" s="6" t="str">
        <f>IFERROR(__xludf.DUMMYFUNCTION("""COMPUTED_VALUE"""),"dgcae")</f>
        <v>dgcae</v>
      </c>
      <c r="BM31" s="14" t="str">
        <f>IFERROR(__xludf.DUMMYFUNCTION("REGEXREPLACE( $BY31, CONCATENATE(""["",BJ31,""]""), """")"),"ed")</f>
        <v>ed</v>
      </c>
      <c r="BN31" s="14" t="str">
        <f>IFERROR(__xludf.DUMMYFUNCTION("REGEXREPLACE( $BY31, CONCATENATE(""["",BK31,""]""), """")"),"fd")</f>
        <v>fd</v>
      </c>
      <c r="BO31" s="14" t="str">
        <f>IFERROR(__xludf.DUMMYFUNCTION("REGEXREPLACE( $BY31, CONCATENATE(""["",BL31,""]""), """")"),"f")</f>
        <v>f</v>
      </c>
      <c r="BP31" s="11" t="str">
        <f t="shared" si="8"/>
        <v>dgcae</v>
      </c>
      <c r="BQ31" s="12" t="str">
        <f>IFERROR(__xludf.DUMMYFUNCTION("CONCATENATE(SORT(TRANSPOSE(SPLIT(REGEXREPLACE(REGEXREPLACE(BP31&amp;"""",""(?s)(.{1})"",""$1""&amp;CHAR(127)),""'"",""''""),CHAR(127))),1,true),""1"")"),"acdeg1")</f>
        <v>acdeg1</v>
      </c>
      <c r="BR31" s="16"/>
      <c r="BS31" s="10" t="str">
        <f>IFERROR(__xludf.DUMMYFUNCTION("FILTER(K31:T31,len(K31:T31)=6)"),"gfeacd")</f>
        <v>gfeacd</v>
      </c>
      <c r="BT31" s="6" t="str">
        <f>IFERROR(__xludf.DUMMYFUNCTION("""COMPUTED_VALUE"""),"gbecad")</f>
        <v>gbecad</v>
      </c>
      <c r="BU31" s="6" t="str">
        <f>IFERROR(__xludf.DUMMYFUNCTION("""COMPUTED_VALUE"""),"efbcgd")</f>
        <v>efbcgd</v>
      </c>
      <c r="BV31" s="6" t="str">
        <f>IFERROR(__xludf.DUMMYFUNCTION("REGEXREPLACE( $AR31, CONCATENATE(""["",BS31,""]""), """")"),"b")</f>
        <v>b</v>
      </c>
      <c r="BW31" s="6" t="str">
        <f>IFERROR(__xludf.DUMMYFUNCTION("REGEXREPLACE( $AR31, CONCATENATE(""["",BT31,""]""), """")"),"")</f>
        <v/>
      </c>
      <c r="BX31" s="6" t="str">
        <f>IFERROR(__xludf.DUMMYFUNCTION("REGEXREPLACE( $AR31, CONCATENATE(""["",BU31,""]""), """")"),"")</f>
        <v/>
      </c>
      <c r="BY31" s="12" t="str">
        <f t="shared" si="9"/>
        <v>gfeacd</v>
      </c>
      <c r="BZ31" s="12" t="str">
        <f>IFERROR(__xludf.DUMMYFUNCTION("CONCATENATE(SORT(TRANSPOSE(SPLIT(REGEXREPLACE(REGEXREPLACE(BY31&amp;"""",""(?s)(.{1})"",""$1""&amp;CHAR(127)),""'"",""''""),CHAR(127))),1,true),""1"")"),"acdefg1")</f>
        <v>acdefg1</v>
      </c>
      <c r="CA31" s="16"/>
      <c r="CB31" s="12" t="str">
        <f t="shared" si="10"/>
        <v>bce</v>
      </c>
      <c r="CC31" s="12" t="str">
        <f>IFERROR(__xludf.DUMMYFUNCTION("CONCATENATE(SORT(TRANSPOSE(SPLIT(REGEXREPLACE(REGEXREPLACE(CB31&amp;"""",""(?s)(.{1})"",""$1""&amp;CHAR(127)),""'"",""''""),CHAR(127))),1,true),""1"")"),"bce1")</f>
        <v>bce1</v>
      </c>
      <c r="CD31" s="16"/>
      <c r="CE31" s="12" t="str">
        <f t="shared" si="11"/>
        <v>agcfdbe</v>
      </c>
      <c r="CF31" s="12" t="str">
        <f>IFERROR(__xludf.DUMMYFUNCTION("CONCATENATE(SORT(TRANSPOSE(SPLIT(REGEXREPLACE(REGEXREPLACE(CE31&amp;"""",""(?s)(.{1})"",""$1""&amp;CHAR(127)),""'"",""''""),CHAR(127))),1,true),""1"")"),"abcdefg1")</f>
        <v>abcdefg1</v>
      </c>
      <c r="CG31" s="16"/>
      <c r="CH31" s="10" t="str">
        <f>IFERROR(__xludf.DUMMYFUNCTION("FILTER(K31:T31,len(K31:T31)=6)"),"gfeacd")</f>
        <v>gfeacd</v>
      </c>
      <c r="CI31" s="6" t="str">
        <f>IFERROR(__xludf.DUMMYFUNCTION("""COMPUTED_VALUE"""),"gbecad")</f>
        <v>gbecad</v>
      </c>
      <c r="CJ31" s="6" t="str">
        <f>IFERROR(__xludf.DUMMYFUNCTION("""COMPUTED_VALUE"""),"efbcgd")</f>
        <v>efbcgd</v>
      </c>
      <c r="CK31" s="6" t="str">
        <f>IFERROR(__xludf.DUMMYFUNCTION("REGEXREPLACE( $BG31, CONCATENATE(""["",CH31,""]""), """")"),"b")</f>
        <v>b</v>
      </c>
      <c r="CL31" s="6" t="str">
        <f>IFERROR(__xludf.DUMMYFUNCTION("REGEXREPLACE( $BG31, CONCATENATE(""["",CI31,""]""), """")"),"")</f>
        <v/>
      </c>
      <c r="CM31" s="6" t="str">
        <f>IFERROR(__xludf.DUMMYFUNCTION("REGEXREPLACE( $BG31, CONCATENATE(""["",CJ31,""]""), """")"),"a")</f>
        <v>a</v>
      </c>
      <c r="CN31" s="12" t="str">
        <f t="shared" si="12"/>
        <v>gbecad</v>
      </c>
      <c r="CO31" s="12" t="str">
        <f>IFERROR(__xludf.DUMMYFUNCTION("CONCATENATE(SORT(TRANSPOSE(SPLIT(REGEXREPLACE(REGEXREPLACE(CN31&amp;"""",""(?s)(.{1})"",""$1""&amp;CHAR(127)),""'"",""''""),CHAR(127))),1,true),""1"")"),"abcdeg1")</f>
        <v>abcdeg1</v>
      </c>
      <c r="CP31" s="15"/>
    </row>
    <row r="32">
      <c r="A32" s="1" t="s">
        <v>52</v>
      </c>
      <c r="H32" s="6" t="str">
        <f>IFERROR(__xludf.DUMMYFUNCTION("SPLIT(A32,""|"")"),"faegd agcfe bfad fd fed abfgdec gbadce edfbag eabgd cefgdb ")</f>
        <v>faegd agcfe bfad fd fed abfgdec gbadce edfbag eabgd cefgdb </v>
      </c>
      <c r="I32" s="6" t="str">
        <f>IFERROR(__xludf.DUMMYFUNCTION("""COMPUTED_VALUE""")," fgdeabc df edgbfc egadf")</f>
        <v> fgdeabc df edgbfc egadf</v>
      </c>
      <c r="J32" s="15"/>
      <c r="K32" s="6" t="str">
        <f>IFERROR(__xludf.DUMMYFUNCTION("split(H32,"" "")"),"faegd")</f>
        <v>faegd</v>
      </c>
      <c r="L32" s="6" t="str">
        <f>IFERROR(__xludf.DUMMYFUNCTION("""COMPUTED_VALUE"""),"agcfe")</f>
        <v>agcfe</v>
      </c>
      <c r="M32" s="6" t="str">
        <f>IFERROR(__xludf.DUMMYFUNCTION("""COMPUTED_VALUE"""),"bfad")</f>
        <v>bfad</v>
      </c>
      <c r="N32" s="6" t="str">
        <f>IFERROR(__xludf.DUMMYFUNCTION("""COMPUTED_VALUE"""),"fd")</f>
        <v>fd</v>
      </c>
      <c r="O32" s="6" t="str">
        <f>IFERROR(__xludf.DUMMYFUNCTION("""COMPUTED_VALUE"""),"fed")</f>
        <v>fed</v>
      </c>
      <c r="P32" s="6" t="str">
        <f>IFERROR(__xludf.DUMMYFUNCTION("""COMPUTED_VALUE"""),"abfgdec")</f>
        <v>abfgdec</v>
      </c>
      <c r="Q32" s="6" t="str">
        <f>IFERROR(__xludf.DUMMYFUNCTION("""COMPUTED_VALUE"""),"gbadce")</f>
        <v>gbadce</v>
      </c>
      <c r="R32" s="6" t="str">
        <f>IFERROR(__xludf.DUMMYFUNCTION("""COMPUTED_VALUE"""),"edfbag")</f>
        <v>edfbag</v>
      </c>
      <c r="S32" s="6" t="str">
        <f>IFERROR(__xludf.DUMMYFUNCTION("""COMPUTED_VALUE"""),"eabgd")</f>
        <v>eabgd</v>
      </c>
      <c r="T32" s="6" t="str">
        <f>IFERROR(__xludf.DUMMYFUNCTION("""COMPUTED_VALUE"""),"cefgdb")</f>
        <v>cefgdb</v>
      </c>
      <c r="U32" s="15"/>
      <c r="V32" s="6" t="str">
        <f>IFERROR(__xludf.DUMMYFUNCTION("split(I32,"" "")"),"fgdeabc")</f>
        <v>fgdeabc</v>
      </c>
      <c r="W32" s="6" t="str">
        <f>IFERROR(__xludf.DUMMYFUNCTION("""COMPUTED_VALUE"""),"df")</f>
        <v>df</v>
      </c>
      <c r="X32" s="6" t="str">
        <f>IFERROR(__xludf.DUMMYFUNCTION("""COMPUTED_VALUE"""),"edgbfc")</f>
        <v>edgbfc</v>
      </c>
      <c r="Y32" s="6" t="str">
        <f>IFERROR(__xludf.DUMMYFUNCTION("""COMPUTED_VALUE"""),"egadf")</f>
        <v>egadf</v>
      </c>
      <c r="Z32" s="6" t="str">
        <f>IFERROR(__xludf.DUMMYFUNCTION("CONCATENATE(SORT(TRANSPOSE(SPLIT(REGEXREPLACE(REGEXREPLACE(V32&amp;"""",""(?s)(.{1})"",""$1""&amp;CHAR(127)),""'"",""''""),CHAR(127))),1,true))"),"abcdefg")</f>
        <v>abcdefg</v>
      </c>
      <c r="AA32" s="6" t="str">
        <f>IFERROR(__xludf.DUMMYFUNCTION("CONCATENATE(SORT(TRANSPOSE(SPLIT(REGEXREPLACE(REGEXREPLACE(W32&amp;"""",""(?s)(.{1})"",""$1""&amp;CHAR(127)),""'"",""''""),CHAR(127))),1,true))"),"df")</f>
        <v>df</v>
      </c>
      <c r="AB32" s="6" t="str">
        <f>IFERROR(__xludf.DUMMYFUNCTION("CONCATENATE(SORT(TRANSPOSE(SPLIT(REGEXREPLACE(REGEXREPLACE(X32&amp;"""",""(?s)(.{1})"",""$1""&amp;CHAR(127)),""'"",""''""),CHAR(127))),1,true))"),"bcdefg")</f>
        <v>bcdefg</v>
      </c>
      <c r="AC32" s="6" t="str">
        <f>IFERROR(__xludf.DUMMYFUNCTION("CONCATENATE(SORT(TRANSPOSE(SPLIT(REGEXREPLACE(REGEXREPLACE(Y32&amp;"""",""(?s)(.{1})"",""$1""&amp;CHAR(127)),""'"",""''""),CHAR(127))),1,true))"),"adefg")</f>
        <v>adefg</v>
      </c>
      <c r="AD32" s="6">
        <f t="shared" ref="AD32:AG32" si="42">INDEX($AO$1:$CP$1,1,MATCH(CONCATENATE(Z32,"1"),$AO32:$CP32,0)+1)</f>
        <v>8</v>
      </c>
      <c r="AE32" s="6">
        <f t="shared" si="42"/>
        <v>1</v>
      </c>
      <c r="AF32" s="6">
        <f t="shared" si="42"/>
        <v>0</v>
      </c>
      <c r="AG32" s="6">
        <f t="shared" si="42"/>
        <v>3</v>
      </c>
      <c r="AH32" s="6">
        <f t="shared" si="3"/>
        <v>8103</v>
      </c>
      <c r="AI32" s="16"/>
      <c r="AJ32" s="9" t="str">
        <f>IFERROR(__xludf.DUMMYFUNCTION("REGEXREPLACE(AR32,CONCATENATE(""["",BY32,""]""),"""")"),"f")</f>
        <v>f</v>
      </c>
      <c r="AK32" s="10" t="str">
        <f>IFERROR(__xludf.DUMMYFUNCTION("FILTER($K32:$T32,len($K32:$T32)=6,NOT($K32:$T32=BY32))"),"edfbag")</f>
        <v>edfbag</v>
      </c>
      <c r="AL32" s="6" t="str">
        <f>IFERROR(__xludf.DUMMYFUNCTION("""COMPUTED_VALUE"""),"cefgdb")</f>
        <v>cefgdb</v>
      </c>
      <c r="AM32" s="6" t="str">
        <f>IFERROR(__xludf.DUMMYFUNCTION("REGEXREPLACE( $BG32, CONCATENATE(""["",AK32,""]""), """")"),"")</f>
        <v/>
      </c>
      <c r="AN32" s="6" t="str">
        <f>IFERROR(__xludf.DUMMYFUNCTION("REGEXREPLACE( $BG32, CONCATENATE(""["",AL32,""]""), """")"),"a")</f>
        <v>a</v>
      </c>
      <c r="AO32" s="11" t="str">
        <f t="shared" si="4"/>
        <v>cefgdb</v>
      </c>
      <c r="AP32" s="12" t="str">
        <f>IFERROR(__xludf.DUMMYFUNCTION("CONCATENATE(SORT(TRANSPOSE(SPLIT(REGEXREPLACE(REGEXREPLACE(AO32&amp;"""",""(?s)(.{1})"",""$1""&amp;CHAR(127)),""'"",""''""),CHAR(127))),1,true),""1"")"),"bcdefg1")</f>
        <v>bcdefg1</v>
      </c>
      <c r="AQ32" s="16"/>
      <c r="AR32" s="12" t="str">
        <f t="shared" si="5"/>
        <v>fd</v>
      </c>
      <c r="AS32" s="12" t="str">
        <f>IFERROR(__xludf.DUMMYFUNCTION("CONCATENATE(SORT(TRANSPOSE(SPLIT(REGEXREPLACE(REGEXREPLACE(AR32&amp;"""",""(?s)(.{1})"",""$1""&amp;CHAR(127)),""'"",""''""),CHAR(127))),1,true),""1"")"),"df1")</f>
        <v>df1</v>
      </c>
      <c r="AT32" s="16"/>
      <c r="AU32" s="13" t="str">
        <f>IFERROR(__xludf.DUMMYFUNCTION("FILTER($K32:$T32,len($K32:$T32)=5,NOT($K32:$T32=BD32),NOT($K32:$T32=BP32))"),"agcfe")</f>
        <v>agcfe</v>
      </c>
      <c r="AV32" s="12" t="str">
        <f>IFERROR(__xludf.DUMMYFUNCTION("CONCATENATE(SORT(TRANSPOSE(SPLIT(REGEXREPLACE(REGEXREPLACE(AU32&amp;"""",""(?s)(.{1})"",""$1""&amp;CHAR(127)),""'"",""''""),CHAR(127))),1,true),""1"")"),"acefg1")</f>
        <v>acefg1</v>
      </c>
      <c r="AW32" s="16"/>
      <c r="AX32" s="10" t="str">
        <f>IFERROR(__xludf.DUMMYFUNCTION("FILTER($K32:$T32,len($K32:$T32)=5)"),"faegd")</f>
        <v>faegd</v>
      </c>
      <c r="AY32" s="6" t="str">
        <f>IFERROR(__xludf.DUMMYFUNCTION("""COMPUTED_VALUE"""),"agcfe")</f>
        <v>agcfe</v>
      </c>
      <c r="AZ32" s="6" t="str">
        <f>IFERROR(__xludf.DUMMYFUNCTION("""COMPUTED_VALUE"""),"eabgd")</f>
        <v>eabgd</v>
      </c>
      <c r="BA32" s="6" t="str">
        <f>IFERROR(__xludf.DUMMYFUNCTION("REGEXREPLACE( $AR32, CONCATENATE(""["",AX32,""]""), """")"),"")</f>
        <v/>
      </c>
      <c r="BB32" s="6" t="str">
        <f>IFERROR(__xludf.DUMMYFUNCTION("REGEXREPLACE( $AR32, CONCATENATE(""["",AY32,""]""), """")"),"d")</f>
        <v>d</v>
      </c>
      <c r="BC32" s="6" t="str">
        <f>IFERROR(__xludf.DUMMYFUNCTION("REGEXREPLACE( $AR32, CONCATENATE(""["",AZ32,""]""), """")"),"f")</f>
        <v>f</v>
      </c>
      <c r="BD32" s="11" t="str">
        <f t="shared" si="6"/>
        <v>faegd</v>
      </c>
      <c r="BE32" s="12" t="str">
        <f>IFERROR(__xludf.DUMMYFUNCTION("CONCATENATE(SORT(TRANSPOSE(SPLIT(REGEXREPLACE(REGEXREPLACE(BD32&amp;"""",""(?s)(.{1})"",""$1""&amp;CHAR(127)),""'"",""''""),CHAR(127))),1,true),""1"")"),"adefg1")</f>
        <v>adefg1</v>
      </c>
      <c r="BF32" s="16"/>
      <c r="BG32" s="12" t="str">
        <f t="shared" si="7"/>
        <v>bfad</v>
      </c>
      <c r="BH32" s="12" t="str">
        <f>IFERROR(__xludf.DUMMYFUNCTION("CONCATENATE(SORT(TRANSPOSE(SPLIT(REGEXREPLACE(REGEXREPLACE(BG32&amp;"""",""(?s)(.{1})"",""$1""&amp;CHAR(127)),""'"",""''""),CHAR(127))),1,true),""1"")"),"abdf1")</f>
        <v>abdf1</v>
      </c>
      <c r="BI32" s="16"/>
      <c r="BJ32" s="10" t="str">
        <f>IFERROR(__xludf.DUMMYFUNCTION("FILTER($K32:$T32,len($K32:$T32)=5)"),"faegd")</f>
        <v>faegd</v>
      </c>
      <c r="BK32" s="6" t="str">
        <f>IFERROR(__xludf.DUMMYFUNCTION("""COMPUTED_VALUE"""),"agcfe")</f>
        <v>agcfe</v>
      </c>
      <c r="BL32" s="6" t="str">
        <f>IFERROR(__xludf.DUMMYFUNCTION("""COMPUTED_VALUE"""),"eabgd")</f>
        <v>eabgd</v>
      </c>
      <c r="BM32" s="14" t="str">
        <f>IFERROR(__xludf.DUMMYFUNCTION("REGEXREPLACE( $BY32, CONCATENATE(""["",BJ32,""]""), """")"),"bc")</f>
        <v>bc</v>
      </c>
      <c r="BN32" s="14" t="str">
        <f>IFERROR(__xludf.DUMMYFUNCTION("REGEXREPLACE( $BY32, CONCATENATE(""["",BK32,""]""), """")"),"bd")</f>
        <v>bd</v>
      </c>
      <c r="BO32" s="14" t="str">
        <f>IFERROR(__xludf.DUMMYFUNCTION("REGEXREPLACE( $BY32, CONCATENATE(""["",BL32,""]""), """")"),"c")</f>
        <v>c</v>
      </c>
      <c r="BP32" s="11" t="str">
        <f t="shared" si="8"/>
        <v>eabgd</v>
      </c>
      <c r="BQ32" s="12" t="str">
        <f>IFERROR(__xludf.DUMMYFUNCTION("CONCATENATE(SORT(TRANSPOSE(SPLIT(REGEXREPLACE(REGEXREPLACE(BP32&amp;"""",""(?s)(.{1})"",""$1""&amp;CHAR(127)),""'"",""''""),CHAR(127))),1,true),""1"")"),"abdeg1")</f>
        <v>abdeg1</v>
      </c>
      <c r="BR32" s="16"/>
      <c r="BS32" s="10" t="str">
        <f>IFERROR(__xludf.DUMMYFUNCTION("FILTER(K32:T32,len(K32:T32)=6)"),"gbadce")</f>
        <v>gbadce</v>
      </c>
      <c r="BT32" s="6" t="str">
        <f>IFERROR(__xludf.DUMMYFUNCTION("""COMPUTED_VALUE"""),"edfbag")</f>
        <v>edfbag</v>
      </c>
      <c r="BU32" s="6" t="str">
        <f>IFERROR(__xludf.DUMMYFUNCTION("""COMPUTED_VALUE"""),"cefgdb")</f>
        <v>cefgdb</v>
      </c>
      <c r="BV32" s="6" t="str">
        <f>IFERROR(__xludf.DUMMYFUNCTION("REGEXREPLACE( $AR32, CONCATENATE(""["",BS32,""]""), """")"),"f")</f>
        <v>f</v>
      </c>
      <c r="BW32" s="6" t="str">
        <f>IFERROR(__xludf.DUMMYFUNCTION("REGEXREPLACE( $AR32, CONCATENATE(""["",BT32,""]""), """")"),"")</f>
        <v/>
      </c>
      <c r="BX32" s="6" t="str">
        <f>IFERROR(__xludf.DUMMYFUNCTION("REGEXREPLACE( $AR32, CONCATENATE(""["",BU32,""]""), """")"),"")</f>
        <v/>
      </c>
      <c r="BY32" s="12" t="str">
        <f t="shared" si="9"/>
        <v>gbadce</v>
      </c>
      <c r="BZ32" s="12" t="str">
        <f>IFERROR(__xludf.DUMMYFUNCTION("CONCATENATE(SORT(TRANSPOSE(SPLIT(REGEXREPLACE(REGEXREPLACE(BY32&amp;"""",""(?s)(.{1})"",""$1""&amp;CHAR(127)),""'"",""''""),CHAR(127))),1,true),""1"")"),"abcdeg1")</f>
        <v>abcdeg1</v>
      </c>
      <c r="CA32" s="16"/>
      <c r="CB32" s="12" t="str">
        <f t="shared" si="10"/>
        <v>fed</v>
      </c>
      <c r="CC32" s="12" t="str">
        <f>IFERROR(__xludf.DUMMYFUNCTION("CONCATENATE(SORT(TRANSPOSE(SPLIT(REGEXREPLACE(REGEXREPLACE(CB32&amp;"""",""(?s)(.{1})"",""$1""&amp;CHAR(127)),""'"",""''""),CHAR(127))),1,true),""1"")"),"def1")</f>
        <v>def1</v>
      </c>
      <c r="CD32" s="16"/>
      <c r="CE32" s="12" t="str">
        <f t="shared" si="11"/>
        <v>abfgdec</v>
      </c>
      <c r="CF32" s="12" t="str">
        <f>IFERROR(__xludf.DUMMYFUNCTION("CONCATENATE(SORT(TRANSPOSE(SPLIT(REGEXREPLACE(REGEXREPLACE(CE32&amp;"""",""(?s)(.{1})"",""$1""&amp;CHAR(127)),""'"",""''""),CHAR(127))),1,true),""1"")"),"abcdefg1")</f>
        <v>abcdefg1</v>
      </c>
      <c r="CG32" s="16"/>
      <c r="CH32" s="10" t="str">
        <f>IFERROR(__xludf.DUMMYFUNCTION("FILTER(K32:T32,len(K32:T32)=6)"),"gbadce")</f>
        <v>gbadce</v>
      </c>
      <c r="CI32" s="6" t="str">
        <f>IFERROR(__xludf.DUMMYFUNCTION("""COMPUTED_VALUE"""),"edfbag")</f>
        <v>edfbag</v>
      </c>
      <c r="CJ32" s="6" t="str">
        <f>IFERROR(__xludf.DUMMYFUNCTION("""COMPUTED_VALUE"""),"cefgdb")</f>
        <v>cefgdb</v>
      </c>
      <c r="CK32" s="6" t="str">
        <f>IFERROR(__xludf.DUMMYFUNCTION("REGEXREPLACE( $BG32, CONCATENATE(""["",CH32,""]""), """")"),"f")</f>
        <v>f</v>
      </c>
      <c r="CL32" s="6" t="str">
        <f>IFERROR(__xludf.DUMMYFUNCTION("REGEXREPLACE( $BG32, CONCATENATE(""["",CI32,""]""), """")"),"")</f>
        <v/>
      </c>
      <c r="CM32" s="6" t="str">
        <f>IFERROR(__xludf.DUMMYFUNCTION("REGEXREPLACE( $BG32, CONCATENATE(""["",CJ32,""]""), """")"),"a")</f>
        <v>a</v>
      </c>
      <c r="CN32" s="12" t="str">
        <f t="shared" si="12"/>
        <v>edfbag</v>
      </c>
      <c r="CO32" s="12" t="str">
        <f>IFERROR(__xludf.DUMMYFUNCTION("CONCATENATE(SORT(TRANSPOSE(SPLIT(REGEXREPLACE(REGEXREPLACE(CN32&amp;"""",""(?s)(.{1})"",""$1""&amp;CHAR(127)),""'"",""''""),CHAR(127))),1,true),""1"")"),"abdefg1")</f>
        <v>abdefg1</v>
      </c>
      <c r="CP32" s="15"/>
    </row>
    <row r="33">
      <c r="A33" s="1" t="s">
        <v>53</v>
      </c>
      <c r="H33" s="6" t="str">
        <f>IFERROR(__xludf.DUMMYFUNCTION("SPLIT(A33,""|"")"),"dfeag efgadb bagdce bfcgde dcbagfe bgdea ef acdfg bafe edf ")</f>
        <v>dfeag efgadb bagdce bfcgde dcbagfe bgdea ef acdfg bafe edf </v>
      </c>
      <c r="I33" s="6" t="str">
        <f>IFERROR(__xludf.DUMMYFUNCTION("""COMPUTED_VALUE""")," aebf fde def egdba")</f>
        <v> aebf fde def egdba</v>
      </c>
      <c r="J33" s="15"/>
      <c r="K33" s="6" t="str">
        <f>IFERROR(__xludf.DUMMYFUNCTION("split(H33,"" "")"),"dfeag")</f>
        <v>dfeag</v>
      </c>
      <c r="L33" s="6" t="str">
        <f>IFERROR(__xludf.DUMMYFUNCTION("""COMPUTED_VALUE"""),"efgadb")</f>
        <v>efgadb</v>
      </c>
      <c r="M33" s="6" t="str">
        <f>IFERROR(__xludf.DUMMYFUNCTION("""COMPUTED_VALUE"""),"bagdce")</f>
        <v>bagdce</v>
      </c>
      <c r="N33" s="6" t="str">
        <f>IFERROR(__xludf.DUMMYFUNCTION("""COMPUTED_VALUE"""),"bfcgde")</f>
        <v>bfcgde</v>
      </c>
      <c r="O33" s="6" t="str">
        <f>IFERROR(__xludf.DUMMYFUNCTION("""COMPUTED_VALUE"""),"dcbagfe")</f>
        <v>dcbagfe</v>
      </c>
      <c r="P33" s="6" t="str">
        <f>IFERROR(__xludf.DUMMYFUNCTION("""COMPUTED_VALUE"""),"bgdea")</f>
        <v>bgdea</v>
      </c>
      <c r="Q33" s="6" t="str">
        <f>IFERROR(__xludf.DUMMYFUNCTION("""COMPUTED_VALUE"""),"ef")</f>
        <v>ef</v>
      </c>
      <c r="R33" s="6" t="str">
        <f>IFERROR(__xludf.DUMMYFUNCTION("""COMPUTED_VALUE"""),"acdfg")</f>
        <v>acdfg</v>
      </c>
      <c r="S33" s="6" t="str">
        <f>IFERROR(__xludf.DUMMYFUNCTION("""COMPUTED_VALUE"""),"bafe")</f>
        <v>bafe</v>
      </c>
      <c r="T33" s="6" t="str">
        <f>IFERROR(__xludf.DUMMYFUNCTION("""COMPUTED_VALUE"""),"edf")</f>
        <v>edf</v>
      </c>
      <c r="U33" s="15"/>
      <c r="V33" s="6" t="str">
        <f>IFERROR(__xludf.DUMMYFUNCTION("split(I33,"" "")"),"aebf")</f>
        <v>aebf</v>
      </c>
      <c r="W33" s="6" t="str">
        <f>IFERROR(__xludf.DUMMYFUNCTION("""COMPUTED_VALUE"""),"fde")</f>
        <v>fde</v>
      </c>
      <c r="X33" s="6" t="str">
        <f>IFERROR(__xludf.DUMMYFUNCTION("""COMPUTED_VALUE"""),"def")</f>
        <v>def</v>
      </c>
      <c r="Y33" s="6" t="str">
        <f>IFERROR(__xludf.DUMMYFUNCTION("""COMPUTED_VALUE"""),"egdba")</f>
        <v>egdba</v>
      </c>
      <c r="Z33" s="6" t="str">
        <f>IFERROR(__xludf.DUMMYFUNCTION("CONCATENATE(SORT(TRANSPOSE(SPLIT(REGEXREPLACE(REGEXREPLACE(V33&amp;"""",""(?s)(.{1})"",""$1""&amp;CHAR(127)),""'"",""''""),CHAR(127))),1,true))"),"abef")</f>
        <v>abef</v>
      </c>
      <c r="AA33" s="6" t="str">
        <f>IFERROR(__xludf.DUMMYFUNCTION("CONCATENATE(SORT(TRANSPOSE(SPLIT(REGEXREPLACE(REGEXREPLACE(W33&amp;"""",""(?s)(.{1})"",""$1""&amp;CHAR(127)),""'"",""''""),CHAR(127))),1,true))"),"def")</f>
        <v>def</v>
      </c>
      <c r="AB33" s="6" t="str">
        <f>IFERROR(__xludf.DUMMYFUNCTION("CONCATENATE(SORT(TRANSPOSE(SPLIT(REGEXREPLACE(REGEXREPLACE(X33&amp;"""",""(?s)(.{1})"",""$1""&amp;CHAR(127)),""'"",""''""),CHAR(127))),1,true))"),"def")</f>
        <v>def</v>
      </c>
      <c r="AC33" s="6" t="str">
        <f>IFERROR(__xludf.DUMMYFUNCTION("CONCATENATE(SORT(TRANSPOSE(SPLIT(REGEXREPLACE(REGEXREPLACE(Y33&amp;"""",""(?s)(.{1})"",""$1""&amp;CHAR(127)),""'"",""''""),CHAR(127))),1,true))"),"abdeg")</f>
        <v>abdeg</v>
      </c>
      <c r="AD33" s="6">
        <f t="shared" ref="AD33:AG33" si="43">INDEX($AO$1:$CP$1,1,MATCH(CONCATENATE(Z33,"1"),$AO33:$CP33,0)+1)</f>
        <v>4</v>
      </c>
      <c r="AE33" s="6">
        <f t="shared" si="43"/>
        <v>7</v>
      </c>
      <c r="AF33" s="6">
        <f t="shared" si="43"/>
        <v>7</v>
      </c>
      <c r="AG33" s="6">
        <f t="shared" si="43"/>
        <v>5</v>
      </c>
      <c r="AH33" s="6">
        <f t="shared" si="3"/>
        <v>4775</v>
      </c>
      <c r="AI33" s="16"/>
      <c r="AJ33" s="9" t="str">
        <f>IFERROR(__xludf.DUMMYFUNCTION("REGEXREPLACE(AR33,CONCATENATE(""["",BY33,""]""),"""")"),"f")</f>
        <v>f</v>
      </c>
      <c r="AK33" s="10" t="str">
        <f>IFERROR(__xludf.DUMMYFUNCTION("FILTER($K33:$T33,len($K33:$T33)=6,NOT($K33:$T33=BY33))"),"efgadb")</f>
        <v>efgadb</v>
      </c>
      <c r="AL33" s="6" t="str">
        <f>IFERROR(__xludf.DUMMYFUNCTION("""COMPUTED_VALUE"""),"bfcgde")</f>
        <v>bfcgde</v>
      </c>
      <c r="AM33" s="6" t="str">
        <f>IFERROR(__xludf.DUMMYFUNCTION("REGEXREPLACE( $BG33, CONCATENATE(""["",AK33,""]""), """")"),"")</f>
        <v/>
      </c>
      <c r="AN33" s="6" t="str">
        <f>IFERROR(__xludf.DUMMYFUNCTION("REGEXREPLACE( $BG33, CONCATENATE(""["",AL33,""]""), """")"),"a")</f>
        <v>a</v>
      </c>
      <c r="AO33" s="11" t="str">
        <f t="shared" si="4"/>
        <v>bfcgde</v>
      </c>
      <c r="AP33" s="12" t="str">
        <f>IFERROR(__xludf.DUMMYFUNCTION("CONCATENATE(SORT(TRANSPOSE(SPLIT(REGEXREPLACE(REGEXREPLACE(AO33&amp;"""",""(?s)(.{1})"",""$1""&amp;CHAR(127)),""'"",""''""),CHAR(127))),1,true),""1"")"),"bcdefg1")</f>
        <v>bcdefg1</v>
      </c>
      <c r="AQ33" s="16"/>
      <c r="AR33" s="12" t="str">
        <f t="shared" si="5"/>
        <v>ef</v>
      </c>
      <c r="AS33" s="12" t="str">
        <f>IFERROR(__xludf.DUMMYFUNCTION("CONCATENATE(SORT(TRANSPOSE(SPLIT(REGEXREPLACE(REGEXREPLACE(AR33&amp;"""",""(?s)(.{1})"",""$1""&amp;CHAR(127)),""'"",""''""),CHAR(127))),1,true),""1"")"),"ef1")</f>
        <v>ef1</v>
      </c>
      <c r="AT33" s="16"/>
      <c r="AU33" s="13" t="str">
        <f>IFERROR(__xludf.DUMMYFUNCTION("FILTER($K33:$T33,len($K33:$T33)=5,NOT($K33:$T33=BD33),NOT($K33:$T33=BP33))"),"acdfg")</f>
        <v>acdfg</v>
      </c>
      <c r="AV33" s="12" t="str">
        <f>IFERROR(__xludf.DUMMYFUNCTION("CONCATENATE(SORT(TRANSPOSE(SPLIT(REGEXREPLACE(REGEXREPLACE(AU33&amp;"""",""(?s)(.{1})"",""$1""&amp;CHAR(127)),""'"",""''""),CHAR(127))),1,true),""1"")"),"acdfg1")</f>
        <v>acdfg1</v>
      </c>
      <c r="AW33" s="16"/>
      <c r="AX33" s="10" t="str">
        <f>IFERROR(__xludf.DUMMYFUNCTION("FILTER($K33:$T33,len($K33:$T33)=5)"),"dfeag")</f>
        <v>dfeag</v>
      </c>
      <c r="AY33" s="6" t="str">
        <f>IFERROR(__xludf.DUMMYFUNCTION("""COMPUTED_VALUE"""),"bgdea")</f>
        <v>bgdea</v>
      </c>
      <c r="AZ33" s="6" t="str">
        <f>IFERROR(__xludf.DUMMYFUNCTION("""COMPUTED_VALUE"""),"acdfg")</f>
        <v>acdfg</v>
      </c>
      <c r="BA33" s="6" t="str">
        <f>IFERROR(__xludf.DUMMYFUNCTION("REGEXREPLACE( $AR33, CONCATENATE(""["",AX33,""]""), """")"),"")</f>
        <v/>
      </c>
      <c r="BB33" s="6" t="str">
        <f>IFERROR(__xludf.DUMMYFUNCTION("REGEXREPLACE( $AR33, CONCATENATE(""["",AY33,""]""), """")"),"f")</f>
        <v>f</v>
      </c>
      <c r="BC33" s="6" t="str">
        <f>IFERROR(__xludf.DUMMYFUNCTION("REGEXREPLACE( $AR33, CONCATENATE(""["",AZ33,""]""), """")"),"e")</f>
        <v>e</v>
      </c>
      <c r="BD33" s="11" t="str">
        <f t="shared" si="6"/>
        <v>dfeag</v>
      </c>
      <c r="BE33" s="12" t="str">
        <f>IFERROR(__xludf.DUMMYFUNCTION("CONCATENATE(SORT(TRANSPOSE(SPLIT(REGEXREPLACE(REGEXREPLACE(BD33&amp;"""",""(?s)(.{1})"",""$1""&amp;CHAR(127)),""'"",""''""),CHAR(127))),1,true),""1"")"),"adefg1")</f>
        <v>adefg1</v>
      </c>
      <c r="BF33" s="16"/>
      <c r="BG33" s="12" t="str">
        <f t="shared" si="7"/>
        <v>bafe</v>
      </c>
      <c r="BH33" s="12" t="str">
        <f>IFERROR(__xludf.DUMMYFUNCTION("CONCATENATE(SORT(TRANSPOSE(SPLIT(REGEXREPLACE(REGEXREPLACE(BG33&amp;"""",""(?s)(.{1})"",""$1""&amp;CHAR(127)),""'"",""''""),CHAR(127))),1,true),""1"")"),"abef1")</f>
        <v>abef1</v>
      </c>
      <c r="BI33" s="16"/>
      <c r="BJ33" s="10" t="str">
        <f>IFERROR(__xludf.DUMMYFUNCTION("FILTER($K33:$T33,len($K33:$T33)=5)"),"dfeag")</f>
        <v>dfeag</v>
      </c>
      <c r="BK33" s="6" t="str">
        <f>IFERROR(__xludf.DUMMYFUNCTION("""COMPUTED_VALUE"""),"bgdea")</f>
        <v>bgdea</v>
      </c>
      <c r="BL33" s="6" t="str">
        <f>IFERROR(__xludf.DUMMYFUNCTION("""COMPUTED_VALUE"""),"acdfg")</f>
        <v>acdfg</v>
      </c>
      <c r="BM33" s="14" t="str">
        <f>IFERROR(__xludf.DUMMYFUNCTION("REGEXREPLACE( $BY33, CONCATENATE(""["",BJ33,""]""), """")"),"bc")</f>
        <v>bc</v>
      </c>
      <c r="BN33" s="14" t="str">
        <f>IFERROR(__xludf.DUMMYFUNCTION("REGEXREPLACE( $BY33, CONCATENATE(""["",BK33,""]""), """")"),"c")</f>
        <v>c</v>
      </c>
      <c r="BO33" s="14" t="str">
        <f>IFERROR(__xludf.DUMMYFUNCTION("REGEXREPLACE( $BY33, CONCATENATE(""["",BL33,""]""), """")"),"be")</f>
        <v>be</v>
      </c>
      <c r="BP33" s="11" t="str">
        <f t="shared" si="8"/>
        <v>bgdea</v>
      </c>
      <c r="BQ33" s="12" t="str">
        <f>IFERROR(__xludf.DUMMYFUNCTION("CONCATENATE(SORT(TRANSPOSE(SPLIT(REGEXREPLACE(REGEXREPLACE(BP33&amp;"""",""(?s)(.{1})"",""$1""&amp;CHAR(127)),""'"",""''""),CHAR(127))),1,true),""1"")"),"abdeg1")</f>
        <v>abdeg1</v>
      </c>
      <c r="BR33" s="16"/>
      <c r="BS33" s="10" t="str">
        <f>IFERROR(__xludf.DUMMYFUNCTION("FILTER(K33:T33,len(K33:T33)=6)"),"efgadb")</f>
        <v>efgadb</v>
      </c>
      <c r="BT33" s="6" t="str">
        <f>IFERROR(__xludf.DUMMYFUNCTION("""COMPUTED_VALUE"""),"bagdce")</f>
        <v>bagdce</v>
      </c>
      <c r="BU33" s="6" t="str">
        <f>IFERROR(__xludf.DUMMYFUNCTION("""COMPUTED_VALUE"""),"bfcgde")</f>
        <v>bfcgde</v>
      </c>
      <c r="BV33" s="6" t="str">
        <f>IFERROR(__xludf.DUMMYFUNCTION("REGEXREPLACE( $AR33, CONCATENATE(""["",BS33,""]""), """")"),"")</f>
        <v/>
      </c>
      <c r="BW33" s="6" t="str">
        <f>IFERROR(__xludf.DUMMYFUNCTION("REGEXREPLACE( $AR33, CONCATENATE(""["",BT33,""]""), """")"),"f")</f>
        <v>f</v>
      </c>
      <c r="BX33" s="6" t="str">
        <f>IFERROR(__xludf.DUMMYFUNCTION("REGEXREPLACE( $AR33, CONCATENATE(""["",BU33,""]""), """")"),"")</f>
        <v/>
      </c>
      <c r="BY33" s="12" t="str">
        <f t="shared" si="9"/>
        <v>bagdce</v>
      </c>
      <c r="BZ33" s="12" t="str">
        <f>IFERROR(__xludf.DUMMYFUNCTION("CONCATENATE(SORT(TRANSPOSE(SPLIT(REGEXREPLACE(REGEXREPLACE(BY33&amp;"""",""(?s)(.{1})"",""$1""&amp;CHAR(127)),""'"",""''""),CHAR(127))),1,true),""1"")"),"abcdeg1")</f>
        <v>abcdeg1</v>
      </c>
      <c r="CA33" s="16"/>
      <c r="CB33" s="12" t="str">
        <f t="shared" si="10"/>
        <v>edf</v>
      </c>
      <c r="CC33" s="12" t="str">
        <f>IFERROR(__xludf.DUMMYFUNCTION("CONCATENATE(SORT(TRANSPOSE(SPLIT(REGEXREPLACE(REGEXREPLACE(CB33&amp;"""",""(?s)(.{1})"",""$1""&amp;CHAR(127)),""'"",""''""),CHAR(127))),1,true),""1"")"),"def1")</f>
        <v>def1</v>
      </c>
      <c r="CD33" s="16"/>
      <c r="CE33" s="12" t="str">
        <f t="shared" si="11"/>
        <v>dcbagfe</v>
      </c>
      <c r="CF33" s="12" t="str">
        <f>IFERROR(__xludf.DUMMYFUNCTION("CONCATENATE(SORT(TRANSPOSE(SPLIT(REGEXREPLACE(REGEXREPLACE(CE33&amp;"""",""(?s)(.{1})"",""$1""&amp;CHAR(127)),""'"",""''""),CHAR(127))),1,true),""1"")"),"abcdefg1")</f>
        <v>abcdefg1</v>
      </c>
      <c r="CG33" s="16"/>
      <c r="CH33" s="10" t="str">
        <f>IFERROR(__xludf.DUMMYFUNCTION("FILTER(K33:T33,len(K33:T33)=6)"),"efgadb")</f>
        <v>efgadb</v>
      </c>
      <c r="CI33" s="6" t="str">
        <f>IFERROR(__xludf.DUMMYFUNCTION("""COMPUTED_VALUE"""),"bagdce")</f>
        <v>bagdce</v>
      </c>
      <c r="CJ33" s="6" t="str">
        <f>IFERROR(__xludf.DUMMYFUNCTION("""COMPUTED_VALUE"""),"bfcgde")</f>
        <v>bfcgde</v>
      </c>
      <c r="CK33" s="6" t="str">
        <f>IFERROR(__xludf.DUMMYFUNCTION("REGEXREPLACE( $BG33, CONCATENATE(""["",CH33,""]""), """")"),"")</f>
        <v/>
      </c>
      <c r="CL33" s="6" t="str">
        <f>IFERROR(__xludf.DUMMYFUNCTION("REGEXREPLACE( $BG33, CONCATENATE(""["",CI33,""]""), """")"),"f")</f>
        <v>f</v>
      </c>
      <c r="CM33" s="6" t="str">
        <f>IFERROR(__xludf.DUMMYFUNCTION("REGEXREPLACE( $BG33, CONCATENATE(""["",CJ33,""]""), """")"),"a")</f>
        <v>a</v>
      </c>
      <c r="CN33" s="12" t="str">
        <f t="shared" si="12"/>
        <v>efgadb</v>
      </c>
      <c r="CO33" s="12" t="str">
        <f>IFERROR(__xludf.DUMMYFUNCTION("CONCATENATE(SORT(TRANSPOSE(SPLIT(REGEXREPLACE(REGEXREPLACE(CN33&amp;"""",""(?s)(.{1})"",""$1""&amp;CHAR(127)),""'"",""''""),CHAR(127))),1,true),""1"")"),"abdefg1")</f>
        <v>abdefg1</v>
      </c>
      <c r="CP33" s="15"/>
    </row>
    <row r="34">
      <c r="A34" s="1" t="s">
        <v>54</v>
      </c>
      <c r="H34" s="6" t="str">
        <f>IFERROR(__xludf.DUMMYFUNCTION("SPLIT(A34,""|"")"),"dab aebf dcebf dbcegfa egbdcf dacfb ba cdfga fbdaec egcbda ")</f>
        <v>dab aebf dcebf dbcegfa egbdcf dacfb ba cdfga fbdaec egcbda </v>
      </c>
      <c r="I34" s="6" t="str">
        <f>IFERROR(__xludf.DUMMYFUNCTION("""COMPUTED_VALUE""")," ab bad dfacg dgafceb")</f>
        <v> ab bad dfacg dgafceb</v>
      </c>
      <c r="J34" s="15"/>
      <c r="K34" s="6" t="str">
        <f>IFERROR(__xludf.DUMMYFUNCTION("split(H34,"" "")"),"dab")</f>
        <v>dab</v>
      </c>
      <c r="L34" s="6" t="str">
        <f>IFERROR(__xludf.DUMMYFUNCTION("""COMPUTED_VALUE"""),"aebf")</f>
        <v>aebf</v>
      </c>
      <c r="M34" s="6" t="str">
        <f>IFERROR(__xludf.DUMMYFUNCTION("""COMPUTED_VALUE"""),"dcebf")</f>
        <v>dcebf</v>
      </c>
      <c r="N34" s="6" t="str">
        <f>IFERROR(__xludf.DUMMYFUNCTION("""COMPUTED_VALUE"""),"dbcegfa")</f>
        <v>dbcegfa</v>
      </c>
      <c r="O34" s="6" t="str">
        <f>IFERROR(__xludf.DUMMYFUNCTION("""COMPUTED_VALUE"""),"egbdcf")</f>
        <v>egbdcf</v>
      </c>
      <c r="P34" s="6" t="str">
        <f>IFERROR(__xludf.DUMMYFUNCTION("""COMPUTED_VALUE"""),"dacfb")</f>
        <v>dacfb</v>
      </c>
      <c r="Q34" s="6" t="str">
        <f>IFERROR(__xludf.DUMMYFUNCTION("""COMPUTED_VALUE"""),"ba")</f>
        <v>ba</v>
      </c>
      <c r="R34" s="6" t="str">
        <f>IFERROR(__xludf.DUMMYFUNCTION("""COMPUTED_VALUE"""),"cdfga")</f>
        <v>cdfga</v>
      </c>
      <c r="S34" s="6" t="str">
        <f>IFERROR(__xludf.DUMMYFUNCTION("""COMPUTED_VALUE"""),"fbdaec")</f>
        <v>fbdaec</v>
      </c>
      <c r="T34" s="6" t="str">
        <f>IFERROR(__xludf.DUMMYFUNCTION("""COMPUTED_VALUE"""),"egcbda")</f>
        <v>egcbda</v>
      </c>
      <c r="U34" s="15"/>
      <c r="V34" s="6" t="str">
        <f>IFERROR(__xludf.DUMMYFUNCTION("split(I34,"" "")"),"ab")</f>
        <v>ab</v>
      </c>
      <c r="W34" s="6" t="str">
        <f>IFERROR(__xludf.DUMMYFUNCTION("""COMPUTED_VALUE"""),"bad")</f>
        <v>bad</v>
      </c>
      <c r="X34" s="6" t="str">
        <f>IFERROR(__xludf.DUMMYFUNCTION("""COMPUTED_VALUE"""),"dfacg")</f>
        <v>dfacg</v>
      </c>
      <c r="Y34" s="6" t="str">
        <f>IFERROR(__xludf.DUMMYFUNCTION("""COMPUTED_VALUE"""),"dgafceb")</f>
        <v>dgafceb</v>
      </c>
      <c r="Z34" s="6" t="str">
        <f>IFERROR(__xludf.DUMMYFUNCTION("CONCATENATE(SORT(TRANSPOSE(SPLIT(REGEXREPLACE(REGEXREPLACE(V34&amp;"""",""(?s)(.{1})"",""$1""&amp;CHAR(127)),""'"",""''""),CHAR(127))),1,true))"),"ab")</f>
        <v>ab</v>
      </c>
      <c r="AA34" s="6" t="str">
        <f>IFERROR(__xludf.DUMMYFUNCTION("CONCATENATE(SORT(TRANSPOSE(SPLIT(REGEXREPLACE(REGEXREPLACE(W34&amp;"""",""(?s)(.{1})"",""$1""&amp;CHAR(127)),""'"",""''""),CHAR(127))),1,true))"),"abd")</f>
        <v>abd</v>
      </c>
      <c r="AB34" s="6" t="str">
        <f>IFERROR(__xludf.DUMMYFUNCTION("CONCATENATE(SORT(TRANSPOSE(SPLIT(REGEXREPLACE(REGEXREPLACE(X34&amp;"""",""(?s)(.{1})"",""$1""&amp;CHAR(127)),""'"",""''""),CHAR(127))),1,true))"),"acdfg")</f>
        <v>acdfg</v>
      </c>
      <c r="AC34" s="6" t="str">
        <f>IFERROR(__xludf.DUMMYFUNCTION("CONCATENATE(SORT(TRANSPOSE(SPLIT(REGEXREPLACE(REGEXREPLACE(Y34&amp;"""",""(?s)(.{1})"",""$1""&amp;CHAR(127)),""'"",""''""),CHAR(127))),1,true))"),"abcdefg")</f>
        <v>abcdefg</v>
      </c>
      <c r="AD34" s="6">
        <f t="shared" ref="AD34:AG34" si="44">INDEX($AO$1:$CP$1,1,MATCH(CONCATENATE(Z34,"1"),$AO34:$CP34,0)+1)</f>
        <v>1</v>
      </c>
      <c r="AE34" s="6">
        <f t="shared" si="44"/>
        <v>7</v>
      </c>
      <c r="AF34" s="6">
        <f t="shared" si="44"/>
        <v>2</v>
      </c>
      <c r="AG34" s="6">
        <f t="shared" si="44"/>
        <v>8</v>
      </c>
      <c r="AH34" s="6">
        <f t="shared" si="3"/>
        <v>1728</v>
      </c>
      <c r="AI34" s="16"/>
      <c r="AJ34" s="9" t="str">
        <f>IFERROR(__xludf.DUMMYFUNCTION("REGEXREPLACE(AR34,CONCATENATE(""["",BY34,""]""),"""")"),"a")</f>
        <v>a</v>
      </c>
      <c r="AK34" s="10" t="str">
        <f>IFERROR(__xludf.DUMMYFUNCTION("FILTER($K34:$T34,len($K34:$T34)=6,NOT($K34:$T34=BY34))"),"fbdaec")</f>
        <v>fbdaec</v>
      </c>
      <c r="AL34" s="6" t="str">
        <f>IFERROR(__xludf.DUMMYFUNCTION("""COMPUTED_VALUE"""),"egcbda")</f>
        <v>egcbda</v>
      </c>
      <c r="AM34" s="6" t="str">
        <f>IFERROR(__xludf.DUMMYFUNCTION("REGEXREPLACE( $BG34, CONCATENATE(""["",AK34,""]""), """")"),"")</f>
        <v/>
      </c>
      <c r="AN34" s="6" t="str">
        <f>IFERROR(__xludf.DUMMYFUNCTION("REGEXREPLACE( $BG34, CONCATENATE(""["",AL34,""]""), """")"),"f")</f>
        <v>f</v>
      </c>
      <c r="AO34" s="11" t="str">
        <f t="shared" si="4"/>
        <v>egcbda</v>
      </c>
      <c r="AP34" s="12" t="str">
        <f>IFERROR(__xludf.DUMMYFUNCTION("CONCATENATE(SORT(TRANSPOSE(SPLIT(REGEXREPLACE(REGEXREPLACE(AO34&amp;"""",""(?s)(.{1})"",""$1""&amp;CHAR(127)),""'"",""''""),CHAR(127))),1,true),""1"")"),"abcdeg1")</f>
        <v>abcdeg1</v>
      </c>
      <c r="AQ34" s="16"/>
      <c r="AR34" s="12" t="str">
        <f t="shared" si="5"/>
        <v>ba</v>
      </c>
      <c r="AS34" s="12" t="str">
        <f>IFERROR(__xludf.DUMMYFUNCTION("CONCATENATE(SORT(TRANSPOSE(SPLIT(REGEXREPLACE(REGEXREPLACE(AR34&amp;"""",""(?s)(.{1})"",""$1""&amp;CHAR(127)),""'"",""''""),CHAR(127))),1,true),""1"")"),"ab1")</f>
        <v>ab1</v>
      </c>
      <c r="AT34" s="16"/>
      <c r="AU34" s="13" t="str">
        <f>IFERROR(__xludf.DUMMYFUNCTION("FILTER($K34:$T34,len($K34:$T34)=5,NOT($K34:$T34=BD34),NOT($K34:$T34=BP34))"),"cdfga")</f>
        <v>cdfga</v>
      </c>
      <c r="AV34" s="12" t="str">
        <f>IFERROR(__xludf.DUMMYFUNCTION("CONCATENATE(SORT(TRANSPOSE(SPLIT(REGEXREPLACE(REGEXREPLACE(AU34&amp;"""",""(?s)(.{1})"",""$1""&amp;CHAR(127)),""'"",""''""),CHAR(127))),1,true),""1"")"),"acdfg1")</f>
        <v>acdfg1</v>
      </c>
      <c r="AW34" s="16"/>
      <c r="AX34" s="10" t="str">
        <f>IFERROR(__xludf.DUMMYFUNCTION("FILTER($K34:$T34,len($K34:$T34)=5)"),"dcebf")</f>
        <v>dcebf</v>
      </c>
      <c r="AY34" s="6" t="str">
        <f>IFERROR(__xludf.DUMMYFUNCTION("""COMPUTED_VALUE"""),"dacfb")</f>
        <v>dacfb</v>
      </c>
      <c r="AZ34" s="6" t="str">
        <f>IFERROR(__xludf.DUMMYFUNCTION("""COMPUTED_VALUE"""),"cdfga")</f>
        <v>cdfga</v>
      </c>
      <c r="BA34" s="6" t="str">
        <f>IFERROR(__xludf.DUMMYFUNCTION("REGEXREPLACE( $AR34, CONCATENATE(""["",AX34,""]""), """")"),"a")</f>
        <v>a</v>
      </c>
      <c r="BB34" s="6" t="str">
        <f>IFERROR(__xludf.DUMMYFUNCTION("REGEXREPLACE( $AR34, CONCATENATE(""["",AY34,""]""), """")"),"")</f>
        <v/>
      </c>
      <c r="BC34" s="6" t="str">
        <f>IFERROR(__xludf.DUMMYFUNCTION("REGEXREPLACE( $AR34, CONCATENATE(""["",AZ34,""]""), """")"),"b")</f>
        <v>b</v>
      </c>
      <c r="BD34" s="11" t="str">
        <f t="shared" si="6"/>
        <v>dacfb</v>
      </c>
      <c r="BE34" s="12" t="str">
        <f>IFERROR(__xludf.DUMMYFUNCTION("CONCATENATE(SORT(TRANSPOSE(SPLIT(REGEXREPLACE(REGEXREPLACE(BD34&amp;"""",""(?s)(.{1})"",""$1""&amp;CHAR(127)),""'"",""''""),CHAR(127))),1,true),""1"")"),"abcdf1")</f>
        <v>abcdf1</v>
      </c>
      <c r="BF34" s="16"/>
      <c r="BG34" s="12" t="str">
        <f t="shared" si="7"/>
        <v>aebf</v>
      </c>
      <c r="BH34" s="12" t="str">
        <f>IFERROR(__xludf.DUMMYFUNCTION("CONCATENATE(SORT(TRANSPOSE(SPLIT(REGEXREPLACE(REGEXREPLACE(BG34&amp;"""",""(?s)(.{1})"",""$1""&amp;CHAR(127)),""'"",""''""),CHAR(127))),1,true),""1"")"),"abef1")</f>
        <v>abef1</v>
      </c>
      <c r="BI34" s="16"/>
      <c r="BJ34" s="10" t="str">
        <f>IFERROR(__xludf.DUMMYFUNCTION("FILTER($K34:$T34,len($K34:$T34)=5)"),"dcebf")</f>
        <v>dcebf</v>
      </c>
      <c r="BK34" s="6" t="str">
        <f>IFERROR(__xludf.DUMMYFUNCTION("""COMPUTED_VALUE"""),"dacfb")</f>
        <v>dacfb</v>
      </c>
      <c r="BL34" s="6" t="str">
        <f>IFERROR(__xludf.DUMMYFUNCTION("""COMPUTED_VALUE"""),"cdfga")</f>
        <v>cdfga</v>
      </c>
      <c r="BM34" s="14" t="str">
        <f>IFERROR(__xludf.DUMMYFUNCTION("REGEXREPLACE( $BY34, CONCATENATE(""["",BJ34,""]""), """")"),"g")</f>
        <v>g</v>
      </c>
      <c r="BN34" s="14" t="str">
        <f>IFERROR(__xludf.DUMMYFUNCTION("REGEXREPLACE( $BY34, CONCATENATE(""["",BK34,""]""), """")"),"eg")</f>
        <v>eg</v>
      </c>
      <c r="BO34" s="14" t="str">
        <f>IFERROR(__xludf.DUMMYFUNCTION("REGEXREPLACE( $BY34, CONCATENATE(""["",BL34,""]""), """")"),"eb")</f>
        <v>eb</v>
      </c>
      <c r="BP34" s="11" t="str">
        <f t="shared" si="8"/>
        <v>dcebf</v>
      </c>
      <c r="BQ34" s="12" t="str">
        <f>IFERROR(__xludf.DUMMYFUNCTION("CONCATENATE(SORT(TRANSPOSE(SPLIT(REGEXREPLACE(REGEXREPLACE(BP34&amp;"""",""(?s)(.{1})"",""$1""&amp;CHAR(127)),""'"",""''""),CHAR(127))),1,true),""1"")"),"bcdef1")</f>
        <v>bcdef1</v>
      </c>
      <c r="BR34" s="16"/>
      <c r="BS34" s="10" t="str">
        <f>IFERROR(__xludf.DUMMYFUNCTION("FILTER(K34:T34,len(K34:T34)=6)"),"egbdcf")</f>
        <v>egbdcf</v>
      </c>
      <c r="BT34" s="6" t="str">
        <f>IFERROR(__xludf.DUMMYFUNCTION("""COMPUTED_VALUE"""),"fbdaec")</f>
        <v>fbdaec</v>
      </c>
      <c r="BU34" s="6" t="str">
        <f>IFERROR(__xludf.DUMMYFUNCTION("""COMPUTED_VALUE"""),"egcbda")</f>
        <v>egcbda</v>
      </c>
      <c r="BV34" s="6" t="str">
        <f>IFERROR(__xludf.DUMMYFUNCTION("REGEXREPLACE( $AR34, CONCATENATE(""["",BS34,""]""), """")"),"a")</f>
        <v>a</v>
      </c>
      <c r="BW34" s="6" t="str">
        <f>IFERROR(__xludf.DUMMYFUNCTION("REGEXREPLACE( $AR34, CONCATENATE(""["",BT34,""]""), """")"),"")</f>
        <v/>
      </c>
      <c r="BX34" s="6" t="str">
        <f>IFERROR(__xludf.DUMMYFUNCTION("REGEXREPLACE( $AR34, CONCATENATE(""["",BU34,""]""), """")"),"")</f>
        <v/>
      </c>
      <c r="BY34" s="12" t="str">
        <f t="shared" si="9"/>
        <v>egbdcf</v>
      </c>
      <c r="BZ34" s="12" t="str">
        <f>IFERROR(__xludf.DUMMYFUNCTION("CONCATENATE(SORT(TRANSPOSE(SPLIT(REGEXREPLACE(REGEXREPLACE(BY34&amp;"""",""(?s)(.{1})"",""$1""&amp;CHAR(127)),""'"",""''""),CHAR(127))),1,true),""1"")"),"bcdefg1")</f>
        <v>bcdefg1</v>
      </c>
      <c r="CA34" s="16"/>
      <c r="CB34" s="12" t="str">
        <f t="shared" si="10"/>
        <v>dab</v>
      </c>
      <c r="CC34" s="12" t="str">
        <f>IFERROR(__xludf.DUMMYFUNCTION("CONCATENATE(SORT(TRANSPOSE(SPLIT(REGEXREPLACE(REGEXREPLACE(CB34&amp;"""",""(?s)(.{1})"",""$1""&amp;CHAR(127)),""'"",""''""),CHAR(127))),1,true),""1"")"),"abd1")</f>
        <v>abd1</v>
      </c>
      <c r="CD34" s="16"/>
      <c r="CE34" s="12" t="str">
        <f t="shared" si="11"/>
        <v>dbcegfa</v>
      </c>
      <c r="CF34" s="12" t="str">
        <f>IFERROR(__xludf.DUMMYFUNCTION("CONCATENATE(SORT(TRANSPOSE(SPLIT(REGEXREPLACE(REGEXREPLACE(CE34&amp;"""",""(?s)(.{1})"",""$1""&amp;CHAR(127)),""'"",""''""),CHAR(127))),1,true),""1"")"),"abcdefg1")</f>
        <v>abcdefg1</v>
      </c>
      <c r="CG34" s="16"/>
      <c r="CH34" s="10" t="str">
        <f>IFERROR(__xludf.DUMMYFUNCTION("FILTER(K34:T34,len(K34:T34)=6)"),"egbdcf")</f>
        <v>egbdcf</v>
      </c>
      <c r="CI34" s="6" t="str">
        <f>IFERROR(__xludf.DUMMYFUNCTION("""COMPUTED_VALUE"""),"fbdaec")</f>
        <v>fbdaec</v>
      </c>
      <c r="CJ34" s="6" t="str">
        <f>IFERROR(__xludf.DUMMYFUNCTION("""COMPUTED_VALUE"""),"egcbda")</f>
        <v>egcbda</v>
      </c>
      <c r="CK34" s="6" t="str">
        <f>IFERROR(__xludf.DUMMYFUNCTION("REGEXREPLACE( $BG34, CONCATENATE(""["",CH34,""]""), """")"),"a")</f>
        <v>a</v>
      </c>
      <c r="CL34" s="6" t="str">
        <f>IFERROR(__xludf.DUMMYFUNCTION("REGEXREPLACE( $BG34, CONCATENATE(""["",CI34,""]""), """")"),"")</f>
        <v/>
      </c>
      <c r="CM34" s="6" t="str">
        <f>IFERROR(__xludf.DUMMYFUNCTION("REGEXREPLACE( $BG34, CONCATENATE(""["",CJ34,""]""), """")"),"f")</f>
        <v>f</v>
      </c>
      <c r="CN34" s="12" t="str">
        <f t="shared" si="12"/>
        <v>fbdaec</v>
      </c>
      <c r="CO34" s="12" t="str">
        <f>IFERROR(__xludf.DUMMYFUNCTION("CONCATENATE(SORT(TRANSPOSE(SPLIT(REGEXREPLACE(REGEXREPLACE(CN34&amp;"""",""(?s)(.{1})"",""$1""&amp;CHAR(127)),""'"",""''""),CHAR(127))),1,true),""1"")"),"abcdef1")</f>
        <v>abcdef1</v>
      </c>
      <c r="CP34" s="15"/>
    </row>
    <row r="35">
      <c r="A35" s="1" t="s">
        <v>55</v>
      </c>
      <c r="H35" s="6" t="str">
        <f>IFERROR(__xludf.DUMMYFUNCTION("SPLIT(A35,""|"")"),"dbf agfdcb cdbfeg cadbe fd bafcg ebfcag egfdacb dfga bdcfa ")</f>
        <v>dbf agfdcb cdbfeg cadbe fd bafcg ebfcag egfdacb dfga bdcfa </v>
      </c>
      <c r="I35" s="6" t="str">
        <f>IFERROR(__xludf.DUMMYFUNCTION("""COMPUTED_VALUE""")," fagd df cfgeadb ebfacg")</f>
        <v> fagd df cfgeadb ebfacg</v>
      </c>
      <c r="J35" s="15"/>
      <c r="K35" s="6" t="str">
        <f>IFERROR(__xludf.DUMMYFUNCTION("split(H35,"" "")"),"dbf")</f>
        <v>dbf</v>
      </c>
      <c r="L35" s="6" t="str">
        <f>IFERROR(__xludf.DUMMYFUNCTION("""COMPUTED_VALUE"""),"agfdcb")</f>
        <v>agfdcb</v>
      </c>
      <c r="M35" s="6" t="str">
        <f>IFERROR(__xludf.DUMMYFUNCTION("""COMPUTED_VALUE"""),"cdbfeg")</f>
        <v>cdbfeg</v>
      </c>
      <c r="N35" s="6" t="str">
        <f>IFERROR(__xludf.DUMMYFUNCTION("""COMPUTED_VALUE"""),"cadbe")</f>
        <v>cadbe</v>
      </c>
      <c r="O35" s="6" t="str">
        <f>IFERROR(__xludf.DUMMYFUNCTION("""COMPUTED_VALUE"""),"fd")</f>
        <v>fd</v>
      </c>
      <c r="P35" s="6" t="str">
        <f>IFERROR(__xludf.DUMMYFUNCTION("""COMPUTED_VALUE"""),"bafcg")</f>
        <v>bafcg</v>
      </c>
      <c r="Q35" s="6" t="str">
        <f>IFERROR(__xludf.DUMMYFUNCTION("""COMPUTED_VALUE"""),"ebfcag")</f>
        <v>ebfcag</v>
      </c>
      <c r="R35" s="6" t="str">
        <f>IFERROR(__xludf.DUMMYFUNCTION("""COMPUTED_VALUE"""),"egfdacb")</f>
        <v>egfdacb</v>
      </c>
      <c r="S35" s="6" t="str">
        <f>IFERROR(__xludf.DUMMYFUNCTION("""COMPUTED_VALUE"""),"dfga")</f>
        <v>dfga</v>
      </c>
      <c r="T35" s="6" t="str">
        <f>IFERROR(__xludf.DUMMYFUNCTION("""COMPUTED_VALUE"""),"bdcfa")</f>
        <v>bdcfa</v>
      </c>
      <c r="U35" s="15"/>
      <c r="V35" s="6" t="str">
        <f>IFERROR(__xludf.DUMMYFUNCTION("split(I35,"" "")"),"fagd")</f>
        <v>fagd</v>
      </c>
      <c r="W35" s="6" t="str">
        <f>IFERROR(__xludf.DUMMYFUNCTION("""COMPUTED_VALUE"""),"df")</f>
        <v>df</v>
      </c>
      <c r="X35" s="6" t="str">
        <f>IFERROR(__xludf.DUMMYFUNCTION("""COMPUTED_VALUE"""),"cfgeadb")</f>
        <v>cfgeadb</v>
      </c>
      <c r="Y35" s="6" t="str">
        <f>IFERROR(__xludf.DUMMYFUNCTION("""COMPUTED_VALUE"""),"ebfacg")</f>
        <v>ebfacg</v>
      </c>
      <c r="Z35" s="6" t="str">
        <f>IFERROR(__xludf.DUMMYFUNCTION("CONCATENATE(SORT(TRANSPOSE(SPLIT(REGEXREPLACE(REGEXREPLACE(V35&amp;"""",""(?s)(.{1})"",""$1""&amp;CHAR(127)),""'"",""''""),CHAR(127))),1,true))"),"adfg")</f>
        <v>adfg</v>
      </c>
      <c r="AA35" s="6" t="str">
        <f>IFERROR(__xludf.DUMMYFUNCTION("CONCATENATE(SORT(TRANSPOSE(SPLIT(REGEXREPLACE(REGEXREPLACE(W35&amp;"""",""(?s)(.{1})"",""$1""&amp;CHAR(127)),""'"",""''""),CHAR(127))),1,true))"),"df")</f>
        <v>df</v>
      </c>
      <c r="AB35" s="6" t="str">
        <f>IFERROR(__xludf.DUMMYFUNCTION("CONCATENATE(SORT(TRANSPOSE(SPLIT(REGEXREPLACE(REGEXREPLACE(X35&amp;"""",""(?s)(.{1})"",""$1""&amp;CHAR(127)),""'"",""''""),CHAR(127))),1,true))"),"abcdefg")</f>
        <v>abcdefg</v>
      </c>
      <c r="AC35" s="6" t="str">
        <f>IFERROR(__xludf.DUMMYFUNCTION("CONCATENATE(SORT(TRANSPOSE(SPLIT(REGEXREPLACE(REGEXREPLACE(Y35&amp;"""",""(?s)(.{1})"",""$1""&amp;CHAR(127)),""'"",""''""),CHAR(127))),1,true))"),"abcefg")</f>
        <v>abcefg</v>
      </c>
      <c r="AD35" s="6">
        <f t="shared" ref="AD35:AG35" si="45">INDEX($AO$1:$CP$1,1,MATCH(CONCATENATE(Z35,"1"),$AO35:$CP35,0)+1)</f>
        <v>4</v>
      </c>
      <c r="AE35" s="6">
        <f t="shared" si="45"/>
        <v>1</v>
      </c>
      <c r="AF35" s="6">
        <f t="shared" si="45"/>
        <v>8</v>
      </c>
      <c r="AG35" s="6">
        <f t="shared" si="45"/>
        <v>6</v>
      </c>
      <c r="AH35" s="6">
        <f t="shared" si="3"/>
        <v>4186</v>
      </c>
      <c r="AI35" s="16"/>
      <c r="AJ35" s="9" t="str">
        <f>IFERROR(__xludf.DUMMYFUNCTION("REGEXREPLACE(AR35,CONCATENATE(""["",BY35,""]""),"""")"),"d")</f>
        <v>d</v>
      </c>
      <c r="AK35" s="10" t="str">
        <f>IFERROR(__xludf.DUMMYFUNCTION("FILTER($K35:$T35,len($K35:$T35)=6,NOT($K35:$T35=BY35))"),"agfdcb")</f>
        <v>agfdcb</v>
      </c>
      <c r="AL35" s="6" t="str">
        <f>IFERROR(__xludf.DUMMYFUNCTION("""COMPUTED_VALUE"""),"cdbfeg")</f>
        <v>cdbfeg</v>
      </c>
      <c r="AM35" s="6" t="str">
        <f>IFERROR(__xludf.DUMMYFUNCTION("REGEXREPLACE( $BG35, CONCATENATE(""["",AK35,""]""), """")"),"")</f>
        <v/>
      </c>
      <c r="AN35" s="6" t="str">
        <f>IFERROR(__xludf.DUMMYFUNCTION("REGEXREPLACE( $BG35, CONCATENATE(""["",AL35,""]""), """")"),"a")</f>
        <v>a</v>
      </c>
      <c r="AO35" s="11" t="str">
        <f t="shared" si="4"/>
        <v>cdbfeg</v>
      </c>
      <c r="AP35" s="12" t="str">
        <f>IFERROR(__xludf.DUMMYFUNCTION("CONCATENATE(SORT(TRANSPOSE(SPLIT(REGEXREPLACE(REGEXREPLACE(AO35&amp;"""",""(?s)(.{1})"",""$1""&amp;CHAR(127)),""'"",""''""),CHAR(127))),1,true),""1"")"),"bcdefg1")</f>
        <v>bcdefg1</v>
      </c>
      <c r="AQ35" s="16"/>
      <c r="AR35" s="12" t="str">
        <f t="shared" si="5"/>
        <v>fd</v>
      </c>
      <c r="AS35" s="12" t="str">
        <f>IFERROR(__xludf.DUMMYFUNCTION("CONCATENATE(SORT(TRANSPOSE(SPLIT(REGEXREPLACE(REGEXREPLACE(AR35&amp;"""",""(?s)(.{1})"",""$1""&amp;CHAR(127)),""'"",""''""),CHAR(127))),1,true),""1"")"),"df1")</f>
        <v>df1</v>
      </c>
      <c r="AT35" s="16"/>
      <c r="AU35" s="13" t="str">
        <f>IFERROR(__xludf.DUMMYFUNCTION("FILTER($K35:$T35,len($K35:$T35)=5,NOT($K35:$T35=BD35),NOT($K35:$T35=BP35))"),"cadbe")</f>
        <v>cadbe</v>
      </c>
      <c r="AV35" s="12" t="str">
        <f>IFERROR(__xludf.DUMMYFUNCTION("CONCATENATE(SORT(TRANSPOSE(SPLIT(REGEXREPLACE(REGEXREPLACE(AU35&amp;"""",""(?s)(.{1})"",""$1""&amp;CHAR(127)),""'"",""''""),CHAR(127))),1,true),""1"")"),"abcde1")</f>
        <v>abcde1</v>
      </c>
      <c r="AW35" s="16"/>
      <c r="AX35" s="10" t="str">
        <f>IFERROR(__xludf.DUMMYFUNCTION("FILTER($K35:$T35,len($K35:$T35)=5)"),"cadbe")</f>
        <v>cadbe</v>
      </c>
      <c r="AY35" s="6" t="str">
        <f>IFERROR(__xludf.DUMMYFUNCTION("""COMPUTED_VALUE"""),"bafcg")</f>
        <v>bafcg</v>
      </c>
      <c r="AZ35" s="6" t="str">
        <f>IFERROR(__xludf.DUMMYFUNCTION("""COMPUTED_VALUE"""),"bdcfa")</f>
        <v>bdcfa</v>
      </c>
      <c r="BA35" s="6" t="str">
        <f>IFERROR(__xludf.DUMMYFUNCTION("REGEXREPLACE( $AR35, CONCATENATE(""["",AX35,""]""), """")"),"f")</f>
        <v>f</v>
      </c>
      <c r="BB35" s="6" t="str">
        <f>IFERROR(__xludf.DUMMYFUNCTION("REGEXREPLACE( $AR35, CONCATENATE(""["",AY35,""]""), """")"),"d")</f>
        <v>d</v>
      </c>
      <c r="BC35" s="6" t="str">
        <f>IFERROR(__xludf.DUMMYFUNCTION("REGEXREPLACE( $AR35, CONCATENATE(""["",AZ35,""]""), """")"),"")</f>
        <v/>
      </c>
      <c r="BD35" s="11" t="str">
        <f t="shared" si="6"/>
        <v>bdcfa</v>
      </c>
      <c r="BE35" s="12" t="str">
        <f>IFERROR(__xludf.DUMMYFUNCTION("CONCATENATE(SORT(TRANSPOSE(SPLIT(REGEXREPLACE(REGEXREPLACE(BD35&amp;"""",""(?s)(.{1})"",""$1""&amp;CHAR(127)),""'"",""''""),CHAR(127))),1,true),""1"")"),"abcdf1")</f>
        <v>abcdf1</v>
      </c>
      <c r="BF35" s="16"/>
      <c r="BG35" s="12" t="str">
        <f t="shared" si="7"/>
        <v>dfga</v>
      </c>
      <c r="BH35" s="12" t="str">
        <f>IFERROR(__xludf.DUMMYFUNCTION("CONCATENATE(SORT(TRANSPOSE(SPLIT(REGEXREPLACE(REGEXREPLACE(BG35&amp;"""",""(?s)(.{1})"",""$1""&amp;CHAR(127)),""'"",""''""),CHAR(127))),1,true),""1"")"),"adfg1")</f>
        <v>adfg1</v>
      </c>
      <c r="BI35" s="16"/>
      <c r="BJ35" s="10" t="str">
        <f>IFERROR(__xludf.DUMMYFUNCTION("FILTER($K35:$T35,len($K35:$T35)=5)"),"cadbe")</f>
        <v>cadbe</v>
      </c>
      <c r="BK35" s="6" t="str">
        <f>IFERROR(__xludf.DUMMYFUNCTION("""COMPUTED_VALUE"""),"bafcg")</f>
        <v>bafcg</v>
      </c>
      <c r="BL35" s="6" t="str">
        <f>IFERROR(__xludf.DUMMYFUNCTION("""COMPUTED_VALUE"""),"bdcfa")</f>
        <v>bdcfa</v>
      </c>
      <c r="BM35" s="14" t="str">
        <f>IFERROR(__xludf.DUMMYFUNCTION("REGEXREPLACE( $BY35, CONCATENATE(""["",BJ35,""]""), """")"),"fg")</f>
        <v>fg</v>
      </c>
      <c r="BN35" s="14" t="str">
        <f>IFERROR(__xludf.DUMMYFUNCTION("REGEXREPLACE( $BY35, CONCATENATE(""["",BK35,""]""), """")"),"e")</f>
        <v>e</v>
      </c>
      <c r="BO35" s="14" t="str">
        <f>IFERROR(__xludf.DUMMYFUNCTION("REGEXREPLACE( $BY35, CONCATENATE(""["",BL35,""]""), """")"),"eg")</f>
        <v>eg</v>
      </c>
      <c r="BP35" s="11" t="str">
        <f t="shared" si="8"/>
        <v>bafcg</v>
      </c>
      <c r="BQ35" s="12" t="str">
        <f>IFERROR(__xludf.DUMMYFUNCTION("CONCATENATE(SORT(TRANSPOSE(SPLIT(REGEXREPLACE(REGEXREPLACE(BP35&amp;"""",""(?s)(.{1})"",""$1""&amp;CHAR(127)),""'"",""''""),CHAR(127))),1,true),""1"")"),"abcfg1")</f>
        <v>abcfg1</v>
      </c>
      <c r="BR35" s="16"/>
      <c r="BS35" s="10" t="str">
        <f>IFERROR(__xludf.DUMMYFUNCTION("FILTER(K35:T35,len(K35:T35)=6)"),"agfdcb")</f>
        <v>agfdcb</v>
      </c>
      <c r="BT35" s="6" t="str">
        <f>IFERROR(__xludf.DUMMYFUNCTION("""COMPUTED_VALUE"""),"cdbfeg")</f>
        <v>cdbfeg</v>
      </c>
      <c r="BU35" s="6" t="str">
        <f>IFERROR(__xludf.DUMMYFUNCTION("""COMPUTED_VALUE"""),"ebfcag")</f>
        <v>ebfcag</v>
      </c>
      <c r="BV35" s="6" t="str">
        <f>IFERROR(__xludf.DUMMYFUNCTION("REGEXREPLACE( $AR35, CONCATENATE(""["",BS35,""]""), """")"),"")</f>
        <v/>
      </c>
      <c r="BW35" s="6" t="str">
        <f>IFERROR(__xludf.DUMMYFUNCTION("REGEXREPLACE( $AR35, CONCATENATE(""["",BT35,""]""), """")"),"")</f>
        <v/>
      </c>
      <c r="BX35" s="6" t="str">
        <f>IFERROR(__xludf.DUMMYFUNCTION("REGEXREPLACE( $AR35, CONCATENATE(""["",BU35,""]""), """")"),"d")</f>
        <v>d</v>
      </c>
      <c r="BY35" s="12" t="str">
        <f t="shared" si="9"/>
        <v>ebfcag</v>
      </c>
      <c r="BZ35" s="12" t="str">
        <f>IFERROR(__xludf.DUMMYFUNCTION("CONCATENATE(SORT(TRANSPOSE(SPLIT(REGEXREPLACE(REGEXREPLACE(BY35&amp;"""",""(?s)(.{1})"",""$1""&amp;CHAR(127)),""'"",""''""),CHAR(127))),1,true),""1"")"),"abcefg1")</f>
        <v>abcefg1</v>
      </c>
      <c r="CA35" s="16"/>
      <c r="CB35" s="12" t="str">
        <f t="shared" si="10"/>
        <v>dbf</v>
      </c>
      <c r="CC35" s="12" t="str">
        <f>IFERROR(__xludf.DUMMYFUNCTION("CONCATENATE(SORT(TRANSPOSE(SPLIT(REGEXREPLACE(REGEXREPLACE(CB35&amp;"""",""(?s)(.{1})"",""$1""&amp;CHAR(127)),""'"",""''""),CHAR(127))),1,true),""1"")"),"bdf1")</f>
        <v>bdf1</v>
      </c>
      <c r="CD35" s="16"/>
      <c r="CE35" s="12" t="str">
        <f t="shared" si="11"/>
        <v>egfdacb</v>
      </c>
      <c r="CF35" s="12" t="str">
        <f>IFERROR(__xludf.DUMMYFUNCTION("CONCATENATE(SORT(TRANSPOSE(SPLIT(REGEXREPLACE(REGEXREPLACE(CE35&amp;"""",""(?s)(.{1})"",""$1""&amp;CHAR(127)),""'"",""''""),CHAR(127))),1,true),""1"")"),"abcdefg1")</f>
        <v>abcdefg1</v>
      </c>
      <c r="CG35" s="16"/>
      <c r="CH35" s="10" t="str">
        <f>IFERROR(__xludf.DUMMYFUNCTION("FILTER(K35:T35,len(K35:T35)=6)"),"agfdcb")</f>
        <v>agfdcb</v>
      </c>
      <c r="CI35" s="6" t="str">
        <f>IFERROR(__xludf.DUMMYFUNCTION("""COMPUTED_VALUE"""),"cdbfeg")</f>
        <v>cdbfeg</v>
      </c>
      <c r="CJ35" s="6" t="str">
        <f>IFERROR(__xludf.DUMMYFUNCTION("""COMPUTED_VALUE"""),"ebfcag")</f>
        <v>ebfcag</v>
      </c>
      <c r="CK35" s="6" t="str">
        <f>IFERROR(__xludf.DUMMYFUNCTION("REGEXREPLACE( $BG35, CONCATENATE(""["",CH35,""]""), """")"),"")</f>
        <v/>
      </c>
      <c r="CL35" s="6" t="str">
        <f>IFERROR(__xludf.DUMMYFUNCTION("REGEXREPLACE( $BG35, CONCATENATE(""["",CI35,""]""), """")"),"a")</f>
        <v>a</v>
      </c>
      <c r="CM35" s="6" t="str">
        <f>IFERROR(__xludf.DUMMYFUNCTION("REGEXREPLACE( $BG35, CONCATENATE(""["",CJ35,""]""), """")"),"d")</f>
        <v>d</v>
      </c>
      <c r="CN35" s="12" t="str">
        <f t="shared" si="12"/>
        <v>agfdcb</v>
      </c>
      <c r="CO35" s="12" t="str">
        <f>IFERROR(__xludf.DUMMYFUNCTION("CONCATENATE(SORT(TRANSPOSE(SPLIT(REGEXREPLACE(REGEXREPLACE(CN35&amp;"""",""(?s)(.{1})"",""$1""&amp;CHAR(127)),""'"",""''""),CHAR(127))),1,true),""1"")"),"abcdfg1")</f>
        <v>abcdfg1</v>
      </c>
      <c r="CP35" s="15"/>
    </row>
    <row r="36">
      <c r="A36" s="1" t="s">
        <v>56</v>
      </c>
      <c r="H36" s="6" t="str">
        <f>IFERROR(__xludf.DUMMYFUNCTION("SPLIT(A36,""|"")"),"edbaf deacg adcfbg fgecad beacdg acb abecd fbegcda cb cebg ")</f>
        <v>edbaf deacg adcfbg fgecad beacdg acb abecd fbegcda cb cebg </v>
      </c>
      <c r="I36" s="6" t="str">
        <f>IFERROR(__xludf.DUMMYFUNCTION("""COMPUTED_VALUE""")," debca daecb eacbd acb")</f>
        <v> debca daecb eacbd acb</v>
      </c>
      <c r="J36" s="15"/>
      <c r="K36" s="6" t="str">
        <f>IFERROR(__xludf.DUMMYFUNCTION("split(H36,"" "")"),"edbaf")</f>
        <v>edbaf</v>
      </c>
      <c r="L36" s="6" t="str">
        <f>IFERROR(__xludf.DUMMYFUNCTION("""COMPUTED_VALUE"""),"deacg")</f>
        <v>deacg</v>
      </c>
      <c r="M36" s="6" t="str">
        <f>IFERROR(__xludf.DUMMYFUNCTION("""COMPUTED_VALUE"""),"adcfbg")</f>
        <v>adcfbg</v>
      </c>
      <c r="N36" s="6" t="str">
        <f>IFERROR(__xludf.DUMMYFUNCTION("""COMPUTED_VALUE"""),"fgecad")</f>
        <v>fgecad</v>
      </c>
      <c r="O36" s="6" t="str">
        <f>IFERROR(__xludf.DUMMYFUNCTION("""COMPUTED_VALUE"""),"beacdg")</f>
        <v>beacdg</v>
      </c>
      <c r="P36" s="6" t="str">
        <f>IFERROR(__xludf.DUMMYFUNCTION("""COMPUTED_VALUE"""),"acb")</f>
        <v>acb</v>
      </c>
      <c r="Q36" s="6" t="str">
        <f>IFERROR(__xludf.DUMMYFUNCTION("""COMPUTED_VALUE"""),"abecd")</f>
        <v>abecd</v>
      </c>
      <c r="R36" s="6" t="str">
        <f>IFERROR(__xludf.DUMMYFUNCTION("""COMPUTED_VALUE"""),"fbegcda")</f>
        <v>fbegcda</v>
      </c>
      <c r="S36" s="6" t="str">
        <f>IFERROR(__xludf.DUMMYFUNCTION("""COMPUTED_VALUE"""),"cb")</f>
        <v>cb</v>
      </c>
      <c r="T36" s="6" t="str">
        <f>IFERROR(__xludf.DUMMYFUNCTION("""COMPUTED_VALUE"""),"cebg")</f>
        <v>cebg</v>
      </c>
      <c r="U36" s="15"/>
      <c r="V36" s="6" t="str">
        <f>IFERROR(__xludf.DUMMYFUNCTION("split(I36,"" "")"),"debca")</f>
        <v>debca</v>
      </c>
      <c r="W36" s="6" t="str">
        <f>IFERROR(__xludf.DUMMYFUNCTION("""COMPUTED_VALUE"""),"daecb")</f>
        <v>daecb</v>
      </c>
      <c r="X36" s="6" t="str">
        <f>IFERROR(__xludf.DUMMYFUNCTION("""COMPUTED_VALUE"""),"eacbd")</f>
        <v>eacbd</v>
      </c>
      <c r="Y36" s="6" t="str">
        <f>IFERROR(__xludf.DUMMYFUNCTION("""COMPUTED_VALUE"""),"acb")</f>
        <v>acb</v>
      </c>
      <c r="Z36" s="6" t="str">
        <f>IFERROR(__xludf.DUMMYFUNCTION("CONCATENATE(SORT(TRANSPOSE(SPLIT(REGEXREPLACE(REGEXREPLACE(V36&amp;"""",""(?s)(.{1})"",""$1""&amp;CHAR(127)),""'"",""''""),CHAR(127))),1,true))"),"abcde")</f>
        <v>abcde</v>
      </c>
      <c r="AA36" s="6" t="str">
        <f>IFERROR(__xludf.DUMMYFUNCTION("CONCATENATE(SORT(TRANSPOSE(SPLIT(REGEXREPLACE(REGEXREPLACE(W36&amp;"""",""(?s)(.{1})"",""$1""&amp;CHAR(127)),""'"",""''""),CHAR(127))),1,true))"),"abcde")</f>
        <v>abcde</v>
      </c>
      <c r="AB36" s="6" t="str">
        <f>IFERROR(__xludf.DUMMYFUNCTION("CONCATENATE(SORT(TRANSPOSE(SPLIT(REGEXREPLACE(REGEXREPLACE(X36&amp;"""",""(?s)(.{1})"",""$1""&amp;CHAR(127)),""'"",""''""),CHAR(127))),1,true))"),"abcde")</f>
        <v>abcde</v>
      </c>
      <c r="AC36" s="6" t="str">
        <f>IFERROR(__xludf.DUMMYFUNCTION("CONCATENATE(SORT(TRANSPOSE(SPLIT(REGEXREPLACE(REGEXREPLACE(Y36&amp;"""",""(?s)(.{1})"",""$1""&amp;CHAR(127)),""'"",""''""),CHAR(127))),1,true))"),"abc")</f>
        <v>abc</v>
      </c>
      <c r="AD36" s="6">
        <f t="shared" ref="AD36:AG36" si="46">INDEX($AO$1:$CP$1,1,MATCH(CONCATENATE(Z36,"1"),$AO36:$CP36,0)+1)</f>
        <v>3</v>
      </c>
      <c r="AE36" s="6">
        <f t="shared" si="46"/>
        <v>3</v>
      </c>
      <c r="AF36" s="6">
        <f t="shared" si="46"/>
        <v>3</v>
      </c>
      <c r="AG36" s="6">
        <f t="shared" si="46"/>
        <v>7</v>
      </c>
      <c r="AH36" s="6">
        <f t="shared" si="3"/>
        <v>3337</v>
      </c>
      <c r="AI36" s="16"/>
      <c r="AJ36" s="9" t="str">
        <f>IFERROR(__xludf.DUMMYFUNCTION("REGEXREPLACE(AR36,CONCATENATE(""["",BY36,""]""),"""")"),"b")</f>
        <v>b</v>
      </c>
      <c r="AK36" s="10" t="str">
        <f>IFERROR(__xludf.DUMMYFUNCTION("FILTER($K36:$T36,len($K36:$T36)=6,NOT($K36:$T36=BY36))"),"adcfbg")</f>
        <v>adcfbg</v>
      </c>
      <c r="AL36" s="6" t="str">
        <f>IFERROR(__xludf.DUMMYFUNCTION("""COMPUTED_VALUE"""),"beacdg")</f>
        <v>beacdg</v>
      </c>
      <c r="AM36" s="6" t="str">
        <f>IFERROR(__xludf.DUMMYFUNCTION("REGEXREPLACE( $BG36, CONCATENATE(""["",AK36,""]""), """")"),"e")</f>
        <v>e</v>
      </c>
      <c r="AN36" s="6" t="str">
        <f>IFERROR(__xludf.DUMMYFUNCTION("REGEXREPLACE( $BG36, CONCATENATE(""["",AL36,""]""), """")"),"")</f>
        <v/>
      </c>
      <c r="AO36" s="11" t="str">
        <f t="shared" si="4"/>
        <v>adcfbg</v>
      </c>
      <c r="AP36" s="12" t="str">
        <f>IFERROR(__xludf.DUMMYFUNCTION("CONCATENATE(SORT(TRANSPOSE(SPLIT(REGEXREPLACE(REGEXREPLACE(AO36&amp;"""",""(?s)(.{1})"",""$1""&amp;CHAR(127)),""'"",""''""),CHAR(127))),1,true),""1"")"),"abcdfg1")</f>
        <v>abcdfg1</v>
      </c>
      <c r="AQ36" s="16"/>
      <c r="AR36" s="12" t="str">
        <f t="shared" si="5"/>
        <v>cb</v>
      </c>
      <c r="AS36" s="12" t="str">
        <f>IFERROR(__xludf.DUMMYFUNCTION("CONCATENATE(SORT(TRANSPOSE(SPLIT(REGEXREPLACE(REGEXREPLACE(AR36&amp;"""",""(?s)(.{1})"",""$1""&amp;CHAR(127)),""'"",""''""),CHAR(127))),1,true),""1"")"),"bc1")</f>
        <v>bc1</v>
      </c>
      <c r="AT36" s="16"/>
      <c r="AU36" s="13" t="str">
        <f>IFERROR(__xludf.DUMMYFUNCTION("FILTER($K36:$T36,len($K36:$T36)=5,NOT($K36:$T36=BD36),NOT($K36:$T36=BP36))"),"edbaf")</f>
        <v>edbaf</v>
      </c>
      <c r="AV36" s="12" t="str">
        <f>IFERROR(__xludf.DUMMYFUNCTION("CONCATENATE(SORT(TRANSPOSE(SPLIT(REGEXREPLACE(REGEXREPLACE(AU36&amp;"""",""(?s)(.{1})"",""$1""&amp;CHAR(127)),""'"",""''""),CHAR(127))),1,true),""1"")"),"abdef1")</f>
        <v>abdef1</v>
      </c>
      <c r="AW36" s="16"/>
      <c r="AX36" s="10" t="str">
        <f>IFERROR(__xludf.DUMMYFUNCTION("FILTER($K36:$T36,len($K36:$T36)=5)"),"edbaf")</f>
        <v>edbaf</v>
      </c>
      <c r="AY36" s="6" t="str">
        <f>IFERROR(__xludf.DUMMYFUNCTION("""COMPUTED_VALUE"""),"deacg")</f>
        <v>deacg</v>
      </c>
      <c r="AZ36" s="6" t="str">
        <f>IFERROR(__xludf.DUMMYFUNCTION("""COMPUTED_VALUE"""),"abecd")</f>
        <v>abecd</v>
      </c>
      <c r="BA36" s="6" t="str">
        <f>IFERROR(__xludf.DUMMYFUNCTION("REGEXREPLACE( $AR36, CONCATENATE(""["",AX36,""]""), """")"),"c")</f>
        <v>c</v>
      </c>
      <c r="BB36" s="6" t="str">
        <f>IFERROR(__xludf.DUMMYFUNCTION("REGEXREPLACE( $AR36, CONCATENATE(""["",AY36,""]""), """")"),"b")</f>
        <v>b</v>
      </c>
      <c r="BC36" s="6" t="str">
        <f>IFERROR(__xludf.DUMMYFUNCTION("REGEXREPLACE( $AR36, CONCATENATE(""["",AZ36,""]""), """")"),"")</f>
        <v/>
      </c>
      <c r="BD36" s="11" t="str">
        <f t="shared" si="6"/>
        <v>abecd</v>
      </c>
      <c r="BE36" s="12" t="str">
        <f>IFERROR(__xludf.DUMMYFUNCTION("CONCATENATE(SORT(TRANSPOSE(SPLIT(REGEXREPLACE(REGEXREPLACE(BD36&amp;"""",""(?s)(.{1})"",""$1""&amp;CHAR(127)),""'"",""''""),CHAR(127))),1,true),""1"")"),"abcde1")</f>
        <v>abcde1</v>
      </c>
      <c r="BF36" s="16"/>
      <c r="BG36" s="12" t="str">
        <f t="shared" si="7"/>
        <v>cebg</v>
      </c>
      <c r="BH36" s="12" t="str">
        <f>IFERROR(__xludf.DUMMYFUNCTION("CONCATENATE(SORT(TRANSPOSE(SPLIT(REGEXREPLACE(REGEXREPLACE(BG36&amp;"""",""(?s)(.{1})"",""$1""&amp;CHAR(127)),""'"",""''""),CHAR(127))),1,true),""1"")"),"bceg1")</f>
        <v>bceg1</v>
      </c>
      <c r="BI36" s="16"/>
      <c r="BJ36" s="10" t="str">
        <f>IFERROR(__xludf.DUMMYFUNCTION("FILTER($K36:$T36,len($K36:$T36)=5)"),"edbaf")</f>
        <v>edbaf</v>
      </c>
      <c r="BK36" s="6" t="str">
        <f>IFERROR(__xludf.DUMMYFUNCTION("""COMPUTED_VALUE"""),"deacg")</f>
        <v>deacg</v>
      </c>
      <c r="BL36" s="6" t="str">
        <f>IFERROR(__xludf.DUMMYFUNCTION("""COMPUTED_VALUE"""),"abecd")</f>
        <v>abecd</v>
      </c>
      <c r="BM36" s="14" t="str">
        <f>IFERROR(__xludf.DUMMYFUNCTION("REGEXREPLACE( $BY36, CONCATENATE(""["",BJ36,""]""), """")"),"gc")</f>
        <v>gc</v>
      </c>
      <c r="BN36" s="14" t="str">
        <f>IFERROR(__xludf.DUMMYFUNCTION("REGEXREPLACE( $BY36, CONCATENATE(""["",BK36,""]""), """")"),"f")</f>
        <v>f</v>
      </c>
      <c r="BO36" s="14" t="str">
        <f>IFERROR(__xludf.DUMMYFUNCTION("REGEXREPLACE( $BY36, CONCATENATE(""["",BL36,""]""), """")"),"fg")</f>
        <v>fg</v>
      </c>
      <c r="BP36" s="11" t="str">
        <f t="shared" si="8"/>
        <v>deacg</v>
      </c>
      <c r="BQ36" s="12" t="str">
        <f>IFERROR(__xludf.DUMMYFUNCTION("CONCATENATE(SORT(TRANSPOSE(SPLIT(REGEXREPLACE(REGEXREPLACE(BP36&amp;"""",""(?s)(.{1})"",""$1""&amp;CHAR(127)),""'"",""''""),CHAR(127))),1,true),""1"")"),"acdeg1")</f>
        <v>acdeg1</v>
      </c>
      <c r="BR36" s="16"/>
      <c r="BS36" s="10" t="str">
        <f>IFERROR(__xludf.DUMMYFUNCTION("FILTER(K36:T36,len(K36:T36)=6)"),"adcfbg")</f>
        <v>adcfbg</v>
      </c>
      <c r="BT36" s="6" t="str">
        <f>IFERROR(__xludf.DUMMYFUNCTION("""COMPUTED_VALUE"""),"fgecad")</f>
        <v>fgecad</v>
      </c>
      <c r="BU36" s="6" t="str">
        <f>IFERROR(__xludf.DUMMYFUNCTION("""COMPUTED_VALUE"""),"beacdg")</f>
        <v>beacdg</v>
      </c>
      <c r="BV36" s="6" t="str">
        <f>IFERROR(__xludf.DUMMYFUNCTION("REGEXREPLACE( $AR36, CONCATENATE(""["",BS36,""]""), """")"),"")</f>
        <v/>
      </c>
      <c r="BW36" s="6" t="str">
        <f>IFERROR(__xludf.DUMMYFUNCTION("REGEXREPLACE( $AR36, CONCATENATE(""["",BT36,""]""), """")"),"b")</f>
        <v>b</v>
      </c>
      <c r="BX36" s="6" t="str">
        <f>IFERROR(__xludf.DUMMYFUNCTION("REGEXREPLACE( $AR36, CONCATENATE(""["",BU36,""]""), """")"),"")</f>
        <v/>
      </c>
      <c r="BY36" s="12" t="str">
        <f t="shared" si="9"/>
        <v>fgecad</v>
      </c>
      <c r="BZ36" s="12" t="str">
        <f>IFERROR(__xludf.DUMMYFUNCTION("CONCATENATE(SORT(TRANSPOSE(SPLIT(REGEXREPLACE(REGEXREPLACE(BY36&amp;"""",""(?s)(.{1})"",""$1""&amp;CHAR(127)),""'"",""''""),CHAR(127))),1,true),""1"")"),"acdefg1")</f>
        <v>acdefg1</v>
      </c>
      <c r="CA36" s="16"/>
      <c r="CB36" s="12" t="str">
        <f t="shared" si="10"/>
        <v>acb</v>
      </c>
      <c r="CC36" s="12" t="str">
        <f>IFERROR(__xludf.DUMMYFUNCTION("CONCATENATE(SORT(TRANSPOSE(SPLIT(REGEXREPLACE(REGEXREPLACE(CB36&amp;"""",""(?s)(.{1})"",""$1""&amp;CHAR(127)),""'"",""''""),CHAR(127))),1,true),""1"")"),"abc1")</f>
        <v>abc1</v>
      </c>
      <c r="CD36" s="16"/>
      <c r="CE36" s="12" t="str">
        <f t="shared" si="11"/>
        <v>fbegcda</v>
      </c>
      <c r="CF36" s="12" t="str">
        <f>IFERROR(__xludf.DUMMYFUNCTION("CONCATENATE(SORT(TRANSPOSE(SPLIT(REGEXREPLACE(REGEXREPLACE(CE36&amp;"""",""(?s)(.{1})"",""$1""&amp;CHAR(127)),""'"",""''""),CHAR(127))),1,true),""1"")"),"abcdefg1")</f>
        <v>abcdefg1</v>
      </c>
      <c r="CG36" s="16"/>
      <c r="CH36" s="10" t="str">
        <f>IFERROR(__xludf.DUMMYFUNCTION("FILTER(K36:T36,len(K36:T36)=6)"),"adcfbg")</f>
        <v>adcfbg</v>
      </c>
      <c r="CI36" s="6" t="str">
        <f>IFERROR(__xludf.DUMMYFUNCTION("""COMPUTED_VALUE"""),"fgecad")</f>
        <v>fgecad</v>
      </c>
      <c r="CJ36" s="6" t="str">
        <f>IFERROR(__xludf.DUMMYFUNCTION("""COMPUTED_VALUE"""),"beacdg")</f>
        <v>beacdg</v>
      </c>
      <c r="CK36" s="6" t="str">
        <f>IFERROR(__xludf.DUMMYFUNCTION("REGEXREPLACE( $BG36, CONCATENATE(""["",CH36,""]""), """")"),"e")</f>
        <v>e</v>
      </c>
      <c r="CL36" s="6" t="str">
        <f>IFERROR(__xludf.DUMMYFUNCTION("REGEXREPLACE( $BG36, CONCATENATE(""["",CI36,""]""), """")"),"b")</f>
        <v>b</v>
      </c>
      <c r="CM36" s="6" t="str">
        <f>IFERROR(__xludf.DUMMYFUNCTION("REGEXREPLACE( $BG36, CONCATENATE(""["",CJ36,""]""), """")"),"")</f>
        <v/>
      </c>
      <c r="CN36" s="12" t="str">
        <f t="shared" si="12"/>
        <v>beacdg</v>
      </c>
      <c r="CO36" s="12" t="str">
        <f>IFERROR(__xludf.DUMMYFUNCTION("CONCATENATE(SORT(TRANSPOSE(SPLIT(REGEXREPLACE(REGEXREPLACE(CN36&amp;"""",""(?s)(.{1})"",""$1""&amp;CHAR(127)),""'"",""''""),CHAR(127))),1,true),""1"")"),"abcdeg1")</f>
        <v>abcdeg1</v>
      </c>
      <c r="CP36" s="15"/>
    </row>
    <row r="37">
      <c r="A37" s="1" t="s">
        <v>57</v>
      </c>
      <c r="H37" s="6" t="str">
        <f>IFERROR(__xludf.DUMMYFUNCTION("SPLIT(A37,""|"")"),"ebgfac egfa dbacfeg afebc abcfdg cdefab gceab agc dcbge ag ")</f>
        <v>ebgfac egfa dbacfeg afebc abcfdg cdefab gceab agc dcbge ag </v>
      </c>
      <c r="I37" s="6" t="str">
        <f>IFERROR(__xludf.DUMMYFUNCTION("""COMPUTED_VALUE""")," gac ag facgebd egaf")</f>
        <v> gac ag facgebd egaf</v>
      </c>
      <c r="J37" s="15"/>
      <c r="K37" s="6" t="str">
        <f>IFERROR(__xludf.DUMMYFUNCTION("split(H37,"" "")"),"ebgfac")</f>
        <v>ebgfac</v>
      </c>
      <c r="L37" s="6" t="str">
        <f>IFERROR(__xludf.DUMMYFUNCTION("""COMPUTED_VALUE"""),"egfa")</f>
        <v>egfa</v>
      </c>
      <c r="M37" s="6" t="str">
        <f>IFERROR(__xludf.DUMMYFUNCTION("""COMPUTED_VALUE"""),"dbacfeg")</f>
        <v>dbacfeg</v>
      </c>
      <c r="N37" s="6" t="str">
        <f>IFERROR(__xludf.DUMMYFUNCTION("""COMPUTED_VALUE"""),"afebc")</f>
        <v>afebc</v>
      </c>
      <c r="O37" s="6" t="str">
        <f>IFERROR(__xludf.DUMMYFUNCTION("""COMPUTED_VALUE"""),"abcfdg")</f>
        <v>abcfdg</v>
      </c>
      <c r="P37" s="6" t="str">
        <f>IFERROR(__xludf.DUMMYFUNCTION("""COMPUTED_VALUE"""),"cdefab")</f>
        <v>cdefab</v>
      </c>
      <c r="Q37" s="6" t="str">
        <f>IFERROR(__xludf.DUMMYFUNCTION("""COMPUTED_VALUE"""),"gceab")</f>
        <v>gceab</v>
      </c>
      <c r="R37" s="6" t="str">
        <f>IFERROR(__xludf.DUMMYFUNCTION("""COMPUTED_VALUE"""),"agc")</f>
        <v>agc</v>
      </c>
      <c r="S37" s="6" t="str">
        <f>IFERROR(__xludf.DUMMYFUNCTION("""COMPUTED_VALUE"""),"dcbge")</f>
        <v>dcbge</v>
      </c>
      <c r="T37" s="6" t="str">
        <f>IFERROR(__xludf.DUMMYFUNCTION("""COMPUTED_VALUE"""),"ag")</f>
        <v>ag</v>
      </c>
      <c r="U37" s="15"/>
      <c r="V37" s="6" t="str">
        <f>IFERROR(__xludf.DUMMYFUNCTION("split(I37,"" "")"),"gac")</f>
        <v>gac</v>
      </c>
      <c r="W37" s="6" t="str">
        <f>IFERROR(__xludf.DUMMYFUNCTION("""COMPUTED_VALUE"""),"ag")</f>
        <v>ag</v>
      </c>
      <c r="X37" s="6" t="str">
        <f>IFERROR(__xludf.DUMMYFUNCTION("""COMPUTED_VALUE"""),"facgebd")</f>
        <v>facgebd</v>
      </c>
      <c r="Y37" s="6" t="str">
        <f>IFERROR(__xludf.DUMMYFUNCTION("""COMPUTED_VALUE"""),"egaf")</f>
        <v>egaf</v>
      </c>
      <c r="Z37" s="6" t="str">
        <f>IFERROR(__xludf.DUMMYFUNCTION("CONCATENATE(SORT(TRANSPOSE(SPLIT(REGEXREPLACE(REGEXREPLACE(V37&amp;"""",""(?s)(.{1})"",""$1""&amp;CHAR(127)),""'"",""''""),CHAR(127))),1,true))"),"acg")</f>
        <v>acg</v>
      </c>
      <c r="AA37" s="6" t="str">
        <f>IFERROR(__xludf.DUMMYFUNCTION("CONCATENATE(SORT(TRANSPOSE(SPLIT(REGEXREPLACE(REGEXREPLACE(W37&amp;"""",""(?s)(.{1})"",""$1""&amp;CHAR(127)),""'"",""''""),CHAR(127))),1,true))"),"ag")</f>
        <v>ag</v>
      </c>
      <c r="AB37" s="6" t="str">
        <f>IFERROR(__xludf.DUMMYFUNCTION("CONCATENATE(SORT(TRANSPOSE(SPLIT(REGEXREPLACE(REGEXREPLACE(X37&amp;"""",""(?s)(.{1})"",""$1""&amp;CHAR(127)),""'"",""''""),CHAR(127))),1,true))"),"abcdefg")</f>
        <v>abcdefg</v>
      </c>
      <c r="AC37" s="6" t="str">
        <f>IFERROR(__xludf.DUMMYFUNCTION("CONCATENATE(SORT(TRANSPOSE(SPLIT(REGEXREPLACE(REGEXREPLACE(Y37&amp;"""",""(?s)(.{1})"",""$1""&amp;CHAR(127)),""'"",""''""),CHAR(127))),1,true))"),"aefg")</f>
        <v>aefg</v>
      </c>
      <c r="AD37" s="6">
        <f t="shared" ref="AD37:AG37" si="47">INDEX($AO$1:$CP$1,1,MATCH(CONCATENATE(Z37,"1"),$AO37:$CP37,0)+1)</f>
        <v>7</v>
      </c>
      <c r="AE37" s="6">
        <f t="shared" si="47"/>
        <v>1</v>
      </c>
      <c r="AF37" s="6">
        <f t="shared" si="47"/>
        <v>8</v>
      </c>
      <c r="AG37" s="6">
        <f t="shared" si="47"/>
        <v>4</v>
      </c>
      <c r="AH37" s="6">
        <f t="shared" si="3"/>
        <v>7184</v>
      </c>
      <c r="AI37" s="16"/>
      <c r="AJ37" s="9" t="str">
        <f>IFERROR(__xludf.DUMMYFUNCTION("REGEXREPLACE(AR37,CONCATENATE(""["",BY37,""]""),"""")"),"g")</f>
        <v>g</v>
      </c>
      <c r="AK37" s="10" t="str">
        <f>IFERROR(__xludf.DUMMYFUNCTION("FILTER($K37:$T37,len($K37:$T37)=6,NOT($K37:$T37=BY37))"),"ebgfac")</f>
        <v>ebgfac</v>
      </c>
      <c r="AL37" s="6" t="str">
        <f>IFERROR(__xludf.DUMMYFUNCTION("""COMPUTED_VALUE"""),"abcfdg")</f>
        <v>abcfdg</v>
      </c>
      <c r="AM37" s="6" t="str">
        <f>IFERROR(__xludf.DUMMYFUNCTION("REGEXREPLACE( $BG37, CONCATENATE(""["",AK37,""]""), """")"),"")</f>
        <v/>
      </c>
      <c r="AN37" s="6" t="str">
        <f>IFERROR(__xludf.DUMMYFUNCTION("REGEXREPLACE( $BG37, CONCATENATE(""["",AL37,""]""), """")"),"e")</f>
        <v>e</v>
      </c>
      <c r="AO37" s="11" t="str">
        <f t="shared" si="4"/>
        <v>abcfdg</v>
      </c>
      <c r="AP37" s="12" t="str">
        <f>IFERROR(__xludf.DUMMYFUNCTION("CONCATENATE(SORT(TRANSPOSE(SPLIT(REGEXREPLACE(REGEXREPLACE(AO37&amp;"""",""(?s)(.{1})"",""$1""&amp;CHAR(127)),""'"",""''""),CHAR(127))),1,true),""1"")"),"abcdfg1")</f>
        <v>abcdfg1</v>
      </c>
      <c r="AQ37" s="16"/>
      <c r="AR37" s="12" t="str">
        <f t="shared" si="5"/>
        <v>ag</v>
      </c>
      <c r="AS37" s="12" t="str">
        <f>IFERROR(__xludf.DUMMYFUNCTION("CONCATENATE(SORT(TRANSPOSE(SPLIT(REGEXREPLACE(REGEXREPLACE(AR37&amp;"""",""(?s)(.{1})"",""$1""&amp;CHAR(127)),""'"",""''""),CHAR(127))),1,true),""1"")"),"ag1")</f>
        <v>ag1</v>
      </c>
      <c r="AT37" s="16"/>
      <c r="AU37" s="13" t="str">
        <f>IFERROR(__xludf.DUMMYFUNCTION("FILTER($K37:$T37,len($K37:$T37)=5,NOT($K37:$T37=BD37),NOT($K37:$T37=BP37))"),"dcbge")</f>
        <v>dcbge</v>
      </c>
      <c r="AV37" s="12" t="str">
        <f>IFERROR(__xludf.DUMMYFUNCTION("CONCATENATE(SORT(TRANSPOSE(SPLIT(REGEXREPLACE(REGEXREPLACE(AU37&amp;"""",""(?s)(.{1})"",""$1""&amp;CHAR(127)),""'"",""''""),CHAR(127))),1,true),""1"")"),"bcdeg1")</f>
        <v>bcdeg1</v>
      </c>
      <c r="AW37" s="16"/>
      <c r="AX37" s="10" t="str">
        <f>IFERROR(__xludf.DUMMYFUNCTION("FILTER($K37:$T37,len($K37:$T37)=5)"),"afebc")</f>
        <v>afebc</v>
      </c>
      <c r="AY37" s="6" t="str">
        <f>IFERROR(__xludf.DUMMYFUNCTION("""COMPUTED_VALUE"""),"gceab")</f>
        <v>gceab</v>
      </c>
      <c r="AZ37" s="6" t="str">
        <f>IFERROR(__xludf.DUMMYFUNCTION("""COMPUTED_VALUE"""),"dcbge")</f>
        <v>dcbge</v>
      </c>
      <c r="BA37" s="6" t="str">
        <f>IFERROR(__xludf.DUMMYFUNCTION("REGEXREPLACE( $AR37, CONCATENATE(""["",AX37,""]""), """")"),"g")</f>
        <v>g</v>
      </c>
      <c r="BB37" s="6" t="str">
        <f>IFERROR(__xludf.DUMMYFUNCTION("REGEXREPLACE( $AR37, CONCATENATE(""["",AY37,""]""), """")"),"")</f>
        <v/>
      </c>
      <c r="BC37" s="6" t="str">
        <f>IFERROR(__xludf.DUMMYFUNCTION("REGEXREPLACE( $AR37, CONCATENATE(""["",AZ37,""]""), """")"),"a")</f>
        <v>a</v>
      </c>
      <c r="BD37" s="11" t="str">
        <f t="shared" si="6"/>
        <v>gceab</v>
      </c>
      <c r="BE37" s="12" t="str">
        <f>IFERROR(__xludf.DUMMYFUNCTION("CONCATENATE(SORT(TRANSPOSE(SPLIT(REGEXREPLACE(REGEXREPLACE(BD37&amp;"""",""(?s)(.{1})"",""$1""&amp;CHAR(127)),""'"",""''""),CHAR(127))),1,true),""1"")"),"abceg1")</f>
        <v>abceg1</v>
      </c>
      <c r="BF37" s="16"/>
      <c r="BG37" s="12" t="str">
        <f t="shared" si="7"/>
        <v>egfa</v>
      </c>
      <c r="BH37" s="12" t="str">
        <f>IFERROR(__xludf.DUMMYFUNCTION("CONCATENATE(SORT(TRANSPOSE(SPLIT(REGEXREPLACE(REGEXREPLACE(BG37&amp;"""",""(?s)(.{1})"",""$1""&amp;CHAR(127)),""'"",""''""),CHAR(127))),1,true),""1"")"),"aefg1")</f>
        <v>aefg1</v>
      </c>
      <c r="BI37" s="16"/>
      <c r="BJ37" s="10" t="str">
        <f>IFERROR(__xludf.DUMMYFUNCTION("FILTER($K37:$T37,len($K37:$T37)=5)"),"afebc")</f>
        <v>afebc</v>
      </c>
      <c r="BK37" s="6" t="str">
        <f>IFERROR(__xludf.DUMMYFUNCTION("""COMPUTED_VALUE"""),"gceab")</f>
        <v>gceab</v>
      </c>
      <c r="BL37" s="6" t="str">
        <f>IFERROR(__xludf.DUMMYFUNCTION("""COMPUTED_VALUE"""),"dcbge")</f>
        <v>dcbge</v>
      </c>
      <c r="BM37" s="14" t="str">
        <f>IFERROR(__xludf.DUMMYFUNCTION("REGEXREPLACE( $BY37, CONCATENATE(""["",BJ37,""]""), """")"),"d")</f>
        <v>d</v>
      </c>
      <c r="BN37" s="14" t="str">
        <f>IFERROR(__xludf.DUMMYFUNCTION("REGEXREPLACE( $BY37, CONCATENATE(""["",BK37,""]""), """")"),"df")</f>
        <v>df</v>
      </c>
      <c r="BO37" s="14" t="str">
        <f>IFERROR(__xludf.DUMMYFUNCTION("REGEXREPLACE( $BY37, CONCATENATE(""["",BL37,""]""), """")"),"fa")</f>
        <v>fa</v>
      </c>
      <c r="BP37" s="11" t="str">
        <f t="shared" si="8"/>
        <v>afebc</v>
      </c>
      <c r="BQ37" s="12" t="str">
        <f>IFERROR(__xludf.DUMMYFUNCTION("CONCATENATE(SORT(TRANSPOSE(SPLIT(REGEXREPLACE(REGEXREPLACE(BP37&amp;"""",""(?s)(.{1})"",""$1""&amp;CHAR(127)),""'"",""''""),CHAR(127))),1,true),""1"")"),"abcef1")</f>
        <v>abcef1</v>
      </c>
      <c r="BR37" s="16"/>
      <c r="BS37" s="10" t="str">
        <f>IFERROR(__xludf.DUMMYFUNCTION("FILTER(K37:T37,len(K37:T37)=6)"),"ebgfac")</f>
        <v>ebgfac</v>
      </c>
      <c r="BT37" s="6" t="str">
        <f>IFERROR(__xludf.DUMMYFUNCTION("""COMPUTED_VALUE"""),"abcfdg")</f>
        <v>abcfdg</v>
      </c>
      <c r="BU37" s="6" t="str">
        <f>IFERROR(__xludf.DUMMYFUNCTION("""COMPUTED_VALUE"""),"cdefab")</f>
        <v>cdefab</v>
      </c>
      <c r="BV37" s="6" t="str">
        <f>IFERROR(__xludf.DUMMYFUNCTION("REGEXREPLACE( $AR37, CONCATENATE(""["",BS37,""]""), """")"),"")</f>
        <v/>
      </c>
      <c r="BW37" s="6" t="str">
        <f>IFERROR(__xludf.DUMMYFUNCTION("REGEXREPLACE( $AR37, CONCATENATE(""["",BT37,""]""), """")"),"")</f>
        <v/>
      </c>
      <c r="BX37" s="6" t="str">
        <f>IFERROR(__xludf.DUMMYFUNCTION("REGEXREPLACE( $AR37, CONCATENATE(""["",BU37,""]""), """")"),"g")</f>
        <v>g</v>
      </c>
      <c r="BY37" s="12" t="str">
        <f t="shared" si="9"/>
        <v>cdefab</v>
      </c>
      <c r="BZ37" s="12" t="str">
        <f>IFERROR(__xludf.DUMMYFUNCTION("CONCATENATE(SORT(TRANSPOSE(SPLIT(REGEXREPLACE(REGEXREPLACE(BY37&amp;"""",""(?s)(.{1})"",""$1""&amp;CHAR(127)),""'"",""''""),CHAR(127))),1,true),""1"")"),"abcdef1")</f>
        <v>abcdef1</v>
      </c>
      <c r="CA37" s="16"/>
      <c r="CB37" s="12" t="str">
        <f t="shared" si="10"/>
        <v>agc</v>
      </c>
      <c r="CC37" s="12" t="str">
        <f>IFERROR(__xludf.DUMMYFUNCTION("CONCATENATE(SORT(TRANSPOSE(SPLIT(REGEXREPLACE(REGEXREPLACE(CB37&amp;"""",""(?s)(.{1})"",""$1""&amp;CHAR(127)),""'"",""''""),CHAR(127))),1,true),""1"")"),"acg1")</f>
        <v>acg1</v>
      </c>
      <c r="CD37" s="16"/>
      <c r="CE37" s="12" t="str">
        <f t="shared" si="11"/>
        <v>dbacfeg</v>
      </c>
      <c r="CF37" s="12" t="str">
        <f>IFERROR(__xludf.DUMMYFUNCTION("CONCATENATE(SORT(TRANSPOSE(SPLIT(REGEXREPLACE(REGEXREPLACE(CE37&amp;"""",""(?s)(.{1})"",""$1""&amp;CHAR(127)),""'"",""''""),CHAR(127))),1,true),""1"")"),"abcdefg1")</f>
        <v>abcdefg1</v>
      </c>
      <c r="CG37" s="16"/>
      <c r="CH37" s="10" t="str">
        <f>IFERROR(__xludf.DUMMYFUNCTION("FILTER(K37:T37,len(K37:T37)=6)"),"ebgfac")</f>
        <v>ebgfac</v>
      </c>
      <c r="CI37" s="6" t="str">
        <f>IFERROR(__xludf.DUMMYFUNCTION("""COMPUTED_VALUE"""),"abcfdg")</f>
        <v>abcfdg</v>
      </c>
      <c r="CJ37" s="6" t="str">
        <f>IFERROR(__xludf.DUMMYFUNCTION("""COMPUTED_VALUE"""),"cdefab")</f>
        <v>cdefab</v>
      </c>
      <c r="CK37" s="6" t="str">
        <f>IFERROR(__xludf.DUMMYFUNCTION("REGEXREPLACE( $BG37, CONCATENATE(""["",CH37,""]""), """")"),"")</f>
        <v/>
      </c>
      <c r="CL37" s="6" t="str">
        <f>IFERROR(__xludf.DUMMYFUNCTION("REGEXREPLACE( $BG37, CONCATENATE(""["",CI37,""]""), """")"),"e")</f>
        <v>e</v>
      </c>
      <c r="CM37" s="6" t="str">
        <f>IFERROR(__xludf.DUMMYFUNCTION("REGEXREPLACE( $BG37, CONCATENATE(""["",CJ37,""]""), """")"),"g")</f>
        <v>g</v>
      </c>
      <c r="CN37" s="12" t="str">
        <f t="shared" si="12"/>
        <v>ebgfac</v>
      </c>
      <c r="CO37" s="12" t="str">
        <f>IFERROR(__xludf.DUMMYFUNCTION("CONCATENATE(SORT(TRANSPOSE(SPLIT(REGEXREPLACE(REGEXREPLACE(CN37&amp;"""",""(?s)(.{1})"",""$1""&amp;CHAR(127)),""'"",""''""),CHAR(127))),1,true),""1"")"),"abcefg1")</f>
        <v>abcefg1</v>
      </c>
      <c r="CP37" s="15"/>
    </row>
    <row r="38">
      <c r="A38" s="1" t="s">
        <v>58</v>
      </c>
      <c r="H38" s="6" t="str">
        <f>IFERROR(__xludf.DUMMYFUNCTION("SPLIT(A38,""|"")"),"bfdage bde bagd badfe ebcfgd afegd fdcebga afbce aedgfc db ")</f>
        <v>bfdage bde bagd badfe ebcfgd afegd fdcebga afbce aedgfc db </v>
      </c>
      <c r="I38" s="6" t="str">
        <f>IFERROR(__xludf.DUMMYFUNCTION("""COMPUTED_VALUE""")," gecfabd dbcgafe afgcbed db")</f>
        <v> gecfabd dbcgafe afgcbed db</v>
      </c>
      <c r="J38" s="15"/>
      <c r="K38" s="6" t="str">
        <f>IFERROR(__xludf.DUMMYFUNCTION("split(H38,"" "")"),"bfdage")</f>
        <v>bfdage</v>
      </c>
      <c r="L38" s="6" t="str">
        <f>IFERROR(__xludf.DUMMYFUNCTION("""COMPUTED_VALUE"""),"bde")</f>
        <v>bde</v>
      </c>
      <c r="M38" s="6" t="str">
        <f>IFERROR(__xludf.DUMMYFUNCTION("""COMPUTED_VALUE"""),"bagd")</f>
        <v>bagd</v>
      </c>
      <c r="N38" s="6" t="str">
        <f>IFERROR(__xludf.DUMMYFUNCTION("""COMPUTED_VALUE"""),"badfe")</f>
        <v>badfe</v>
      </c>
      <c r="O38" s="6" t="str">
        <f>IFERROR(__xludf.DUMMYFUNCTION("""COMPUTED_VALUE"""),"ebcfgd")</f>
        <v>ebcfgd</v>
      </c>
      <c r="P38" s="6" t="str">
        <f>IFERROR(__xludf.DUMMYFUNCTION("""COMPUTED_VALUE"""),"afegd")</f>
        <v>afegd</v>
      </c>
      <c r="Q38" s="6" t="str">
        <f>IFERROR(__xludf.DUMMYFUNCTION("""COMPUTED_VALUE"""),"fdcebga")</f>
        <v>fdcebga</v>
      </c>
      <c r="R38" s="6" t="str">
        <f>IFERROR(__xludf.DUMMYFUNCTION("""COMPUTED_VALUE"""),"afbce")</f>
        <v>afbce</v>
      </c>
      <c r="S38" s="6" t="str">
        <f>IFERROR(__xludf.DUMMYFUNCTION("""COMPUTED_VALUE"""),"aedgfc")</f>
        <v>aedgfc</v>
      </c>
      <c r="T38" s="6" t="str">
        <f>IFERROR(__xludf.DUMMYFUNCTION("""COMPUTED_VALUE"""),"db")</f>
        <v>db</v>
      </c>
      <c r="U38" s="15"/>
      <c r="V38" s="6" t="str">
        <f>IFERROR(__xludf.DUMMYFUNCTION("split(I38,"" "")"),"gecfabd")</f>
        <v>gecfabd</v>
      </c>
      <c r="W38" s="6" t="str">
        <f>IFERROR(__xludf.DUMMYFUNCTION("""COMPUTED_VALUE"""),"dbcgafe")</f>
        <v>dbcgafe</v>
      </c>
      <c r="X38" s="6" t="str">
        <f>IFERROR(__xludf.DUMMYFUNCTION("""COMPUTED_VALUE"""),"afgcbed")</f>
        <v>afgcbed</v>
      </c>
      <c r="Y38" s="6" t="str">
        <f>IFERROR(__xludf.DUMMYFUNCTION("""COMPUTED_VALUE"""),"db")</f>
        <v>db</v>
      </c>
      <c r="Z38" s="6" t="str">
        <f>IFERROR(__xludf.DUMMYFUNCTION("CONCATENATE(SORT(TRANSPOSE(SPLIT(REGEXREPLACE(REGEXREPLACE(V38&amp;"""",""(?s)(.{1})"",""$1""&amp;CHAR(127)),""'"",""''""),CHAR(127))),1,true))"),"abcdefg")</f>
        <v>abcdefg</v>
      </c>
      <c r="AA38" s="6" t="str">
        <f>IFERROR(__xludf.DUMMYFUNCTION("CONCATENATE(SORT(TRANSPOSE(SPLIT(REGEXREPLACE(REGEXREPLACE(W38&amp;"""",""(?s)(.{1})"",""$1""&amp;CHAR(127)),""'"",""''""),CHAR(127))),1,true))"),"abcdefg")</f>
        <v>abcdefg</v>
      </c>
      <c r="AB38" s="6" t="str">
        <f>IFERROR(__xludf.DUMMYFUNCTION("CONCATENATE(SORT(TRANSPOSE(SPLIT(REGEXREPLACE(REGEXREPLACE(X38&amp;"""",""(?s)(.{1})"",""$1""&amp;CHAR(127)),""'"",""''""),CHAR(127))),1,true))"),"abcdefg")</f>
        <v>abcdefg</v>
      </c>
      <c r="AC38" s="6" t="str">
        <f>IFERROR(__xludf.DUMMYFUNCTION("CONCATENATE(SORT(TRANSPOSE(SPLIT(REGEXREPLACE(REGEXREPLACE(Y38&amp;"""",""(?s)(.{1})"",""$1""&amp;CHAR(127)),""'"",""''""),CHAR(127))),1,true))"),"bd")</f>
        <v>bd</v>
      </c>
      <c r="AD38" s="6">
        <f t="shared" ref="AD38:AG38" si="48">INDEX($AO$1:$CP$1,1,MATCH(CONCATENATE(Z38,"1"),$AO38:$CP38,0)+1)</f>
        <v>8</v>
      </c>
      <c r="AE38" s="6">
        <f t="shared" si="48"/>
        <v>8</v>
      </c>
      <c r="AF38" s="6">
        <f t="shared" si="48"/>
        <v>8</v>
      </c>
      <c r="AG38" s="6">
        <f t="shared" si="48"/>
        <v>1</v>
      </c>
      <c r="AH38" s="6">
        <f t="shared" si="3"/>
        <v>8881</v>
      </c>
      <c r="AI38" s="16"/>
      <c r="AJ38" s="9" t="str">
        <f>IFERROR(__xludf.DUMMYFUNCTION("REGEXREPLACE(AR38,CONCATENATE(""["",BY38,""]""),"""")"),"b")</f>
        <v>b</v>
      </c>
      <c r="AK38" s="10" t="str">
        <f>IFERROR(__xludf.DUMMYFUNCTION("FILTER($K38:$T38,len($K38:$T38)=6,NOT($K38:$T38=BY38))"),"bfdage")</f>
        <v>bfdage</v>
      </c>
      <c r="AL38" s="6" t="str">
        <f>IFERROR(__xludf.DUMMYFUNCTION("""COMPUTED_VALUE"""),"ebcfgd")</f>
        <v>ebcfgd</v>
      </c>
      <c r="AM38" s="6" t="str">
        <f>IFERROR(__xludf.DUMMYFUNCTION("REGEXREPLACE( $BG38, CONCATENATE(""["",AK38,""]""), """")"),"")</f>
        <v/>
      </c>
      <c r="AN38" s="6" t="str">
        <f>IFERROR(__xludf.DUMMYFUNCTION("REGEXREPLACE( $BG38, CONCATENATE(""["",AL38,""]""), """")"),"a")</f>
        <v>a</v>
      </c>
      <c r="AO38" s="11" t="str">
        <f t="shared" si="4"/>
        <v>ebcfgd</v>
      </c>
      <c r="AP38" s="12" t="str">
        <f>IFERROR(__xludf.DUMMYFUNCTION("CONCATENATE(SORT(TRANSPOSE(SPLIT(REGEXREPLACE(REGEXREPLACE(AO38&amp;"""",""(?s)(.{1})"",""$1""&amp;CHAR(127)),""'"",""''""),CHAR(127))),1,true),""1"")"),"bcdefg1")</f>
        <v>bcdefg1</v>
      </c>
      <c r="AQ38" s="16"/>
      <c r="AR38" s="12" t="str">
        <f t="shared" si="5"/>
        <v>db</v>
      </c>
      <c r="AS38" s="12" t="str">
        <f>IFERROR(__xludf.DUMMYFUNCTION("CONCATENATE(SORT(TRANSPOSE(SPLIT(REGEXREPLACE(REGEXREPLACE(AR38&amp;"""",""(?s)(.{1})"",""$1""&amp;CHAR(127)),""'"",""''""),CHAR(127))),1,true),""1"")"),"bd1")</f>
        <v>bd1</v>
      </c>
      <c r="AT38" s="16"/>
      <c r="AU38" s="13" t="str">
        <f>IFERROR(__xludf.DUMMYFUNCTION("FILTER($K38:$T38,len($K38:$T38)=5,NOT($K38:$T38=BD38),NOT($K38:$T38=BP38))"),"afbce")</f>
        <v>afbce</v>
      </c>
      <c r="AV38" s="12" t="str">
        <f>IFERROR(__xludf.DUMMYFUNCTION("CONCATENATE(SORT(TRANSPOSE(SPLIT(REGEXREPLACE(REGEXREPLACE(AU38&amp;"""",""(?s)(.{1})"",""$1""&amp;CHAR(127)),""'"",""''""),CHAR(127))),1,true),""1"")"),"abcef1")</f>
        <v>abcef1</v>
      </c>
      <c r="AW38" s="16"/>
      <c r="AX38" s="10" t="str">
        <f>IFERROR(__xludf.DUMMYFUNCTION("FILTER($K38:$T38,len($K38:$T38)=5)"),"badfe")</f>
        <v>badfe</v>
      </c>
      <c r="AY38" s="6" t="str">
        <f>IFERROR(__xludf.DUMMYFUNCTION("""COMPUTED_VALUE"""),"afegd")</f>
        <v>afegd</v>
      </c>
      <c r="AZ38" s="6" t="str">
        <f>IFERROR(__xludf.DUMMYFUNCTION("""COMPUTED_VALUE"""),"afbce")</f>
        <v>afbce</v>
      </c>
      <c r="BA38" s="6" t="str">
        <f>IFERROR(__xludf.DUMMYFUNCTION("REGEXREPLACE( $AR38, CONCATENATE(""["",AX38,""]""), """")"),"")</f>
        <v/>
      </c>
      <c r="BB38" s="6" t="str">
        <f>IFERROR(__xludf.DUMMYFUNCTION("REGEXREPLACE( $AR38, CONCATENATE(""["",AY38,""]""), """")"),"b")</f>
        <v>b</v>
      </c>
      <c r="BC38" s="6" t="str">
        <f>IFERROR(__xludf.DUMMYFUNCTION("REGEXREPLACE( $AR38, CONCATENATE(""["",AZ38,""]""), """")"),"d")</f>
        <v>d</v>
      </c>
      <c r="BD38" s="11" t="str">
        <f t="shared" si="6"/>
        <v>badfe</v>
      </c>
      <c r="BE38" s="12" t="str">
        <f>IFERROR(__xludf.DUMMYFUNCTION("CONCATENATE(SORT(TRANSPOSE(SPLIT(REGEXREPLACE(REGEXREPLACE(BD38&amp;"""",""(?s)(.{1})"",""$1""&amp;CHAR(127)),""'"",""''""),CHAR(127))),1,true),""1"")"),"abdef1")</f>
        <v>abdef1</v>
      </c>
      <c r="BF38" s="16"/>
      <c r="BG38" s="12" t="str">
        <f t="shared" si="7"/>
        <v>bagd</v>
      </c>
      <c r="BH38" s="12" t="str">
        <f>IFERROR(__xludf.DUMMYFUNCTION("CONCATENATE(SORT(TRANSPOSE(SPLIT(REGEXREPLACE(REGEXREPLACE(BG38&amp;"""",""(?s)(.{1})"",""$1""&amp;CHAR(127)),""'"",""''""),CHAR(127))),1,true),""1"")"),"abdg1")</f>
        <v>abdg1</v>
      </c>
      <c r="BI38" s="16"/>
      <c r="BJ38" s="10" t="str">
        <f>IFERROR(__xludf.DUMMYFUNCTION("FILTER($K38:$T38,len($K38:$T38)=5)"),"badfe")</f>
        <v>badfe</v>
      </c>
      <c r="BK38" s="6" t="str">
        <f>IFERROR(__xludf.DUMMYFUNCTION("""COMPUTED_VALUE"""),"afegd")</f>
        <v>afegd</v>
      </c>
      <c r="BL38" s="6" t="str">
        <f>IFERROR(__xludf.DUMMYFUNCTION("""COMPUTED_VALUE"""),"afbce")</f>
        <v>afbce</v>
      </c>
      <c r="BM38" s="14" t="str">
        <f>IFERROR(__xludf.DUMMYFUNCTION("REGEXREPLACE( $BY38, CONCATENATE(""["",BJ38,""]""), """")"),"gc")</f>
        <v>gc</v>
      </c>
      <c r="BN38" s="14" t="str">
        <f>IFERROR(__xludf.DUMMYFUNCTION("REGEXREPLACE( $BY38, CONCATENATE(""["",BK38,""]""), """")"),"c")</f>
        <v>c</v>
      </c>
      <c r="BO38" s="14" t="str">
        <f>IFERROR(__xludf.DUMMYFUNCTION("REGEXREPLACE( $BY38, CONCATENATE(""["",BL38,""]""), """")"),"dg")</f>
        <v>dg</v>
      </c>
      <c r="BP38" s="11" t="str">
        <f t="shared" si="8"/>
        <v>afegd</v>
      </c>
      <c r="BQ38" s="12" t="str">
        <f>IFERROR(__xludf.DUMMYFUNCTION("CONCATENATE(SORT(TRANSPOSE(SPLIT(REGEXREPLACE(REGEXREPLACE(BP38&amp;"""",""(?s)(.{1})"",""$1""&amp;CHAR(127)),""'"",""''""),CHAR(127))),1,true),""1"")"),"adefg1")</f>
        <v>adefg1</v>
      </c>
      <c r="BR38" s="16"/>
      <c r="BS38" s="10" t="str">
        <f>IFERROR(__xludf.DUMMYFUNCTION("FILTER(K38:T38,len(K38:T38)=6)"),"bfdage")</f>
        <v>bfdage</v>
      </c>
      <c r="BT38" s="6" t="str">
        <f>IFERROR(__xludf.DUMMYFUNCTION("""COMPUTED_VALUE"""),"ebcfgd")</f>
        <v>ebcfgd</v>
      </c>
      <c r="BU38" s="6" t="str">
        <f>IFERROR(__xludf.DUMMYFUNCTION("""COMPUTED_VALUE"""),"aedgfc")</f>
        <v>aedgfc</v>
      </c>
      <c r="BV38" s="6" t="str">
        <f>IFERROR(__xludf.DUMMYFUNCTION("REGEXREPLACE( $AR38, CONCATENATE(""["",BS38,""]""), """")"),"")</f>
        <v/>
      </c>
      <c r="BW38" s="6" t="str">
        <f>IFERROR(__xludf.DUMMYFUNCTION("REGEXREPLACE( $AR38, CONCATENATE(""["",BT38,""]""), """")"),"")</f>
        <v/>
      </c>
      <c r="BX38" s="6" t="str">
        <f>IFERROR(__xludf.DUMMYFUNCTION("REGEXREPLACE( $AR38, CONCATENATE(""["",BU38,""]""), """")"),"b")</f>
        <v>b</v>
      </c>
      <c r="BY38" s="12" t="str">
        <f t="shared" si="9"/>
        <v>aedgfc</v>
      </c>
      <c r="BZ38" s="12" t="str">
        <f>IFERROR(__xludf.DUMMYFUNCTION("CONCATENATE(SORT(TRANSPOSE(SPLIT(REGEXREPLACE(REGEXREPLACE(BY38&amp;"""",""(?s)(.{1})"",""$1""&amp;CHAR(127)),""'"",""''""),CHAR(127))),1,true),""1"")"),"acdefg1")</f>
        <v>acdefg1</v>
      </c>
      <c r="CA38" s="16"/>
      <c r="CB38" s="12" t="str">
        <f t="shared" si="10"/>
        <v>bde</v>
      </c>
      <c r="CC38" s="12" t="str">
        <f>IFERROR(__xludf.DUMMYFUNCTION("CONCATENATE(SORT(TRANSPOSE(SPLIT(REGEXREPLACE(REGEXREPLACE(CB38&amp;"""",""(?s)(.{1})"",""$1""&amp;CHAR(127)),""'"",""''""),CHAR(127))),1,true),""1"")"),"bde1")</f>
        <v>bde1</v>
      </c>
      <c r="CD38" s="16"/>
      <c r="CE38" s="12" t="str">
        <f t="shared" si="11"/>
        <v>fdcebga</v>
      </c>
      <c r="CF38" s="12" t="str">
        <f>IFERROR(__xludf.DUMMYFUNCTION("CONCATENATE(SORT(TRANSPOSE(SPLIT(REGEXREPLACE(REGEXREPLACE(CE38&amp;"""",""(?s)(.{1})"",""$1""&amp;CHAR(127)),""'"",""''""),CHAR(127))),1,true),""1"")"),"abcdefg1")</f>
        <v>abcdefg1</v>
      </c>
      <c r="CG38" s="16"/>
      <c r="CH38" s="10" t="str">
        <f>IFERROR(__xludf.DUMMYFUNCTION("FILTER(K38:T38,len(K38:T38)=6)"),"bfdage")</f>
        <v>bfdage</v>
      </c>
      <c r="CI38" s="6" t="str">
        <f>IFERROR(__xludf.DUMMYFUNCTION("""COMPUTED_VALUE"""),"ebcfgd")</f>
        <v>ebcfgd</v>
      </c>
      <c r="CJ38" s="6" t="str">
        <f>IFERROR(__xludf.DUMMYFUNCTION("""COMPUTED_VALUE"""),"aedgfc")</f>
        <v>aedgfc</v>
      </c>
      <c r="CK38" s="6" t="str">
        <f>IFERROR(__xludf.DUMMYFUNCTION("REGEXREPLACE( $BG38, CONCATENATE(""["",CH38,""]""), """")"),"")</f>
        <v/>
      </c>
      <c r="CL38" s="6" t="str">
        <f>IFERROR(__xludf.DUMMYFUNCTION("REGEXREPLACE( $BG38, CONCATENATE(""["",CI38,""]""), """")"),"a")</f>
        <v>a</v>
      </c>
      <c r="CM38" s="6" t="str">
        <f>IFERROR(__xludf.DUMMYFUNCTION("REGEXREPLACE( $BG38, CONCATENATE(""["",CJ38,""]""), """")"),"b")</f>
        <v>b</v>
      </c>
      <c r="CN38" s="12" t="str">
        <f t="shared" si="12"/>
        <v>bfdage</v>
      </c>
      <c r="CO38" s="12" t="str">
        <f>IFERROR(__xludf.DUMMYFUNCTION("CONCATENATE(SORT(TRANSPOSE(SPLIT(REGEXREPLACE(REGEXREPLACE(CN38&amp;"""",""(?s)(.{1})"",""$1""&amp;CHAR(127)),""'"",""''""),CHAR(127))),1,true),""1"")"),"abdefg1")</f>
        <v>abdefg1</v>
      </c>
      <c r="CP38" s="15"/>
    </row>
    <row r="39">
      <c r="A39" s="1" t="s">
        <v>59</v>
      </c>
      <c r="H39" s="6" t="str">
        <f>IFERROR(__xludf.DUMMYFUNCTION("SPLIT(A39,""|"")"),"dacbeg aegbcdf aedcf cg bagef gafec ebgafd bgcf gca cbeagf ")</f>
        <v>dacbeg aegbcdf aedcf cg bagef gafec ebgafd bgcf gca cbeagf </v>
      </c>
      <c r="I39" s="6" t="str">
        <f>IFERROR(__xludf.DUMMYFUNCTION("""COMPUTED_VALUE""")," cag bfgae gbfc daegbcf")</f>
        <v> cag bfgae gbfc daegbcf</v>
      </c>
      <c r="J39" s="15"/>
      <c r="K39" s="6" t="str">
        <f>IFERROR(__xludf.DUMMYFUNCTION("split(H39,"" "")"),"dacbeg")</f>
        <v>dacbeg</v>
      </c>
      <c r="L39" s="6" t="str">
        <f>IFERROR(__xludf.DUMMYFUNCTION("""COMPUTED_VALUE"""),"aegbcdf")</f>
        <v>aegbcdf</v>
      </c>
      <c r="M39" s="6" t="str">
        <f>IFERROR(__xludf.DUMMYFUNCTION("""COMPUTED_VALUE"""),"aedcf")</f>
        <v>aedcf</v>
      </c>
      <c r="N39" s="6" t="str">
        <f>IFERROR(__xludf.DUMMYFUNCTION("""COMPUTED_VALUE"""),"cg")</f>
        <v>cg</v>
      </c>
      <c r="O39" s="6" t="str">
        <f>IFERROR(__xludf.DUMMYFUNCTION("""COMPUTED_VALUE"""),"bagef")</f>
        <v>bagef</v>
      </c>
      <c r="P39" s="6" t="str">
        <f>IFERROR(__xludf.DUMMYFUNCTION("""COMPUTED_VALUE"""),"gafec")</f>
        <v>gafec</v>
      </c>
      <c r="Q39" s="6" t="str">
        <f>IFERROR(__xludf.DUMMYFUNCTION("""COMPUTED_VALUE"""),"ebgafd")</f>
        <v>ebgafd</v>
      </c>
      <c r="R39" s="6" t="str">
        <f>IFERROR(__xludf.DUMMYFUNCTION("""COMPUTED_VALUE"""),"bgcf")</f>
        <v>bgcf</v>
      </c>
      <c r="S39" s="6" t="str">
        <f>IFERROR(__xludf.DUMMYFUNCTION("""COMPUTED_VALUE"""),"gca")</f>
        <v>gca</v>
      </c>
      <c r="T39" s="6" t="str">
        <f>IFERROR(__xludf.DUMMYFUNCTION("""COMPUTED_VALUE"""),"cbeagf")</f>
        <v>cbeagf</v>
      </c>
      <c r="U39" s="15"/>
      <c r="V39" s="6" t="str">
        <f>IFERROR(__xludf.DUMMYFUNCTION("split(I39,"" "")"),"cag")</f>
        <v>cag</v>
      </c>
      <c r="W39" s="6" t="str">
        <f>IFERROR(__xludf.DUMMYFUNCTION("""COMPUTED_VALUE"""),"bfgae")</f>
        <v>bfgae</v>
      </c>
      <c r="X39" s="6" t="str">
        <f>IFERROR(__xludf.DUMMYFUNCTION("""COMPUTED_VALUE"""),"gbfc")</f>
        <v>gbfc</v>
      </c>
      <c r="Y39" s="6" t="str">
        <f>IFERROR(__xludf.DUMMYFUNCTION("""COMPUTED_VALUE"""),"daegbcf")</f>
        <v>daegbcf</v>
      </c>
      <c r="Z39" s="6" t="str">
        <f>IFERROR(__xludf.DUMMYFUNCTION("CONCATENATE(SORT(TRANSPOSE(SPLIT(REGEXREPLACE(REGEXREPLACE(V39&amp;"""",""(?s)(.{1})"",""$1""&amp;CHAR(127)),""'"",""''""),CHAR(127))),1,true))"),"acg")</f>
        <v>acg</v>
      </c>
      <c r="AA39" s="6" t="str">
        <f>IFERROR(__xludf.DUMMYFUNCTION("CONCATENATE(SORT(TRANSPOSE(SPLIT(REGEXREPLACE(REGEXREPLACE(W39&amp;"""",""(?s)(.{1})"",""$1""&amp;CHAR(127)),""'"",""''""),CHAR(127))),1,true))"),"abefg")</f>
        <v>abefg</v>
      </c>
      <c r="AB39" s="6" t="str">
        <f>IFERROR(__xludf.DUMMYFUNCTION("CONCATENATE(SORT(TRANSPOSE(SPLIT(REGEXREPLACE(REGEXREPLACE(X39&amp;"""",""(?s)(.{1})"",""$1""&amp;CHAR(127)),""'"",""''""),CHAR(127))),1,true))"),"bcfg")</f>
        <v>bcfg</v>
      </c>
      <c r="AC39" s="6" t="str">
        <f>IFERROR(__xludf.DUMMYFUNCTION("CONCATENATE(SORT(TRANSPOSE(SPLIT(REGEXREPLACE(REGEXREPLACE(Y39&amp;"""",""(?s)(.{1})"",""$1""&amp;CHAR(127)),""'"",""''""),CHAR(127))),1,true))"),"abcdefg")</f>
        <v>abcdefg</v>
      </c>
      <c r="AD39" s="6">
        <f t="shared" ref="AD39:AG39" si="49">INDEX($AO$1:$CP$1,1,MATCH(CONCATENATE(Z39,"1"),$AO39:$CP39,0)+1)</f>
        <v>7</v>
      </c>
      <c r="AE39" s="6">
        <f t="shared" si="49"/>
        <v>5</v>
      </c>
      <c r="AF39" s="6">
        <f t="shared" si="49"/>
        <v>4</v>
      </c>
      <c r="AG39" s="6">
        <f t="shared" si="49"/>
        <v>8</v>
      </c>
      <c r="AH39" s="6">
        <f t="shared" si="3"/>
        <v>7548</v>
      </c>
      <c r="AI39" s="16"/>
      <c r="AJ39" s="9" t="str">
        <f>IFERROR(__xludf.DUMMYFUNCTION("REGEXREPLACE(AR39,CONCATENATE(""["",BY39,""]""),"""")"),"c")</f>
        <v>c</v>
      </c>
      <c r="AK39" s="10" t="str">
        <f>IFERROR(__xludf.DUMMYFUNCTION("FILTER($K39:$T39,len($K39:$T39)=6,NOT($K39:$T39=BY39))"),"dacbeg")</f>
        <v>dacbeg</v>
      </c>
      <c r="AL39" s="6" t="str">
        <f>IFERROR(__xludf.DUMMYFUNCTION("""COMPUTED_VALUE"""),"cbeagf")</f>
        <v>cbeagf</v>
      </c>
      <c r="AM39" s="6" t="str">
        <f>IFERROR(__xludf.DUMMYFUNCTION("REGEXREPLACE( $BG39, CONCATENATE(""["",AK39,""]""), """")"),"f")</f>
        <v>f</v>
      </c>
      <c r="AN39" s="6" t="str">
        <f>IFERROR(__xludf.DUMMYFUNCTION("REGEXREPLACE( $BG39, CONCATENATE(""["",AL39,""]""), """")"),"")</f>
        <v/>
      </c>
      <c r="AO39" s="11" t="str">
        <f t="shared" si="4"/>
        <v>dacbeg</v>
      </c>
      <c r="AP39" s="12" t="str">
        <f>IFERROR(__xludf.DUMMYFUNCTION("CONCATENATE(SORT(TRANSPOSE(SPLIT(REGEXREPLACE(REGEXREPLACE(AO39&amp;"""",""(?s)(.{1})"",""$1""&amp;CHAR(127)),""'"",""''""),CHAR(127))),1,true),""1"")"),"abcdeg1")</f>
        <v>abcdeg1</v>
      </c>
      <c r="AQ39" s="16"/>
      <c r="AR39" s="12" t="str">
        <f t="shared" si="5"/>
        <v>cg</v>
      </c>
      <c r="AS39" s="12" t="str">
        <f>IFERROR(__xludf.DUMMYFUNCTION("CONCATENATE(SORT(TRANSPOSE(SPLIT(REGEXREPLACE(REGEXREPLACE(AR39&amp;"""",""(?s)(.{1})"",""$1""&amp;CHAR(127)),""'"",""''""),CHAR(127))),1,true),""1"")"),"cg1")</f>
        <v>cg1</v>
      </c>
      <c r="AT39" s="16"/>
      <c r="AU39" s="13" t="str">
        <f>IFERROR(__xludf.DUMMYFUNCTION("FILTER($K39:$T39,len($K39:$T39)=5,NOT($K39:$T39=BD39),NOT($K39:$T39=BP39))"),"aedcf")</f>
        <v>aedcf</v>
      </c>
      <c r="AV39" s="12" t="str">
        <f>IFERROR(__xludf.DUMMYFUNCTION("CONCATENATE(SORT(TRANSPOSE(SPLIT(REGEXREPLACE(REGEXREPLACE(AU39&amp;"""",""(?s)(.{1})"",""$1""&amp;CHAR(127)),""'"",""''""),CHAR(127))),1,true),""1"")"),"acdef1")</f>
        <v>acdef1</v>
      </c>
      <c r="AW39" s="16"/>
      <c r="AX39" s="10" t="str">
        <f>IFERROR(__xludf.DUMMYFUNCTION("FILTER($K39:$T39,len($K39:$T39)=5)"),"aedcf")</f>
        <v>aedcf</v>
      </c>
      <c r="AY39" s="6" t="str">
        <f>IFERROR(__xludf.DUMMYFUNCTION("""COMPUTED_VALUE"""),"bagef")</f>
        <v>bagef</v>
      </c>
      <c r="AZ39" s="6" t="str">
        <f>IFERROR(__xludf.DUMMYFUNCTION("""COMPUTED_VALUE"""),"gafec")</f>
        <v>gafec</v>
      </c>
      <c r="BA39" s="6" t="str">
        <f>IFERROR(__xludf.DUMMYFUNCTION("REGEXREPLACE( $AR39, CONCATENATE(""["",AX39,""]""), """")"),"g")</f>
        <v>g</v>
      </c>
      <c r="BB39" s="6" t="str">
        <f>IFERROR(__xludf.DUMMYFUNCTION("REGEXREPLACE( $AR39, CONCATENATE(""["",AY39,""]""), """")"),"c")</f>
        <v>c</v>
      </c>
      <c r="BC39" s="6" t="str">
        <f>IFERROR(__xludf.DUMMYFUNCTION("REGEXREPLACE( $AR39, CONCATENATE(""["",AZ39,""]""), """")"),"")</f>
        <v/>
      </c>
      <c r="BD39" s="11" t="str">
        <f t="shared" si="6"/>
        <v>gafec</v>
      </c>
      <c r="BE39" s="12" t="str">
        <f>IFERROR(__xludf.DUMMYFUNCTION("CONCATENATE(SORT(TRANSPOSE(SPLIT(REGEXREPLACE(REGEXREPLACE(BD39&amp;"""",""(?s)(.{1})"",""$1""&amp;CHAR(127)),""'"",""''""),CHAR(127))),1,true),""1"")"),"acefg1")</f>
        <v>acefg1</v>
      </c>
      <c r="BF39" s="16"/>
      <c r="BG39" s="12" t="str">
        <f t="shared" si="7"/>
        <v>bgcf</v>
      </c>
      <c r="BH39" s="12" t="str">
        <f>IFERROR(__xludf.DUMMYFUNCTION("CONCATENATE(SORT(TRANSPOSE(SPLIT(REGEXREPLACE(REGEXREPLACE(BG39&amp;"""",""(?s)(.{1})"",""$1""&amp;CHAR(127)),""'"",""''""),CHAR(127))),1,true),""1"")"),"bcfg1")</f>
        <v>bcfg1</v>
      </c>
      <c r="BI39" s="16"/>
      <c r="BJ39" s="10" t="str">
        <f>IFERROR(__xludf.DUMMYFUNCTION("FILTER($K39:$T39,len($K39:$T39)=5)"),"aedcf")</f>
        <v>aedcf</v>
      </c>
      <c r="BK39" s="6" t="str">
        <f>IFERROR(__xludf.DUMMYFUNCTION("""COMPUTED_VALUE"""),"bagef")</f>
        <v>bagef</v>
      </c>
      <c r="BL39" s="6" t="str">
        <f>IFERROR(__xludf.DUMMYFUNCTION("""COMPUTED_VALUE"""),"gafec")</f>
        <v>gafec</v>
      </c>
      <c r="BM39" s="14" t="str">
        <f>IFERROR(__xludf.DUMMYFUNCTION("REGEXREPLACE( $BY39, CONCATENATE(""["",BJ39,""]""), """")"),"bg")</f>
        <v>bg</v>
      </c>
      <c r="BN39" s="14" t="str">
        <f>IFERROR(__xludf.DUMMYFUNCTION("REGEXREPLACE( $BY39, CONCATENATE(""["",BK39,""]""), """")"),"d")</f>
        <v>d</v>
      </c>
      <c r="BO39" s="14" t="str">
        <f>IFERROR(__xludf.DUMMYFUNCTION("REGEXREPLACE( $BY39, CONCATENATE(""["",BL39,""]""), """")"),"bd")</f>
        <v>bd</v>
      </c>
      <c r="BP39" s="11" t="str">
        <f t="shared" si="8"/>
        <v>bagef</v>
      </c>
      <c r="BQ39" s="12" t="str">
        <f>IFERROR(__xludf.DUMMYFUNCTION("CONCATENATE(SORT(TRANSPOSE(SPLIT(REGEXREPLACE(REGEXREPLACE(BP39&amp;"""",""(?s)(.{1})"",""$1""&amp;CHAR(127)),""'"",""''""),CHAR(127))),1,true),""1"")"),"abefg1")</f>
        <v>abefg1</v>
      </c>
      <c r="BR39" s="16"/>
      <c r="BS39" s="10" t="str">
        <f>IFERROR(__xludf.DUMMYFUNCTION("FILTER(K39:T39,len(K39:T39)=6)"),"dacbeg")</f>
        <v>dacbeg</v>
      </c>
      <c r="BT39" s="6" t="str">
        <f>IFERROR(__xludf.DUMMYFUNCTION("""COMPUTED_VALUE"""),"ebgafd")</f>
        <v>ebgafd</v>
      </c>
      <c r="BU39" s="6" t="str">
        <f>IFERROR(__xludf.DUMMYFUNCTION("""COMPUTED_VALUE"""),"cbeagf")</f>
        <v>cbeagf</v>
      </c>
      <c r="BV39" s="6" t="str">
        <f>IFERROR(__xludf.DUMMYFUNCTION("REGEXREPLACE( $AR39, CONCATENATE(""["",BS39,""]""), """")"),"")</f>
        <v/>
      </c>
      <c r="BW39" s="6" t="str">
        <f>IFERROR(__xludf.DUMMYFUNCTION("REGEXREPLACE( $AR39, CONCATENATE(""["",BT39,""]""), """")"),"c")</f>
        <v>c</v>
      </c>
      <c r="BX39" s="6" t="str">
        <f>IFERROR(__xludf.DUMMYFUNCTION("REGEXREPLACE( $AR39, CONCATENATE(""["",BU39,""]""), """")"),"")</f>
        <v/>
      </c>
      <c r="BY39" s="12" t="str">
        <f t="shared" si="9"/>
        <v>ebgafd</v>
      </c>
      <c r="BZ39" s="12" t="str">
        <f>IFERROR(__xludf.DUMMYFUNCTION("CONCATENATE(SORT(TRANSPOSE(SPLIT(REGEXREPLACE(REGEXREPLACE(BY39&amp;"""",""(?s)(.{1})"",""$1""&amp;CHAR(127)),""'"",""''""),CHAR(127))),1,true),""1"")"),"abdefg1")</f>
        <v>abdefg1</v>
      </c>
      <c r="CA39" s="16"/>
      <c r="CB39" s="12" t="str">
        <f t="shared" si="10"/>
        <v>gca</v>
      </c>
      <c r="CC39" s="12" t="str">
        <f>IFERROR(__xludf.DUMMYFUNCTION("CONCATENATE(SORT(TRANSPOSE(SPLIT(REGEXREPLACE(REGEXREPLACE(CB39&amp;"""",""(?s)(.{1})"",""$1""&amp;CHAR(127)),""'"",""''""),CHAR(127))),1,true),""1"")"),"acg1")</f>
        <v>acg1</v>
      </c>
      <c r="CD39" s="16"/>
      <c r="CE39" s="12" t="str">
        <f t="shared" si="11"/>
        <v>aegbcdf</v>
      </c>
      <c r="CF39" s="12" t="str">
        <f>IFERROR(__xludf.DUMMYFUNCTION("CONCATENATE(SORT(TRANSPOSE(SPLIT(REGEXREPLACE(REGEXREPLACE(CE39&amp;"""",""(?s)(.{1})"",""$1""&amp;CHAR(127)),""'"",""''""),CHAR(127))),1,true),""1"")"),"abcdefg1")</f>
        <v>abcdefg1</v>
      </c>
      <c r="CG39" s="16"/>
      <c r="CH39" s="10" t="str">
        <f>IFERROR(__xludf.DUMMYFUNCTION("FILTER(K39:T39,len(K39:T39)=6)"),"dacbeg")</f>
        <v>dacbeg</v>
      </c>
      <c r="CI39" s="6" t="str">
        <f>IFERROR(__xludf.DUMMYFUNCTION("""COMPUTED_VALUE"""),"ebgafd")</f>
        <v>ebgafd</v>
      </c>
      <c r="CJ39" s="6" t="str">
        <f>IFERROR(__xludf.DUMMYFUNCTION("""COMPUTED_VALUE"""),"cbeagf")</f>
        <v>cbeagf</v>
      </c>
      <c r="CK39" s="6" t="str">
        <f>IFERROR(__xludf.DUMMYFUNCTION("REGEXREPLACE( $BG39, CONCATENATE(""["",CH39,""]""), """")"),"f")</f>
        <v>f</v>
      </c>
      <c r="CL39" s="6" t="str">
        <f>IFERROR(__xludf.DUMMYFUNCTION("REGEXREPLACE( $BG39, CONCATENATE(""["",CI39,""]""), """")"),"c")</f>
        <v>c</v>
      </c>
      <c r="CM39" s="6" t="str">
        <f>IFERROR(__xludf.DUMMYFUNCTION("REGEXREPLACE( $BG39, CONCATENATE(""["",CJ39,""]""), """")"),"")</f>
        <v/>
      </c>
      <c r="CN39" s="12" t="str">
        <f t="shared" si="12"/>
        <v>cbeagf</v>
      </c>
      <c r="CO39" s="12" t="str">
        <f>IFERROR(__xludf.DUMMYFUNCTION("CONCATENATE(SORT(TRANSPOSE(SPLIT(REGEXREPLACE(REGEXREPLACE(CN39&amp;"""",""(?s)(.{1})"",""$1""&amp;CHAR(127)),""'"",""''""),CHAR(127))),1,true),""1"")"),"abcefg1")</f>
        <v>abcefg1</v>
      </c>
      <c r="CP39" s="15"/>
    </row>
    <row r="40">
      <c r="A40" s="1" t="s">
        <v>60</v>
      </c>
      <c r="H40" s="6" t="str">
        <f>IFERROR(__xludf.DUMMYFUNCTION("SPLIT(A40,""|"")"),"fceg bcedaf ecfgadb cg begfac eabdg cbg eacgb dbcfga ecbfa ")</f>
        <v>fceg bcedaf ecfgadb cg begfac eabdg cbg eacgb dbcfga ecbfa </v>
      </c>
      <c r="I40" s="6" t="str">
        <f>IFERROR(__xludf.DUMMYFUNCTION("""COMPUTED_VALUE""")," agceb baecf gc dbfaceg")</f>
        <v> agceb baecf gc dbfaceg</v>
      </c>
      <c r="J40" s="15"/>
      <c r="K40" s="6" t="str">
        <f>IFERROR(__xludf.DUMMYFUNCTION("split(H40,"" "")"),"fceg")</f>
        <v>fceg</v>
      </c>
      <c r="L40" s="6" t="str">
        <f>IFERROR(__xludf.DUMMYFUNCTION("""COMPUTED_VALUE"""),"bcedaf")</f>
        <v>bcedaf</v>
      </c>
      <c r="M40" s="6" t="str">
        <f>IFERROR(__xludf.DUMMYFUNCTION("""COMPUTED_VALUE"""),"ecfgadb")</f>
        <v>ecfgadb</v>
      </c>
      <c r="N40" s="6" t="str">
        <f>IFERROR(__xludf.DUMMYFUNCTION("""COMPUTED_VALUE"""),"cg")</f>
        <v>cg</v>
      </c>
      <c r="O40" s="6" t="str">
        <f>IFERROR(__xludf.DUMMYFUNCTION("""COMPUTED_VALUE"""),"begfac")</f>
        <v>begfac</v>
      </c>
      <c r="P40" s="6" t="str">
        <f>IFERROR(__xludf.DUMMYFUNCTION("""COMPUTED_VALUE"""),"eabdg")</f>
        <v>eabdg</v>
      </c>
      <c r="Q40" s="6" t="str">
        <f>IFERROR(__xludf.DUMMYFUNCTION("""COMPUTED_VALUE"""),"cbg")</f>
        <v>cbg</v>
      </c>
      <c r="R40" s="6" t="str">
        <f>IFERROR(__xludf.DUMMYFUNCTION("""COMPUTED_VALUE"""),"eacgb")</f>
        <v>eacgb</v>
      </c>
      <c r="S40" s="6" t="str">
        <f>IFERROR(__xludf.DUMMYFUNCTION("""COMPUTED_VALUE"""),"dbcfga")</f>
        <v>dbcfga</v>
      </c>
      <c r="T40" s="6" t="str">
        <f>IFERROR(__xludf.DUMMYFUNCTION("""COMPUTED_VALUE"""),"ecbfa")</f>
        <v>ecbfa</v>
      </c>
      <c r="U40" s="15"/>
      <c r="V40" s="6" t="str">
        <f>IFERROR(__xludf.DUMMYFUNCTION("split(I40,"" "")"),"agceb")</f>
        <v>agceb</v>
      </c>
      <c r="W40" s="6" t="str">
        <f>IFERROR(__xludf.DUMMYFUNCTION("""COMPUTED_VALUE"""),"baecf")</f>
        <v>baecf</v>
      </c>
      <c r="X40" s="6" t="str">
        <f>IFERROR(__xludf.DUMMYFUNCTION("""COMPUTED_VALUE"""),"gc")</f>
        <v>gc</v>
      </c>
      <c r="Y40" s="6" t="str">
        <f>IFERROR(__xludf.DUMMYFUNCTION("""COMPUTED_VALUE"""),"dbfaceg")</f>
        <v>dbfaceg</v>
      </c>
      <c r="Z40" s="6" t="str">
        <f>IFERROR(__xludf.DUMMYFUNCTION("CONCATENATE(SORT(TRANSPOSE(SPLIT(REGEXREPLACE(REGEXREPLACE(V40&amp;"""",""(?s)(.{1})"",""$1""&amp;CHAR(127)),""'"",""''""),CHAR(127))),1,true))"),"abceg")</f>
        <v>abceg</v>
      </c>
      <c r="AA40" s="6" t="str">
        <f>IFERROR(__xludf.DUMMYFUNCTION("CONCATENATE(SORT(TRANSPOSE(SPLIT(REGEXREPLACE(REGEXREPLACE(W40&amp;"""",""(?s)(.{1})"",""$1""&amp;CHAR(127)),""'"",""''""),CHAR(127))),1,true))"),"abcef")</f>
        <v>abcef</v>
      </c>
      <c r="AB40" s="6" t="str">
        <f>IFERROR(__xludf.DUMMYFUNCTION("CONCATENATE(SORT(TRANSPOSE(SPLIT(REGEXREPLACE(REGEXREPLACE(X40&amp;"""",""(?s)(.{1})"",""$1""&amp;CHAR(127)),""'"",""''""),CHAR(127))),1,true))"),"cg")</f>
        <v>cg</v>
      </c>
      <c r="AC40" s="6" t="str">
        <f>IFERROR(__xludf.DUMMYFUNCTION("CONCATENATE(SORT(TRANSPOSE(SPLIT(REGEXREPLACE(REGEXREPLACE(Y40&amp;"""",""(?s)(.{1})"",""$1""&amp;CHAR(127)),""'"",""''""),CHAR(127))),1,true))"),"abcdefg")</f>
        <v>abcdefg</v>
      </c>
      <c r="AD40" s="6">
        <f t="shared" ref="AD40:AG40" si="50">INDEX($AO$1:$CP$1,1,MATCH(CONCATENATE(Z40,"1"),$AO40:$CP40,0)+1)</f>
        <v>3</v>
      </c>
      <c r="AE40" s="6">
        <f t="shared" si="50"/>
        <v>5</v>
      </c>
      <c r="AF40" s="6">
        <f t="shared" si="50"/>
        <v>1</v>
      </c>
      <c r="AG40" s="6">
        <f t="shared" si="50"/>
        <v>8</v>
      </c>
      <c r="AH40" s="6">
        <f t="shared" si="3"/>
        <v>3518</v>
      </c>
      <c r="AI40" s="16"/>
      <c r="AJ40" s="9" t="str">
        <f>IFERROR(__xludf.DUMMYFUNCTION("REGEXREPLACE(AR40,CONCATENATE(""["",BY40,""]""),"""")"),"g")</f>
        <v>g</v>
      </c>
      <c r="AK40" s="10" t="str">
        <f>IFERROR(__xludf.DUMMYFUNCTION("FILTER($K40:$T40,len($K40:$T40)=6,NOT($K40:$T40=BY40))"),"begfac")</f>
        <v>begfac</v>
      </c>
      <c r="AL40" s="6" t="str">
        <f>IFERROR(__xludf.DUMMYFUNCTION("""COMPUTED_VALUE"""),"dbcfga")</f>
        <v>dbcfga</v>
      </c>
      <c r="AM40" s="6" t="str">
        <f>IFERROR(__xludf.DUMMYFUNCTION("REGEXREPLACE( $BG40, CONCATENATE(""["",AK40,""]""), """")"),"")</f>
        <v/>
      </c>
      <c r="AN40" s="6" t="str">
        <f>IFERROR(__xludf.DUMMYFUNCTION("REGEXREPLACE( $BG40, CONCATENATE(""["",AL40,""]""), """")"),"e")</f>
        <v>e</v>
      </c>
      <c r="AO40" s="11" t="str">
        <f t="shared" si="4"/>
        <v>dbcfga</v>
      </c>
      <c r="AP40" s="12" t="str">
        <f>IFERROR(__xludf.DUMMYFUNCTION("CONCATENATE(SORT(TRANSPOSE(SPLIT(REGEXREPLACE(REGEXREPLACE(AO40&amp;"""",""(?s)(.{1})"",""$1""&amp;CHAR(127)),""'"",""''""),CHAR(127))),1,true),""1"")"),"abcdfg1")</f>
        <v>abcdfg1</v>
      </c>
      <c r="AQ40" s="16"/>
      <c r="AR40" s="12" t="str">
        <f t="shared" si="5"/>
        <v>cg</v>
      </c>
      <c r="AS40" s="12" t="str">
        <f>IFERROR(__xludf.DUMMYFUNCTION("CONCATENATE(SORT(TRANSPOSE(SPLIT(REGEXREPLACE(REGEXREPLACE(AR40&amp;"""",""(?s)(.{1})"",""$1""&amp;CHAR(127)),""'"",""''""),CHAR(127))),1,true),""1"")"),"cg1")</f>
        <v>cg1</v>
      </c>
      <c r="AT40" s="16"/>
      <c r="AU40" s="13" t="str">
        <f>IFERROR(__xludf.DUMMYFUNCTION("FILTER($K40:$T40,len($K40:$T40)=5,NOT($K40:$T40=BD40),NOT($K40:$T40=BP40))"),"eabdg")</f>
        <v>eabdg</v>
      </c>
      <c r="AV40" s="12" t="str">
        <f>IFERROR(__xludf.DUMMYFUNCTION("CONCATENATE(SORT(TRANSPOSE(SPLIT(REGEXREPLACE(REGEXREPLACE(AU40&amp;"""",""(?s)(.{1})"",""$1""&amp;CHAR(127)),""'"",""''""),CHAR(127))),1,true),""1"")"),"abdeg1")</f>
        <v>abdeg1</v>
      </c>
      <c r="AW40" s="16"/>
      <c r="AX40" s="10" t="str">
        <f>IFERROR(__xludf.DUMMYFUNCTION("FILTER($K40:$T40,len($K40:$T40)=5)"),"eabdg")</f>
        <v>eabdg</v>
      </c>
      <c r="AY40" s="6" t="str">
        <f>IFERROR(__xludf.DUMMYFUNCTION("""COMPUTED_VALUE"""),"eacgb")</f>
        <v>eacgb</v>
      </c>
      <c r="AZ40" s="6" t="str">
        <f>IFERROR(__xludf.DUMMYFUNCTION("""COMPUTED_VALUE"""),"ecbfa")</f>
        <v>ecbfa</v>
      </c>
      <c r="BA40" s="6" t="str">
        <f>IFERROR(__xludf.DUMMYFUNCTION("REGEXREPLACE( $AR40, CONCATENATE(""["",AX40,""]""), """")"),"c")</f>
        <v>c</v>
      </c>
      <c r="BB40" s="6" t="str">
        <f>IFERROR(__xludf.DUMMYFUNCTION("REGEXREPLACE( $AR40, CONCATENATE(""["",AY40,""]""), """")"),"")</f>
        <v/>
      </c>
      <c r="BC40" s="6" t="str">
        <f>IFERROR(__xludf.DUMMYFUNCTION("REGEXREPLACE( $AR40, CONCATENATE(""["",AZ40,""]""), """")"),"g")</f>
        <v>g</v>
      </c>
      <c r="BD40" s="11" t="str">
        <f t="shared" si="6"/>
        <v>eacgb</v>
      </c>
      <c r="BE40" s="12" t="str">
        <f>IFERROR(__xludf.DUMMYFUNCTION("CONCATENATE(SORT(TRANSPOSE(SPLIT(REGEXREPLACE(REGEXREPLACE(BD40&amp;"""",""(?s)(.{1})"",""$1""&amp;CHAR(127)),""'"",""''""),CHAR(127))),1,true),""1"")"),"abceg1")</f>
        <v>abceg1</v>
      </c>
      <c r="BF40" s="16"/>
      <c r="BG40" s="12" t="str">
        <f t="shared" si="7"/>
        <v>fceg</v>
      </c>
      <c r="BH40" s="12" t="str">
        <f>IFERROR(__xludf.DUMMYFUNCTION("CONCATENATE(SORT(TRANSPOSE(SPLIT(REGEXREPLACE(REGEXREPLACE(BG40&amp;"""",""(?s)(.{1})"",""$1""&amp;CHAR(127)),""'"",""''""),CHAR(127))),1,true),""1"")"),"cefg1")</f>
        <v>cefg1</v>
      </c>
      <c r="BI40" s="16"/>
      <c r="BJ40" s="10" t="str">
        <f>IFERROR(__xludf.DUMMYFUNCTION("FILTER($K40:$T40,len($K40:$T40)=5)"),"eabdg")</f>
        <v>eabdg</v>
      </c>
      <c r="BK40" s="6" t="str">
        <f>IFERROR(__xludf.DUMMYFUNCTION("""COMPUTED_VALUE"""),"eacgb")</f>
        <v>eacgb</v>
      </c>
      <c r="BL40" s="6" t="str">
        <f>IFERROR(__xludf.DUMMYFUNCTION("""COMPUTED_VALUE"""),"ecbfa")</f>
        <v>ecbfa</v>
      </c>
      <c r="BM40" s="14" t="str">
        <f>IFERROR(__xludf.DUMMYFUNCTION("REGEXREPLACE( $BY40, CONCATENATE(""["",BJ40,""]""), """")"),"cf")</f>
        <v>cf</v>
      </c>
      <c r="BN40" s="14" t="str">
        <f>IFERROR(__xludf.DUMMYFUNCTION("REGEXREPLACE( $BY40, CONCATENATE(""["",BK40,""]""), """")"),"df")</f>
        <v>df</v>
      </c>
      <c r="BO40" s="14" t="str">
        <f>IFERROR(__xludf.DUMMYFUNCTION("REGEXREPLACE( $BY40, CONCATENATE(""["",BL40,""]""), """")"),"d")</f>
        <v>d</v>
      </c>
      <c r="BP40" s="11" t="str">
        <f t="shared" si="8"/>
        <v>ecbfa</v>
      </c>
      <c r="BQ40" s="12" t="str">
        <f>IFERROR(__xludf.DUMMYFUNCTION("CONCATENATE(SORT(TRANSPOSE(SPLIT(REGEXREPLACE(REGEXREPLACE(BP40&amp;"""",""(?s)(.{1})"",""$1""&amp;CHAR(127)),""'"",""''""),CHAR(127))),1,true),""1"")"),"abcef1")</f>
        <v>abcef1</v>
      </c>
      <c r="BR40" s="16"/>
      <c r="BS40" s="10" t="str">
        <f>IFERROR(__xludf.DUMMYFUNCTION("FILTER(K40:T40,len(K40:T40)=6)"),"bcedaf")</f>
        <v>bcedaf</v>
      </c>
      <c r="BT40" s="6" t="str">
        <f>IFERROR(__xludf.DUMMYFUNCTION("""COMPUTED_VALUE"""),"begfac")</f>
        <v>begfac</v>
      </c>
      <c r="BU40" s="6" t="str">
        <f>IFERROR(__xludf.DUMMYFUNCTION("""COMPUTED_VALUE"""),"dbcfga")</f>
        <v>dbcfga</v>
      </c>
      <c r="BV40" s="6" t="str">
        <f>IFERROR(__xludf.DUMMYFUNCTION("REGEXREPLACE( $AR40, CONCATENATE(""["",BS40,""]""), """")"),"g")</f>
        <v>g</v>
      </c>
      <c r="BW40" s="6" t="str">
        <f>IFERROR(__xludf.DUMMYFUNCTION("REGEXREPLACE( $AR40, CONCATENATE(""["",BT40,""]""), """")"),"")</f>
        <v/>
      </c>
      <c r="BX40" s="6" t="str">
        <f>IFERROR(__xludf.DUMMYFUNCTION("REGEXREPLACE( $AR40, CONCATENATE(""["",BU40,""]""), """")"),"")</f>
        <v/>
      </c>
      <c r="BY40" s="12" t="str">
        <f t="shared" si="9"/>
        <v>bcedaf</v>
      </c>
      <c r="BZ40" s="12" t="str">
        <f>IFERROR(__xludf.DUMMYFUNCTION("CONCATENATE(SORT(TRANSPOSE(SPLIT(REGEXREPLACE(REGEXREPLACE(BY40&amp;"""",""(?s)(.{1})"",""$1""&amp;CHAR(127)),""'"",""''""),CHAR(127))),1,true),""1"")"),"abcdef1")</f>
        <v>abcdef1</v>
      </c>
      <c r="CA40" s="16"/>
      <c r="CB40" s="12" t="str">
        <f t="shared" si="10"/>
        <v>cbg</v>
      </c>
      <c r="CC40" s="12" t="str">
        <f>IFERROR(__xludf.DUMMYFUNCTION("CONCATENATE(SORT(TRANSPOSE(SPLIT(REGEXREPLACE(REGEXREPLACE(CB40&amp;"""",""(?s)(.{1})"",""$1""&amp;CHAR(127)),""'"",""''""),CHAR(127))),1,true),""1"")"),"bcg1")</f>
        <v>bcg1</v>
      </c>
      <c r="CD40" s="16"/>
      <c r="CE40" s="12" t="str">
        <f t="shared" si="11"/>
        <v>ecfgadb</v>
      </c>
      <c r="CF40" s="12" t="str">
        <f>IFERROR(__xludf.DUMMYFUNCTION("CONCATENATE(SORT(TRANSPOSE(SPLIT(REGEXREPLACE(REGEXREPLACE(CE40&amp;"""",""(?s)(.{1})"",""$1""&amp;CHAR(127)),""'"",""''""),CHAR(127))),1,true),""1"")"),"abcdefg1")</f>
        <v>abcdefg1</v>
      </c>
      <c r="CG40" s="16"/>
      <c r="CH40" s="10" t="str">
        <f>IFERROR(__xludf.DUMMYFUNCTION("FILTER(K40:T40,len(K40:T40)=6)"),"bcedaf")</f>
        <v>bcedaf</v>
      </c>
      <c r="CI40" s="6" t="str">
        <f>IFERROR(__xludf.DUMMYFUNCTION("""COMPUTED_VALUE"""),"begfac")</f>
        <v>begfac</v>
      </c>
      <c r="CJ40" s="6" t="str">
        <f>IFERROR(__xludf.DUMMYFUNCTION("""COMPUTED_VALUE"""),"dbcfga")</f>
        <v>dbcfga</v>
      </c>
      <c r="CK40" s="6" t="str">
        <f>IFERROR(__xludf.DUMMYFUNCTION("REGEXREPLACE( $BG40, CONCATENATE(""["",CH40,""]""), """")"),"g")</f>
        <v>g</v>
      </c>
      <c r="CL40" s="6" t="str">
        <f>IFERROR(__xludf.DUMMYFUNCTION("REGEXREPLACE( $BG40, CONCATENATE(""["",CI40,""]""), """")"),"")</f>
        <v/>
      </c>
      <c r="CM40" s="6" t="str">
        <f>IFERROR(__xludf.DUMMYFUNCTION("REGEXREPLACE( $BG40, CONCATENATE(""["",CJ40,""]""), """")"),"e")</f>
        <v>e</v>
      </c>
      <c r="CN40" s="12" t="str">
        <f t="shared" si="12"/>
        <v>begfac</v>
      </c>
      <c r="CO40" s="12" t="str">
        <f>IFERROR(__xludf.DUMMYFUNCTION("CONCATENATE(SORT(TRANSPOSE(SPLIT(REGEXREPLACE(REGEXREPLACE(CN40&amp;"""",""(?s)(.{1})"",""$1""&amp;CHAR(127)),""'"",""''""),CHAR(127))),1,true),""1"")"),"abcefg1")</f>
        <v>abcefg1</v>
      </c>
      <c r="CP40" s="15"/>
    </row>
    <row r="41">
      <c r="A41" s="1" t="s">
        <v>61</v>
      </c>
      <c r="H41" s="6" t="str">
        <f>IFERROR(__xludf.DUMMYFUNCTION("SPLIT(A41,""|"")"),"egdf dacfbge eg gce acdbeg dfgcb fgecb fbdgca gdefbc efcab ")</f>
        <v>egdf dacfbge eg gce acdbeg dfgcb fgecb fbdgca gdefbc efcab </v>
      </c>
      <c r="I41" s="6" t="str">
        <f>IFERROR(__xludf.DUMMYFUNCTION("""COMPUTED_VALUE""")," ge bfedcga abcdfge fbeca")</f>
        <v> ge bfedcga abcdfge fbeca</v>
      </c>
      <c r="J41" s="15"/>
      <c r="K41" s="6" t="str">
        <f>IFERROR(__xludf.DUMMYFUNCTION("split(H41,"" "")"),"egdf")</f>
        <v>egdf</v>
      </c>
      <c r="L41" s="6" t="str">
        <f>IFERROR(__xludf.DUMMYFUNCTION("""COMPUTED_VALUE"""),"dacfbge")</f>
        <v>dacfbge</v>
      </c>
      <c r="M41" s="6" t="str">
        <f>IFERROR(__xludf.DUMMYFUNCTION("""COMPUTED_VALUE"""),"eg")</f>
        <v>eg</v>
      </c>
      <c r="N41" s="6" t="str">
        <f>IFERROR(__xludf.DUMMYFUNCTION("""COMPUTED_VALUE"""),"gce")</f>
        <v>gce</v>
      </c>
      <c r="O41" s="6" t="str">
        <f>IFERROR(__xludf.DUMMYFUNCTION("""COMPUTED_VALUE"""),"acdbeg")</f>
        <v>acdbeg</v>
      </c>
      <c r="P41" s="6" t="str">
        <f>IFERROR(__xludf.DUMMYFUNCTION("""COMPUTED_VALUE"""),"dfgcb")</f>
        <v>dfgcb</v>
      </c>
      <c r="Q41" s="6" t="str">
        <f>IFERROR(__xludf.DUMMYFUNCTION("""COMPUTED_VALUE"""),"fgecb")</f>
        <v>fgecb</v>
      </c>
      <c r="R41" s="6" t="str">
        <f>IFERROR(__xludf.DUMMYFUNCTION("""COMPUTED_VALUE"""),"fbdgca")</f>
        <v>fbdgca</v>
      </c>
      <c r="S41" s="6" t="str">
        <f>IFERROR(__xludf.DUMMYFUNCTION("""COMPUTED_VALUE"""),"gdefbc")</f>
        <v>gdefbc</v>
      </c>
      <c r="T41" s="6" t="str">
        <f>IFERROR(__xludf.DUMMYFUNCTION("""COMPUTED_VALUE"""),"efcab")</f>
        <v>efcab</v>
      </c>
      <c r="U41" s="15"/>
      <c r="V41" s="6" t="str">
        <f>IFERROR(__xludf.DUMMYFUNCTION("split(I41,"" "")"),"ge")</f>
        <v>ge</v>
      </c>
      <c r="W41" s="6" t="str">
        <f>IFERROR(__xludf.DUMMYFUNCTION("""COMPUTED_VALUE"""),"bfedcga")</f>
        <v>bfedcga</v>
      </c>
      <c r="X41" s="6" t="str">
        <f>IFERROR(__xludf.DUMMYFUNCTION("""COMPUTED_VALUE"""),"abcdfge")</f>
        <v>abcdfge</v>
      </c>
      <c r="Y41" s="6" t="str">
        <f>IFERROR(__xludf.DUMMYFUNCTION("""COMPUTED_VALUE"""),"fbeca")</f>
        <v>fbeca</v>
      </c>
      <c r="Z41" s="6" t="str">
        <f>IFERROR(__xludf.DUMMYFUNCTION("CONCATENATE(SORT(TRANSPOSE(SPLIT(REGEXREPLACE(REGEXREPLACE(V41&amp;"""",""(?s)(.{1})"",""$1""&amp;CHAR(127)),""'"",""''""),CHAR(127))),1,true))"),"eg")</f>
        <v>eg</v>
      </c>
      <c r="AA41" s="6" t="str">
        <f>IFERROR(__xludf.DUMMYFUNCTION("CONCATENATE(SORT(TRANSPOSE(SPLIT(REGEXREPLACE(REGEXREPLACE(W41&amp;"""",""(?s)(.{1})"",""$1""&amp;CHAR(127)),""'"",""''""),CHAR(127))),1,true))"),"abcdefg")</f>
        <v>abcdefg</v>
      </c>
      <c r="AB41" s="6" t="str">
        <f>IFERROR(__xludf.DUMMYFUNCTION("CONCATENATE(SORT(TRANSPOSE(SPLIT(REGEXREPLACE(REGEXREPLACE(X41&amp;"""",""(?s)(.{1})"",""$1""&amp;CHAR(127)),""'"",""''""),CHAR(127))),1,true))"),"abcdefg")</f>
        <v>abcdefg</v>
      </c>
      <c r="AC41" s="6" t="str">
        <f>IFERROR(__xludf.DUMMYFUNCTION("CONCATENATE(SORT(TRANSPOSE(SPLIT(REGEXREPLACE(REGEXREPLACE(Y41&amp;"""",""(?s)(.{1})"",""$1""&amp;CHAR(127)),""'"",""''""),CHAR(127))),1,true))"),"abcef")</f>
        <v>abcef</v>
      </c>
      <c r="AD41" s="6">
        <f t="shared" ref="AD41:AG41" si="51">INDEX($AO$1:$CP$1,1,MATCH(CONCATENATE(Z41,"1"),$AO41:$CP41,0)+1)</f>
        <v>1</v>
      </c>
      <c r="AE41" s="6">
        <f t="shared" si="51"/>
        <v>8</v>
      </c>
      <c r="AF41" s="6">
        <f t="shared" si="51"/>
        <v>8</v>
      </c>
      <c r="AG41" s="6">
        <f t="shared" si="51"/>
        <v>2</v>
      </c>
      <c r="AH41" s="6">
        <f t="shared" si="3"/>
        <v>1882</v>
      </c>
      <c r="AI41" s="16"/>
      <c r="AJ41" s="9" t="str">
        <f>IFERROR(__xludf.DUMMYFUNCTION("REGEXREPLACE(AR41,CONCATENATE(""["",BY41,""]""),"""")"),"e")</f>
        <v>e</v>
      </c>
      <c r="AK41" s="10" t="str">
        <f>IFERROR(__xludf.DUMMYFUNCTION("FILTER($K41:$T41,len($K41:$T41)=6,NOT($K41:$T41=BY41))"),"acdbeg")</f>
        <v>acdbeg</v>
      </c>
      <c r="AL41" s="6" t="str">
        <f>IFERROR(__xludf.DUMMYFUNCTION("""COMPUTED_VALUE"""),"gdefbc")</f>
        <v>gdefbc</v>
      </c>
      <c r="AM41" s="6" t="str">
        <f>IFERROR(__xludf.DUMMYFUNCTION("REGEXREPLACE( $BG41, CONCATENATE(""["",AK41,""]""), """")"),"f")</f>
        <v>f</v>
      </c>
      <c r="AN41" s="6" t="str">
        <f>IFERROR(__xludf.DUMMYFUNCTION("REGEXREPLACE( $BG41, CONCATENATE(""["",AL41,""]""), """")"),"")</f>
        <v/>
      </c>
      <c r="AO41" s="11" t="str">
        <f t="shared" si="4"/>
        <v>acdbeg</v>
      </c>
      <c r="AP41" s="12" t="str">
        <f>IFERROR(__xludf.DUMMYFUNCTION("CONCATENATE(SORT(TRANSPOSE(SPLIT(REGEXREPLACE(REGEXREPLACE(AO41&amp;"""",""(?s)(.{1})"",""$1""&amp;CHAR(127)),""'"",""''""),CHAR(127))),1,true),""1"")"),"abcdeg1")</f>
        <v>abcdeg1</v>
      </c>
      <c r="AQ41" s="16"/>
      <c r="AR41" s="12" t="str">
        <f t="shared" si="5"/>
        <v>eg</v>
      </c>
      <c r="AS41" s="12" t="str">
        <f>IFERROR(__xludf.DUMMYFUNCTION("CONCATENATE(SORT(TRANSPOSE(SPLIT(REGEXREPLACE(REGEXREPLACE(AR41&amp;"""",""(?s)(.{1})"",""$1""&amp;CHAR(127)),""'"",""''""),CHAR(127))),1,true),""1"")"),"eg1")</f>
        <v>eg1</v>
      </c>
      <c r="AT41" s="16"/>
      <c r="AU41" s="13" t="str">
        <f>IFERROR(__xludf.DUMMYFUNCTION("FILTER($K41:$T41,len($K41:$T41)=5,NOT($K41:$T41=BD41),NOT($K41:$T41=BP41))"),"efcab")</f>
        <v>efcab</v>
      </c>
      <c r="AV41" s="12" t="str">
        <f>IFERROR(__xludf.DUMMYFUNCTION("CONCATENATE(SORT(TRANSPOSE(SPLIT(REGEXREPLACE(REGEXREPLACE(AU41&amp;"""",""(?s)(.{1})"",""$1""&amp;CHAR(127)),""'"",""''""),CHAR(127))),1,true),""1"")"),"abcef1")</f>
        <v>abcef1</v>
      </c>
      <c r="AW41" s="16"/>
      <c r="AX41" s="10" t="str">
        <f>IFERROR(__xludf.DUMMYFUNCTION("FILTER($K41:$T41,len($K41:$T41)=5)"),"dfgcb")</f>
        <v>dfgcb</v>
      </c>
      <c r="AY41" s="6" t="str">
        <f>IFERROR(__xludf.DUMMYFUNCTION("""COMPUTED_VALUE"""),"fgecb")</f>
        <v>fgecb</v>
      </c>
      <c r="AZ41" s="6" t="str">
        <f>IFERROR(__xludf.DUMMYFUNCTION("""COMPUTED_VALUE"""),"efcab")</f>
        <v>efcab</v>
      </c>
      <c r="BA41" s="6" t="str">
        <f>IFERROR(__xludf.DUMMYFUNCTION("REGEXREPLACE( $AR41, CONCATENATE(""["",AX41,""]""), """")"),"e")</f>
        <v>e</v>
      </c>
      <c r="BB41" s="6" t="str">
        <f>IFERROR(__xludf.DUMMYFUNCTION("REGEXREPLACE( $AR41, CONCATENATE(""["",AY41,""]""), """")"),"")</f>
        <v/>
      </c>
      <c r="BC41" s="6" t="str">
        <f>IFERROR(__xludf.DUMMYFUNCTION("REGEXREPLACE( $AR41, CONCATENATE(""["",AZ41,""]""), """")"),"g")</f>
        <v>g</v>
      </c>
      <c r="BD41" s="11" t="str">
        <f t="shared" si="6"/>
        <v>fgecb</v>
      </c>
      <c r="BE41" s="12" t="str">
        <f>IFERROR(__xludf.DUMMYFUNCTION("CONCATENATE(SORT(TRANSPOSE(SPLIT(REGEXREPLACE(REGEXREPLACE(BD41&amp;"""",""(?s)(.{1})"",""$1""&amp;CHAR(127)),""'"",""''""),CHAR(127))),1,true),""1"")"),"bcefg1")</f>
        <v>bcefg1</v>
      </c>
      <c r="BF41" s="16"/>
      <c r="BG41" s="12" t="str">
        <f t="shared" si="7"/>
        <v>egdf</v>
      </c>
      <c r="BH41" s="12" t="str">
        <f>IFERROR(__xludf.DUMMYFUNCTION("CONCATENATE(SORT(TRANSPOSE(SPLIT(REGEXREPLACE(REGEXREPLACE(BG41&amp;"""",""(?s)(.{1})"",""$1""&amp;CHAR(127)),""'"",""''""),CHAR(127))),1,true),""1"")"),"defg1")</f>
        <v>defg1</v>
      </c>
      <c r="BI41" s="16"/>
      <c r="BJ41" s="10" t="str">
        <f>IFERROR(__xludf.DUMMYFUNCTION("FILTER($K41:$T41,len($K41:$T41)=5)"),"dfgcb")</f>
        <v>dfgcb</v>
      </c>
      <c r="BK41" s="6" t="str">
        <f>IFERROR(__xludf.DUMMYFUNCTION("""COMPUTED_VALUE"""),"fgecb")</f>
        <v>fgecb</v>
      </c>
      <c r="BL41" s="6" t="str">
        <f>IFERROR(__xludf.DUMMYFUNCTION("""COMPUTED_VALUE"""),"efcab")</f>
        <v>efcab</v>
      </c>
      <c r="BM41" s="14" t="str">
        <f>IFERROR(__xludf.DUMMYFUNCTION("REGEXREPLACE( $BY41, CONCATENATE(""["",BJ41,""]""), """")"),"a")</f>
        <v>a</v>
      </c>
      <c r="BN41" s="14" t="str">
        <f>IFERROR(__xludf.DUMMYFUNCTION("REGEXREPLACE( $BY41, CONCATENATE(""["",BK41,""]""), """")"),"da")</f>
        <v>da</v>
      </c>
      <c r="BO41" s="14" t="str">
        <f>IFERROR(__xludf.DUMMYFUNCTION("REGEXREPLACE( $BY41, CONCATENATE(""["",BL41,""]""), """")"),"dg")</f>
        <v>dg</v>
      </c>
      <c r="BP41" s="11" t="str">
        <f t="shared" si="8"/>
        <v>dfgcb</v>
      </c>
      <c r="BQ41" s="12" t="str">
        <f>IFERROR(__xludf.DUMMYFUNCTION("CONCATENATE(SORT(TRANSPOSE(SPLIT(REGEXREPLACE(REGEXREPLACE(BP41&amp;"""",""(?s)(.{1})"",""$1""&amp;CHAR(127)),""'"",""''""),CHAR(127))),1,true),""1"")"),"bcdfg1")</f>
        <v>bcdfg1</v>
      </c>
      <c r="BR41" s="16"/>
      <c r="BS41" s="10" t="str">
        <f>IFERROR(__xludf.DUMMYFUNCTION("FILTER(K41:T41,len(K41:T41)=6)"),"acdbeg")</f>
        <v>acdbeg</v>
      </c>
      <c r="BT41" s="6" t="str">
        <f>IFERROR(__xludf.DUMMYFUNCTION("""COMPUTED_VALUE"""),"fbdgca")</f>
        <v>fbdgca</v>
      </c>
      <c r="BU41" s="6" t="str">
        <f>IFERROR(__xludf.DUMMYFUNCTION("""COMPUTED_VALUE"""),"gdefbc")</f>
        <v>gdefbc</v>
      </c>
      <c r="BV41" s="6" t="str">
        <f>IFERROR(__xludf.DUMMYFUNCTION("REGEXREPLACE( $AR41, CONCATENATE(""["",BS41,""]""), """")"),"")</f>
        <v/>
      </c>
      <c r="BW41" s="6" t="str">
        <f>IFERROR(__xludf.DUMMYFUNCTION("REGEXREPLACE( $AR41, CONCATENATE(""["",BT41,""]""), """")"),"e")</f>
        <v>e</v>
      </c>
      <c r="BX41" s="6" t="str">
        <f>IFERROR(__xludf.DUMMYFUNCTION("REGEXREPLACE( $AR41, CONCATENATE(""["",BU41,""]""), """")"),"")</f>
        <v/>
      </c>
      <c r="BY41" s="12" t="str">
        <f t="shared" si="9"/>
        <v>fbdgca</v>
      </c>
      <c r="BZ41" s="12" t="str">
        <f>IFERROR(__xludf.DUMMYFUNCTION("CONCATENATE(SORT(TRANSPOSE(SPLIT(REGEXREPLACE(REGEXREPLACE(BY41&amp;"""",""(?s)(.{1})"",""$1""&amp;CHAR(127)),""'"",""''""),CHAR(127))),1,true),""1"")"),"abcdfg1")</f>
        <v>abcdfg1</v>
      </c>
      <c r="CA41" s="16"/>
      <c r="CB41" s="12" t="str">
        <f t="shared" si="10"/>
        <v>gce</v>
      </c>
      <c r="CC41" s="12" t="str">
        <f>IFERROR(__xludf.DUMMYFUNCTION("CONCATENATE(SORT(TRANSPOSE(SPLIT(REGEXREPLACE(REGEXREPLACE(CB41&amp;"""",""(?s)(.{1})"",""$1""&amp;CHAR(127)),""'"",""''""),CHAR(127))),1,true),""1"")"),"ceg1")</f>
        <v>ceg1</v>
      </c>
      <c r="CD41" s="16"/>
      <c r="CE41" s="12" t="str">
        <f t="shared" si="11"/>
        <v>dacfbge</v>
      </c>
      <c r="CF41" s="12" t="str">
        <f>IFERROR(__xludf.DUMMYFUNCTION("CONCATENATE(SORT(TRANSPOSE(SPLIT(REGEXREPLACE(REGEXREPLACE(CE41&amp;"""",""(?s)(.{1})"",""$1""&amp;CHAR(127)),""'"",""''""),CHAR(127))),1,true),""1"")"),"abcdefg1")</f>
        <v>abcdefg1</v>
      </c>
      <c r="CG41" s="16"/>
      <c r="CH41" s="10" t="str">
        <f>IFERROR(__xludf.DUMMYFUNCTION("FILTER(K41:T41,len(K41:T41)=6)"),"acdbeg")</f>
        <v>acdbeg</v>
      </c>
      <c r="CI41" s="6" t="str">
        <f>IFERROR(__xludf.DUMMYFUNCTION("""COMPUTED_VALUE"""),"fbdgca")</f>
        <v>fbdgca</v>
      </c>
      <c r="CJ41" s="6" t="str">
        <f>IFERROR(__xludf.DUMMYFUNCTION("""COMPUTED_VALUE"""),"gdefbc")</f>
        <v>gdefbc</v>
      </c>
      <c r="CK41" s="6" t="str">
        <f>IFERROR(__xludf.DUMMYFUNCTION("REGEXREPLACE( $BG41, CONCATENATE(""["",CH41,""]""), """")"),"f")</f>
        <v>f</v>
      </c>
      <c r="CL41" s="6" t="str">
        <f>IFERROR(__xludf.DUMMYFUNCTION("REGEXREPLACE( $BG41, CONCATENATE(""["",CI41,""]""), """")"),"e")</f>
        <v>e</v>
      </c>
      <c r="CM41" s="6" t="str">
        <f>IFERROR(__xludf.DUMMYFUNCTION("REGEXREPLACE( $BG41, CONCATENATE(""["",CJ41,""]""), """")"),"")</f>
        <v/>
      </c>
      <c r="CN41" s="12" t="str">
        <f t="shared" si="12"/>
        <v>gdefbc</v>
      </c>
      <c r="CO41" s="12" t="str">
        <f>IFERROR(__xludf.DUMMYFUNCTION("CONCATENATE(SORT(TRANSPOSE(SPLIT(REGEXREPLACE(REGEXREPLACE(CN41&amp;"""",""(?s)(.{1})"",""$1""&amp;CHAR(127)),""'"",""''""),CHAR(127))),1,true),""1"")"),"bcdefg1")</f>
        <v>bcdefg1</v>
      </c>
      <c r="CP41" s="15"/>
    </row>
    <row r="42">
      <c r="A42" s="1" t="s">
        <v>62</v>
      </c>
      <c r="H42" s="6" t="str">
        <f>IFERROR(__xludf.DUMMYFUNCTION("SPLIT(A42,""|"")"),"cefab bcgf cg fgead ebcfad dbecgaf bdgeca eagcfb efcag cga ")</f>
        <v>cefab bcgf cg fgead ebcfad dbecgaf bdgeca eagcfb efcag cga </v>
      </c>
      <c r="I42" s="6" t="str">
        <f>IFERROR(__xludf.DUMMYFUNCTION("""COMPUTED_VALUE""")," gac adfeg cga gfbc")</f>
        <v> gac adfeg cga gfbc</v>
      </c>
      <c r="J42" s="15"/>
      <c r="K42" s="6" t="str">
        <f>IFERROR(__xludf.DUMMYFUNCTION("split(H42,"" "")"),"cefab")</f>
        <v>cefab</v>
      </c>
      <c r="L42" s="6" t="str">
        <f>IFERROR(__xludf.DUMMYFUNCTION("""COMPUTED_VALUE"""),"bcgf")</f>
        <v>bcgf</v>
      </c>
      <c r="M42" s="6" t="str">
        <f>IFERROR(__xludf.DUMMYFUNCTION("""COMPUTED_VALUE"""),"cg")</f>
        <v>cg</v>
      </c>
      <c r="N42" s="6" t="str">
        <f>IFERROR(__xludf.DUMMYFUNCTION("""COMPUTED_VALUE"""),"fgead")</f>
        <v>fgead</v>
      </c>
      <c r="O42" s="6" t="str">
        <f>IFERROR(__xludf.DUMMYFUNCTION("""COMPUTED_VALUE"""),"ebcfad")</f>
        <v>ebcfad</v>
      </c>
      <c r="P42" s="6" t="str">
        <f>IFERROR(__xludf.DUMMYFUNCTION("""COMPUTED_VALUE"""),"dbecgaf")</f>
        <v>dbecgaf</v>
      </c>
      <c r="Q42" s="6" t="str">
        <f>IFERROR(__xludf.DUMMYFUNCTION("""COMPUTED_VALUE"""),"bdgeca")</f>
        <v>bdgeca</v>
      </c>
      <c r="R42" s="6" t="str">
        <f>IFERROR(__xludf.DUMMYFUNCTION("""COMPUTED_VALUE"""),"eagcfb")</f>
        <v>eagcfb</v>
      </c>
      <c r="S42" s="6" t="str">
        <f>IFERROR(__xludf.DUMMYFUNCTION("""COMPUTED_VALUE"""),"efcag")</f>
        <v>efcag</v>
      </c>
      <c r="T42" s="6" t="str">
        <f>IFERROR(__xludf.DUMMYFUNCTION("""COMPUTED_VALUE"""),"cga")</f>
        <v>cga</v>
      </c>
      <c r="U42" s="15"/>
      <c r="V42" s="6" t="str">
        <f>IFERROR(__xludf.DUMMYFUNCTION("split(I42,"" "")"),"gac")</f>
        <v>gac</v>
      </c>
      <c r="W42" s="6" t="str">
        <f>IFERROR(__xludf.DUMMYFUNCTION("""COMPUTED_VALUE"""),"adfeg")</f>
        <v>adfeg</v>
      </c>
      <c r="X42" s="6" t="str">
        <f>IFERROR(__xludf.DUMMYFUNCTION("""COMPUTED_VALUE"""),"cga")</f>
        <v>cga</v>
      </c>
      <c r="Y42" s="6" t="str">
        <f>IFERROR(__xludf.DUMMYFUNCTION("""COMPUTED_VALUE"""),"gfbc")</f>
        <v>gfbc</v>
      </c>
      <c r="Z42" s="6" t="str">
        <f>IFERROR(__xludf.DUMMYFUNCTION("CONCATENATE(SORT(TRANSPOSE(SPLIT(REGEXREPLACE(REGEXREPLACE(V42&amp;"""",""(?s)(.{1})"",""$1""&amp;CHAR(127)),""'"",""''""),CHAR(127))),1,true))"),"acg")</f>
        <v>acg</v>
      </c>
      <c r="AA42" s="6" t="str">
        <f>IFERROR(__xludf.DUMMYFUNCTION("CONCATENATE(SORT(TRANSPOSE(SPLIT(REGEXREPLACE(REGEXREPLACE(W42&amp;"""",""(?s)(.{1})"",""$1""&amp;CHAR(127)),""'"",""''""),CHAR(127))),1,true))"),"adefg")</f>
        <v>adefg</v>
      </c>
      <c r="AB42" s="6" t="str">
        <f>IFERROR(__xludf.DUMMYFUNCTION("CONCATENATE(SORT(TRANSPOSE(SPLIT(REGEXREPLACE(REGEXREPLACE(X42&amp;"""",""(?s)(.{1})"",""$1""&amp;CHAR(127)),""'"",""''""),CHAR(127))),1,true))"),"acg")</f>
        <v>acg</v>
      </c>
      <c r="AC42" s="6" t="str">
        <f>IFERROR(__xludf.DUMMYFUNCTION("CONCATENATE(SORT(TRANSPOSE(SPLIT(REGEXREPLACE(REGEXREPLACE(Y42&amp;"""",""(?s)(.{1})"",""$1""&amp;CHAR(127)),""'"",""''""),CHAR(127))),1,true))"),"bcfg")</f>
        <v>bcfg</v>
      </c>
      <c r="AD42" s="6">
        <f t="shared" ref="AD42:AG42" si="52">INDEX($AO$1:$CP$1,1,MATCH(CONCATENATE(Z42,"1"),$AO42:$CP42,0)+1)</f>
        <v>7</v>
      </c>
      <c r="AE42" s="6">
        <f t="shared" si="52"/>
        <v>2</v>
      </c>
      <c r="AF42" s="6">
        <f t="shared" si="52"/>
        <v>7</v>
      </c>
      <c r="AG42" s="6">
        <f t="shared" si="52"/>
        <v>4</v>
      </c>
      <c r="AH42" s="6">
        <f t="shared" si="3"/>
        <v>7274</v>
      </c>
      <c r="AI42" s="16"/>
      <c r="AJ42" s="9" t="str">
        <f>IFERROR(__xludf.DUMMYFUNCTION("REGEXREPLACE(AR42,CONCATENATE(""["",BY42,""]""),"""")"),"g")</f>
        <v>g</v>
      </c>
      <c r="AK42" s="10" t="str">
        <f>IFERROR(__xludf.DUMMYFUNCTION("FILTER($K42:$T42,len($K42:$T42)=6,NOT($K42:$T42=BY42))"),"bdgeca")</f>
        <v>bdgeca</v>
      </c>
      <c r="AL42" s="6" t="str">
        <f>IFERROR(__xludf.DUMMYFUNCTION("""COMPUTED_VALUE"""),"eagcfb")</f>
        <v>eagcfb</v>
      </c>
      <c r="AM42" s="6" t="str">
        <f>IFERROR(__xludf.DUMMYFUNCTION("REGEXREPLACE( $BG42, CONCATENATE(""["",AK42,""]""), """")"),"f")</f>
        <v>f</v>
      </c>
      <c r="AN42" s="6" t="str">
        <f>IFERROR(__xludf.DUMMYFUNCTION("REGEXREPLACE( $BG42, CONCATENATE(""["",AL42,""]""), """")"),"")</f>
        <v/>
      </c>
      <c r="AO42" s="11" t="str">
        <f t="shared" si="4"/>
        <v>bdgeca</v>
      </c>
      <c r="AP42" s="12" t="str">
        <f>IFERROR(__xludf.DUMMYFUNCTION("CONCATENATE(SORT(TRANSPOSE(SPLIT(REGEXREPLACE(REGEXREPLACE(AO42&amp;"""",""(?s)(.{1})"",""$1""&amp;CHAR(127)),""'"",""''""),CHAR(127))),1,true),""1"")"),"abcdeg1")</f>
        <v>abcdeg1</v>
      </c>
      <c r="AQ42" s="16"/>
      <c r="AR42" s="12" t="str">
        <f t="shared" si="5"/>
        <v>cg</v>
      </c>
      <c r="AS42" s="12" t="str">
        <f>IFERROR(__xludf.DUMMYFUNCTION("CONCATENATE(SORT(TRANSPOSE(SPLIT(REGEXREPLACE(REGEXREPLACE(AR42&amp;"""",""(?s)(.{1})"",""$1""&amp;CHAR(127)),""'"",""''""),CHAR(127))),1,true),""1"")"),"cg1")</f>
        <v>cg1</v>
      </c>
      <c r="AT42" s="16"/>
      <c r="AU42" s="13" t="str">
        <f>IFERROR(__xludf.DUMMYFUNCTION("FILTER($K42:$T42,len($K42:$T42)=5,NOT($K42:$T42=BD42),NOT($K42:$T42=BP42))"),"fgead")</f>
        <v>fgead</v>
      </c>
      <c r="AV42" s="12" t="str">
        <f>IFERROR(__xludf.DUMMYFUNCTION("CONCATENATE(SORT(TRANSPOSE(SPLIT(REGEXREPLACE(REGEXREPLACE(AU42&amp;"""",""(?s)(.{1})"",""$1""&amp;CHAR(127)),""'"",""''""),CHAR(127))),1,true),""1"")"),"adefg1")</f>
        <v>adefg1</v>
      </c>
      <c r="AW42" s="16"/>
      <c r="AX42" s="10" t="str">
        <f>IFERROR(__xludf.DUMMYFUNCTION("FILTER($K42:$T42,len($K42:$T42)=5)"),"cefab")</f>
        <v>cefab</v>
      </c>
      <c r="AY42" s="6" t="str">
        <f>IFERROR(__xludf.DUMMYFUNCTION("""COMPUTED_VALUE"""),"fgead")</f>
        <v>fgead</v>
      </c>
      <c r="AZ42" s="6" t="str">
        <f>IFERROR(__xludf.DUMMYFUNCTION("""COMPUTED_VALUE"""),"efcag")</f>
        <v>efcag</v>
      </c>
      <c r="BA42" s="6" t="str">
        <f>IFERROR(__xludf.DUMMYFUNCTION("REGEXREPLACE( $AR42, CONCATENATE(""["",AX42,""]""), """")"),"g")</f>
        <v>g</v>
      </c>
      <c r="BB42" s="6" t="str">
        <f>IFERROR(__xludf.DUMMYFUNCTION("REGEXREPLACE( $AR42, CONCATENATE(""["",AY42,""]""), """")"),"c")</f>
        <v>c</v>
      </c>
      <c r="BC42" s="6" t="str">
        <f>IFERROR(__xludf.DUMMYFUNCTION("REGEXREPLACE( $AR42, CONCATENATE(""["",AZ42,""]""), """")"),"")</f>
        <v/>
      </c>
      <c r="BD42" s="11" t="str">
        <f t="shared" si="6"/>
        <v>efcag</v>
      </c>
      <c r="BE42" s="12" t="str">
        <f>IFERROR(__xludf.DUMMYFUNCTION("CONCATENATE(SORT(TRANSPOSE(SPLIT(REGEXREPLACE(REGEXREPLACE(BD42&amp;"""",""(?s)(.{1})"",""$1""&amp;CHAR(127)),""'"",""''""),CHAR(127))),1,true),""1"")"),"acefg1")</f>
        <v>acefg1</v>
      </c>
      <c r="BF42" s="16"/>
      <c r="BG42" s="12" t="str">
        <f t="shared" si="7"/>
        <v>bcgf</v>
      </c>
      <c r="BH42" s="12" t="str">
        <f>IFERROR(__xludf.DUMMYFUNCTION("CONCATENATE(SORT(TRANSPOSE(SPLIT(REGEXREPLACE(REGEXREPLACE(BG42&amp;"""",""(?s)(.{1})"",""$1""&amp;CHAR(127)),""'"",""''""),CHAR(127))),1,true),""1"")"),"bcfg1")</f>
        <v>bcfg1</v>
      </c>
      <c r="BI42" s="16"/>
      <c r="BJ42" s="10" t="str">
        <f>IFERROR(__xludf.DUMMYFUNCTION("FILTER($K42:$T42,len($K42:$T42)=5)"),"cefab")</f>
        <v>cefab</v>
      </c>
      <c r="BK42" s="6" t="str">
        <f>IFERROR(__xludf.DUMMYFUNCTION("""COMPUTED_VALUE"""),"fgead")</f>
        <v>fgead</v>
      </c>
      <c r="BL42" s="6" t="str">
        <f>IFERROR(__xludf.DUMMYFUNCTION("""COMPUTED_VALUE"""),"efcag")</f>
        <v>efcag</v>
      </c>
      <c r="BM42" s="14" t="str">
        <f>IFERROR(__xludf.DUMMYFUNCTION("REGEXREPLACE( $BY42, CONCATENATE(""["",BJ42,""]""), """")"),"d")</f>
        <v>d</v>
      </c>
      <c r="BN42" s="14" t="str">
        <f>IFERROR(__xludf.DUMMYFUNCTION("REGEXREPLACE( $BY42, CONCATENATE(""["",BK42,""]""), """")"),"bc")</f>
        <v>bc</v>
      </c>
      <c r="BO42" s="14" t="str">
        <f>IFERROR(__xludf.DUMMYFUNCTION("REGEXREPLACE( $BY42, CONCATENATE(""["",BL42,""]""), """")"),"bd")</f>
        <v>bd</v>
      </c>
      <c r="BP42" s="11" t="str">
        <f t="shared" si="8"/>
        <v>cefab</v>
      </c>
      <c r="BQ42" s="12" t="str">
        <f>IFERROR(__xludf.DUMMYFUNCTION("CONCATENATE(SORT(TRANSPOSE(SPLIT(REGEXREPLACE(REGEXREPLACE(BP42&amp;"""",""(?s)(.{1})"",""$1""&amp;CHAR(127)),""'"",""''""),CHAR(127))),1,true),""1"")"),"abcef1")</f>
        <v>abcef1</v>
      </c>
      <c r="BR42" s="16"/>
      <c r="BS42" s="10" t="str">
        <f>IFERROR(__xludf.DUMMYFUNCTION("FILTER(K42:T42,len(K42:T42)=6)"),"ebcfad")</f>
        <v>ebcfad</v>
      </c>
      <c r="BT42" s="6" t="str">
        <f>IFERROR(__xludf.DUMMYFUNCTION("""COMPUTED_VALUE"""),"bdgeca")</f>
        <v>bdgeca</v>
      </c>
      <c r="BU42" s="6" t="str">
        <f>IFERROR(__xludf.DUMMYFUNCTION("""COMPUTED_VALUE"""),"eagcfb")</f>
        <v>eagcfb</v>
      </c>
      <c r="BV42" s="6" t="str">
        <f>IFERROR(__xludf.DUMMYFUNCTION("REGEXREPLACE( $AR42, CONCATENATE(""["",BS42,""]""), """")"),"g")</f>
        <v>g</v>
      </c>
      <c r="BW42" s="6" t="str">
        <f>IFERROR(__xludf.DUMMYFUNCTION("REGEXREPLACE( $AR42, CONCATENATE(""["",BT42,""]""), """")"),"")</f>
        <v/>
      </c>
      <c r="BX42" s="6" t="str">
        <f>IFERROR(__xludf.DUMMYFUNCTION("REGEXREPLACE( $AR42, CONCATENATE(""["",BU42,""]""), """")"),"")</f>
        <v/>
      </c>
      <c r="BY42" s="12" t="str">
        <f t="shared" si="9"/>
        <v>ebcfad</v>
      </c>
      <c r="BZ42" s="12" t="str">
        <f>IFERROR(__xludf.DUMMYFUNCTION("CONCATENATE(SORT(TRANSPOSE(SPLIT(REGEXREPLACE(REGEXREPLACE(BY42&amp;"""",""(?s)(.{1})"",""$1""&amp;CHAR(127)),""'"",""''""),CHAR(127))),1,true),""1"")"),"abcdef1")</f>
        <v>abcdef1</v>
      </c>
      <c r="CA42" s="16"/>
      <c r="CB42" s="12" t="str">
        <f t="shared" si="10"/>
        <v>cga</v>
      </c>
      <c r="CC42" s="12" t="str">
        <f>IFERROR(__xludf.DUMMYFUNCTION("CONCATENATE(SORT(TRANSPOSE(SPLIT(REGEXREPLACE(REGEXREPLACE(CB42&amp;"""",""(?s)(.{1})"",""$1""&amp;CHAR(127)),""'"",""''""),CHAR(127))),1,true),""1"")"),"acg1")</f>
        <v>acg1</v>
      </c>
      <c r="CD42" s="16"/>
      <c r="CE42" s="12" t="str">
        <f t="shared" si="11"/>
        <v>dbecgaf</v>
      </c>
      <c r="CF42" s="12" t="str">
        <f>IFERROR(__xludf.DUMMYFUNCTION("CONCATENATE(SORT(TRANSPOSE(SPLIT(REGEXREPLACE(REGEXREPLACE(CE42&amp;"""",""(?s)(.{1})"",""$1""&amp;CHAR(127)),""'"",""''""),CHAR(127))),1,true),""1"")"),"abcdefg1")</f>
        <v>abcdefg1</v>
      </c>
      <c r="CG42" s="16"/>
      <c r="CH42" s="10" t="str">
        <f>IFERROR(__xludf.DUMMYFUNCTION("FILTER(K42:T42,len(K42:T42)=6)"),"ebcfad")</f>
        <v>ebcfad</v>
      </c>
      <c r="CI42" s="6" t="str">
        <f>IFERROR(__xludf.DUMMYFUNCTION("""COMPUTED_VALUE"""),"bdgeca")</f>
        <v>bdgeca</v>
      </c>
      <c r="CJ42" s="6" t="str">
        <f>IFERROR(__xludf.DUMMYFUNCTION("""COMPUTED_VALUE"""),"eagcfb")</f>
        <v>eagcfb</v>
      </c>
      <c r="CK42" s="6" t="str">
        <f>IFERROR(__xludf.DUMMYFUNCTION("REGEXREPLACE( $BG42, CONCATENATE(""["",CH42,""]""), """")"),"g")</f>
        <v>g</v>
      </c>
      <c r="CL42" s="6" t="str">
        <f>IFERROR(__xludf.DUMMYFUNCTION("REGEXREPLACE( $BG42, CONCATENATE(""["",CI42,""]""), """")"),"f")</f>
        <v>f</v>
      </c>
      <c r="CM42" s="6" t="str">
        <f>IFERROR(__xludf.DUMMYFUNCTION("REGEXREPLACE( $BG42, CONCATENATE(""["",CJ42,""]""), """")"),"")</f>
        <v/>
      </c>
      <c r="CN42" s="12" t="str">
        <f t="shared" si="12"/>
        <v>eagcfb</v>
      </c>
      <c r="CO42" s="12" t="str">
        <f>IFERROR(__xludf.DUMMYFUNCTION("CONCATENATE(SORT(TRANSPOSE(SPLIT(REGEXREPLACE(REGEXREPLACE(CN42&amp;"""",""(?s)(.{1})"",""$1""&amp;CHAR(127)),""'"",""''""),CHAR(127))),1,true),""1"")"),"abcefg1")</f>
        <v>abcefg1</v>
      </c>
      <c r="CP42" s="15"/>
    </row>
    <row r="43">
      <c r="A43" s="1" t="s">
        <v>63</v>
      </c>
      <c r="H43" s="6" t="str">
        <f>IFERROR(__xludf.DUMMYFUNCTION("SPLIT(A43,""|"")"),"cfbgd efabcd bagef da bgadcf gbfda bdcegf bda bcgdafe gadc ")</f>
        <v>cfbgd efabcd bagef da bgadcf gbfda bdcegf bda bcgdafe gadc </v>
      </c>
      <c r="I43" s="6" t="str">
        <f>IFERROR(__xludf.DUMMYFUNCTION("""COMPUTED_VALUE""")," dabfg da bgeacdf dab")</f>
        <v> dabfg da bgeacdf dab</v>
      </c>
      <c r="J43" s="15"/>
      <c r="K43" s="6" t="str">
        <f>IFERROR(__xludf.DUMMYFUNCTION("split(H43,"" "")"),"cfbgd")</f>
        <v>cfbgd</v>
      </c>
      <c r="L43" s="6" t="str">
        <f>IFERROR(__xludf.DUMMYFUNCTION("""COMPUTED_VALUE"""),"efabcd")</f>
        <v>efabcd</v>
      </c>
      <c r="M43" s="6" t="str">
        <f>IFERROR(__xludf.DUMMYFUNCTION("""COMPUTED_VALUE"""),"bagef")</f>
        <v>bagef</v>
      </c>
      <c r="N43" s="6" t="str">
        <f>IFERROR(__xludf.DUMMYFUNCTION("""COMPUTED_VALUE"""),"da")</f>
        <v>da</v>
      </c>
      <c r="O43" s="6" t="str">
        <f>IFERROR(__xludf.DUMMYFUNCTION("""COMPUTED_VALUE"""),"bgadcf")</f>
        <v>bgadcf</v>
      </c>
      <c r="P43" s="6" t="str">
        <f>IFERROR(__xludf.DUMMYFUNCTION("""COMPUTED_VALUE"""),"gbfda")</f>
        <v>gbfda</v>
      </c>
      <c r="Q43" s="6" t="str">
        <f>IFERROR(__xludf.DUMMYFUNCTION("""COMPUTED_VALUE"""),"bdcegf")</f>
        <v>bdcegf</v>
      </c>
      <c r="R43" s="6" t="str">
        <f>IFERROR(__xludf.DUMMYFUNCTION("""COMPUTED_VALUE"""),"bda")</f>
        <v>bda</v>
      </c>
      <c r="S43" s="6" t="str">
        <f>IFERROR(__xludf.DUMMYFUNCTION("""COMPUTED_VALUE"""),"bcgdafe")</f>
        <v>bcgdafe</v>
      </c>
      <c r="T43" s="6" t="str">
        <f>IFERROR(__xludf.DUMMYFUNCTION("""COMPUTED_VALUE"""),"gadc")</f>
        <v>gadc</v>
      </c>
      <c r="U43" s="15"/>
      <c r="V43" s="6" t="str">
        <f>IFERROR(__xludf.DUMMYFUNCTION("split(I43,"" "")"),"dabfg")</f>
        <v>dabfg</v>
      </c>
      <c r="W43" s="6" t="str">
        <f>IFERROR(__xludf.DUMMYFUNCTION("""COMPUTED_VALUE"""),"da")</f>
        <v>da</v>
      </c>
      <c r="X43" s="6" t="str">
        <f>IFERROR(__xludf.DUMMYFUNCTION("""COMPUTED_VALUE"""),"bgeacdf")</f>
        <v>bgeacdf</v>
      </c>
      <c r="Y43" s="6" t="str">
        <f>IFERROR(__xludf.DUMMYFUNCTION("""COMPUTED_VALUE"""),"dab")</f>
        <v>dab</v>
      </c>
      <c r="Z43" s="6" t="str">
        <f>IFERROR(__xludf.DUMMYFUNCTION("CONCATENATE(SORT(TRANSPOSE(SPLIT(REGEXREPLACE(REGEXREPLACE(V43&amp;"""",""(?s)(.{1})"",""$1""&amp;CHAR(127)),""'"",""''""),CHAR(127))),1,true))"),"abdfg")</f>
        <v>abdfg</v>
      </c>
      <c r="AA43" s="6" t="str">
        <f>IFERROR(__xludf.DUMMYFUNCTION("CONCATENATE(SORT(TRANSPOSE(SPLIT(REGEXREPLACE(REGEXREPLACE(W43&amp;"""",""(?s)(.{1})"",""$1""&amp;CHAR(127)),""'"",""''""),CHAR(127))),1,true))"),"ad")</f>
        <v>ad</v>
      </c>
      <c r="AB43" s="6" t="str">
        <f>IFERROR(__xludf.DUMMYFUNCTION("CONCATENATE(SORT(TRANSPOSE(SPLIT(REGEXREPLACE(REGEXREPLACE(X43&amp;"""",""(?s)(.{1})"",""$1""&amp;CHAR(127)),""'"",""''""),CHAR(127))),1,true))"),"abcdefg")</f>
        <v>abcdefg</v>
      </c>
      <c r="AC43" s="6" t="str">
        <f>IFERROR(__xludf.DUMMYFUNCTION("CONCATENATE(SORT(TRANSPOSE(SPLIT(REGEXREPLACE(REGEXREPLACE(Y43&amp;"""",""(?s)(.{1})"",""$1""&amp;CHAR(127)),""'"",""''""),CHAR(127))),1,true))"),"abd")</f>
        <v>abd</v>
      </c>
      <c r="AD43" s="6">
        <f t="shared" ref="AD43:AG43" si="53">INDEX($AO$1:$CP$1,1,MATCH(CONCATENATE(Z43,"1"),$AO43:$CP43,0)+1)</f>
        <v>3</v>
      </c>
      <c r="AE43" s="6">
        <f t="shared" si="53"/>
        <v>1</v>
      </c>
      <c r="AF43" s="6">
        <f t="shared" si="53"/>
        <v>8</v>
      </c>
      <c r="AG43" s="6">
        <f t="shared" si="53"/>
        <v>7</v>
      </c>
      <c r="AH43" s="6">
        <f t="shared" si="3"/>
        <v>3187</v>
      </c>
      <c r="AI43" s="16"/>
      <c r="AJ43" s="9" t="str">
        <f>IFERROR(__xludf.DUMMYFUNCTION("REGEXREPLACE(AR43,CONCATENATE(""["",BY43,""]""),"""")"),"a")</f>
        <v>a</v>
      </c>
      <c r="AK43" s="10" t="str">
        <f>IFERROR(__xludf.DUMMYFUNCTION("FILTER($K43:$T43,len($K43:$T43)=6,NOT($K43:$T43=BY43))"),"efabcd")</f>
        <v>efabcd</v>
      </c>
      <c r="AL43" s="6" t="str">
        <f>IFERROR(__xludf.DUMMYFUNCTION("""COMPUTED_VALUE"""),"bgadcf")</f>
        <v>bgadcf</v>
      </c>
      <c r="AM43" s="6" t="str">
        <f>IFERROR(__xludf.DUMMYFUNCTION("REGEXREPLACE( $BG43, CONCATENATE(""["",AK43,""]""), """")"),"g")</f>
        <v>g</v>
      </c>
      <c r="AN43" s="6" t="str">
        <f>IFERROR(__xludf.DUMMYFUNCTION("REGEXREPLACE( $BG43, CONCATENATE(""["",AL43,""]""), """")"),"")</f>
        <v/>
      </c>
      <c r="AO43" s="11" t="str">
        <f t="shared" si="4"/>
        <v>efabcd</v>
      </c>
      <c r="AP43" s="12" t="str">
        <f>IFERROR(__xludf.DUMMYFUNCTION("CONCATENATE(SORT(TRANSPOSE(SPLIT(REGEXREPLACE(REGEXREPLACE(AO43&amp;"""",""(?s)(.{1})"",""$1""&amp;CHAR(127)),""'"",""''""),CHAR(127))),1,true),""1"")"),"abcdef1")</f>
        <v>abcdef1</v>
      </c>
      <c r="AQ43" s="16"/>
      <c r="AR43" s="12" t="str">
        <f t="shared" si="5"/>
        <v>da</v>
      </c>
      <c r="AS43" s="12" t="str">
        <f>IFERROR(__xludf.DUMMYFUNCTION("CONCATENATE(SORT(TRANSPOSE(SPLIT(REGEXREPLACE(REGEXREPLACE(AR43&amp;"""",""(?s)(.{1})"",""$1""&amp;CHAR(127)),""'"",""''""),CHAR(127))),1,true),""1"")"),"ad1")</f>
        <v>ad1</v>
      </c>
      <c r="AT43" s="16"/>
      <c r="AU43" s="13" t="str">
        <f>IFERROR(__xludf.DUMMYFUNCTION("FILTER($K43:$T43,len($K43:$T43)=5,NOT($K43:$T43=BD43),NOT($K43:$T43=BP43))"),"bagef")</f>
        <v>bagef</v>
      </c>
      <c r="AV43" s="12" t="str">
        <f>IFERROR(__xludf.DUMMYFUNCTION("CONCATENATE(SORT(TRANSPOSE(SPLIT(REGEXREPLACE(REGEXREPLACE(AU43&amp;"""",""(?s)(.{1})"",""$1""&amp;CHAR(127)),""'"",""''""),CHAR(127))),1,true),""1"")"),"abefg1")</f>
        <v>abefg1</v>
      </c>
      <c r="AW43" s="16"/>
      <c r="AX43" s="10" t="str">
        <f>IFERROR(__xludf.DUMMYFUNCTION("FILTER($K43:$T43,len($K43:$T43)=5)"),"cfbgd")</f>
        <v>cfbgd</v>
      </c>
      <c r="AY43" s="6" t="str">
        <f>IFERROR(__xludf.DUMMYFUNCTION("""COMPUTED_VALUE"""),"bagef")</f>
        <v>bagef</v>
      </c>
      <c r="AZ43" s="6" t="str">
        <f>IFERROR(__xludf.DUMMYFUNCTION("""COMPUTED_VALUE"""),"gbfda")</f>
        <v>gbfda</v>
      </c>
      <c r="BA43" s="6" t="str">
        <f>IFERROR(__xludf.DUMMYFUNCTION("REGEXREPLACE( $AR43, CONCATENATE(""["",AX43,""]""), """")"),"a")</f>
        <v>a</v>
      </c>
      <c r="BB43" s="6" t="str">
        <f>IFERROR(__xludf.DUMMYFUNCTION("REGEXREPLACE( $AR43, CONCATENATE(""["",AY43,""]""), """")"),"d")</f>
        <v>d</v>
      </c>
      <c r="BC43" s="6" t="str">
        <f>IFERROR(__xludf.DUMMYFUNCTION("REGEXREPLACE( $AR43, CONCATENATE(""["",AZ43,""]""), """")"),"")</f>
        <v/>
      </c>
      <c r="BD43" s="11" t="str">
        <f t="shared" si="6"/>
        <v>gbfda</v>
      </c>
      <c r="BE43" s="12" t="str">
        <f>IFERROR(__xludf.DUMMYFUNCTION("CONCATENATE(SORT(TRANSPOSE(SPLIT(REGEXREPLACE(REGEXREPLACE(BD43&amp;"""",""(?s)(.{1})"",""$1""&amp;CHAR(127)),""'"",""''""),CHAR(127))),1,true),""1"")"),"abdfg1")</f>
        <v>abdfg1</v>
      </c>
      <c r="BF43" s="16"/>
      <c r="BG43" s="12" t="str">
        <f t="shared" si="7"/>
        <v>gadc</v>
      </c>
      <c r="BH43" s="12" t="str">
        <f>IFERROR(__xludf.DUMMYFUNCTION("CONCATENATE(SORT(TRANSPOSE(SPLIT(REGEXREPLACE(REGEXREPLACE(BG43&amp;"""",""(?s)(.{1})"",""$1""&amp;CHAR(127)),""'"",""''""),CHAR(127))),1,true),""1"")"),"acdg1")</f>
        <v>acdg1</v>
      </c>
      <c r="BI43" s="16"/>
      <c r="BJ43" s="10" t="str">
        <f>IFERROR(__xludf.DUMMYFUNCTION("FILTER($K43:$T43,len($K43:$T43)=5)"),"cfbgd")</f>
        <v>cfbgd</v>
      </c>
      <c r="BK43" s="6" t="str">
        <f>IFERROR(__xludf.DUMMYFUNCTION("""COMPUTED_VALUE"""),"bagef")</f>
        <v>bagef</v>
      </c>
      <c r="BL43" s="6" t="str">
        <f>IFERROR(__xludf.DUMMYFUNCTION("""COMPUTED_VALUE"""),"gbfda")</f>
        <v>gbfda</v>
      </c>
      <c r="BM43" s="14" t="str">
        <f>IFERROR(__xludf.DUMMYFUNCTION("REGEXREPLACE( $BY43, CONCATENATE(""["",BJ43,""]""), """")"),"e")</f>
        <v>e</v>
      </c>
      <c r="BN43" s="14" t="str">
        <f>IFERROR(__xludf.DUMMYFUNCTION("REGEXREPLACE( $BY43, CONCATENATE(""["",BK43,""]""), """")"),"dc")</f>
        <v>dc</v>
      </c>
      <c r="BO43" s="14" t="str">
        <f>IFERROR(__xludf.DUMMYFUNCTION("REGEXREPLACE( $BY43, CONCATENATE(""["",BL43,""]""), """")"),"ce")</f>
        <v>ce</v>
      </c>
      <c r="BP43" s="11" t="str">
        <f t="shared" si="8"/>
        <v>cfbgd</v>
      </c>
      <c r="BQ43" s="12" t="str">
        <f>IFERROR(__xludf.DUMMYFUNCTION("CONCATENATE(SORT(TRANSPOSE(SPLIT(REGEXREPLACE(REGEXREPLACE(BP43&amp;"""",""(?s)(.{1})"",""$1""&amp;CHAR(127)),""'"",""''""),CHAR(127))),1,true),""1"")"),"bcdfg1")</f>
        <v>bcdfg1</v>
      </c>
      <c r="BR43" s="16"/>
      <c r="BS43" s="10" t="str">
        <f>IFERROR(__xludf.DUMMYFUNCTION("FILTER(K43:T43,len(K43:T43)=6)"),"efabcd")</f>
        <v>efabcd</v>
      </c>
      <c r="BT43" s="6" t="str">
        <f>IFERROR(__xludf.DUMMYFUNCTION("""COMPUTED_VALUE"""),"bgadcf")</f>
        <v>bgadcf</v>
      </c>
      <c r="BU43" s="6" t="str">
        <f>IFERROR(__xludf.DUMMYFUNCTION("""COMPUTED_VALUE"""),"bdcegf")</f>
        <v>bdcegf</v>
      </c>
      <c r="BV43" s="6" t="str">
        <f>IFERROR(__xludf.DUMMYFUNCTION("REGEXREPLACE( $AR43, CONCATENATE(""["",BS43,""]""), """")"),"")</f>
        <v/>
      </c>
      <c r="BW43" s="6" t="str">
        <f>IFERROR(__xludf.DUMMYFUNCTION("REGEXREPLACE( $AR43, CONCATENATE(""["",BT43,""]""), """")"),"")</f>
        <v/>
      </c>
      <c r="BX43" s="6" t="str">
        <f>IFERROR(__xludf.DUMMYFUNCTION("REGEXREPLACE( $AR43, CONCATENATE(""["",BU43,""]""), """")"),"a")</f>
        <v>a</v>
      </c>
      <c r="BY43" s="12" t="str">
        <f t="shared" si="9"/>
        <v>bdcegf</v>
      </c>
      <c r="BZ43" s="12" t="str">
        <f>IFERROR(__xludf.DUMMYFUNCTION("CONCATENATE(SORT(TRANSPOSE(SPLIT(REGEXREPLACE(REGEXREPLACE(BY43&amp;"""",""(?s)(.{1})"",""$1""&amp;CHAR(127)),""'"",""''""),CHAR(127))),1,true),""1"")"),"bcdefg1")</f>
        <v>bcdefg1</v>
      </c>
      <c r="CA43" s="16"/>
      <c r="CB43" s="12" t="str">
        <f t="shared" si="10"/>
        <v>bda</v>
      </c>
      <c r="CC43" s="12" t="str">
        <f>IFERROR(__xludf.DUMMYFUNCTION("CONCATENATE(SORT(TRANSPOSE(SPLIT(REGEXREPLACE(REGEXREPLACE(CB43&amp;"""",""(?s)(.{1})"",""$1""&amp;CHAR(127)),""'"",""''""),CHAR(127))),1,true),""1"")"),"abd1")</f>
        <v>abd1</v>
      </c>
      <c r="CD43" s="16"/>
      <c r="CE43" s="12" t="str">
        <f t="shared" si="11"/>
        <v>bcgdafe</v>
      </c>
      <c r="CF43" s="12" t="str">
        <f>IFERROR(__xludf.DUMMYFUNCTION("CONCATENATE(SORT(TRANSPOSE(SPLIT(REGEXREPLACE(REGEXREPLACE(CE43&amp;"""",""(?s)(.{1})"",""$1""&amp;CHAR(127)),""'"",""''""),CHAR(127))),1,true),""1"")"),"abcdefg1")</f>
        <v>abcdefg1</v>
      </c>
      <c r="CG43" s="16"/>
      <c r="CH43" s="10" t="str">
        <f>IFERROR(__xludf.DUMMYFUNCTION("FILTER(K43:T43,len(K43:T43)=6)"),"efabcd")</f>
        <v>efabcd</v>
      </c>
      <c r="CI43" s="6" t="str">
        <f>IFERROR(__xludf.DUMMYFUNCTION("""COMPUTED_VALUE"""),"bgadcf")</f>
        <v>bgadcf</v>
      </c>
      <c r="CJ43" s="6" t="str">
        <f>IFERROR(__xludf.DUMMYFUNCTION("""COMPUTED_VALUE"""),"bdcegf")</f>
        <v>bdcegf</v>
      </c>
      <c r="CK43" s="6" t="str">
        <f>IFERROR(__xludf.DUMMYFUNCTION("REGEXREPLACE( $BG43, CONCATENATE(""["",CH43,""]""), """")"),"g")</f>
        <v>g</v>
      </c>
      <c r="CL43" s="6" t="str">
        <f>IFERROR(__xludf.DUMMYFUNCTION("REGEXREPLACE( $BG43, CONCATENATE(""["",CI43,""]""), """")"),"")</f>
        <v/>
      </c>
      <c r="CM43" s="6" t="str">
        <f>IFERROR(__xludf.DUMMYFUNCTION("REGEXREPLACE( $BG43, CONCATENATE(""["",CJ43,""]""), """")"),"a")</f>
        <v>a</v>
      </c>
      <c r="CN43" s="12" t="str">
        <f t="shared" si="12"/>
        <v>bgadcf</v>
      </c>
      <c r="CO43" s="12" t="str">
        <f>IFERROR(__xludf.DUMMYFUNCTION("CONCATENATE(SORT(TRANSPOSE(SPLIT(REGEXREPLACE(REGEXREPLACE(CN43&amp;"""",""(?s)(.{1})"",""$1""&amp;CHAR(127)),""'"",""''""),CHAR(127))),1,true),""1"")"),"abcdfg1")</f>
        <v>abcdfg1</v>
      </c>
      <c r="CP43" s="15"/>
    </row>
    <row r="44">
      <c r="A44" s="1" t="s">
        <v>64</v>
      </c>
      <c r="H44" s="6" t="str">
        <f>IFERROR(__xludf.DUMMYFUNCTION("SPLIT(A44,""|"")"),"feabd bgd begc edbgf edcfg afdecbg afcbdg cgefbd gb adecgf ")</f>
        <v>feabd bgd begc edbgf edcfg afdecbg afcbdg cgefbd gb adecgf </v>
      </c>
      <c r="I44" s="6" t="str">
        <f>IFERROR(__xludf.DUMMYFUNCTION("""COMPUTED_VALUE""")," befdg dgefcb dgecf fdgec")</f>
        <v> befdg dgefcb dgecf fdgec</v>
      </c>
      <c r="J44" s="15"/>
      <c r="K44" s="6" t="str">
        <f>IFERROR(__xludf.DUMMYFUNCTION("split(H44,"" "")"),"feabd")</f>
        <v>feabd</v>
      </c>
      <c r="L44" s="6" t="str">
        <f>IFERROR(__xludf.DUMMYFUNCTION("""COMPUTED_VALUE"""),"bgd")</f>
        <v>bgd</v>
      </c>
      <c r="M44" s="6" t="str">
        <f>IFERROR(__xludf.DUMMYFUNCTION("""COMPUTED_VALUE"""),"begc")</f>
        <v>begc</v>
      </c>
      <c r="N44" s="6" t="str">
        <f>IFERROR(__xludf.DUMMYFUNCTION("""COMPUTED_VALUE"""),"edbgf")</f>
        <v>edbgf</v>
      </c>
      <c r="O44" s="6" t="str">
        <f>IFERROR(__xludf.DUMMYFUNCTION("""COMPUTED_VALUE"""),"edcfg")</f>
        <v>edcfg</v>
      </c>
      <c r="P44" s="6" t="str">
        <f>IFERROR(__xludf.DUMMYFUNCTION("""COMPUTED_VALUE"""),"afdecbg")</f>
        <v>afdecbg</v>
      </c>
      <c r="Q44" s="6" t="str">
        <f>IFERROR(__xludf.DUMMYFUNCTION("""COMPUTED_VALUE"""),"afcbdg")</f>
        <v>afcbdg</v>
      </c>
      <c r="R44" s="6" t="str">
        <f>IFERROR(__xludf.DUMMYFUNCTION("""COMPUTED_VALUE"""),"cgefbd")</f>
        <v>cgefbd</v>
      </c>
      <c r="S44" s="6" t="str">
        <f>IFERROR(__xludf.DUMMYFUNCTION("""COMPUTED_VALUE"""),"gb")</f>
        <v>gb</v>
      </c>
      <c r="T44" s="6" t="str">
        <f>IFERROR(__xludf.DUMMYFUNCTION("""COMPUTED_VALUE"""),"adecgf")</f>
        <v>adecgf</v>
      </c>
      <c r="U44" s="15"/>
      <c r="V44" s="6" t="str">
        <f>IFERROR(__xludf.DUMMYFUNCTION("split(I44,"" "")"),"befdg")</f>
        <v>befdg</v>
      </c>
      <c r="W44" s="6" t="str">
        <f>IFERROR(__xludf.DUMMYFUNCTION("""COMPUTED_VALUE"""),"dgefcb")</f>
        <v>dgefcb</v>
      </c>
      <c r="X44" s="6" t="str">
        <f>IFERROR(__xludf.DUMMYFUNCTION("""COMPUTED_VALUE"""),"dgecf")</f>
        <v>dgecf</v>
      </c>
      <c r="Y44" s="6" t="str">
        <f>IFERROR(__xludf.DUMMYFUNCTION("""COMPUTED_VALUE"""),"fdgec")</f>
        <v>fdgec</v>
      </c>
      <c r="Z44" s="6" t="str">
        <f>IFERROR(__xludf.DUMMYFUNCTION("CONCATENATE(SORT(TRANSPOSE(SPLIT(REGEXREPLACE(REGEXREPLACE(V44&amp;"""",""(?s)(.{1})"",""$1""&amp;CHAR(127)),""'"",""''""),CHAR(127))),1,true))"),"bdefg")</f>
        <v>bdefg</v>
      </c>
      <c r="AA44" s="6" t="str">
        <f>IFERROR(__xludf.DUMMYFUNCTION("CONCATENATE(SORT(TRANSPOSE(SPLIT(REGEXREPLACE(REGEXREPLACE(W44&amp;"""",""(?s)(.{1})"",""$1""&amp;CHAR(127)),""'"",""''""),CHAR(127))),1,true))"),"bcdefg")</f>
        <v>bcdefg</v>
      </c>
      <c r="AB44" s="6" t="str">
        <f>IFERROR(__xludf.DUMMYFUNCTION("CONCATENATE(SORT(TRANSPOSE(SPLIT(REGEXREPLACE(REGEXREPLACE(X44&amp;"""",""(?s)(.{1})"",""$1""&amp;CHAR(127)),""'"",""''""),CHAR(127))),1,true))"),"cdefg")</f>
        <v>cdefg</v>
      </c>
      <c r="AC44" s="6" t="str">
        <f>IFERROR(__xludf.DUMMYFUNCTION("CONCATENATE(SORT(TRANSPOSE(SPLIT(REGEXREPLACE(REGEXREPLACE(Y44&amp;"""",""(?s)(.{1})"",""$1""&amp;CHAR(127)),""'"",""''""),CHAR(127))),1,true))"),"cdefg")</f>
        <v>cdefg</v>
      </c>
      <c r="AD44" s="6">
        <f t="shared" ref="AD44:AG44" si="54">INDEX($AO$1:$CP$1,1,MATCH(CONCATENATE(Z44,"1"),$AO44:$CP44,0)+1)</f>
        <v>3</v>
      </c>
      <c r="AE44" s="6">
        <f t="shared" si="54"/>
        <v>9</v>
      </c>
      <c r="AF44" s="6">
        <f t="shared" si="54"/>
        <v>5</v>
      </c>
      <c r="AG44" s="6">
        <f t="shared" si="54"/>
        <v>5</v>
      </c>
      <c r="AH44" s="6">
        <f t="shared" si="3"/>
        <v>3955</v>
      </c>
      <c r="AI44" s="16"/>
      <c r="AJ44" s="9" t="str">
        <f>IFERROR(__xludf.DUMMYFUNCTION("REGEXREPLACE(AR44,CONCATENATE(""["",BY44,""]""),"""")"),"b")</f>
        <v>b</v>
      </c>
      <c r="AK44" s="10" t="str">
        <f>IFERROR(__xludf.DUMMYFUNCTION("FILTER($K44:$T44,len($K44:$T44)=6,NOT($K44:$T44=BY44))"),"afcbdg")</f>
        <v>afcbdg</v>
      </c>
      <c r="AL44" s="6" t="str">
        <f>IFERROR(__xludf.DUMMYFUNCTION("""COMPUTED_VALUE"""),"cgefbd")</f>
        <v>cgefbd</v>
      </c>
      <c r="AM44" s="6" t="str">
        <f>IFERROR(__xludf.DUMMYFUNCTION("REGEXREPLACE( $BG44, CONCATENATE(""["",AK44,""]""), """")"),"e")</f>
        <v>e</v>
      </c>
      <c r="AN44" s="6" t="str">
        <f>IFERROR(__xludf.DUMMYFUNCTION("REGEXREPLACE( $BG44, CONCATENATE(""["",AL44,""]""), """")"),"")</f>
        <v/>
      </c>
      <c r="AO44" s="11" t="str">
        <f t="shared" si="4"/>
        <v>afcbdg</v>
      </c>
      <c r="AP44" s="12" t="str">
        <f>IFERROR(__xludf.DUMMYFUNCTION("CONCATENATE(SORT(TRANSPOSE(SPLIT(REGEXREPLACE(REGEXREPLACE(AO44&amp;"""",""(?s)(.{1})"",""$1""&amp;CHAR(127)),""'"",""''""),CHAR(127))),1,true),""1"")"),"abcdfg1")</f>
        <v>abcdfg1</v>
      </c>
      <c r="AQ44" s="16"/>
      <c r="AR44" s="12" t="str">
        <f t="shared" si="5"/>
        <v>gb</v>
      </c>
      <c r="AS44" s="12" t="str">
        <f>IFERROR(__xludf.DUMMYFUNCTION("CONCATENATE(SORT(TRANSPOSE(SPLIT(REGEXREPLACE(REGEXREPLACE(AR44&amp;"""",""(?s)(.{1})"",""$1""&amp;CHAR(127)),""'"",""''""),CHAR(127))),1,true),""1"")"),"bg1")</f>
        <v>bg1</v>
      </c>
      <c r="AT44" s="16"/>
      <c r="AU44" s="13" t="str">
        <f>IFERROR(__xludf.DUMMYFUNCTION("FILTER($K44:$T44,len($K44:$T44)=5,NOT($K44:$T44=BD44),NOT($K44:$T44=BP44))"),"feabd")</f>
        <v>feabd</v>
      </c>
      <c r="AV44" s="12" t="str">
        <f>IFERROR(__xludf.DUMMYFUNCTION("CONCATENATE(SORT(TRANSPOSE(SPLIT(REGEXREPLACE(REGEXREPLACE(AU44&amp;"""",""(?s)(.{1})"",""$1""&amp;CHAR(127)),""'"",""''""),CHAR(127))),1,true),""1"")"),"abdef1")</f>
        <v>abdef1</v>
      </c>
      <c r="AW44" s="16"/>
      <c r="AX44" s="10" t="str">
        <f>IFERROR(__xludf.DUMMYFUNCTION("FILTER($K44:$T44,len($K44:$T44)=5)"),"feabd")</f>
        <v>feabd</v>
      </c>
      <c r="AY44" s="6" t="str">
        <f>IFERROR(__xludf.DUMMYFUNCTION("""COMPUTED_VALUE"""),"edbgf")</f>
        <v>edbgf</v>
      </c>
      <c r="AZ44" s="6" t="str">
        <f>IFERROR(__xludf.DUMMYFUNCTION("""COMPUTED_VALUE"""),"edcfg")</f>
        <v>edcfg</v>
      </c>
      <c r="BA44" s="6" t="str">
        <f>IFERROR(__xludf.DUMMYFUNCTION("REGEXREPLACE( $AR44, CONCATENATE(""["",AX44,""]""), """")"),"g")</f>
        <v>g</v>
      </c>
      <c r="BB44" s="6" t="str">
        <f>IFERROR(__xludf.DUMMYFUNCTION("REGEXREPLACE( $AR44, CONCATENATE(""["",AY44,""]""), """")"),"")</f>
        <v/>
      </c>
      <c r="BC44" s="6" t="str">
        <f>IFERROR(__xludf.DUMMYFUNCTION("REGEXREPLACE( $AR44, CONCATENATE(""["",AZ44,""]""), """")"),"b")</f>
        <v>b</v>
      </c>
      <c r="BD44" s="11" t="str">
        <f t="shared" si="6"/>
        <v>edbgf</v>
      </c>
      <c r="BE44" s="12" t="str">
        <f>IFERROR(__xludf.DUMMYFUNCTION("CONCATENATE(SORT(TRANSPOSE(SPLIT(REGEXREPLACE(REGEXREPLACE(BD44&amp;"""",""(?s)(.{1})"",""$1""&amp;CHAR(127)),""'"",""''""),CHAR(127))),1,true),""1"")"),"bdefg1")</f>
        <v>bdefg1</v>
      </c>
      <c r="BF44" s="16"/>
      <c r="BG44" s="12" t="str">
        <f t="shared" si="7"/>
        <v>begc</v>
      </c>
      <c r="BH44" s="12" t="str">
        <f>IFERROR(__xludf.DUMMYFUNCTION("CONCATENATE(SORT(TRANSPOSE(SPLIT(REGEXREPLACE(REGEXREPLACE(BG44&amp;"""",""(?s)(.{1})"",""$1""&amp;CHAR(127)),""'"",""''""),CHAR(127))),1,true),""1"")"),"bceg1")</f>
        <v>bceg1</v>
      </c>
      <c r="BI44" s="16"/>
      <c r="BJ44" s="10" t="str">
        <f>IFERROR(__xludf.DUMMYFUNCTION("FILTER($K44:$T44,len($K44:$T44)=5)"),"feabd")</f>
        <v>feabd</v>
      </c>
      <c r="BK44" s="6" t="str">
        <f>IFERROR(__xludf.DUMMYFUNCTION("""COMPUTED_VALUE"""),"edbgf")</f>
        <v>edbgf</v>
      </c>
      <c r="BL44" s="6" t="str">
        <f>IFERROR(__xludf.DUMMYFUNCTION("""COMPUTED_VALUE"""),"edcfg")</f>
        <v>edcfg</v>
      </c>
      <c r="BM44" s="14" t="str">
        <f>IFERROR(__xludf.DUMMYFUNCTION("REGEXREPLACE( $BY44, CONCATENATE(""["",BJ44,""]""), """")"),"cg")</f>
        <v>cg</v>
      </c>
      <c r="BN44" s="14" t="str">
        <f>IFERROR(__xludf.DUMMYFUNCTION("REGEXREPLACE( $BY44, CONCATENATE(""["",BK44,""]""), """")"),"ac")</f>
        <v>ac</v>
      </c>
      <c r="BO44" s="14" t="str">
        <f>IFERROR(__xludf.DUMMYFUNCTION("REGEXREPLACE( $BY44, CONCATENATE(""["",BL44,""]""), """")"),"a")</f>
        <v>a</v>
      </c>
      <c r="BP44" s="11" t="str">
        <f t="shared" si="8"/>
        <v>edcfg</v>
      </c>
      <c r="BQ44" s="12" t="str">
        <f>IFERROR(__xludf.DUMMYFUNCTION("CONCATENATE(SORT(TRANSPOSE(SPLIT(REGEXREPLACE(REGEXREPLACE(BP44&amp;"""",""(?s)(.{1})"",""$1""&amp;CHAR(127)),""'"",""''""),CHAR(127))),1,true),""1"")"),"cdefg1")</f>
        <v>cdefg1</v>
      </c>
      <c r="BR44" s="16"/>
      <c r="BS44" s="10" t="str">
        <f>IFERROR(__xludf.DUMMYFUNCTION("FILTER(K44:T44,len(K44:T44)=6)"),"afcbdg")</f>
        <v>afcbdg</v>
      </c>
      <c r="BT44" s="6" t="str">
        <f>IFERROR(__xludf.DUMMYFUNCTION("""COMPUTED_VALUE"""),"cgefbd")</f>
        <v>cgefbd</v>
      </c>
      <c r="BU44" s="6" t="str">
        <f>IFERROR(__xludf.DUMMYFUNCTION("""COMPUTED_VALUE"""),"adecgf")</f>
        <v>adecgf</v>
      </c>
      <c r="BV44" s="6" t="str">
        <f>IFERROR(__xludf.DUMMYFUNCTION("REGEXREPLACE( $AR44, CONCATENATE(""["",BS44,""]""), """")"),"")</f>
        <v/>
      </c>
      <c r="BW44" s="6" t="str">
        <f>IFERROR(__xludf.DUMMYFUNCTION("REGEXREPLACE( $AR44, CONCATENATE(""["",BT44,""]""), """")"),"")</f>
        <v/>
      </c>
      <c r="BX44" s="6" t="str">
        <f>IFERROR(__xludf.DUMMYFUNCTION("REGEXREPLACE( $AR44, CONCATENATE(""["",BU44,""]""), """")"),"b")</f>
        <v>b</v>
      </c>
      <c r="BY44" s="12" t="str">
        <f t="shared" si="9"/>
        <v>adecgf</v>
      </c>
      <c r="BZ44" s="12" t="str">
        <f>IFERROR(__xludf.DUMMYFUNCTION("CONCATENATE(SORT(TRANSPOSE(SPLIT(REGEXREPLACE(REGEXREPLACE(BY44&amp;"""",""(?s)(.{1})"",""$1""&amp;CHAR(127)),""'"",""''""),CHAR(127))),1,true),""1"")"),"acdefg1")</f>
        <v>acdefg1</v>
      </c>
      <c r="CA44" s="16"/>
      <c r="CB44" s="12" t="str">
        <f t="shared" si="10"/>
        <v>bgd</v>
      </c>
      <c r="CC44" s="12" t="str">
        <f>IFERROR(__xludf.DUMMYFUNCTION("CONCATENATE(SORT(TRANSPOSE(SPLIT(REGEXREPLACE(REGEXREPLACE(CB44&amp;"""",""(?s)(.{1})"",""$1""&amp;CHAR(127)),""'"",""''""),CHAR(127))),1,true),""1"")"),"bdg1")</f>
        <v>bdg1</v>
      </c>
      <c r="CD44" s="16"/>
      <c r="CE44" s="12" t="str">
        <f t="shared" si="11"/>
        <v>afdecbg</v>
      </c>
      <c r="CF44" s="12" t="str">
        <f>IFERROR(__xludf.DUMMYFUNCTION("CONCATENATE(SORT(TRANSPOSE(SPLIT(REGEXREPLACE(REGEXREPLACE(CE44&amp;"""",""(?s)(.{1})"",""$1""&amp;CHAR(127)),""'"",""''""),CHAR(127))),1,true),""1"")"),"abcdefg1")</f>
        <v>abcdefg1</v>
      </c>
      <c r="CG44" s="16"/>
      <c r="CH44" s="10" t="str">
        <f>IFERROR(__xludf.DUMMYFUNCTION("FILTER(K44:T44,len(K44:T44)=6)"),"afcbdg")</f>
        <v>afcbdg</v>
      </c>
      <c r="CI44" s="6" t="str">
        <f>IFERROR(__xludf.DUMMYFUNCTION("""COMPUTED_VALUE"""),"cgefbd")</f>
        <v>cgefbd</v>
      </c>
      <c r="CJ44" s="6" t="str">
        <f>IFERROR(__xludf.DUMMYFUNCTION("""COMPUTED_VALUE"""),"adecgf")</f>
        <v>adecgf</v>
      </c>
      <c r="CK44" s="6" t="str">
        <f>IFERROR(__xludf.DUMMYFUNCTION("REGEXREPLACE( $BG44, CONCATENATE(""["",CH44,""]""), """")"),"e")</f>
        <v>e</v>
      </c>
      <c r="CL44" s="6" t="str">
        <f>IFERROR(__xludf.DUMMYFUNCTION("REGEXREPLACE( $BG44, CONCATENATE(""["",CI44,""]""), """")"),"")</f>
        <v/>
      </c>
      <c r="CM44" s="6" t="str">
        <f>IFERROR(__xludf.DUMMYFUNCTION("REGEXREPLACE( $BG44, CONCATENATE(""["",CJ44,""]""), """")"),"b")</f>
        <v>b</v>
      </c>
      <c r="CN44" s="12" t="str">
        <f t="shared" si="12"/>
        <v>cgefbd</v>
      </c>
      <c r="CO44" s="12" t="str">
        <f>IFERROR(__xludf.DUMMYFUNCTION("CONCATENATE(SORT(TRANSPOSE(SPLIT(REGEXREPLACE(REGEXREPLACE(CN44&amp;"""",""(?s)(.{1})"",""$1""&amp;CHAR(127)),""'"",""''""),CHAR(127))),1,true),""1"")"),"bcdefg1")</f>
        <v>bcdefg1</v>
      </c>
      <c r="CP44" s="15"/>
    </row>
    <row r="45">
      <c r="A45" s="1" t="s">
        <v>65</v>
      </c>
      <c r="H45" s="6" t="str">
        <f>IFERROR(__xludf.DUMMYFUNCTION("SPLIT(A45,""|"")"),"cdegba bdcg fecad bdaeg dbagfe bce gcebaf cdbae baedfgc bc ")</f>
        <v>cdegba bdcg fecad bdaeg dbagfe bce gcebaf cdbae baedfgc bc </v>
      </c>
      <c r="I45" s="6" t="str">
        <f>IFERROR(__xludf.DUMMYFUNCTION("""COMPUTED_VALUE""")," ebc cb edfac bfgacde")</f>
        <v> ebc cb edfac bfgacde</v>
      </c>
      <c r="J45" s="15"/>
      <c r="K45" s="6" t="str">
        <f>IFERROR(__xludf.DUMMYFUNCTION("split(H45,"" "")"),"cdegba")</f>
        <v>cdegba</v>
      </c>
      <c r="L45" s="6" t="str">
        <f>IFERROR(__xludf.DUMMYFUNCTION("""COMPUTED_VALUE"""),"bdcg")</f>
        <v>bdcg</v>
      </c>
      <c r="M45" s="6" t="str">
        <f>IFERROR(__xludf.DUMMYFUNCTION("""COMPUTED_VALUE"""),"fecad")</f>
        <v>fecad</v>
      </c>
      <c r="N45" s="6" t="str">
        <f>IFERROR(__xludf.DUMMYFUNCTION("""COMPUTED_VALUE"""),"bdaeg")</f>
        <v>bdaeg</v>
      </c>
      <c r="O45" s="6" t="str">
        <f>IFERROR(__xludf.DUMMYFUNCTION("""COMPUTED_VALUE"""),"dbagfe")</f>
        <v>dbagfe</v>
      </c>
      <c r="P45" s="6" t="str">
        <f>IFERROR(__xludf.DUMMYFUNCTION("""COMPUTED_VALUE"""),"bce")</f>
        <v>bce</v>
      </c>
      <c r="Q45" s="6" t="str">
        <f>IFERROR(__xludf.DUMMYFUNCTION("""COMPUTED_VALUE"""),"gcebaf")</f>
        <v>gcebaf</v>
      </c>
      <c r="R45" s="6" t="str">
        <f>IFERROR(__xludf.DUMMYFUNCTION("""COMPUTED_VALUE"""),"cdbae")</f>
        <v>cdbae</v>
      </c>
      <c r="S45" s="6" t="str">
        <f>IFERROR(__xludf.DUMMYFUNCTION("""COMPUTED_VALUE"""),"baedfgc")</f>
        <v>baedfgc</v>
      </c>
      <c r="T45" s="6" t="str">
        <f>IFERROR(__xludf.DUMMYFUNCTION("""COMPUTED_VALUE"""),"bc")</f>
        <v>bc</v>
      </c>
      <c r="U45" s="15"/>
      <c r="V45" s="6" t="str">
        <f>IFERROR(__xludf.DUMMYFUNCTION("split(I45,"" "")"),"ebc")</f>
        <v>ebc</v>
      </c>
      <c r="W45" s="6" t="str">
        <f>IFERROR(__xludf.DUMMYFUNCTION("""COMPUTED_VALUE"""),"cb")</f>
        <v>cb</v>
      </c>
      <c r="X45" s="6" t="str">
        <f>IFERROR(__xludf.DUMMYFUNCTION("""COMPUTED_VALUE"""),"edfac")</f>
        <v>edfac</v>
      </c>
      <c r="Y45" s="6" t="str">
        <f>IFERROR(__xludf.DUMMYFUNCTION("""COMPUTED_VALUE"""),"bfgacde")</f>
        <v>bfgacde</v>
      </c>
      <c r="Z45" s="6" t="str">
        <f>IFERROR(__xludf.DUMMYFUNCTION("CONCATENATE(SORT(TRANSPOSE(SPLIT(REGEXREPLACE(REGEXREPLACE(V45&amp;"""",""(?s)(.{1})"",""$1""&amp;CHAR(127)),""'"",""''""),CHAR(127))),1,true))"),"bce")</f>
        <v>bce</v>
      </c>
      <c r="AA45" s="6" t="str">
        <f>IFERROR(__xludf.DUMMYFUNCTION("CONCATENATE(SORT(TRANSPOSE(SPLIT(REGEXREPLACE(REGEXREPLACE(W45&amp;"""",""(?s)(.{1})"",""$1""&amp;CHAR(127)),""'"",""''""),CHAR(127))),1,true))"),"bc")</f>
        <v>bc</v>
      </c>
      <c r="AB45" s="6" t="str">
        <f>IFERROR(__xludf.DUMMYFUNCTION("CONCATENATE(SORT(TRANSPOSE(SPLIT(REGEXREPLACE(REGEXREPLACE(X45&amp;"""",""(?s)(.{1})"",""$1""&amp;CHAR(127)),""'"",""''""),CHAR(127))),1,true))"),"acdef")</f>
        <v>acdef</v>
      </c>
      <c r="AC45" s="6" t="str">
        <f>IFERROR(__xludf.DUMMYFUNCTION("CONCATENATE(SORT(TRANSPOSE(SPLIT(REGEXREPLACE(REGEXREPLACE(Y45&amp;"""",""(?s)(.{1})"",""$1""&amp;CHAR(127)),""'"",""''""),CHAR(127))),1,true))"),"abcdefg")</f>
        <v>abcdefg</v>
      </c>
      <c r="AD45" s="6">
        <f t="shared" ref="AD45:AG45" si="55">INDEX($AO$1:$CP$1,1,MATCH(CONCATENATE(Z45,"1"),$AO45:$CP45,0)+1)</f>
        <v>7</v>
      </c>
      <c r="AE45" s="6">
        <f t="shared" si="55"/>
        <v>1</v>
      </c>
      <c r="AF45" s="6">
        <f t="shared" si="55"/>
        <v>2</v>
      </c>
      <c r="AG45" s="6">
        <f t="shared" si="55"/>
        <v>8</v>
      </c>
      <c r="AH45" s="6">
        <f t="shared" si="3"/>
        <v>7128</v>
      </c>
      <c r="AI45" s="16"/>
      <c r="AJ45" s="9" t="str">
        <f>IFERROR(__xludf.DUMMYFUNCTION("REGEXREPLACE(AR45,CONCATENATE(""["",BY45,""]""),"""")"),"c")</f>
        <v>c</v>
      </c>
      <c r="AK45" s="10" t="str">
        <f>IFERROR(__xludf.DUMMYFUNCTION("FILTER($K45:$T45,len($K45:$T45)=6,NOT($K45:$T45=BY45))"),"cdegba")</f>
        <v>cdegba</v>
      </c>
      <c r="AL45" s="6" t="str">
        <f>IFERROR(__xludf.DUMMYFUNCTION("""COMPUTED_VALUE"""),"gcebaf")</f>
        <v>gcebaf</v>
      </c>
      <c r="AM45" s="6" t="str">
        <f>IFERROR(__xludf.DUMMYFUNCTION("REGEXREPLACE( $BG45, CONCATENATE(""["",AK45,""]""), """")"),"")</f>
        <v/>
      </c>
      <c r="AN45" s="6" t="str">
        <f>IFERROR(__xludf.DUMMYFUNCTION("REGEXREPLACE( $BG45, CONCATENATE(""["",AL45,""]""), """")"),"d")</f>
        <v>d</v>
      </c>
      <c r="AO45" s="11" t="str">
        <f t="shared" si="4"/>
        <v>gcebaf</v>
      </c>
      <c r="AP45" s="12" t="str">
        <f>IFERROR(__xludf.DUMMYFUNCTION("CONCATENATE(SORT(TRANSPOSE(SPLIT(REGEXREPLACE(REGEXREPLACE(AO45&amp;"""",""(?s)(.{1})"",""$1""&amp;CHAR(127)),""'"",""''""),CHAR(127))),1,true),""1"")"),"abcefg1")</f>
        <v>abcefg1</v>
      </c>
      <c r="AQ45" s="16"/>
      <c r="AR45" s="12" t="str">
        <f t="shared" si="5"/>
        <v>bc</v>
      </c>
      <c r="AS45" s="12" t="str">
        <f>IFERROR(__xludf.DUMMYFUNCTION("CONCATENATE(SORT(TRANSPOSE(SPLIT(REGEXREPLACE(REGEXREPLACE(AR45&amp;"""",""(?s)(.{1})"",""$1""&amp;CHAR(127)),""'"",""''""),CHAR(127))),1,true),""1"")"),"bc1")</f>
        <v>bc1</v>
      </c>
      <c r="AT45" s="16"/>
      <c r="AU45" s="13" t="str">
        <f>IFERROR(__xludf.DUMMYFUNCTION("FILTER($K45:$T45,len($K45:$T45)=5,NOT($K45:$T45=BD45),NOT($K45:$T45=BP45))"),"fecad")</f>
        <v>fecad</v>
      </c>
      <c r="AV45" s="12" t="str">
        <f>IFERROR(__xludf.DUMMYFUNCTION("CONCATENATE(SORT(TRANSPOSE(SPLIT(REGEXREPLACE(REGEXREPLACE(AU45&amp;"""",""(?s)(.{1})"",""$1""&amp;CHAR(127)),""'"",""''""),CHAR(127))),1,true),""1"")"),"acdef1")</f>
        <v>acdef1</v>
      </c>
      <c r="AW45" s="16"/>
      <c r="AX45" s="10" t="str">
        <f>IFERROR(__xludf.DUMMYFUNCTION("FILTER($K45:$T45,len($K45:$T45)=5)"),"fecad")</f>
        <v>fecad</v>
      </c>
      <c r="AY45" s="6" t="str">
        <f>IFERROR(__xludf.DUMMYFUNCTION("""COMPUTED_VALUE"""),"bdaeg")</f>
        <v>bdaeg</v>
      </c>
      <c r="AZ45" s="6" t="str">
        <f>IFERROR(__xludf.DUMMYFUNCTION("""COMPUTED_VALUE"""),"cdbae")</f>
        <v>cdbae</v>
      </c>
      <c r="BA45" s="6" t="str">
        <f>IFERROR(__xludf.DUMMYFUNCTION("REGEXREPLACE( $AR45, CONCATENATE(""["",AX45,""]""), """")"),"b")</f>
        <v>b</v>
      </c>
      <c r="BB45" s="6" t="str">
        <f>IFERROR(__xludf.DUMMYFUNCTION("REGEXREPLACE( $AR45, CONCATENATE(""["",AY45,""]""), """")"),"c")</f>
        <v>c</v>
      </c>
      <c r="BC45" s="6" t="str">
        <f>IFERROR(__xludf.DUMMYFUNCTION("REGEXREPLACE( $AR45, CONCATENATE(""["",AZ45,""]""), """")"),"")</f>
        <v/>
      </c>
      <c r="BD45" s="11" t="str">
        <f t="shared" si="6"/>
        <v>cdbae</v>
      </c>
      <c r="BE45" s="12" t="str">
        <f>IFERROR(__xludf.DUMMYFUNCTION("CONCATENATE(SORT(TRANSPOSE(SPLIT(REGEXREPLACE(REGEXREPLACE(BD45&amp;"""",""(?s)(.{1})"",""$1""&amp;CHAR(127)),""'"",""''""),CHAR(127))),1,true),""1"")"),"abcde1")</f>
        <v>abcde1</v>
      </c>
      <c r="BF45" s="16"/>
      <c r="BG45" s="12" t="str">
        <f t="shared" si="7"/>
        <v>bdcg</v>
      </c>
      <c r="BH45" s="12" t="str">
        <f>IFERROR(__xludf.DUMMYFUNCTION("CONCATENATE(SORT(TRANSPOSE(SPLIT(REGEXREPLACE(REGEXREPLACE(BG45&amp;"""",""(?s)(.{1})"",""$1""&amp;CHAR(127)),""'"",""''""),CHAR(127))),1,true),""1"")"),"bcdg1")</f>
        <v>bcdg1</v>
      </c>
      <c r="BI45" s="16"/>
      <c r="BJ45" s="10" t="str">
        <f>IFERROR(__xludf.DUMMYFUNCTION("FILTER($K45:$T45,len($K45:$T45)=5)"),"fecad")</f>
        <v>fecad</v>
      </c>
      <c r="BK45" s="6" t="str">
        <f>IFERROR(__xludf.DUMMYFUNCTION("""COMPUTED_VALUE"""),"bdaeg")</f>
        <v>bdaeg</v>
      </c>
      <c r="BL45" s="6" t="str">
        <f>IFERROR(__xludf.DUMMYFUNCTION("""COMPUTED_VALUE"""),"cdbae")</f>
        <v>cdbae</v>
      </c>
      <c r="BM45" s="14" t="str">
        <f>IFERROR(__xludf.DUMMYFUNCTION("REGEXREPLACE( $BY45, CONCATENATE(""["",BJ45,""]""), """")"),"bg")</f>
        <v>bg</v>
      </c>
      <c r="BN45" s="14" t="str">
        <f>IFERROR(__xludf.DUMMYFUNCTION("REGEXREPLACE( $BY45, CONCATENATE(""["",BK45,""]""), """")"),"f")</f>
        <v>f</v>
      </c>
      <c r="BO45" s="14" t="str">
        <f>IFERROR(__xludf.DUMMYFUNCTION("REGEXREPLACE( $BY45, CONCATENATE(""["",BL45,""]""), """")"),"gf")</f>
        <v>gf</v>
      </c>
      <c r="BP45" s="11" t="str">
        <f t="shared" si="8"/>
        <v>bdaeg</v>
      </c>
      <c r="BQ45" s="12" t="str">
        <f>IFERROR(__xludf.DUMMYFUNCTION("CONCATENATE(SORT(TRANSPOSE(SPLIT(REGEXREPLACE(REGEXREPLACE(BP45&amp;"""",""(?s)(.{1})"",""$1""&amp;CHAR(127)),""'"",""''""),CHAR(127))),1,true),""1"")"),"abdeg1")</f>
        <v>abdeg1</v>
      </c>
      <c r="BR45" s="16"/>
      <c r="BS45" s="10" t="str">
        <f>IFERROR(__xludf.DUMMYFUNCTION("FILTER(K45:T45,len(K45:T45)=6)"),"cdegba")</f>
        <v>cdegba</v>
      </c>
      <c r="BT45" s="6" t="str">
        <f>IFERROR(__xludf.DUMMYFUNCTION("""COMPUTED_VALUE"""),"dbagfe")</f>
        <v>dbagfe</v>
      </c>
      <c r="BU45" s="6" t="str">
        <f>IFERROR(__xludf.DUMMYFUNCTION("""COMPUTED_VALUE"""),"gcebaf")</f>
        <v>gcebaf</v>
      </c>
      <c r="BV45" s="6" t="str">
        <f>IFERROR(__xludf.DUMMYFUNCTION("REGEXREPLACE( $AR45, CONCATENATE(""["",BS45,""]""), """")"),"")</f>
        <v/>
      </c>
      <c r="BW45" s="6" t="str">
        <f>IFERROR(__xludf.DUMMYFUNCTION("REGEXREPLACE( $AR45, CONCATENATE(""["",BT45,""]""), """")"),"c")</f>
        <v>c</v>
      </c>
      <c r="BX45" s="6" t="str">
        <f>IFERROR(__xludf.DUMMYFUNCTION("REGEXREPLACE( $AR45, CONCATENATE(""["",BU45,""]""), """")"),"")</f>
        <v/>
      </c>
      <c r="BY45" s="12" t="str">
        <f t="shared" si="9"/>
        <v>dbagfe</v>
      </c>
      <c r="BZ45" s="12" t="str">
        <f>IFERROR(__xludf.DUMMYFUNCTION("CONCATENATE(SORT(TRANSPOSE(SPLIT(REGEXREPLACE(REGEXREPLACE(BY45&amp;"""",""(?s)(.{1})"",""$1""&amp;CHAR(127)),""'"",""''""),CHAR(127))),1,true),""1"")"),"abdefg1")</f>
        <v>abdefg1</v>
      </c>
      <c r="CA45" s="16"/>
      <c r="CB45" s="12" t="str">
        <f t="shared" si="10"/>
        <v>bce</v>
      </c>
      <c r="CC45" s="12" t="str">
        <f>IFERROR(__xludf.DUMMYFUNCTION("CONCATENATE(SORT(TRANSPOSE(SPLIT(REGEXREPLACE(REGEXREPLACE(CB45&amp;"""",""(?s)(.{1})"",""$1""&amp;CHAR(127)),""'"",""''""),CHAR(127))),1,true),""1"")"),"bce1")</f>
        <v>bce1</v>
      </c>
      <c r="CD45" s="16"/>
      <c r="CE45" s="12" t="str">
        <f t="shared" si="11"/>
        <v>baedfgc</v>
      </c>
      <c r="CF45" s="12" t="str">
        <f>IFERROR(__xludf.DUMMYFUNCTION("CONCATENATE(SORT(TRANSPOSE(SPLIT(REGEXREPLACE(REGEXREPLACE(CE45&amp;"""",""(?s)(.{1})"",""$1""&amp;CHAR(127)),""'"",""''""),CHAR(127))),1,true),""1"")"),"abcdefg1")</f>
        <v>abcdefg1</v>
      </c>
      <c r="CG45" s="16"/>
      <c r="CH45" s="10" t="str">
        <f>IFERROR(__xludf.DUMMYFUNCTION("FILTER(K45:T45,len(K45:T45)=6)"),"cdegba")</f>
        <v>cdegba</v>
      </c>
      <c r="CI45" s="6" t="str">
        <f>IFERROR(__xludf.DUMMYFUNCTION("""COMPUTED_VALUE"""),"dbagfe")</f>
        <v>dbagfe</v>
      </c>
      <c r="CJ45" s="6" t="str">
        <f>IFERROR(__xludf.DUMMYFUNCTION("""COMPUTED_VALUE"""),"gcebaf")</f>
        <v>gcebaf</v>
      </c>
      <c r="CK45" s="6" t="str">
        <f>IFERROR(__xludf.DUMMYFUNCTION("REGEXREPLACE( $BG45, CONCATENATE(""["",CH45,""]""), """")"),"")</f>
        <v/>
      </c>
      <c r="CL45" s="6" t="str">
        <f>IFERROR(__xludf.DUMMYFUNCTION("REGEXREPLACE( $BG45, CONCATENATE(""["",CI45,""]""), """")"),"c")</f>
        <v>c</v>
      </c>
      <c r="CM45" s="6" t="str">
        <f>IFERROR(__xludf.DUMMYFUNCTION("REGEXREPLACE( $BG45, CONCATENATE(""["",CJ45,""]""), """")"),"d")</f>
        <v>d</v>
      </c>
      <c r="CN45" s="12" t="str">
        <f t="shared" si="12"/>
        <v>cdegba</v>
      </c>
      <c r="CO45" s="12" t="str">
        <f>IFERROR(__xludf.DUMMYFUNCTION("CONCATENATE(SORT(TRANSPOSE(SPLIT(REGEXREPLACE(REGEXREPLACE(CN45&amp;"""",""(?s)(.{1})"",""$1""&amp;CHAR(127)),""'"",""''""),CHAR(127))),1,true),""1"")"),"abcdeg1")</f>
        <v>abcdeg1</v>
      </c>
      <c r="CP45" s="15"/>
    </row>
    <row r="46">
      <c r="A46" s="1" t="s">
        <v>66</v>
      </c>
      <c r="H46" s="6" t="str">
        <f>IFERROR(__xludf.DUMMYFUNCTION("SPLIT(A46,""|"")"),"gfc ebdgaf cbfdge gcdaef gc fcdegba degfa eagc cfdba gfacd ")</f>
        <v>gfc ebdgaf cbfdge gcdaef gc fcdegba degfa eagc cfdba gfacd </v>
      </c>
      <c r="I46" s="6" t="str">
        <f>IFERROR(__xludf.DUMMYFUNCTION("""COMPUTED_VALUE""")," gdfae agedcf fdageb fcg")</f>
        <v> gdfae agedcf fdageb fcg</v>
      </c>
      <c r="J46" s="15"/>
      <c r="K46" s="6" t="str">
        <f>IFERROR(__xludf.DUMMYFUNCTION("split(H46,"" "")"),"gfc")</f>
        <v>gfc</v>
      </c>
      <c r="L46" s="6" t="str">
        <f>IFERROR(__xludf.DUMMYFUNCTION("""COMPUTED_VALUE"""),"ebdgaf")</f>
        <v>ebdgaf</v>
      </c>
      <c r="M46" s="6" t="str">
        <f>IFERROR(__xludf.DUMMYFUNCTION("""COMPUTED_VALUE"""),"cbfdge")</f>
        <v>cbfdge</v>
      </c>
      <c r="N46" s="6" t="str">
        <f>IFERROR(__xludf.DUMMYFUNCTION("""COMPUTED_VALUE"""),"gcdaef")</f>
        <v>gcdaef</v>
      </c>
      <c r="O46" s="6" t="str">
        <f>IFERROR(__xludf.DUMMYFUNCTION("""COMPUTED_VALUE"""),"gc")</f>
        <v>gc</v>
      </c>
      <c r="P46" s="6" t="str">
        <f>IFERROR(__xludf.DUMMYFUNCTION("""COMPUTED_VALUE"""),"fcdegba")</f>
        <v>fcdegba</v>
      </c>
      <c r="Q46" s="6" t="str">
        <f>IFERROR(__xludf.DUMMYFUNCTION("""COMPUTED_VALUE"""),"degfa")</f>
        <v>degfa</v>
      </c>
      <c r="R46" s="6" t="str">
        <f>IFERROR(__xludf.DUMMYFUNCTION("""COMPUTED_VALUE"""),"eagc")</f>
        <v>eagc</v>
      </c>
      <c r="S46" s="6" t="str">
        <f>IFERROR(__xludf.DUMMYFUNCTION("""COMPUTED_VALUE"""),"cfdba")</f>
        <v>cfdba</v>
      </c>
      <c r="T46" s="6" t="str">
        <f>IFERROR(__xludf.DUMMYFUNCTION("""COMPUTED_VALUE"""),"gfacd")</f>
        <v>gfacd</v>
      </c>
      <c r="U46" s="15"/>
      <c r="V46" s="6" t="str">
        <f>IFERROR(__xludf.DUMMYFUNCTION("split(I46,"" "")"),"gdfae")</f>
        <v>gdfae</v>
      </c>
      <c r="W46" s="6" t="str">
        <f>IFERROR(__xludf.DUMMYFUNCTION("""COMPUTED_VALUE"""),"agedcf")</f>
        <v>agedcf</v>
      </c>
      <c r="X46" s="6" t="str">
        <f>IFERROR(__xludf.DUMMYFUNCTION("""COMPUTED_VALUE"""),"fdageb")</f>
        <v>fdageb</v>
      </c>
      <c r="Y46" s="6" t="str">
        <f>IFERROR(__xludf.DUMMYFUNCTION("""COMPUTED_VALUE"""),"fcg")</f>
        <v>fcg</v>
      </c>
      <c r="Z46" s="6" t="str">
        <f>IFERROR(__xludf.DUMMYFUNCTION("CONCATENATE(SORT(TRANSPOSE(SPLIT(REGEXREPLACE(REGEXREPLACE(V46&amp;"""",""(?s)(.{1})"",""$1""&amp;CHAR(127)),""'"",""''""),CHAR(127))),1,true))"),"adefg")</f>
        <v>adefg</v>
      </c>
      <c r="AA46" s="6" t="str">
        <f>IFERROR(__xludf.DUMMYFUNCTION("CONCATENATE(SORT(TRANSPOSE(SPLIT(REGEXREPLACE(REGEXREPLACE(W46&amp;"""",""(?s)(.{1})"",""$1""&amp;CHAR(127)),""'"",""''""),CHAR(127))),1,true))"),"acdefg")</f>
        <v>acdefg</v>
      </c>
      <c r="AB46" s="6" t="str">
        <f>IFERROR(__xludf.DUMMYFUNCTION("CONCATENATE(SORT(TRANSPOSE(SPLIT(REGEXREPLACE(REGEXREPLACE(X46&amp;"""",""(?s)(.{1})"",""$1""&amp;CHAR(127)),""'"",""''""),CHAR(127))),1,true))"),"abdefg")</f>
        <v>abdefg</v>
      </c>
      <c r="AC46" s="6" t="str">
        <f>IFERROR(__xludf.DUMMYFUNCTION("CONCATENATE(SORT(TRANSPOSE(SPLIT(REGEXREPLACE(REGEXREPLACE(Y46&amp;"""",""(?s)(.{1})"",""$1""&amp;CHAR(127)),""'"",""''""),CHAR(127))),1,true))"),"cfg")</f>
        <v>cfg</v>
      </c>
      <c r="AD46" s="6">
        <f t="shared" ref="AD46:AG46" si="56">INDEX($AO$1:$CP$1,1,MATCH(CONCATENATE(Z46,"1"),$AO46:$CP46,0)+1)</f>
        <v>5</v>
      </c>
      <c r="AE46" s="6">
        <f t="shared" si="56"/>
        <v>9</v>
      </c>
      <c r="AF46" s="6">
        <f t="shared" si="56"/>
        <v>6</v>
      </c>
      <c r="AG46" s="6">
        <f t="shared" si="56"/>
        <v>7</v>
      </c>
      <c r="AH46" s="6">
        <f t="shared" si="3"/>
        <v>5967</v>
      </c>
      <c r="AI46" s="16"/>
      <c r="AJ46" s="9" t="str">
        <f>IFERROR(__xludf.DUMMYFUNCTION("REGEXREPLACE(AR46,CONCATENATE(""["",BY46,""]""),"""")"),"c")</f>
        <v>c</v>
      </c>
      <c r="AK46" s="10" t="str">
        <f>IFERROR(__xludf.DUMMYFUNCTION("FILTER($K46:$T46,len($K46:$T46)=6,NOT($K46:$T46=BY46))"),"cbfdge")</f>
        <v>cbfdge</v>
      </c>
      <c r="AL46" s="6" t="str">
        <f>IFERROR(__xludf.DUMMYFUNCTION("""COMPUTED_VALUE"""),"gcdaef")</f>
        <v>gcdaef</v>
      </c>
      <c r="AM46" s="6" t="str">
        <f>IFERROR(__xludf.DUMMYFUNCTION("REGEXREPLACE( $BG46, CONCATENATE(""["",AK46,""]""), """")"),"a")</f>
        <v>a</v>
      </c>
      <c r="AN46" s="6" t="str">
        <f>IFERROR(__xludf.DUMMYFUNCTION("REGEXREPLACE( $BG46, CONCATENATE(""["",AL46,""]""), """")"),"")</f>
        <v/>
      </c>
      <c r="AO46" s="11" t="str">
        <f t="shared" si="4"/>
        <v>cbfdge</v>
      </c>
      <c r="AP46" s="12" t="str">
        <f>IFERROR(__xludf.DUMMYFUNCTION("CONCATENATE(SORT(TRANSPOSE(SPLIT(REGEXREPLACE(REGEXREPLACE(AO46&amp;"""",""(?s)(.{1})"",""$1""&amp;CHAR(127)),""'"",""''""),CHAR(127))),1,true),""1"")"),"bcdefg1")</f>
        <v>bcdefg1</v>
      </c>
      <c r="AQ46" s="16"/>
      <c r="AR46" s="12" t="str">
        <f t="shared" si="5"/>
        <v>gc</v>
      </c>
      <c r="AS46" s="12" t="str">
        <f>IFERROR(__xludf.DUMMYFUNCTION("CONCATENATE(SORT(TRANSPOSE(SPLIT(REGEXREPLACE(REGEXREPLACE(AR46&amp;"""",""(?s)(.{1})"",""$1""&amp;CHAR(127)),""'"",""''""),CHAR(127))),1,true),""1"")"),"cg1")</f>
        <v>cg1</v>
      </c>
      <c r="AT46" s="16"/>
      <c r="AU46" s="13" t="str">
        <f>IFERROR(__xludf.DUMMYFUNCTION("FILTER($K46:$T46,len($K46:$T46)=5,NOT($K46:$T46=BD46),NOT($K46:$T46=BP46))"),"cfdba")</f>
        <v>cfdba</v>
      </c>
      <c r="AV46" s="12" t="str">
        <f>IFERROR(__xludf.DUMMYFUNCTION("CONCATENATE(SORT(TRANSPOSE(SPLIT(REGEXREPLACE(REGEXREPLACE(AU46&amp;"""",""(?s)(.{1})"",""$1""&amp;CHAR(127)),""'"",""''""),CHAR(127))),1,true),""1"")"),"abcdf1")</f>
        <v>abcdf1</v>
      </c>
      <c r="AW46" s="16"/>
      <c r="AX46" s="10" t="str">
        <f>IFERROR(__xludf.DUMMYFUNCTION("FILTER($K46:$T46,len($K46:$T46)=5)"),"degfa")</f>
        <v>degfa</v>
      </c>
      <c r="AY46" s="6" t="str">
        <f>IFERROR(__xludf.DUMMYFUNCTION("""COMPUTED_VALUE"""),"cfdba")</f>
        <v>cfdba</v>
      </c>
      <c r="AZ46" s="6" t="str">
        <f>IFERROR(__xludf.DUMMYFUNCTION("""COMPUTED_VALUE"""),"gfacd")</f>
        <v>gfacd</v>
      </c>
      <c r="BA46" s="6" t="str">
        <f>IFERROR(__xludf.DUMMYFUNCTION("REGEXREPLACE( $AR46, CONCATENATE(""["",AX46,""]""), """")"),"c")</f>
        <v>c</v>
      </c>
      <c r="BB46" s="6" t="str">
        <f>IFERROR(__xludf.DUMMYFUNCTION("REGEXREPLACE( $AR46, CONCATENATE(""["",AY46,""]""), """")"),"g")</f>
        <v>g</v>
      </c>
      <c r="BC46" s="6" t="str">
        <f>IFERROR(__xludf.DUMMYFUNCTION("REGEXREPLACE( $AR46, CONCATENATE(""["",AZ46,""]""), """")"),"")</f>
        <v/>
      </c>
      <c r="BD46" s="11" t="str">
        <f t="shared" si="6"/>
        <v>gfacd</v>
      </c>
      <c r="BE46" s="12" t="str">
        <f>IFERROR(__xludf.DUMMYFUNCTION("CONCATENATE(SORT(TRANSPOSE(SPLIT(REGEXREPLACE(REGEXREPLACE(BD46&amp;"""",""(?s)(.{1})"",""$1""&amp;CHAR(127)),""'"",""''""),CHAR(127))),1,true),""1"")"),"acdfg1")</f>
        <v>acdfg1</v>
      </c>
      <c r="BF46" s="16"/>
      <c r="BG46" s="12" t="str">
        <f t="shared" si="7"/>
        <v>eagc</v>
      </c>
      <c r="BH46" s="12" t="str">
        <f>IFERROR(__xludf.DUMMYFUNCTION("CONCATENATE(SORT(TRANSPOSE(SPLIT(REGEXREPLACE(REGEXREPLACE(BG46&amp;"""",""(?s)(.{1})"",""$1""&amp;CHAR(127)),""'"",""''""),CHAR(127))),1,true),""1"")"),"aceg1")</f>
        <v>aceg1</v>
      </c>
      <c r="BI46" s="16"/>
      <c r="BJ46" s="10" t="str">
        <f>IFERROR(__xludf.DUMMYFUNCTION("FILTER($K46:$T46,len($K46:$T46)=5)"),"degfa")</f>
        <v>degfa</v>
      </c>
      <c r="BK46" s="6" t="str">
        <f>IFERROR(__xludf.DUMMYFUNCTION("""COMPUTED_VALUE"""),"cfdba")</f>
        <v>cfdba</v>
      </c>
      <c r="BL46" s="6" t="str">
        <f>IFERROR(__xludf.DUMMYFUNCTION("""COMPUTED_VALUE"""),"gfacd")</f>
        <v>gfacd</v>
      </c>
      <c r="BM46" s="14" t="str">
        <f>IFERROR(__xludf.DUMMYFUNCTION("REGEXREPLACE( $BY46, CONCATENATE(""["",BJ46,""]""), """")"),"b")</f>
        <v>b</v>
      </c>
      <c r="BN46" s="14" t="str">
        <f>IFERROR(__xludf.DUMMYFUNCTION("REGEXREPLACE( $BY46, CONCATENATE(""["",BK46,""]""), """")"),"eg")</f>
        <v>eg</v>
      </c>
      <c r="BO46" s="14" t="str">
        <f>IFERROR(__xludf.DUMMYFUNCTION("REGEXREPLACE( $BY46, CONCATENATE(""["",BL46,""]""), """")"),"eb")</f>
        <v>eb</v>
      </c>
      <c r="BP46" s="11" t="str">
        <f t="shared" si="8"/>
        <v>degfa</v>
      </c>
      <c r="BQ46" s="12" t="str">
        <f>IFERROR(__xludf.DUMMYFUNCTION("CONCATENATE(SORT(TRANSPOSE(SPLIT(REGEXREPLACE(REGEXREPLACE(BP46&amp;"""",""(?s)(.{1})"",""$1""&amp;CHAR(127)),""'"",""''""),CHAR(127))),1,true),""1"")"),"adefg1")</f>
        <v>adefg1</v>
      </c>
      <c r="BR46" s="16"/>
      <c r="BS46" s="10" t="str">
        <f>IFERROR(__xludf.DUMMYFUNCTION("FILTER(K46:T46,len(K46:T46)=6)"),"ebdgaf")</f>
        <v>ebdgaf</v>
      </c>
      <c r="BT46" s="6" t="str">
        <f>IFERROR(__xludf.DUMMYFUNCTION("""COMPUTED_VALUE"""),"cbfdge")</f>
        <v>cbfdge</v>
      </c>
      <c r="BU46" s="6" t="str">
        <f>IFERROR(__xludf.DUMMYFUNCTION("""COMPUTED_VALUE"""),"gcdaef")</f>
        <v>gcdaef</v>
      </c>
      <c r="BV46" s="6" t="str">
        <f>IFERROR(__xludf.DUMMYFUNCTION("REGEXREPLACE( $AR46, CONCATENATE(""["",BS46,""]""), """")"),"c")</f>
        <v>c</v>
      </c>
      <c r="BW46" s="6" t="str">
        <f>IFERROR(__xludf.DUMMYFUNCTION("REGEXREPLACE( $AR46, CONCATENATE(""["",BT46,""]""), """")"),"")</f>
        <v/>
      </c>
      <c r="BX46" s="6" t="str">
        <f>IFERROR(__xludf.DUMMYFUNCTION("REGEXREPLACE( $AR46, CONCATENATE(""["",BU46,""]""), """")"),"")</f>
        <v/>
      </c>
      <c r="BY46" s="12" t="str">
        <f t="shared" si="9"/>
        <v>ebdgaf</v>
      </c>
      <c r="BZ46" s="12" t="str">
        <f>IFERROR(__xludf.DUMMYFUNCTION("CONCATENATE(SORT(TRANSPOSE(SPLIT(REGEXREPLACE(REGEXREPLACE(BY46&amp;"""",""(?s)(.{1})"",""$1""&amp;CHAR(127)),""'"",""''""),CHAR(127))),1,true),""1"")"),"abdefg1")</f>
        <v>abdefg1</v>
      </c>
      <c r="CA46" s="16"/>
      <c r="CB46" s="12" t="str">
        <f t="shared" si="10"/>
        <v>gfc</v>
      </c>
      <c r="CC46" s="12" t="str">
        <f>IFERROR(__xludf.DUMMYFUNCTION("CONCATENATE(SORT(TRANSPOSE(SPLIT(REGEXREPLACE(REGEXREPLACE(CB46&amp;"""",""(?s)(.{1})"",""$1""&amp;CHAR(127)),""'"",""''""),CHAR(127))),1,true),""1"")"),"cfg1")</f>
        <v>cfg1</v>
      </c>
      <c r="CD46" s="16"/>
      <c r="CE46" s="12" t="str">
        <f t="shared" si="11"/>
        <v>fcdegba</v>
      </c>
      <c r="CF46" s="12" t="str">
        <f>IFERROR(__xludf.DUMMYFUNCTION("CONCATENATE(SORT(TRANSPOSE(SPLIT(REGEXREPLACE(REGEXREPLACE(CE46&amp;"""",""(?s)(.{1})"",""$1""&amp;CHAR(127)),""'"",""''""),CHAR(127))),1,true),""1"")"),"abcdefg1")</f>
        <v>abcdefg1</v>
      </c>
      <c r="CG46" s="16"/>
      <c r="CH46" s="10" t="str">
        <f>IFERROR(__xludf.DUMMYFUNCTION("FILTER(K46:T46,len(K46:T46)=6)"),"ebdgaf")</f>
        <v>ebdgaf</v>
      </c>
      <c r="CI46" s="6" t="str">
        <f>IFERROR(__xludf.DUMMYFUNCTION("""COMPUTED_VALUE"""),"cbfdge")</f>
        <v>cbfdge</v>
      </c>
      <c r="CJ46" s="6" t="str">
        <f>IFERROR(__xludf.DUMMYFUNCTION("""COMPUTED_VALUE"""),"gcdaef")</f>
        <v>gcdaef</v>
      </c>
      <c r="CK46" s="6" t="str">
        <f>IFERROR(__xludf.DUMMYFUNCTION("REGEXREPLACE( $BG46, CONCATENATE(""["",CH46,""]""), """")"),"c")</f>
        <v>c</v>
      </c>
      <c r="CL46" s="6" t="str">
        <f>IFERROR(__xludf.DUMMYFUNCTION("REGEXREPLACE( $BG46, CONCATENATE(""["",CI46,""]""), """")"),"a")</f>
        <v>a</v>
      </c>
      <c r="CM46" s="6" t="str">
        <f>IFERROR(__xludf.DUMMYFUNCTION("REGEXREPLACE( $BG46, CONCATENATE(""["",CJ46,""]""), """")"),"")</f>
        <v/>
      </c>
      <c r="CN46" s="12" t="str">
        <f t="shared" si="12"/>
        <v>gcdaef</v>
      </c>
      <c r="CO46" s="12" t="str">
        <f>IFERROR(__xludf.DUMMYFUNCTION("CONCATENATE(SORT(TRANSPOSE(SPLIT(REGEXREPLACE(REGEXREPLACE(CN46&amp;"""",""(?s)(.{1})"",""$1""&amp;CHAR(127)),""'"",""''""),CHAR(127))),1,true),""1"")"),"acdefg1")</f>
        <v>acdefg1</v>
      </c>
      <c r="CP46" s="15"/>
    </row>
    <row r="47">
      <c r="A47" s="1" t="s">
        <v>67</v>
      </c>
      <c r="H47" s="6" t="str">
        <f>IFERROR(__xludf.DUMMYFUNCTION("SPLIT(A47,""|"")"),"bfgdc cafedbg eadfcb fgdace cbfda acebfg ebad ad acfbe dca ")</f>
        <v>bfgdc cafedbg eadfcb fgdace cbfda acebfg ebad ad acfbe dca </v>
      </c>
      <c r="I47" s="6" t="str">
        <f>IFERROR(__xludf.DUMMYFUNCTION("""COMPUTED_VALUE""")," da ad fcedba acd")</f>
        <v> da ad fcedba acd</v>
      </c>
      <c r="J47" s="15"/>
      <c r="K47" s="6" t="str">
        <f>IFERROR(__xludf.DUMMYFUNCTION("split(H47,"" "")"),"bfgdc")</f>
        <v>bfgdc</v>
      </c>
      <c r="L47" s="6" t="str">
        <f>IFERROR(__xludf.DUMMYFUNCTION("""COMPUTED_VALUE"""),"cafedbg")</f>
        <v>cafedbg</v>
      </c>
      <c r="M47" s="6" t="str">
        <f>IFERROR(__xludf.DUMMYFUNCTION("""COMPUTED_VALUE"""),"eadfcb")</f>
        <v>eadfcb</v>
      </c>
      <c r="N47" s="6" t="str">
        <f>IFERROR(__xludf.DUMMYFUNCTION("""COMPUTED_VALUE"""),"fgdace")</f>
        <v>fgdace</v>
      </c>
      <c r="O47" s="6" t="str">
        <f>IFERROR(__xludf.DUMMYFUNCTION("""COMPUTED_VALUE"""),"cbfda")</f>
        <v>cbfda</v>
      </c>
      <c r="P47" s="6" t="str">
        <f>IFERROR(__xludf.DUMMYFUNCTION("""COMPUTED_VALUE"""),"acebfg")</f>
        <v>acebfg</v>
      </c>
      <c r="Q47" s="6" t="str">
        <f>IFERROR(__xludf.DUMMYFUNCTION("""COMPUTED_VALUE"""),"ebad")</f>
        <v>ebad</v>
      </c>
      <c r="R47" s="6" t="str">
        <f>IFERROR(__xludf.DUMMYFUNCTION("""COMPUTED_VALUE"""),"ad")</f>
        <v>ad</v>
      </c>
      <c r="S47" s="6" t="str">
        <f>IFERROR(__xludf.DUMMYFUNCTION("""COMPUTED_VALUE"""),"acfbe")</f>
        <v>acfbe</v>
      </c>
      <c r="T47" s="6" t="str">
        <f>IFERROR(__xludf.DUMMYFUNCTION("""COMPUTED_VALUE"""),"dca")</f>
        <v>dca</v>
      </c>
      <c r="U47" s="15"/>
      <c r="V47" s="6" t="str">
        <f>IFERROR(__xludf.DUMMYFUNCTION("split(I47,"" "")"),"da")</f>
        <v>da</v>
      </c>
      <c r="W47" s="6" t="str">
        <f>IFERROR(__xludf.DUMMYFUNCTION("""COMPUTED_VALUE"""),"ad")</f>
        <v>ad</v>
      </c>
      <c r="X47" s="6" t="str">
        <f>IFERROR(__xludf.DUMMYFUNCTION("""COMPUTED_VALUE"""),"fcedba")</f>
        <v>fcedba</v>
      </c>
      <c r="Y47" s="6" t="str">
        <f>IFERROR(__xludf.DUMMYFUNCTION("""COMPUTED_VALUE"""),"acd")</f>
        <v>acd</v>
      </c>
      <c r="Z47" s="6" t="str">
        <f>IFERROR(__xludf.DUMMYFUNCTION("CONCATENATE(SORT(TRANSPOSE(SPLIT(REGEXREPLACE(REGEXREPLACE(V47&amp;"""",""(?s)(.{1})"",""$1""&amp;CHAR(127)),""'"",""''""),CHAR(127))),1,true))"),"ad")</f>
        <v>ad</v>
      </c>
      <c r="AA47" s="6" t="str">
        <f>IFERROR(__xludf.DUMMYFUNCTION("CONCATENATE(SORT(TRANSPOSE(SPLIT(REGEXREPLACE(REGEXREPLACE(W47&amp;"""",""(?s)(.{1})"",""$1""&amp;CHAR(127)),""'"",""''""),CHAR(127))),1,true))"),"ad")</f>
        <v>ad</v>
      </c>
      <c r="AB47" s="6" t="str">
        <f>IFERROR(__xludf.DUMMYFUNCTION("CONCATENATE(SORT(TRANSPOSE(SPLIT(REGEXREPLACE(REGEXREPLACE(X47&amp;"""",""(?s)(.{1})"",""$1""&amp;CHAR(127)),""'"",""''""),CHAR(127))),1,true))"),"abcdef")</f>
        <v>abcdef</v>
      </c>
      <c r="AC47" s="6" t="str">
        <f>IFERROR(__xludf.DUMMYFUNCTION("CONCATENATE(SORT(TRANSPOSE(SPLIT(REGEXREPLACE(REGEXREPLACE(Y47&amp;"""",""(?s)(.{1})"",""$1""&amp;CHAR(127)),""'"",""''""),CHAR(127))),1,true))"),"acd")</f>
        <v>acd</v>
      </c>
      <c r="AD47" s="6">
        <f t="shared" ref="AD47:AG47" si="57">INDEX($AO$1:$CP$1,1,MATCH(CONCATENATE(Z47,"1"),$AO47:$CP47,0)+1)</f>
        <v>1</v>
      </c>
      <c r="AE47" s="6">
        <f t="shared" si="57"/>
        <v>1</v>
      </c>
      <c r="AF47" s="6">
        <f t="shared" si="57"/>
        <v>9</v>
      </c>
      <c r="AG47" s="6">
        <f t="shared" si="57"/>
        <v>7</v>
      </c>
      <c r="AH47" s="6">
        <f t="shared" si="3"/>
        <v>1197</v>
      </c>
      <c r="AI47" s="16"/>
      <c r="AJ47" s="9" t="str">
        <f>IFERROR(__xludf.DUMMYFUNCTION("REGEXREPLACE(AR47,CONCATENATE(""["",BY47,""]""),"""")"),"d")</f>
        <v>d</v>
      </c>
      <c r="AK47" s="10" t="str">
        <f>IFERROR(__xludf.DUMMYFUNCTION("FILTER($K47:$T47,len($K47:$T47)=6,NOT($K47:$T47=BY47))"),"eadfcb")</f>
        <v>eadfcb</v>
      </c>
      <c r="AL47" s="6" t="str">
        <f>IFERROR(__xludf.DUMMYFUNCTION("""COMPUTED_VALUE"""),"fgdace")</f>
        <v>fgdace</v>
      </c>
      <c r="AM47" s="6" t="str">
        <f>IFERROR(__xludf.DUMMYFUNCTION("REGEXREPLACE( $BG47, CONCATENATE(""["",AK47,""]""), """")"),"")</f>
        <v/>
      </c>
      <c r="AN47" s="6" t="str">
        <f>IFERROR(__xludf.DUMMYFUNCTION("REGEXREPLACE( $BG47, CONCATENATE(""["",AL47,""]""), """")"),"b")</f>
        <v>b</v>
      </c>
      <c r="AO47" s="11" t="str">
        <f t="shared" si="4"/>
        <v>fgdace</v>
      </c>
      <c r="AP47" s="12" t="str">
        <f>IFERROR(__xludf.DUMMYFUNCTION("CONCATENATE(SORT(TRANSPOSE(SPLIT(REGEXREPLACE(REGEXREPLACE(AO47&amp;"""",""(?s)(.{1})"",""$1""&amp;CHAR(127)),""'"",""''""),CHAR(127))),1,true),""1"")"),"acdefg1")</f>
        <v>acdefg1</v>
      </c>
      <c r="AQ47" s="16"/>
      <c r="AR47" s="12" t="str">
        <f t="shared" si="5"/>
        <v>ad</v>
      </c>
      <c r="AS47" s="12" t="str">
        <f>IFERROR(__xludf.DUMMYFUNCTION("CONCATENATE(SORT(TRANSPOSE(SPLIT(REGEXREPLACE(REGEXREPLACE(AR47&amp;"""",""(?s)(.{1})"",""$1""&amp;CHAR(127)),""'"",""''""),CHAR(127))),1,true),""1"")"),"ad1")</f>
        <v>ad1</v>
      </c>
      <c r="AT47" s="16"/>
      <c r="AU47" s="13" t="str">
        <f>IFERROR(__xludf.DUMMYFUNCTION("FILTER($K47:$T47,len($K47:$T47)=5,NOT($K47:$T47=BD47),NOT($K47:$T47=BP47))"),"bfgdc")</f>
        <v>bfgdc</v>
      </c>
      <c r="AV47" s="12" t="str">
        <f>IFERROR(__xludf.DUMMYFUNCTION("CONCATENATE(SORT(TRANSPOSE(SPLIT(REGEXREPLACE(REGEXREPLACE(AU47&amp;"""",""(?s)(.{1})"",""$1""&amp;CHAR(127)),""'"",""''""),CHAR(127))),1,true),""1"")"),"bcdfg1")</f>
        <v>bcdfg1</v>
      </c>
      <c r="AW47" s="16"/>
      <c r="AX47" s="10" t="str">
        <f>IFERROR(__xludf.DUMMYFUNCTION("FILTER($K47:$T47,len($K47:$T47)=5)"),"bfgdc")</f>
        <v>bfgdc</v>
      </c>
      <c r="AY47" s="6" t="str">
        <f>IFERROR(__xludf.DUMMYFUNCTION("""COMPUTED_VALUE"""),"cbfda")</f>
        <v>cbfda</v>
      </c>
      <c r="AZ47" s="6" t="str">
        <f>IFERROR(__xludf.DUMMYFUNCTION("""COMPUTED_VALUE"""),"acfbe")</f>
        <v>acfbe</v>
      </c>
      <c r="BA47" s="6" t="str">
        <f>IFERROR(__xludf.DUMMYFUNCTION("REGEXREPLACE( $AR47, CONCATENATE(""["",AX47,""]""), """")"),"a")</f>
        <v>a</v>
      </c>
      <c r="BB47" s="6" t="str">
        <f>IFERROR(__xludf.DUMMYFUNCTION("REGEXREPLACE( $AR47, CONCATENATE(""["",AY47,""]""), """")"),"")</f>
        <v/>
      </c>
      <c r="BC47" s="6" t="str">
        <f>IFERROR(__xludf.DUMMYFUNCTION("REGEXREPLACE( $AR47, CONCATENATE(""["",AZ47,""]""), """")"),"d")</f>
        <v>d</v>
      </c>
      <c r="BD47" s="11" t="str">
        <f t="shared" si="6"/>
        <v>cbfda</v>
      </c>
      <c r="BE47" s="12" t="str">
        <f>IFERROR(__xludf.DUMMYFUNCTION("CONCATENATE(SORT(TRANSPOSE(SPLIT(REGEXREPLACE(REGEXREPLACE(BD47&amp;"""",""(?s)(.{1})"",""$1""&amp;CHAR(127)),""'"",""''""),CHAR(127))),1,true),""1"")"),"abcdf1")</f>
        <v>abcdf1</v>
      </c>
      <c r="BF47" s="16"/>
      <c r="BG47" s="12" t="str">
        <f t="shared" si="7"/>
        <v>ebad</v>
      </c>
      <c r="BH47" s="12" t="str">
        <f>IFERROR(__xludf.DUMMYFUNCTION("CONCATENATE(SORT(TRANSPOSE(SPLIT(REGEXREPLACE(REGEXREPLACE(BG47&amp;"""",""(?s)(.{1})"",""$1""&amp;CHAR(127)),""'"",""''""),CHAR(127))),1,true),""1"")"),"abde1")</f>
        <v>abde1</v>
      </c>
      <c r="BI47" s="16"/>
      <c r="BJ47" s="10" t="str">
        <f>IFERROR(__xludf.DUMMYFUNCTION("FILTER($K47:$T47,len($K47:$T47)=5)"),"bfgdc")</f>
        <v>bfgdc</v>
      </c>
      <c r="BK47" s="6" t="str">
        <f>IFERROR(__xludf.DUMMYFUNCTION("""COMPUTED_VALUE"""),"cbfda")</f>
        <v>cbfda</v>
      </c>
      <c r="BL47" s="6" t="str">
        <f>IFERROR(__xludf.DUMMYFUNCTION("""COMPUTED_VALUE"""),"acfbe")</f>
        <v>acfbe</v>
      </c>
      <c r="BM47" s="14" t="str">
        <f>IFERROR(__xludf.DUMMYFUNCTION("REGEXREPLACE( $BY47, CONCATENATE(""["",BJ47,""]""), """")"),"ae")</f>
        <v>ae</v>
      </c>
      <c r="BN47" s="14" t="str">
        <f>IFERROR(__xludf.DUMMYFUNCTION("REGEXREPLACE( $BY47, CONCATENATE(""["",BK47,""]""), """")"),"eg")</f>
        <v>eg</v>
      </c>
      <c r="BO47" s="14" t="str">
        <f>IFERROR(__xludf.DUMMYFUNCTION("REGEXREPLACE( $BY47, CONCATENATE(""["",BL47,""]""), """")"),"g")</f>
        <v>g</v>
      </c>
      <c r="BP47" s="11" t="str">
        <f t="shared" si="8"/>
        <v>acfbe</v>
      </c>
      <c r="BQ47" s="12" t="str">
        <f>IFERROR(__xludf.DUMMYFUNCTION("CONCATENATE(SORT(TRANSPOSE(SPLIT(REGEXREPLACE(REGEXREPLACE(BP47&amp;"""",""(?s)(.{1})"",""$1""&amp;CHAR(127)),""'"",""''""),CHAR(127))),1,true),""1"")"),"abcef1")</f>
        <v>abcef1</v>
      </c>
      <c r="BR47" s="16"/>
      <c r="BS47" s="10" t="str">
        <f>IFERROR(__xludf.DUMMYFUNCTION("FILTER(K47:T47,len(K47:T47)=6)"),"eadfcb")</f>
        <v>eadfcb</v>
      </c>
      <c r="BT47" s="6" t="str">
        <f>IFERROR(__xludf.DUMMYFUNCTION("""COMPUTED_VALUE"""),"fgdace")</f>
        <v>fgdace</v>
      </c>
      <c r="BU47" s="6" t="str">
        <f>IFERROR(__xludf.DUMMYFUNCTION("""COMPUTED_VALUE"""),"acebfg")</f>
        <v>acebfg</v>
      </c>
      <c r="BV47" s="6" t="str">
        <f>IFERROR(__xludf.DUMMYFUNCTION("REGEXREPLACE( $AR47, CONCATENATE(""["",BS47,""]""), """")"),"")</f>
        <v/>
      </c>
      <c r="BW47" s="6" t="str">
        <f>IFERROR(__xludf.DUMMYFUNCTION("REGEXREPLACE( $AR47, CONCATENATE(""["",BT47,""]""), """")"),"")</f>
        <v/>
      </c>
      <c r="BX47" s="6" t="str">
        <f>IFERROR(__xludf.DUMMYFUNCTION("REGEXREPLACE( $AR47, CONCATENATE(""["",BU47,""]""), """")"),"d")</f>
        <v>d</v>
      </c>
      <c r="BY47" s="12" t="str">
        <f t="shared" si="9"/>
        <v>acebfg</v>
      </c>
      <c r="BZ47" s="12" t="str">
        <f>IFERROR(__xludf.DUMMYFUNCTION("CONCATENATE(SORT(TRANSPOSE(SPLIT(REGEXREPLACE(REGEXREPLACE(BY47&amp;"""",""(?s)(.{1})"",""$1""&amp;CHAR(127)),""'"",""''""),CHAR(127))),1,true),""1"")"),"abcefg1")</f>
        <v>abcefg1</v>
      </c>
      <c r="CA47" s="16"/>
      <c r="CB47" s="12" t="str">
        <f t="shared" si="10"/>
        <v>dca</v>
      </c>
      <c r="CC47" s="12" t="str">
        <f>IFERROR(__xludf.DUMMYFUNCTION("CONCATENATE(SORT(TRANSPOSE(SPLIT(REGEXREPLACE(REGEXREPLACE(CB47&amp;"""",""(?s)(.{1})"",""$1""&amp;CHAR(127)),""'"",""''""),CHAR(127))),1,true),""1"")"),"acd1")</f>
        <v>acd1</v>
      </c>
      <c r="CD47" s="16"/>
      <c r="CE47" s="12" t="str">
        <f t="shared" si="11"/>
        <v>cafedbg</v>
      </c>
      <c r="CF47" s="12" t="str">
        <f>IFERROR(__xludf.DUMMYFUNCTION("CONCATENATE(SORT(TRANSPOSE(SPLIT(REGEXREPLACE(REGEXREPLACE(CE47&amp;"""",""(?s)(.{1})"",""$1""&amp;CHAR(127)),""'"",""''""),CHAR(127))),1,true),""1"")"),"abcdefg1")</f>
        <v>abcdefg1</v>
      </c>
      <c r="CG47" s="16"/>
      <c r="CH47" s="10" t="str">
        <f>IFERROR(__xludf.DUMMYFUNCTION("FILTER(K47:T47,len(K47:T47)=6)"),"eadfcb")</f>
        <v>eadfcb</v>
      </c>
      <c r="CI47" s="6" t="str">
        <f>IFERROR(__xludf.DUMMYFUNCTION("""COMPUTED_VALUE"""),"fgdace")</f>
        <v>fgdace</v>
      </c>
      <c r="CJ47" s="6" t="str">
        <f>IFERROR(__xludf.DUMMYFUNCTION("""COMPUTED_VALUE"""),"acebfg")</f>
        <v>acebfg</v>
      </c>
      <c r="CK47" s="6" t="str">
        <f>IFERROR(__xludf.DUMMYFUNCTION("REGEXREPLACE( $BG47, CONCATENATE(""["",CH47,""]""), """")"),"")</f>
        <v/>
      </c>
      <c r="CL47" s="6" t="str">
        <f>IFERROR(__xludf.DUMMYFUNCTION("REGEXREPLACE( $BG47, CONCATENATE(""["",CI47,""]""), """")"),"b")</f>
        <v>b</v>
      </c>
      <c r="CM47" s="6" t="str">
        <f>IFERROR(__xludf.DUMMYFUNCTION("REGEXREPLACE( $BG47, CONCATENATE(""["",CJ47,""]""), """")"),"d")</f>
        <v>d</v>
      </c>
      <c r="CN47" s="12" t="str">
        <f t="shared" si="12"/>
        <v>eadfcb</v>
      </c>
      <c r="CO47" s="12" t="str">
        <f>IFERROR(__xludf.DUMMYFUNCTION("CONCATENATE(SORT(TRANSPOSE(SPLIT(REGEXREPLACE(REGEXREPLACE(CN47&amp;"""",""(?s)(.{1})"",""$1""&amp;CHAR(127)),""'"",""''""),CHAR(127))),1,true),""1"")"),"abcdef1")</f>
        <v>abcdef1</v>
      </c>
      <c r="CP47" s="15"/>
    </row>
    <row r="48">
      <c r="A48" s="1" t="s">
        <v>68</v>
      </c>
      <c r="H48" s="6" t="str">
        <f>IFERROR(__xludf.DUMMYFUNCTION("SPLIT(A48,""|"")"),"agfeb gced cdgebaf bcadfg gedacf dag gd agedf edcbfa eafcd ")</f>
        <v>agfeb gced cdgebaf bcadfg gedacf dag gd agedf edcbfa eafcd </v>
      </c>
      <c r="I48" s="6" t="str">
        <f>IFERROR(__xludf.DUMMYFUNCTION("""COMPUTED_VALUE""")," dg eacdgf dg gecd")</f>
        <v> dg eacdgf dg gecd</v>
      </c>
      <c r="J48" s="15"/>
      <c r="K48" s="6" t="str">
        <f>IFERROR(__xludf.DUMMYFUNCTION("split(H48,"" "")"),"agfeb")</f>
        <v>agfeb</v>
      </c>
      <c r="L48" s="6" t="str">
        <f>IFERROR(__xludf.DUMMYFUNCTION("""COMPUTED_VALUE"""),"gced")</f>
        <v>gced</v>
      </c>
      <c r="M48" s="6" t="str">
        <f>IFERROR(__xludf.DUMMYFUNCTION("""COMPUTED_VALUE"""),"cdgebaf")</f>
        <v>cdgebaf</v>
      </c>
      <c r="N48" s="6" t="str">
        <f>IFERROR(__xludf.DUMMYFUNCTION("""COMPUTED_VALUE"""),"bcadfg")</f>
        <v>bcadfg</v>
      </c>
      <c r="O48" s="6" t="str">
        <f>IFERROR(__xludf.DUMMYFUNCTION("""COMPUTED_VALUE"""),"gedacf")</f>
        <v>gedacf</v>
      </c>
      <c r="P48" s="6" t="str">
        <f>IFERROR(__xludf.DUMMYFUNCTION("""COMPUTED_VALUE"""),"dag")</f>
        <v>dag</v>
      </c>
      <c r="Q48" s="6" t="str">
        <f>IFERROR(__xludf.DUMMYFUNCTION("""COMPUTED_VALUE"""),"gd")</f>
        <v>gd</v>
      </c>
      <c r="R48" s="6" t="str">
        <f>IFERROR(__xludf.DUMMYFUNCTION("""COMPUTED_VALUE"""),"agedf")</f>
        <v>agedf</v>
      </c>
      <c r="S48" s="6" t="str">
        <f>IFERROR(__xludf.DUMMYFUNCTION("""COMPUTED_VALUE"""),"edcbfa")</f>
        <v>edcbfa</v>
      </c>
      <c r="T48" s="6" t="str">
        <f>IFERROR(__xludf.DUMMYFUNCTION("""COMPUTED_VALUE"""),"eafcd")</f>
        <v>eafcd</v>
      </c>
      <c r="U48" s="15"/>
      <c r="V48" s="6" t="str">
        <f>IFERROR(__xludf.DUMMYFUNCTION("split(I48,"" "")"),"dg")</f>
        <v>dg</v>
      </c>
      <c r="W48" s="6" t="str">
        <f>IFERROR(__xludf.DUMMYFUNCTION("""COMPUTED_VALUE"""),"eacdgf")</f>
        <v>eacdgf</v>
      </c>
      <c r="X48" s="6" t="str">
        <f>IFERROR(__xludf.DUMMYFUNCTION("""COMPUTED_VALUE"""),"dg")</f>
        <v>dg</v>
      </c>
      <c r="Y48" s="6" t="str">
        <f>IFERROR(__xludf.DUMMYFUNCTION("""COMPUTED_VALUE"""),"gecd")</f>
        <v>gecd</v>
      </c>
      <c r="Z48" s="6" t="str">
        <f>IFERROR(__xludf.DUMMYFUNCTION("CONCATENATE(SORT(TRANSPOSE(SPLIT(REGEXREPLACE(REGEXREPLACE(V48&amp;"""",""(?s)(.{1})"",""$1""&amp;CHAR(127)),""'"",""''""),CHAR(127))),1,true))"),"dg")</f>
        <v>dg</v>
      </c>
      <c r="AA48" s="6" t="str">
        <f>IFERROR(__xludf.DUMMYFUNCTION("CONCATENATE(SORT(TRANSPOSE(SPLIT(REGEXREPLACE(REGEXREPLACE(W48&amp;"""",""(?s)(.{1})"",""$1""&amp;CHAR(127)),""'"",""''""),CHAR(127))),1,true))"),"acdefg")</f>
        <v>acdefg</v>
      </c>
      <c r="AB48" s="6" t="str">
        <f>IFERROR(__xludf.DUMMYFUNCTION("CONCATENATE(SORT(TRANSPOSE(SPLIT(REGEXREPLACE(REGEXREPLACE(X48&amp;"""",""(?s)(.{1})"",""$1""&amp;CHAR(127)),""'"",""''""),CHAR(127))),1,true))"),"dg")</f>
        <v>dg</v>
      </c>
      <c r="AC48" s="6" t="str">
        <f>IFERROR(__xludf.DUMMYFUNCTION("CONCATENATE(SORT(TRANSPOSE(SPLIT(REGEXREPLACE(REGEXREPLACE(Y48&amp;"""",""(?s)(.{1})"",""$1""&amp;CHAR(127)),""'"",""''""),CHAR(127))),1,true))"),"cdeg")</f>
        <v>cdeg</v>
      </c>
      <c r="AD48" s="6">
        <f t="shared" ref="AD48:AG48" si="58">INDEX($AO$1:$CP$1,1,MATCH(CONCATENATE(Z48,"1"),$AO48:$CP48,0)+1)</f>
        <v>1</v>
      </c>
      <c r="AE48" s="6">
        <f t="shared" si="58"/>
        <v>9</v>
      </c>
      <c r="AF48" s="6">
        <f t="shared" si="58"/>
        <v>1</v>
      </c>
      <c r="AG48" s="6">
        <f t="shared" si="58"/>
        <v>4</v>
      </c>
      <c r="AH48" s="6">
        <f t="shared" si="3"/>
        <v>1914</v>
      </c>
      <c r="AI48" s="16"/>
      <c r="AJ48" s="9" t="str">
        <f>IFERROR(__xludf.DUMMYFUNCTION("REGEXREPLACE(AR48,CONCATENATE(""["",BY48,""]""),"""")"),"g")</f>
        <v>g</v>
      </c>
      <c r="AK48" s="10" t="str">
        <f>IFERROR(__xludf.DUMMYFUNCTION("FILTER($K48:$T48,len($K48:$T48)=6,NOT($K48:$T48=BY48))"),"bcadfg")</f>
        <v>bcadfg</v>
      </c>
      <c r="AL48" s="6" t="str">
        <f>IFERROR(__xludf.DUMMYFUNCTION("""COMPUTED_VALUE"""),"gedacf")</f>
        <v>gedacf</v>
      </c>
      <c r="AM48" s="6" t="str">
        <f>IFERROR(__xludf.DUMMYFUNCTION("REGEXREPLACE( $BG48, CONCATENATE(""["",AK48,""]""), """")"),"e")</f>
        <v>e</v>
      </c>
      <c r="AN48" s="6" t="str">
        <f>IFERROR(__xludf.DUMMYFUNCTION("REGEXREPLACE( $BG48, CONCATENATE(""["",AL48,""]""), """")"),"")</f>
        <v/>
      </c>
      <c r="AO48" s="11" t="str">
        <f t="shared" si="4"/>
        <v>bcadfg</v>
      </c>
      <c r="AP48" s="12" t="str">
        <f>IFERROR(__xludf.DUMMYFUNCTION("CONCATENATE(SORT(TRANSPOSE(SPLIT(REGEXREPLACE(REGEXREPLACE(AO48&amp;"""",""(?s)(.{1})"",""$1""&amp;CHAR(127)),""'"",""''""),CHAR(127))),1,true),""1"")"),"abcdfg1")</f>
        <v>abcdfg1</v>
      </c>
      <c r="AQ48" s="16"/>
      <c r="AR48" s="12" t="str">
        <f t="shared" si="5"/>
        <v>gd</v>
      </c>
      <c r="AS48" s="12" t="str">
        <f>IFERROR(__xludf.DUMMYFUNCTION("CONCATENATE(SORT(TRANSPOSE(SPLIT(REGEXREPLACE(REGEXREPLACE(AR48&amp;"""",""(?s)(.{1})"",""$1""&amp;CHAR(127)),""'"",""''""),CHAR(127))),1,true),""1"")"),"dg1")</f>
        <v>dg1</v>
      </c>
      <c r="AT48" s="16"/>
      <c r="AU48" s="13" t="str">
        <f>IFERROR(__xludf.DUMMYFUNCTION("FILTER($K48:$T48,len($K48:$T48)=5,NOT($K48:$T48=BD48),NOT($K48:$T48=BP48))"),"agfeb")</f>
        <v>agfeb</v>
      </c>
      <c r="AV48" s="12" t="str">
        <f>IFERROR(__xludf.DUMMYFUNCTION("CONCATENATE(SORT(TRANSPOSE(SPLIT(REGEXREPLACE(REGEXREPLACE(AU48&amp;"""",""(?s)(.{1})"",""$1""&amp;CHAR(127)),""'"",""''""),CHAR(127))),1,true),""1"")"),"abefg1")</f>
        <v>abefg1</v>
      </c>
      <c r="AW48" s="16"/>
      <c r="AX48" s="10" t="str">
        <f>IFERROR(__xludf.DUMMYFUNCTION("FILTER($K48:$T48,len($K48:$T48)=5)"),"agfeb")</f>
        <v>agfeb</v>
      </c>
      <c r="AY48" s="6" t="str">
        <f>IFERROR(__xludf.DUMMYFUNCTION("""COMPUTED_VALUE"""),"agedf")</f>
        <v>agedf</v>
      </c>
      <c r="AZ48" s="6" t="str">
        <f>IFERROR(__xludf.DUMMYFUNCTION("""COMPUTED_VALUE"""),"eafcd")</f>
        <v>eafcd</v>
      </c>
      <c r="BA48" s="6" t="str">
        <f>IFERROR(__xludf.DUMMYFUNCTION("REGEXREPLACE( $AR48, CONCATENATE(""["",AX48,""]""), """")"),"d")</f>
        <v>d</v>
      </c>
      <c r="BB48" s="6" t="str">
        <f>IFERROR(__xludf.DUMMYFUNCTION("REGEXREPLACE( $AR48, CONCATENATE(""["",AY48,""]""), """")"),"")</f>
        <v/>
      </c>
      <c r="BC48" s="6" t="str">
        <f>IFERROR(__xludf.DUMMYFUNCTION("REGEXREPLACE( $AR48, CONCATENATE(""["",AZ48,""]""), """")"),"g")</f>
        <v>g</v>
      </c>
      <c r="BD48" s="11" t="str">
        <f t="shared" si="6"/>
        <v>agedf</v>
      </c>
      <c r="BE48" s="12" t="str">
        <f>IFERROR(__xludf.DUMMYFUNCTION("CONCATENATE(SORT(TRANSPOSE(SPLIT(REGEXREPLACE(REGEXREPLACE(BD48&amp;"""",""(?s)(.{1})"",""$1""&amp;CHAR(127)),""'"",""''""),CHAR(127))),1,true),""1"")"),"adefg1")</f>
        <v>adefg1</v>
      </c>
      <c r="BF48" s="16"/>
      <c r="BG48" s="12" t="str">
        <f t="shared" si="7"/>
        <v>gced</v>
      </c>
      <c r="BH48" s="12" t="str">
        <f>IFERROR(__xludf.DUMMYFUNCTION("CONCATENATE(SORT(TRANSPOSE(SPLIT(REGEXREPLACE(REGEXREPLACE(BG48&amp;"""",""(?s)(.{1})"",""$1""&amp;CHAR(127)),""'"",""''""),CHAR(127))),1,true),""1"")"),"cdeg1")</f>
        <v>cdeg1</v>
      </c>
      <c r="BI48" s="16"/>
      <c r="BJ48" s="10" t="str">
        <f>IFERROR(__xludf.DUMMYFUNCTION("FILTER($K48:$T48,len($K48:$T48)=5)"),"agfeb")</f>
        <v>agfeb</v>
      </c>
      <c r="BK48" s="6" t="str">
        <f>IFERROR(__xludf.DUMMYFUNCTION("""COMPUTED_VALUE"""),"agedf")</f>
        <v>agedf</v>
      </c>
      <c r="BL48" s="6" t="str">
        <f>IFERROR(__xludf.DUMMYFUNCTION("""COMPUTED_VALUE"""),"eafcd")</f>
        <v>eafcd</v>
      </c>
      <c r="BM48" s="14" t="str">
        <f>IFERROR(__xludf.DUMMYFUNCTION("REGEXREPLACE( $BY48, CONCATENATE(""["",BJ48,""]""), """")"),"dc")</f>
        <v>dc</v>
      </c>
      <c r="BN48" s="14" t="str">
        <f>IFERROR(__xludf.DUMMYFUNCTION("REGEXREPLACE( $BY48, CONCATENATE(""["",BK48,""]""), """")"),"cb")</f>
        <v>cb</v>
      </c>
      <c r="BO48" s="14" t="str">
        <f>IFERROR(__xludf.DUMMYFUNCTION("REGEXREPLACE( $BY48, CONCATENATE(""["",BL48,""]""), """")"),"b")</f>
        <v>b</v>
      </c>
      <c r="BP48" s="11" t="str">
        <f t="shared" si="8"/>
        <v>eafcd</v>
      </c>
      <c r="BQ48" s="12" t="str">
        <f>IFERROR(__xludf.DUMMYFUNCTION("CONCATENATE(SORT(TRANSPOSE(SPLIT(REGEXREPLACE(REGEXREPLACE(BP48&amp;"""",""(?s)(.{1})"",""$1""&amp;CHAR(127)),""'"",""''""),CHAR(127))),1,true),""1"")"),"acdef1")</f>
        <v>acdef1</v>
      </c>
      <c r="BR48" s="16"/>
      <c r="BS48" s="10" t="str">
        <f>IFERROR(__xludf.DUMMYFUNCTION("FILTER(K48:T48,len(K48:T48)=6)"),"bcadfg")</f>
        <v>bcadfg</v>
      </c>
      <c r="BT48" s="6" t="str">
        <f>IFERROR(__xludf.DUMMYFUNCTION("""COMPUTED_VALUE"""),"gedacf")</f>
        <v>gedacf</v>
      </c>
      <c r="BU48" s="6" t="str">
        <f>IFERROR(__xludf.DUMMYFUNCTION("""COMPUTED_VALUE"""),"edcbfa")</f>
        <v>edcbfa</v>
      </c>
      <c r="BV48" s="6" t="str">
        <f>IFERROR(__xludf.DUMMYFUNCTION("REGEXREPLACE( $AR48, CONCATENATE(""["",BS48,""]""), """")"),"")</f>
        <v/>
      </c>
      <c r="BW48" s="6" t="str">
        <f>IFERROR(__xludf.DUMMYFUNCTION("REGEXREPLACE( $AR48, CONCATENATE(""["",BT48,""]""), """")"),"")</f>
        <v/>
      </c>
      <c r="BX48" s="6" t="str">
        <f>IFERROR(__xludf.DUMMYFUNCTION("REGEXREPLACE( $AR48, CONCATENATE(""["",BU48,""]""), """")"),"g")</f>
        <v>g</v>
      </c>
      <c r="BY48" s="12" t="str">
        <f t="shared" si="9"/>
        <v>edcbfa</v>
      </c>
      <c r="BZ48" s="12" t="str">
        <f>IFERROR(__xludf.DUMMYFUNCTION("CONCATENATE(SORT(TRANSPOSE(SPLIT(REGEXREPLACE(REGEXREPLACE(BY48&amp;"""",""(?s)(.{1})"",""$1""&amp;CHAR(127)),""'"",""''""),CHAR(127))),1,true),""1"")"),"abcdef1")</f>
        <v>abcdef1</v>
      </c>
      <c r="CA48" s="16"/>
      <c r="CB48" s="12" t="str">
        <f t="shared" si="10"/>
        <v>dag</v>
      </c>
      <c r="CC48" s="12" t="str">
        <f>IFERROR(__xludf.DUMMYFUNCTION("CONCATENATE(SORT(TRANSPOSE(SPLIT(REGEXREPLACE(REGEXREPLACE(CB48&amp;"""",""(?s)(.{1})"",""$1""&amp;CHAR(127)),""'"",""''""),CHAR(127))),1,true),""1"")"),"adg1")</f>
        <v>adg1</v>
      </c>
      <c r="CD48" s="16"/>
      <c r="CE48" s="12" t="str">
        <f t="shared" si="11"/>
        <v>cdgebaf</v>
      </c>
      <c r="CF48" s="12" t="str">
        <f>IFERROR(__xludf.DUMMYFUNCTION("CONCATENATE(SORT(TRANSPOSE(SPLIT(REGEXREPLACE(REGEXREPLACE(CE48&amp;"""",""(?s)(.{1})"",""$1""&amp;CHAR(127)),""'"",""''""),CHAR(127))),1,true),""1"")"),"abcdefg1")</f>
        <v>abcdefg1</v>
      </c>
      <c r="CG48" s="16"/>
      <c r="CH48" s="10" t="str">
        <f>IFERROR(__xludf.DUMMYFUNCTION("FILTER(K48:T48,len(K48:T48)=6)"),"bcadfg")</f>
        <v>bcadfg</v>
      </c>
      <c r="CI48" s="6" t="str">
        <f>IFERROR(__xludf.DUMMYFUNCTION("""COMPUTED_VALUE"""),"gedacf")</f>
        <v>gedacf</v>
      </c>
      <c r="CJ48" s="6" t="str">
        <f>IFERROR(__xludf.DUMMYFUNCTION("""COMPUTED_VALUE"""),"edcbfa")</f>
        <v>edcbfa</v>
      </c>
      <c r="CK48" s="6" t="str">
        <f>IFERROR(__xludf.DUMMYFUNCTION("REGEXREPLACE( $BG48, CONCATENATE(""["",CH48,""]""), """")"),"e")</f>
        <v>e</v>
      </c>
      <c r="CL48" s="6" t="str">
        <f>IFERROR(__xludf.DUMMYFUNCTION("REGEXREPLACE( $BG48, CONCATENATE(""["",CI48,""]""), """")"),"")</f>
        <v/>
      </c>
      <c r="CM48" s="6" t="str">
        <f>IFERROR(__xludf.DUMMYFUNCTION("REGEXREPLACE( $BG48, CONCATENATE(""["",CJ48,""]""), """")"),"g")</f>
        <v>g</v>
      </c>
      <c r="CN48" s="12" t="str">
        <f t="shared" si="12"/>
        <v>gedacf</v>
      </c>
      <c r="CO48" s="12" t="str">
        <f>IFERROR(__xludf.DUMMYFUNCTION("CONCATENATE(SORT(TRANSPOSE(SPLIT(REGEXREPLACE(REGEXREPLACE(CN48&amp;"""",""(?s)(.{1})"",""$1""&amp;CHAR(127)),""'"",""''""),CHAR(127))),1,true),""1"")"),"acdefg1")</f>
        <v>acdefg1</v>
      </c>
      <c r="CP48" s="15"/>
    </row>
    <row r="49">
      <c r="A49" s="1" t="s">
        <v>69</v>
      </c>
      <c r="H49" s="6" t="str">
        <f>IFERROR(__xludf.DUMMYFUNCTION("SPLIT(A49,""|"")"),"edgafb bfa eabgc fa cbaedg agcbf gcfdb gaebfdc baecfg efac ")</f>
        <v>edgafb bfa eabgc fa cbaedg agcbf gcfdb gaebfdc baecfg efac </v>
      </c>
      <c r="I49" s="6" t="str">
        <f>IFERROR(__xludf.DUMMYFUNCTION("""COMPUTED_VALUE""")," abfegdc gbadecf cefa cagedb")</f>
        <v> abfegdc gbadecf cefa cagedb</v>
      </c>
      <c r="J49" s="15"/>
      <c r="K49" s="6" t="str">
        <f>IFERROR(__xludf.DUMMYFUNCTION("split(H49,"" "")"),"edgafb")</f>
        <v>edgafb</v>
      </c>
      <c r="L49" s="6" t="str">
        <f>IFERROR(__xludf.DUMMYFUNCTION("""COMPUTED_VALUE"""),"bfa")</f>
        <v>bfa</v>
      </c>
      <c r="M49" s="6" t="str">
        <f>IFERROR(__xludf.DUMMYFUNCTION("""COMPUTED_VALUE"""),"eabgc")</f>
        <v>eabgc</v>
      </c>
      <c r="N49" s="6" t="str">
        <f>IFERROR(__xludf.DUMMYFUNCTION("""COMPUTED_VALUE"""),"fa")</f>
        <v>fa</v>
      </c>
      <c r="O49" s="6" t="str">
        <f>IFERROR(__xludf.DUMMYFUNCTION("""COMPUTED_VALUE"""),"cbaedg")</f>
        <v>cbaedg</v>
      </c>
      <c r="P49" s="6" t="str">
        <f>IFERROR(__xludf.DUMMYFUNCTION("""COMPUTED_VALUE"""),"agcbf")</f>
        <v>agcbf</v>
      </c>
      <c r="Q49" s="6" t="str">
        <f>IFERROR(__xludf.DUMMYFUNCTION("""COMPUTED_VALUE"""),"gcfdb")</f>
        <v>gcfdb</v>
      </c>
      <c r="R49" s="6" t="str">
        <f>IFERROR(__xludf.DUMMYFUNCTION("""COMPUTED_VALUE"""),"gaebfdc")</f>
        <v>gaebfdc</v>
      </c>
      <c r="S49" s="6" t="str">
        <f>IFERROR(__xludf.DUMMYFUNCTION("""COMPUTED_VALUE"""),"baecfg")</f>
        <v>baecfg</v>
      </c>
      <c r="T49" s="6" t="str">
        <f>IFERROR(__xludf.DUMMYFUNCTION("""COMPUTED_VALUE"""),"efac")</f>
        <v>efac</v>
      </c>
      <c r="U49" s="15"/>
      <c r="V49" s="6" t="str">
        <f>IFERROR(__xludf.DUMMYFUNCTION("split(I49,"" "")"),"abfegdc")</f>
        <v>abfegdc</v>
      </c>
      <c r="W49" s="6" t="str">
        <f>IFERROR(__xludf.DUMMYFUNCTION("""COMPUTED_VALUE"""),"gbadecf")</f>
        <v>gbadecf</v>
      </c>
      <c r="X49" s="6" t="str">
        <f>IFERROR(__xludf.DUMMYFUNCTION("""COMPUTED_VALUE"""),"cefa")</f>
        <v>cefa</v>
      </c>
      <c r="Y49" s="6" t="str">
        <f>IFERROR(__xludf.DUMMYFUNCTION("""COMPUTED_VALUE"""),"cagedb")</f>
        <v>cagedb</v>
      </c>
      <c r="Z49" s="6" t="str">
        <f>IFERROR(__xludf.DUMMYFUNCTION("CONCATENATE(SORT(TRANSPOSE(SPLIT(REGEXREPLACE(REGEXREPLACE(V49&amp;"""",""(?s)(.{1})"",""$1""&amp;CHAR(127)),""'"",""''""),CHAR(127))),1,true))"),"abcdefg")</f>
        <v>abcdefg</v>
      </c>
      <c r="AA49" s="6" t="str">
        <f>IFERROR(__xludf.DUMMYFUNCTION("CONCATENATE(SORT(TRANSPOSE(SPLIT(REGEXREPLACE(REGEXREPLACE(W49&amp;"""",""(?s)(.{1})"",""$1""&amp;CHAR(127)),""'"",""''""),CHAR(127))),1,true))"),"abcdefg")</f>
        <v>abcdefg</v>
      </c>
      <c r="AB49" s="6" t="str">
        <f>IFERROR(__xludf.DUMMYFUNCTION("CONCATENATE(SORT(TRANSPOSE(SPLIT(REGEXREPLACE(REGEXREPLACE(X49&amp;"""",""(?s)(.{1})"",""$1""&amp;CHAR(127)),""'"",""''""),CHAR(127))),1,true))"),"acef")</f>
        <v>acef</v>
      </c>
      <c r="AC49" s="6" t="str">
        <f>IFERROR(__xludf.DUMMYFUNCTION("CONCATENATE(SORT(TRANSPOSE(SPLIT(REGEXREPLACE(REGEXREPLACE(Y49&amp;"""",""(?s)(.{1})"",""$1""&amp;CHAR(127)),""'"",""''""),CHAR(127))),1,true))"),"abcdeg")</f>
        <v>abcdeg</v>
      </c>
      <c r="AD49" s="6">
        <f t="shared" ref="AD49:AG49" si="59">INDEX($AO$1:$CP$1,1,MATCH(CONCATENATE(Z49,"1"),$AO49:$CP49,0)+1)</f>
        <v>8</v>
      </c>
      <c r="AE49" s="6">
        <f t="shared" si="59"/>
        <v>8</v>
      </c>
      <c r="AF49" s="6">
        <f t="shared" si="59"/>
        <v>4</v>
      </c>
      <c r="AG49" s="6">
        <f t="shared" si="59"/>
        <v>6</v>
      </c>
      <c r="AH49" s="6">
        <f t="shared" si="3"/>
        <v>8846</v>
      </c>
      <c r="AI49" s="16"/>
      <c r="AJ49" s="9" t="str">
        <f>IFERROR(__xludf.DUMMYFUNCTION("REGEXREPLACE(AR49,CONCATENATE(""["",BY49,""]""),"""")"),"f")</f>
        <v>f</v>
      </c>
      <c r="AK49" s="10" t="str">
        <f>IFERROR(__xludf.DUMMYFUNCTION("FILTER($K49:$T49,len($K49:$T49)=6,NOT($K49:$T49=BY49))"),"edgafb")</f>
        <v>edgafb</v>
      </c>
      <c r="AL49" s="6" t="str">
        <f>IFERROR(__xludf.DUMMYFUNCTION("""COMPUTED_VALUE"""),"baecfg")</f>
        <v>baecfg</v>
      </c>
      <c r="AM49" s="6" t="str">
        <f>IFERROR(__xludf.DUMMYFUNCTION("REGEXREPLACE( $BG49, CONCATENATE(""["",AK49,""]""), """")"),"c")</f>
        <v>c</v>
      </c>
      <c r="AN49" s="6" t="str">
        <f>IFERROR(__xludf.DUMMYFUNCTION("REGEXREPLACE( $BG49, CONCATENATE(""["",AL49,""]""), """")"),"")</f>
        <v/>
      </c>
      <c r="AO49" s="11" t="str">
        <f t="shared" si="4"/>
        <v>edgafb</v>
      </c>
      <c r="AP49" s="12" t="str">
        <f>IFERROR(__xludf.DUMMYFUNCTION("CONCATENATE(SORT(TRANSPOSE(SPLIT(REGEXREPLACE(REGEXREPLACE(AO49&amp;"""",""(?s)(.{1})"",""$1""&amp;CHAR(127)),""'"",""''""),CHAR(127))),1,true),""1"")"),"abdefg1")</f>
        <v>abdefg1</v>
      </c>
      <c r="AQ49" s="16"/>
      <c r="AR49" s="12" t="str">
        <f t="shared" si="5"/>
        <v>fa</v>
      </c>
      <c r="AS49" s="12" t="str">
        <f>IFERROR(__xludf.DUMMYFUNCTION("CONCATENATE(SORT(TRANSPOSE(SPLIT(REGEXREPLACE(REGEXREPLACE(AR49&amp;"""",""(?s)(.{1})"",""$1""&amp;CHAR(127)),""'"",""''""),CHAR(127))),1,true),""1"")"),"af1")</f>
        <v>af1</v>
      </c>
      <c r="AT49" s="16"/>
      <c r="AU49" s="13" t="str">
        <f>IFERROR(__xludf.DUMMYFUNCTION("FILTER($K49:$T49,len($K49:$T49)=5,NOT($K49:$T49=BD49),NOT($K49:$T49=BP49))"),"gcfdb")</f>
        <v>gcfdb</v>
      </c>
      <c r="AV49" s="12" t="str">
        <f>IFERROR(__xludf.DUMMYFUNCTION("CONCATENATE(SORT(TRANSPOSE(SPLIT(REGEXREPLACE(REGEXREPLACE(AU49&amp;"""",""(?s)(.{1})"",""$1""&amp;CHAR(127)),""'"",""''""),CHAR(127))),1,true),""1"")"),"bcdfg1")</f>
        <v>bcdfg1</v>
      </c>
      <c r="AW49" s="16"/>
      <c r="AX49" s="10" t="str">
        <f>IFERROR(__xludf.DUMMYFUNCTION("FILTER($K49:$T49,len($K49:$T49)=5)"),"eabgc")</f>
        <v>eabgc</v>
      </c>
      <c r="AY49" s="6" t="str">
        <f>IFERROR(__xludf.DUMMYFUNCTION("""COMPUTED_VALUE"""),"agcbf")</f>
        <v>agcbf</v>
      </c>
      <c r="AZ49" s="6" t="str">
        <f>IFERROR(__xludf.DUMMYFUNCTION("""COMPUTED_VALUE"""),"gcfdb")</f>
        <v>gcfdb</v>
      </c>
      <c r="BA49" s="6" t="str">
        <f>IFERROR(__xludf.DUMMYFUNCTION("REGEXREPLACE( $AR49, CONCATENATE(""["",AX49,""]""), """")"),"f")</f>
        <v>f</v>
      </c>
      <c r="BB49" s="6" t="str">
        <f>IFERROR(__xludf.DUMMYFUNCTION("REGEXREPLACE( $AR49, CONCATENATE(""["",AY49,""]""), """")"),"")</f>
        <v/>
      </c>
      <c r="BC49" s="6" t="str">
        <f>IFERROR(__xludf.DUMMYFUNCTION("REGEXREPLACE( $AR49, CONCATENATE(""["",AZ49,""]""), """")"),"a")</f>
        <v>a</v>
      </c>
      <c r="BD49" s="11" t="str">
        <f t="shared" si="6"/>
        <v>agcbf</v>
      </c>
      <c r="BE49" s="12" t="str">
        <f>IFERROR(__xludf.DUMMYFUNCTION("CONCATENATE(SORT(TRANSPOSE(SPLIT(REGEXREPLACE(REGEXREPLACE(BD49&amp;"""",""(?s)(.{1})"",""$1""&amp;CHAR(127)),""'"",""''""),CHAR(127))),1,true),""1"")"),"abcfg1")</f>
        <v>abcfg1</v>
      </c>
      <c r="BF49" s="16"/>
      <c r="BG49" s="12" t="str">
        <f t="shared" si="7"/>
        <v>efac</v>
      </c>
      <c r="BH49" s="12" t="str">
        <f>IFERROR(__xludf.DUMMYFUNCTION("CONCATENATE(SORT(TRANSPOSE(SPLIT(REGEXREPLACE(REGEXREPLACE(BG49&amp;"""",""(?s)(.{1})"",""$1""&amp;CHAR(127)),""'"",""''""),CHAR(127))),1,true),""1"")"),"acef1")</f>
        <v>acef1</v>
      </c>
      <c r="BI49" s="16"/>
      <c r="BJ49" s="10" t="str">
        <f>IFERROR(__xludf.DUMMYFUNCTION("FILTER($K49:$T49,len($K49:$T49)=5)"),"eabgc")</f>
        <v>eabgc</v>
      </c>
      <c r="BK49" s="6" t="str">
        <f>IFERROR(__xludf.DUMMYFUNCTION("""COMPUTED_VALUE"""),"agcbf")</f>
        <v>agcbf</v>
      </c>
      <c r="BL49" s="6" t="str">
        <f>IFERROR(__xludf.DUMMYFUNCTION("""COMPUTED_VALUE"""),"gcfdb")</f>
        <v>gcfdb</v>
      </c>
      <c r="BM49" s="14" t="str">
        <f>IFERROR(__xludf.DUMMYFUNCTION("REGEXREPLACE( $BY49, CONCATENATE(""["",BJ49,""]""), """")"),"d")</f>
        <v>d</v>
      </c>
      <c r="BN49" s="14" t="str">
        <f>IFERROR(__xludf.DUMMYFUNCTION("REGEXREPLACE( $BY49, CONCATENATE(""["",BK49,""]""), """")"),"ed")</f>
        <v>ed</v>
      </c>
      <c r="BO49" s="14" t="str">
        <f>IFERROR(__xludf.DUMMYFUNCTION("REGEXREPLACE( $BY49, CONCATENATE(""["",BL49,""]""), """")"),"ae")</f>
        <v>ae</v>
      </c>
      <c r="BP49" s="11" t="str">
        <f t="shared" si="8"/>
        <v>eabgc</v>
      </c>
      <c r="BQ49" s="12" t="str">
        <f>IFERROR(__xludf.DUMMYFUNCTION("CONCATENATE(SORT(TRANSPOSE(SPLIT(REGEXREPLACE(REGEXREPLACE(BP49&amp;"""",""(?s)(.{1})"",""$1""&amp;CHAR(127)),""'"",""''""),CHAR(127))),1,true),""1"")"),"abceg1")</f>
        <v>abceg1</v>
      </c>
      <c r="BR49" s="16"/>
      <c r="BS49" s="10" t="str">
        <f>IFERROR(__xludf.DUMMYFUNCTION("FILTER(K49:T49,len(K49:T49)=6)"),"edgafb")</f>
        <v>edgafb</v>
      </c>
      <c r="BT49" s="6" t="str">
        <f>IFERROR(__xludf.DUMMYFUNCTION("""COMPUTED_VALUE"""),"cbaedg")</f>
        <v>cbaedg</v>
      </c>
      <c r="BU49" s="6" t="str">
        <f>IFERROR(__xludf.DUMMYFUNCTION("""COMPUTED_VALUE"""),"baecfg")</f>
        <v>baecfg</v>
      </c>
      <c r="BV49" s="6" t="str">
        <f>IFERROR(__xludf.DUMMYFUNCTION("REGEXREPLACE( $AR49, CONCATENATE(""["",BS49,""]""), """")"),"")</f>
        <v/>
      </c>
      <c r="BW49" s="6" t="str">
        <f>IFERROR(__xludf.DUMMYFUNCTION("REGEXREPLACE( $AR49, CONCATENATE(""["",BT49,""]""), """")"),"f")</f>
        <v>f</v>
      </c>
      <c r="BX49" s="6" t="str">
        <f>IFERROR(__xludf.DUMMYFUNCTION("REGEXREPLACE( $AR49, CONCATENATE(""["",BU49,""]""), """")"),"")</f>
        <v/>
      </c>
      <c r="BY49" s="12" t="str">
        <f t="shared" si="9"/>
        <v>cbaedg</v>
      </c>
      <c r="BZ49" s="12" t="str">
        <f>IFERROR(__xludf.DUMMYFUNCTION("CONCATENATE(SORT(TRANSPOSE(SPLIT(REGEXREPLACE(REGEXREPLACE(BY49&amp;"""",""(?s)(.{1})"",""$1""&amp;CHAR(127)),""'"",""''""),CHAR(127))),1,true),""1"")"),"abcdeg1")</f>
        <v>abcdeg1</v>
      </c>
      <c r="CA49" s="16"/>
      <c r="CB49" s="12" t="str">
        <f t="shared" si="10"/>
        <v>bfa</v>
      </c>
      <c r="CC49" s="12" t="str">
        <f>IFERROR(__xludf.DUMMYFUNCTION("CONCATENATE(SORT(TRANSPOSE(SPLIT(REGEXREPLACE(REGEXREPLACE(CB49&amp;"""",""(?s)(.{1})"",""$1""&amp;CHAR(127)),""'"",""''""),CHAR(127))),1,true),""1"")"),"abf1")</f>
        <v>abf1</v>
      </c>
      <c r="CD49" s="16"/>
      <c r="CE49" s="12" t="str">
        <f t="shared" si="11"/>
        <v>gaebfdc</v>
      </c>
      <c r="CF49" s="12" t="str">
        <f>IFERROR(__xludf.DUMMYFUNCTION("CONCATENATE(SORT(TRANSPOSE(SPLIT(REGEXREPLACE(REGEXREPLACE(CE49&amp;"""",""(?s)(.{1})"",""$1""&amp;CHAR(127)),""'"",""''""),CHAR(127))),1,true),""1"")"),"abcdefg1")</f>
        <v>abcdefg1</v>
      </c>
      <c r="CG49" s="16"/>
      <c r="CH49" s="10" t="str">
        <f>IFERROR(__xludf.DUMMYFUNCTION("FILTER(K49:T49,len(K49:T49)=6)"),"edgafb")</f>
        <v>edgafb</v>
      </c>
      <c r="CI49" s="6" t="str">
        <f>IFERROR(__xludf.DUMMYFUNCTION("""COMPUTED_VALUE"""),"cbaedg")</f>
        <v>cbaedg</v>
      </c>
      <c r="CJ49" s="6" t="str">
        <f>IFERROR(__xludf.DUMMYFUNCTION("""COMPUTED_VALUE"""),"baecfg")</f>
        <v>baecfg</v>
      </c>
      <c r="CK49" s="6" t="str">
        <f>IFERROR(__xludf.DUMMYFUNCTION("REGEXREPLACE( $BG49, CONCATENATE(""["",CH49,""]""), """")"),"c")</f>
        <v>c</v>
      </c>
      <c r="CL49" s="6" t="str">
        <f>IFERROR(__xludf.DUMMYFUNCTION("REGEXREPLACE( $BG49, CONCATENATE(""["",CI49,""]""), """")"),"f")</f>
        <v>f</v>
      </c>
      <c r="CM49" s="6" t="str">
        <f>IFERROR(__xludf.DUMMYFUNCTION("REGEXREPLACE( $BG49, CONCATENATE(""["",CJ49,""]""), """")"),"")</f>
        <v/>
      </c>
      <c r="CN49" s="12" t="str">
        <f t="shared" si="12"/>
        <v>baecfg</v>
      </c>
      <c r="CO49" s="12" t="str">
        <f>IFERROR(__xludf.DUMMYFUNCTION("CONCATENATE(SORT(TRANSPOSE(SPLIT(REGEXREPLACE(REGEXREPLACE(CN49&amp;"""",""(?s)(.{1})"",""$1""&amp;CHAR(127)),""'"",""''""),CHAR(127))),1,true),""1"")"),"abcefg1")</f>
        <v>abcefg1</v>
      </c>
      <c r="CP49" s="15"/>
    </row>
    <row r="50">
      <c r="A50" s="1" t="s">
        <v>70</v>
      </c>
      <c r="H50" s="6" t="str">
        <f>IFERROR(__xludf.DUMMYFUNCTION("SPLIT(A50,""|"")"),"gdaf defcb bgdaec cefgdba fg bdfeag becafg gfe eadgb bgdfe ")</f>
        <v>gdaf defcb bgdaec cefgdba fg bdfeag becafg gfe eadgb bgdfe </v>
      </c>
      <c r="I50" s="6" t="str">
        <f>IFERROR(__xludf.DUMMYFUNCTION("""COMPUTED_VALUE""")," gfbde gf gf acbdfeg")</f>
        <v> gfbde gf gf acbdfeg</v>
      </c>
      <c r="J50" s="15"/>
      <c r="K50" s="6" t="str">
        <f>IFERROR(__xludf.DUMMYFUNCTION("split(H50,"" "")"),"gdaf")</f>
        <v>gdaf</v>
      </c>
      <c r="L50" s="6" t="str">
        <f>IFERROR(__xludf.DUMMYFUNCTION("""COMPUTED_VALUE"""),"defcb")</f>
        <v>defcb</v>
      </c>
      <c r="M50" s="6" t="str">
        <f>IFERROR(__xludf.DUMMYFUNCTION("""COMPUTED_VALUE"""),"bgdaec")</f>
        <v>bgdaec</v>
      </c>
      <c r="N50" s="6" t="str">
        <f>IFERROR(__xludf.DUMMYFUNCTION("""COMPUTED_VALUE"""),"cefgdba")</f>
        <v>cefgdba</v>
      </c>
      <c r="O50" s="6" t="str">
        <f>IFERROR(__xludf.DUMMYFUNCTION("""COMPUTED_VALUE"""),"fg")</f>
        <v>fg</v>
      </c>
      <c r="P50" s="6" t="str">
        <f>IFERROR(__xludf.DUMMYFUNCTION("""COMPUTED_VALUE"""),"bdfeag")</f>
        <v>bdfeag</v>
      </c>
      <c r="Q50" s="6" t="str">
        <f>IFERROR(__xludf.DUMMYFUNCTION("""COMPUTED_VALUE"""),"becafg")</f>
        <v>becafg</v>
      </c>
      <c r="R50" s="6" t="str">
        <f>IFERROR(__xludf.DUMMYFUNCTION("""COMPUTED_VALUE"""),"gfe")</f>
        <v>gfe</v>
      </c>
      <c r="S50" s="6" t="str">
        <f>IFERROR(__xludf.DUMMYFUNCTION("""COMPUTED_VALUE"""),"eadgb")</f>
        <v>eadgb</v>
      </c>
      <c r="T50" s="6" t="str">
        <f>IFERROR(__xludf.DUMMYFUNCTION("""COMPUTED_VALUE"""),"bgdfe")</f>
        <v>bgdfe</v>
      </c>
      <c r="U50" s="15"/>
      <c r="V50" s="6" t="str">
        <f>IFERROR(__xludf.DUMMYFUNCTION("split(I50,"" "")"),"gfbde")</f>
        <v>gfbde</v>
      </c>
      <c r="W50" s="6" t="str">
        <f>IFERROR(__xludf.DUMMYFUNCTION("""COMPUTED_VALUE"""),"gf")</f>
        <v>gf</v>
      </c>
      <c r="X50" s="6" t="str">
        <f>IFERROR(__xludf.DUMMYFUNCTION("""COMPUTED_VALUE"""),"gf")</f>
        <v>gf</v>
      </c>
      <c r="Y50" s="6" t="str">
        <f>IFERROR(__xludf.DUMMYFUNCTION("""COMPUTED_VALUE"""),"acbdfeg")</f>
        <v>acbdfeg</v>
      </c>
      <c r="Z50" s="6" t="str">
        <f>IFERROR(__xludf.DUMMYFUNCTION("CONCATENATE(SORT(TRANSPOSE(SPLIT(REGEXREPLACE(REGEXREPLACE(V50&amp;"""",""(?s)(.{1})"",""$1""&amp;CHAR(127)),""'"",""''""),CHAR(127))),1,true))"),"bdefg")</f>
        <v>bdefg</v>
      </c>
      <c r="AA50" s="6" t="str">
        <f>IFERROR(__xludf.DUMMYFUNCTION("CONCATENATE(SORT(TRANSPOSE(SPLIT(REGEXREPLACE(REGEXREPLACE(W50&amp;"""",""(?s)(.{1})"",""$1""&amp;CHAR(127)),""'"",""''""),CHAR(127))),1,true))"),"fg")</f>
        <v>fg</v>
      </c>
      <c r="AB50" s="6" t="str">
        <f>IFERROR(__xludf.DUMMYFUNCTION("CONCATENATE(SORT(TRANSPOSE(SPLIT(REGEXREPLACE(REGEXREPLACE(X50&amp;"""",""(?s)(.{1})"",""$1""&amp;CHAR(127)),""'"",""''""),CHAR(127))),1,true))"),"fg")</f>
        <v>fg</v>
      </c>
      <c r="AC50" s="6" t="str">
        <f>IFERROR(__xludf.DUMMYFUNCTION("CONCATENATE(SORT(TRANSPOSE(SPLIT(REGEXREPLACE(REGEXREPLACE(Y50&amp;"""",""(?s)(.{1})"",""$1""&amp;CHAR(127)),""'"",""''""),CHAR(127))),1,true))"),"abcdefg")</f>
        <v>abcdefg</v>
      </c>
      <c r="AD50" s="6">
        <f t="shared" ref="AD50:AG50" si="60">INDEX($AO$1:$CP$1,1,MATCH(CONCATENATE(Z50,"1"),$AO50:$CP50,0)+1)</f>
        <v>3</v>
      </c>
      <c r="AE50" s="6">
        <f t="shared" si="60"/>
        <v>1</v>
      </c>
      <c r="AF50" s="6">
        <f t="shared" si="60"/>
        <v>1</v>
      </c>
      <c r="AG50" s="6">
        <f t="shared" si="60"/>
        <v>8</v>
      </c>
      <c r="AH50" s="6">
        <f t="shared" si="3"/>
        <v>3118</v>
      </c>
      <c r="AI50" s="16"/>
      <c r="AJ50" s="9" t="str">
        <f>IFERROR(__xludf.DUMMYFUNCTION("REGEXREPLACE(AR50,CONCATENATE(""["",BY50,""]""),"""")"),"f")</f>
        <v>f</v>
      </c>
      <c r="AK50" s="10" t="str">
        <f>IFERROR(__xludf.DUMMYFUNCTION("FILTER($K50:$T50,len($K50:$T50)=6,NOT($K50:$T50=BY50))"),"bdfeag")</f>
        <v>bdfeag</v>
      </c>
      <c r="AL50" s="6" t="str">
        <f>IFERROR(__xludf.DUMMYFUNCTION("""COMPUTED_VALUE"""),"becafg")</f>
        <v>becafg</v>
      </c>
      <c r="AM50" s="6" t="str">
        <f>IFERROR(__xludf.DUMMYFUNCTION("REGEXREPLACE( $BG50, CONCATENATE(""["",AK50,""]""), """")"),"")</f>
        <v/>
      </c>
      <c r="AN50" s="6" t="str">
        <f>IFERROR(__xludf.DUMMYFUNCTION("REGEXREPLACE( $BG50, CONCATENATE(""["",AL50,""]""), """")"),"d")</f>
        <v>d</v>
      </c>
      <c r="AO50" s="11" t="str">
        <f t="shared" si="4"/>
        <v>becafg</v>
      </c>
      <c r="AP50" s="12" t="str">
        <f>IFERROR(__xludf.DUMMYFUNCTION("CONCATENATE(SORT(TRANSPOSE(SPLIT(REGEXREPLACE(REGEXREPLACE(AO50&amp;"""",""(?s)(.{1})"",""$1""&amp;CHAR(127)),""'"",""''""),CHAR(127))),1,true),""1"")"),"abcefg1")</f>
        <v>abcefg1</v>
      </c>
      <c r="AQ50" s="16"/>
      <c r="AR50" s="12" t="str">
        <f t="shared" si="5"/>
        <v>fg</v>
      </c>
      <c r="AS50" s="12" t="str">
        <f>IFERROR(__xludf.DUMMYFUNCTION("CONCATENATE(SORT(TRANSPOSE(SPLIT(REGEXREPLACE(REGEXREPLACE(AR50&amp;"""",""(?s)(.{1})"",""$1""&amp;CHAR(127)),""'"",""''""),CHAR(127))),1,true),""1"")"),"fg1")</f>
        <v>fg1</v>
      </c>
      <c r="AT50" s="16"/>
      <c r="AU50" s="13" t="str">
        <f>IFERROR(__xludf.DUMMYFUNCTION("FILTER($K50:$T50,len($K50:$T50)=5,NOT($K50:$T50=BD50),NOT($K50:$T50=BP50))"),"defcb")</f>
        <v>defcb</v>
      </c>
      <c r="AV50" s="12" t="str">
        <f>IFERROR(__xludf.DUMMYFUNCTION("CONCATENATE(SORT(TRANSPOSE(SPLIT(REGEXREPLACE(REGEXREPLACE(AU50&amp;"""",""(?s)(.{1})"",""$1""&amp;CHAR(127)),""'"",""''""),CHAR(127))),1,true),""1"")"),"bcdef1")</f>
        <v>bcdef1</v>
      </c>
      <c r="AW50" s="16"/>
      <c r="AX50" s="10" t="str">
        <f>IFERROR(__xludf.DUMMYFUNCTION("FILTER($K50:$T50,len($K50:$T50)=5)"),"defcb")</f>
        <v>defcb</v>
      </c>
      <c r="AY50" s="6" t="str">
        <f>IFERROR(__xludf.DUMMYFUNCTION("""COMPUTED_VALUE"""),"eadgb")</f>
        <v>eadgb</v>
      </c>
      <c r="AZ50" s="6" t="str">
        <f>IFERROR(__xludf.DUMMYFUNCTION("""COMPUTED_VALUE"""),"bgdfe")</f>
        <v>bgdfe</v>
      </c>
      <c r="BA50" s="6" t="str">
        <f>IFERROR(__xludf.DUMMYFUNCTION("REGEXREPLACE( $AR50, CONCATENATE(""["",AX50,""]""), """")"),"g")</f>
        <v>g</v>
      </c>
      <c r="BB50" s="6" t="str">
        <f>IFERROR(__xludf.DUMMYFUNCTION("REGEXREPLACE( $AR50, CONCATENATE(""["",AY50,""]""), """")"),"f")</f>
        <v>f</v>
      </c>
      <c r="BC50" s="6" t="str">
        <f>IFERROR(__xludf.DUMMYFUNCTION("REGEXREPLACE( $AR50, CONCATENATE(""["",AZ50,""]""), """")"),"")</f>
        <v/>
      </c>
      <c r="BD50" s="11" t="str">
        <f t="shared" si="6"/>
        <v>bgdfe</v>
      </c>
      <c r="BE50" s="12" t="str">
        <f>IFERROR(__xludf.DUMMYFUNCTION("CONCATENATE(SORT(TRANSPOSE(SPLIT(REGEXREPLACE(REGEXREPLACE(BD50&amp;"""",""(?s)(.{1})"",""$1""&amp;CHAR(127)),""'"",""''""),CHAR(127))),1,true),""1"")"),"bdefg1")</f>
        <v>bdefg1</v>
      </c>
      <c r="BF50" s="16"/>
      <c r="BG50" s="12" t="str">
        <f t="shared" si="7"/>
        <v>gdaf</v>
      </c>
      <c r="BH50" s="12" t="str">
        <f>IFERROR(__xludf.DUMMYFUNCTION("CONCATENATE(SORT(TRANSPOSE(SPLIT(REGEXREPLACE(REGEXREPLACE(BG50&amp;"""",""(?s)(.{1})"",""$1""&amp;CHAR(127)),""'"",""''""),CHAR(127))),1,true),""1"")"),"adfg1")</f>
        <v>adfg1</v>
      </c>
      <c r="BI50" s="16"/>
      <c r="BJ50" s="10" t="str">
        <f>IFERROR(__xludf.DUMMYFUNCTION("FILTER($K50:$T50,len($K50:$T50)=5)"),"defcb")</f>
        <v>defcb</v>
      </c>
      <c r="BK50" s="6" t="str">
        <f>IFERROR(__xludf.DUMMYFUNCTION("""COMPUTED_VALUE"""),"eadgb")</f>
        <v>eadgb</v>
      </c>
      <c r="BL50" s="6" t="str">
        <f>IFERROR(__xludf.DUMMYFUNCTION("""COMPUTED_VALUE"""),"bgdfe")</f>
        <v>bgdfe</v>
      </c>
      <c r="BM50" s="14" t="str">
        <f>IFERROR(__xludf.DUMMYFUNCTION("REGEXREPLACE( $BY50, CONCATENATE(""["",BJ50,""]""), """")"),"ga")</f>
        <v>ga</v>
      </c>
      <c r="BN50" s="14" t="str">
        <f>IFERROR(__xludf.DUMMYFUNCTION("REGEXREPLACE( $BY50, CONCATENATE(""["",BK50,""]""), """")"),"c")</f>
        <v>c</v>
      </c>
      <c r="BO50" s="14" t="str">
        <f>IFERROR(__xludf.DUMMYFUNCTION("REGEXREPLACE( $BY50, CONCATENATE(""["",BL50,""]""), """")"),"ac")</f>
        <v>ac</v>
      </c>
      <c r="BP50" s="11" t="str">
        <f t="shared" si="8"/>
        <v>eadgb</v>
      </c>
      <c r="BQ50" s="12" t="str">
        <f>IFERROR(__xludf.DUMMYFUNCTION("CONCATENATE(SORT(TRANSPOSE(SPLIT(REGEXREPLACE(REGEXREPLACE(BP50&amp;"""",""(?s)(.{1})"",""$1""&amp;CHAR(127)),""'"",""''""),CHAR(127))),1,true),""1"")"),"abdeg1")</f>
        <v>abdeg1</v>
      </c>
      <c r="BR50" s="16"/>
      <c r="BS50" s="10" t="str">
        <f>IFERROR(__xludf.DUMMYFUNCTION("FILTER(K50:T50,len(K50:T50)=6)"),"bgdaec")</f>
        <v>bgdaec</v>
      </c>
      <c r="BT50" s="6" t="str">
        <f>IFERROR(__xludf.DUMMYFUNCTION("""COMPUTED_VALUE"""),"bdfeag")</f>
        <v>bdfeag</v>
      </c>
      <c r="BU50" s="6" t="str">
        <f>IFERROR(__xludf.DUMMYFUNCTION("""COMPUTED_VALUE"""),"becafg")</f>
        <v>becafg</v>
      </c>
      <c r="BV50" s="6" t="str">
        <f>IFERROR(__xludf.DUMMYFUNCTION("REGEXREPLACE( $AR50, CONCATENATE(""["",BS50,""]""), """")"),"f")</f>
        <v>f</v>
      </c>
      <c r="BW50" s="6" t="str">
        <f>IFERROR(__xludf.DUMMYFUNCTION("REGEXREPLACE( $AR50, CONCATENATE(""["",BT50,""]""), """")"),"")</f>
        <v/>
      </c>
      <c r="BX50" s="6" t="str">
        <f>IFERROR(__xludf.DUMMYFUNCTION("REGEXREPLACE( $AR50, CONCATENATE(""["",BU50,""]""), """")"),"")</f>
        <v/>
      </c>
      <c r="BY50" s="12" t="str">
        <f t="shared" si="9"/>
        <v>bgdaec</v>
      </c>
      <c r="BZ50" s="12" t="str">
        <f>IFERROR(__xludf.DUMMYFUNCTION("CONCATENATE(SORT(TRANSPOSE(SPLIT(REGEXREPLACE(REGEXREPLACE(BY50&amp;"""",""(?s)(.{1})"",""$1""&amp;CHAR(127)),""'"",""''""),CHAR(127))),1,true),""1"")"),"abcdeg1")</f>
        <v>abcdeg1</v>
      </c>
      <c r="CA50" s="16"/>
      <c r="CB50" s="12" t="str">
        <f t="shared" si="10"/>
        <v>gfe</v>
      </c>
      <c r="CC50" s="12" t="str">
        <f>IFERROR(__xludf.DUMMYFUNCTION("CONCATENATE(SORT(TRANSPOSE(SPLIT(REGEXREPLACE(REGEXREPLACE(CB50&amp;"""",""(?s)(.{1})"",""$1""&amp;CHAR(127)),""'"",""''""),CHAR(127))),1,true),""1"")"),"efg1")</f>
        <v>efg1</v>
      </c>
      <c r="CD50" s="16"/>
      <c r="CE50" s="12" t="str">
        <f t="shared" si="11"/>
        <v>cefgdba</v>
      </c>
      <c r="CF50" s="12" t="str">
        <f>IFERROR(__xludf.DUMMYFUNCTION("CONCATENATE(SORT(TRANSPOSE(SPLIT(REGEXREPLACE(REGEXREPLACE(CE50&amp;"""",""(?s)(.{1})"",""$1""&amp;CHAR(127)),""'"",""''""),CHAR(127))),1,true),""1"")"),"abcdefg1")</f>
        <v>abcdefg1</v>
      </c>
      <c r="CG50" s="16"/>
      <c r="CH50" s="10" t="str">
        <f>IFERROR(__xludf.DUMMYFUNCTION("FILTER(K50:T50,len(K50:T50)=6)"),"bgdaec")</f>
        <v>bgdaec</v>
      </c>
      <c r="CI50" s="6" t="str">
        <f>IFERROR(__xludf.DUMMYFUNCTION("""COMPUTED_VALUE"""),"bdfeag")</f>
        <v>bdfeag</v>
      </c>
      <c r="CJ50" s="6" t="str">
        <f>IFERROR(__xludf.DUMMYFUNCTION("""COMPUTED_VALUE"""),"becafg")</f>
        <v>becafg</v>
      </c>
      <c r="CK50" s="6" t="str">
        <f>IFERROR(__xludf.DUMMYFUNCTION("REGEXREPLACE( $BG50, CONCATENATE(""["",CH50,""]""), """")"),"f")</f>
        <v>f</v>
      </c>
      <c r="CL50" s="6" t="str">
        <f>IFERROR(__xludf.DUMMYFUNCTION("REGEXREPLACE( $BG50, CONCATENATE(""["",CI50,""]""), """")"),"")</f>
        <v/>
      </c>
      <c r="CM50" s="6" t="str">
        <f>IFERROR(__xludf.DUMMYFUNCTION("REGEXREPLACE( $BG50, CONCATENATE(""["",CJ50,""]""), """")"),"d")</f>
        <v>d</v>
      </c>
      <c r="CN50" s="12" t="str">
        <f t="shared" si="12"/>
        <v>bdfeag</v>
      </c>
      <c r="CO50" s="12" t="str">
        <f>IFERROR(__xludf.DUMMYFUNCTION("CONCATENATE(SORT(TRANSPOSE(SPLIT(REGEXREPLACE(REGEXREPLACE(CN50&amp;"""",""(?s)(.{1})"",""$1""&amp;CHAR(127)),""'"",""''""),CHAR(127))),1,true),""1"")"),"abdefg1")</f>
        <v>abdefg1</v>
      </c>
      <c r="CP50" s="15"/>
    </row>
    <row r="51">
      <c r="A51" s="1" t="s">
        <v>71</v>
      </c>
      <c r="H51" s="6" t="str">
        <f>IFERROR(__xludf.DUMMYFUNCTION("SPLIT(A51,""|"")"),"dabgce cebgfa egfdb geafc eda egadf cgfdea fedagbc dcfa da ")</f>
        <v>dabgce cebgfa egfdb geafc eda egadf cgfdea fedagbc dcfa da </v>
      </c>
      <c r="I51" s="6" t="str">
        <f>IFERROR(__xludf.DUMMYFUNCTION("""COMPUTED_VALUE""")," afcge eda dae ad")</f>
        <v> afcge eda dae ad</v>
      </c>
      <c r="J51" s="15"/>
      <c r="K51" s="6" t="str">
        <f>IFERROR(__xludf.DUMMYFUNCTION("split(H51,"" "")"),"dabgce")</f>
        <v>dabgce</v>
      </c>
      <c r="L51" s="6" t="str">
        <f>IFERROR(__xludf.DUMMYFUNCTION("""COMPUTED_VALUE"""),"cebgfa")</f>
        <v>cebgfa</v>
      </c>
      <c r="M51" s="6" t="str">
        <f>IFERROR(__xludf.DUMMYFUNCTION("""COMPUTED_VALUE"""),"egfdb")</f>
        <v>egfdb</v>
      </c>
      <c r="N51" s="6" t="str">
        <f>IFERROR(__xludf.DUMMYFUNCTION("""COMPUTED_VALUE"""),"geafc")</f>
        <v>geafc</v>
      </c>
      <c r="O51" s="6" t="str">
        <f>IFERROR(__xludf.DUMMYFUNCTION("""COMPUTED_VALUE"""),"eda")</f>
        <v>eda</v>
      </c>
      <c r="P51" s="6" t="str">
        <f>IFERROR(__xludf.DUMMYFUNCTION("""COMPUTED_VALUE"""),"egadf")</f>
        <v>egadf</v>
      </c>
      <c r="Q51" s="6" t="str">
        <f>IFERROR(__xludf.DUMMYFUNCTION("""COMPUTED_VALUE"""),"cgfdea")</f>
        <v>cgfdea</v>
      </c>
      <c r="R51" s="6" t="str">
        <f>IFERROR(__xludf.DUMMYFUNCTION("""COMPUTED_VALUE"""),"fedagbc")</f>
        <v>fedagbc</v>
      </c>
      <c r="S51" s="6" t="str">
        <f>IFERROR(__xludf.DUMMYFUNCTION("""COMPUTED_VALUE"""),"dcfa")</f>
        <v>dcfa</v>
      </c>
      <c r="T51" s="6" t="str">
        <f>IFERROR(__xludf.DUMMYFUNCTION("""COMPUTED_VALUE"""),"da")</f>
        <v>da</v>
      </c>
      <c r="U51" s="15"/>
      <c r="V51" s="6" t="str">
        <f>IFERROR(__xludf.DUMMYFUNCTION("split(I51,"" "")"),"afcge")</f>
        <v>afcge</v>
      </c>
      <c r="W51" s="6" t="str">
        <f>IFERROR(__xludf.DUMMYFUNCTION("""COMPUTED_VALUE"""),"eda")</f>
        <v>eda</v>
      </c>
      <c r="X51" s="6" t="str">
        <f>IFERROR(__xludf.DUMMYFUNCTION("""COMPUTED_VALUE"""),"dae")</f>
        <v>dae</v>
      </c>
      <c r="Y51" s="6" t="str">
        <f>IFERROR(__xludf.DUMMYFUNCTION("""COMPUTED_VALUE"""),"ad")</f>
        <v>ad</v>
      </c>
      <c r="Z51" s="6" t="str">
        <f>IFERROR(__xludf.DUMMYFUNCTION("CONCATENATE(SORT(TRANSPOSE(SPLIT(REGEXREPLACE(REGEXREPLACE(V51&amp;"""",""(?s)(.{1})"",""$1""&amp;CHAR(127)),""'"",""''""),CHAR(127))),1,true))"),"acefg")</f>
        <v>acefg</v>
      </c>
      <c r="AA51" s="6" t="str">
        <f>IFERROR(__xludf.DUMMYFUNCTION("CONCATENATE(SORT(TRANSPOSE(SPLIT(REGEXREPLACE(REGEXREPLACE(W51&amp;"""",""(?s)(.{1})"",""$1""&amp;CHAR(127)),""'"",""''""),CHAR(127))),1,true))"),"ade")</f>
        <v>ade</v>
      </c>
      <c r="AB51" s="6" t="str">
        <f>IFERROR(__xludf.DUMMYFUNCTION("CONCATENATE(SORT(TRANSPOSE(SPLIT(REGEXREPLACE(REGEXREPLACE(X51&amp;"""",""(?s)(.{1})"",""$1""&amp;CHAR(127)),""'"",""''""),CHAR(127))),1,true))"),"ade")</f>
        <v>ade</v>
      </c>
      <c r="AC51" s="6" t="str">
        <f>IFERROR(__xludf.DUMMYFUNCTION("CONCATENATE(SORT(TRANSPOSE(SPLIT(REGEXREPLACE(REGEXREPLACE(Y51&amp;"""",""(?s)(.{1})"",""$1""&amp;CHAR(127)),""'"",""''""),CHAR(127))),1,true))"),"ad")</f>
        <v>ad</v>
      </c>
      <c r="AD51" s="6">
        <f t="shared" ref="AD51:AG51" si="61">INDEX($AO$1:$CP$1,1,MATCH(CONCATENATE(Z51,"1"),$AO51:$CP51,0)+1)</f>
        <v>5</v>
      </c>
      <c r="AE51" s="6">
        <f t="shared" si="61"/>
        <v>7</v>
      </c>
      <c r="AF51" s="6">
        <f t="shared" si="61"/>
        <v>7</v>
      </c>
      <c r="AG51" s="6">
        <f t="shared" si="61"/>
        <v>1</v>
      </c>
      <c r="AH51" s="6">
        <f t="shared" si="3"/>
        <v>5771</v>
      </c>
      <c r="AI51" s="16"/>
      <c r="AJ51" s="9" t="str">
        <f>IFERROR(__xludf.DUMMYFUNCTION("REGEXREPLACE(AR51,CONCATENATE(""["",BY51,""]""),"""")"),"d")</f>
        <v>d</v>
      </c>
      <c r="AK51" s="10" t="str">
        <f>IFERROR(__xludf.DUMMYFUNCTION("FILTER($K51:$T51,len($K51:$T51)=6,NOT($K51:$T51=BY51))"),"dabgce")</f>
        <v>dabgce</v>
      </c>
      <c r="AL51" s="6" t="str">
        <f>IFERROR(__xludf.DUMMYFUNCTION("""COMPUTED_VALUE"""),"cgfdea")</f>
        <v>cgfdea</v>
      </c>
      <c r="AM51" s="6" t="str">
        <f>IFERROR(__xludf.DUMMYFUNCTION("REGEXREPLACE( $BG51, CONCATENATE(""["",AK51,""]""), """")"),"f")</f>
        <v>f</v>
      </c>
      <c r="AN51" s="6" t="str">
        <f>IFERROR(__xludf.DUMMYFUNCTION("REGEXREPLACE( $BG51, CONCATENATE(""["",AL51,""]""), """")"),"")</f>
        <v/>
      </c>
      <c r="AO51" s="11" t="str">
        <f t="shared" si="4"/>
        <v>dabgce</v>
      </c>
      <c r="AP51" s="12" t="str">
        <f>IFERROR(__xludf.DUMMYFUNCTION("CONCATENATE(SORT(TRANSPOSE(SPLIT(REGEXREPLACE(REGEXREPLACE(AO51&amp;"""",""(?s)(.{1})"",""$1""&amp;CHAR(127)),""'"",""''""),CHAR(127))),1,true),""1"")"),"abcdeg1")</f>
        <v>abcdeg1</v>
      </c>
      <c r="AQ51" s="16"/>
      <c r="AR51" s="12" t="str">
        <f t="shared" si="5"/>
        <v>da</v>
      </c>
      <c r="AS51" s="12" t="str">
        <f>IFERROR(__xludf.DUMMYFUNCTION("CONCATENATE(SORT(TRANSPOSE(SPLIT(REGEXREPLACE(REGEXREPLACE(AR51&amp;"""",""(?s)(.{1})"",""$1""&amp;CHAR(127)),""'"",""''""),CHAR(127))),1,true),""1"")"),"ad1")</f>
        <v>ad1</v>
      </c>
      <c r="AT51" s="16"/>
      <c r="AU51" s="13" t="str">
        <f>IFERROR(__xludf.DUMMYFUNCTION("FILTER($K51:$T51,len($K51:$T51)=5,NOT($K51:$T51=BD51),NOT($K51:$T51=BP51))"),"egfdb")</f>
        <v>egfdb</v>
      </c>
      <c r="AV51" s="12" t="str">
        <f>IFERROR(__xludf.DUMMYFUNCTION("CONCATENATE(SORT(TRANSPOSE(SPLIT(REGEXREPLACE(REGEXREPLACE(AU51&amp;"""",""(?s)(.{1})"",""$1""&amp;CHAR(127)),""'"",""''""),CHAR(127))),1,true),""1"")"),"bdefg1")</f>
        <v>bdefg1</v>
      </c>
      <c r="AW51" s="16"/>
      <c r="AX51" s="10" t="str">
        <f>IFERROR(__xludf.DUMMYFUNCTION("FILTER($K51:$T51,len($K51:$T51)=5)"),"egfdb")</f>
        <v>egfdb</v>
      </c>
      <c r="AY51" s="6" t="str">
        <f>IFERROR(__xludf.DUMMYFUNCTION("""COMPUTED_VALUE"""),"geafc")</f>
        <v>geafc</v>
      </c>
      <c r="AZ51" s="6" t="str">
        <f>IFERROR(__xludf.DUMMYFUNCTION("""COMPUTED_VALUE"""),"egadf")</f>
        <v>egadf</v>
      </c>
      <c r="BA51" s="6" t="str">
        <f>IFERROR(__xludf.DUMMYFUNCTION("REGEXREPLACE( $AR51, CONCATENATE(""["",AX51,""]""), """")"),"a")</f>
        <v>a</v>
      </c>
      <c r="BB51" s="6" t="str">
        <f>IFERROR(__xludf.DUMMYFUNCTION("REGEXREPLACE( $AR51, CONCATENATE(""["",AY51,""]""), """")"),"d")</f>
        <v>d</v>
      </c>
      <c r="BC51" s="6" t="str">
        <f>IFERROR(__xludf.DUMMYFUNCTION("REGEXREPLACE( $AR51, CONCATENATE(""["",AZ51,""]""), """")"),"")</f>
        <v/>
      </c>
      <c r="BD51" s="11" t="str">
        <f t="shared" si="6"/>
        <v>egadf</v>
      </c>
      <c r="BE51" s="12" t="str">
        <f>IFERROR(__xludf.DUMMYFUNCTION("CONCATENATE(SORT(TRANSPOSE(SPLIT(REGEXREPLACE(REGEXREPLACE(BD51&amp;"""",""(?s)(.{1})"",""$1""&amp;CHAR(127)),""'"",""''""),CHAR(127))),1,true),""1"")"),"adefg1")</f>
        <v>adefg1</v>
      </c>
      <c r="BF51" s="16"/>
      <c r="BG51" s="12" t="str">
        <f t="shared" si="7"/>
        <v>dcfa</v>
      </c>
      <c r="BH51" s="12" t="str">
        <f>IFERROR(__xludf.DUMMYFUNCTION("CONCATENATE(SORT(TRANSPOSE(SPLIT(REGEXREPLACE(REGEXREPLACE(BG51&amp;"""",""(?s)(.{1})"",""$1""&amp;CHAR(127)),""'"",""''""),CHAR(127))),1,true),""1"")"),"acdf1")</f>
        <v>acdf1</v>
      </c>
      <c r="BI51" s="16"/>
      <c r="BJ51" s="10" t="str">
        <f>IFERROR(__xludf.DUMMYFUNCTION("FILTER($K51:$T51,len($K51:$T51)=5)"),"egfdb")</f>
        <v>egfdb</v>
      </c>
      <c r="BK51" s="6" t="str">
        <f>IFERROR(__xludf.DUMMYFUNCTION("""COMPUTED_VALUE"""),"geafc")</f>
        <v>geafc</v>
      </c>
      <c r="BL51" s="6" t="str">
        <f>IFERROR(__xludf.DUMMYFUNCTION("""COMPUTED_VALUE"""),"egadf")</f>
        <v>egadf</v>
      </c>
      <c r="BM51" s="14" t="str">
        <f>IFERROR(__xludf.DUMMYFUNCTION("REGEXREPLACE( $BY51, CONCATENATE(""["",BJ51,""]""), """")"),"ca")</f>
        <v>ca</v>
      </c>
      <c r="BN51" s="14" t="str">
        <f>IFERROR(__xludf.DUMMYFUNCTION("REGEXREPLACE( $BY51, CONCATENATE(""["",BK51,""]""), """")"),"b")</f>
        <v>b</v>
      </c>
      <c r="BO51" s="14" t="str">
        <f>IFERROR(__xludf.DUMMYFUNCTION("REGEXREPLACE( $BY51, CONCATENATE(""["",BL51,""]""), """")"),"cb")</f>
        <v>cb</v>
      </c>
      <c r="BP51" s="11" t="str">
        <f t="shared" si="8"/>
        <v>geafc</v>
      </c>
      <c r="BQ51" s="12" t="str">
        <f>IFERROR(__xludf.DUMMYFUNCTION("CONCATENATE(SORT(TRANSPOSE(SPLIT(REGEXREPLACE(REGEXREPLACE(BP51&amp;"""",""(?s)(.{1})"",""$1""&amp;CHAR(127)),""'"",""''""),CHAR(127))),1,true),""1"")"),"acefg1")</f>
        <v>acefg1</v>
      </c>
      <c r="BR51" s="16"/>
      <c r="BS51" s="10" t="str">
        <f>IFERROR(__xludf.DUMMYFUNCTION("FILTER(K51:T51,len(K51:T51)=6)"),"dabgce")</f>
        <v>dabgce</v>
      </c>
      <c r="BT51" s="6" t="str">
        <f>IFERROR(__xludf.DUMMYFUNCTION("""COMPUTED_VALUE"""),"cebgfa")</f>
        <v>cebgfa</v>
      </c>
      <c r="BU51" s="6" t="str">
        <f>IFERROR(__xludf.DUMMYFUNCTION("""COMPUTED_VALUE"""),"cgfdea")</f>
        <v>cgfdea</v>
      </c>
      <c r="BV51" s="6" t="str">
        <f>IFERROR(__xludf.DUMMYFUNCTION("REGEXREPLACE( $AR51, CONCATENATE(""["",BS51,""]""), """")"),"")</f>
        <v/>
      </c>
      <c r="BW51" s="6" t="str">
        <f>IFERROR(__xludf.DUMMYFUNCTION("REGEXREPLACE( $AR51, CONCATENATE(""["",BT51,""]""), """")"),"d")</f>
        <v>d</v>
      </c>
      <c r="BX51" s="6" t="str">
        <f>IFERROR(__xludf.DUMMYFUNCTION("REGEXREPLACE( $AR51, CONCATENATE(""["",BU51,""]""), """")"),"")</f>
        <v/>
      </c>
      <c r="BY51" s="12" t="str">
        <f t="shared" si="9"/>
        <v>cebgfa</v>
      </c>
      <c r="BZ51" s="12" t="str">
        <f>IFERROR(__xludf.DUMMYFUNCTION("CONCATENATE(SORT(TRANSPOSE(SPLIT(REGEXREPLACE(REGEXREPLACE(BY51&amp;"""",""(?s)(.{1})"",""$1""&amp;CHAR(127)),""'"",""''""),CHAR(127))),1,true),""1"")"),"abcefg1")</f>
        <v>abcefg1</v>
      </c>
      <c r="CA51" s="16"/>
      <c r="CB51" s="12" t="str">
        <f t="shared" si="10"/>
        <v>eda</v>
      </c>
      <c r="CC51" s="12" t="str">
        <f>IFERROR(__xludf.DUMMYFUNCTION("CONCATENATE(SORT(TRANSPOSE(SPLIT(REGEXREPLACE(REGEXREPLACE(CB51&amp;"""",""(?s)(.{1})"",""$1""&amp;CHAR(127)),""'"",""''""),CHAR(127))),1,true),""1"")"),"ade1")</f>
        <v>ade1</v>
      </c>
      <c r="CD51" s="16"/>
      <c r="CE51" s="12" t="str">
        <f t="shared" si="11"/>
        <v>fedagbc</v>
      </c>
      <c r="CF51" s="12" t="str">
        <f>IFERROR(__xludf.DUMMYFUNCTION("CONCATENATE(SORT(TRANSPOSE(SPLIT(REGEXREPLACE(REGEXREPLACE(CE51&amp;"""",""(?s)(.{1})"",""$1""&amp;CHAR(127)),""'"",""''""),CHAR(127))),1,true),""1"")"),"abcdefg1")</f>
        <v>abcdefg1</v>
      </c>
      <c r="CG51" s="16"/>
      <c r="CH51" s="10" t="str">
        <f>IFERROR(__xludf.DUMMYFUNCTION("FILTER(K51:T51,len(K51:T51)=6)"),"dabgce")</f>
        <v>dabgce</v>
      </c>
      <c r="CI51" s="6" t="str">
        <f>IFERROR(__xludf.DUMMYFUNCTION("""COMPUTED_VALUE"""),"cebgfa")</f>
        <v>cebgfa</v>
      </c>
      <c r="CJ51" s="6" t="str">
        <f>IFERROR(__xludf.DUMMYFUNCTION("""COMPUTED_VALUE"""),"cgfdea")</f>
        <v>cgfdea</v>
      </c>
      <c r="CK51" s="6" t="str">
        <f>IFERROR(__xludf.DUMMYFUNCTION("REGEXREPLACE( $BG51, CONCATENATE(""["",CH51,""]""), """")"),"f")</f>
        <v>f</v>
      </c>
      <c r="CL51" s="6" t="str">
        <f>IFERROR(__xludf.DUMMYFUNCTION("REGEXREPLACE( $BG51, CONCATENATE(""["",CI51,""]""), """")"),"d")</f>
        <v>d</v>
      </c>
      <c r="CM51" s="6" t="str">
        <f>IFERROR(__xludf.DUMMYFUNCTION("REGEXREPLACE( $BG51, CONCATENATE(""["",CJ51,""]""), """")"),"")</f>
        <v/>
      </c>
      <c r="CN51" s="12" t="str">
        <f t="shared" si="12"/>
        <v>cgfdea</v>
      </c>
      <c r="CO51" s="12" t="str">
        <f>IFERROR(__xludf.DUMMYFUNCTION("CONCATENATE(SORT(TRANSPOSE(SPLIT(REGEXREPLACE(REGEXREPLACE(CN51&amp;"""",""(?s)(.{1})"",""$1""&amp;CHAR(127)),""'"",""''""),CHAR(127))),1,true),""1"")"),"acdefg1")</f>
        <v>acdefg1</v>
      </c>
      <c r="CP51" s="15"/>
    </row>
    <row r="52">
      <c r="A52" s="1" t="s">
        <v>72</v>
      </c>
      <c r="H52" s="6" t="str">
        <f>IFERROR(__xludf.DUMMYFUNCTION("SPLIT(A52,""|"")"),"adcef cegda cfa feacbgd dafbgc befdc egfa fa gbecda dagefc ")</f>
        <v>adcef cegda cfa feacbgd dafbgc befdc egfa fa gbecda dagefc </v>
      </c>
      <c r="I52" s="6" t="str">
        <f>IFERROR(__xludf.DUMMYFUNCTION("""COMPUTED_VALUE""")," geaf baedfgc fdeagc bdcega")</f>
        <v> geaf baedfgc fdeagc bdcega</v>
      </c>
      <c r="J52" s="15"/>
      <c r="K52" s="6" t="str">
        <f>IFERROR(__xludf.DUMMYFUNCTION("split(H52,"" "")"),"adcef")</f>
        <v>adcef</v>
      </c>
      <c r="L52" s="6" t="str">
        <f>IFERROR(__xludf.DUMMYFUNCTION("""COMPUTED_VALUE"""),"cegda")</f>
        <v>cegda</v>
      </c>
      <c r="M52" s="6" t="str">
        <f>IFERROR(__xludf.DUMMYFUNCTION("""COMPUTED_VALUE"""),"cfa")</f>
        <v>cfa</v>
      </c>
      <c r="N52" s="6" t="str">
        <f>IFERROR(__xludf.DUMMYFUNCTION("""COMPUTED_VALUE"""),"feacbgd")</f>
        <v>feacbgd</v>
      </c>
      <c r="O52" s="6" t="str">
        <f>IFERROR(__xludf.DUMMYFUNCTION("""COMPUTED_VALUE"""),"dafbgc")</f>
        <v>dafbgc</v>
      </c>
      <c r="P52" s="6" t="str">
        <f>IFERROR(__xludf.DUMMYFUNCTION("""COMPUTED_VALUE"""),"befdc")</f>
        <v>befdc</v>
      </c>
      <c r="Q52" s="6" t="str">
        <f>IFERROR(__xludf.DUMMYFUNCTION("""COMPUTED_VALUE"""),"egfa")</f>
        <v>egfa</v>
      </c>
      <c r="R52" s="6" t="str">
        <f>IFERROR(__xludf.DUMMYFUNCTION("""COMPUTED_VALUE"""),"fa")</f>
        <v>fa</v>
      </c>
      <c r="S52" s="6" t="str">
        <f>IFERROR(__xludf.DUMMYFUNCTION("""COMPUTED_VALUE"""),"gbecda")</f>
        <v>gbecda</v>
      </c>
      <c r="T52" s="6" t="str">
        <f>IFERROR(__xludf.DUMMYFUNCTION("""COMPUTED_VALUE"""),"dagefc")</f>
        <v>dagefc</v>
      </c>
      <c r="U52" s="15"/>
      <c r="V52" s="6" t="str">
        <f>IFERROR(__xludf.DUMMYFUNCTION("split(I52,"" "")"),"geaf")</f>
        <v>geaf</v>
      </c>
      <c r="W52" s="6" t="str">
        <f>IFERROR(__xludf.DUMMYFUNCTION("""COMPUTED_VALUE"""),"baedfgc")</f>
        <v>baedfgc</v>
      </c>
      <c r="X52" s="6" t="str">
        <f>IFERROR(__xludf.DUMMYFUNCTION("""COMPUTED_VALUE"""),"fdeagc")</f>
        <v>fdeagc</v>
      </c>
      <c r="Y52" s="6" t="str">
        <f>IFERROR(__xludf.DUMMYFUNCTION("""COMPUTED_VALUE"""),"bdcega")</f>
        <v>bdcega</v>
      </c>
      <c r="Z52" s="6" t="str">
        <f>IFERROR(__xludf.DUMMYFUNCTION("CONCATENATE(SORT(TRANSPOSE(SPLIT(REGEXREPLACE(REGEXREPLACE(V52&amp;"""",""(?s)(.{1})"",""$1""&amp;CHAR(127)),""'"",""''""),CHAR(127))),1,true))"),"aefg")</f>
        <v>aefg</v>
      </c>
      <c r="AA52" s="6" t="str">
        <f>IFERROR(__xludf.DUMMYFUNCTION("CONCATENATE(SORT(TRANSPOSE(SPLIT(REGEXREPLACE(REGEXREPLACE(W52&amp;"""",""(?s)(.{1})"",""$1""&amp;CHAR(127)),""'"",""''""),CHAR(127))),1,true))"),"abcdefg")</f>
        <v>abcdefg</v>
      </c>
      <c r="AB52" s="6" t="str">
        <f>IFERROR(__xludf.DUMMYFUNCTION("CONCATENATE(SORT(TRANSPOSE(SPLIT(REGEXREPLACE(REGEXREPLACE(X52&amp;"""",""(?s)(.{1})"",""$1""&amp;CHAR(127)),""'"",""''""),CHAR(127))),1,true))"),"acdefg")</f>
        <v>acdefg</v>
      </c>
      <c r="AC52" s="6" t="str">
        <f>IFERROR(__xludf.DUMMYFUNCTION("CONCATENATE(SORT(TRANSPOSE(SPLIT(REGEXREPLACE(REGEXREPLACE(Y52&amp;"""",""(?s)(.{1})"",""$1""&amp;CHAR(127)),""'"",""''""),CHAR(127))),1,true))"),"abcdeg")</f>
        <v>abcdeg</v>
      </c>
      <c r="AD52" s="6">
        <f t="shared" ref="AD52:AG52" si="62">INDEX($AO$1:$CP$1,1,MATCH(CONCATENATE(Z52,"1"),$AO52:$CP52,0)+1)</f>
        <v>4</v>
      </c>
      <c r="AE52" s="6">
        <f t="shared" si="62"/>
        <v>8</v>
      </c>
      <c r="AF52" s="6">
        <f t="shared" si="62"/>
        <v>9</v>
      </c>
      <c r="AG52" s="6">
        <f t="shared" si="62"/>
        <v>6</v>
      </c>
      <c r="AH52" s="6">
        <f t="shared" si="3"/>
        <v>4896</v>
      </c>
      <c r="AI52" s="16"/>
      <c r="AJ52" s="9" t="str">
        <f>IFERROR(__xludf.DUMMYFUNCTION("REGEXREPLACE(AR52,CONCATENATE(""["",BY52,""]""),"""")"),"f")</f>
        <v>f</v>
      </c>
      <c r="AK52" s="10" t="str">
        <f>IFERROR(__xludf.DUMMYFUNCTION("FILTER($K52:$T52,len($K52:$T52)=6,NOT($K52:$T52=BY52))"),"dafbgc")</f>
        <v>dafbgc</v>
      </c>
      <c r="AL52" s="6" t="str">
        <f>IFERROR(__xludf.DUMMYFUNCTION("""COMPUTED_VALUE"""),"dagefc")</f>
        <v>dagefc</v>
      </c>
      <c r="AM52" s="6" t="str">
        <f>IFERROR(__xludf.DUMMYFUNCTION("REGEXREPLACE( $BG52, CONCATENATE(""["",AK52,""]""), """")"),"e")</f>
        <v>e</v>
      </c>
      <c r="AN52" s="6" t="str">
        <f>IFERROR(__xludf.DUMMYFUNCTION("REGEXREPLACE( $BG52, CONCATENATE(""["",AL52,""]""), """")"),"")</f>
        <v/>
      </c>
      <c r="AO52" s="11" t="str">
        <f t="shared" si="4"/>
        <v>dafbgc</v>
      </c>
      <c r="AP52" s="12" t="str">
        <f>IFERROR(__xludf.DUMMYFUNCTION("CONCATENATE(SORT(TRANSPOSE(SPLIT(REGEXREPLACE(REGEXREPLACE(AO52&amp;"""",""(?s)(.{1})"",""$1""&amp;CHAR(127)),""'"",""''""),CHAR(127))),1,true),""1"")"),"abcdfg1")</f>
        <v>abcdfg1</v>
      </c>
      <c r="AQ52" s="16"/>
      <c r="AR52" s="12" t="str">
        <f t="shared" si="5"/>
        <v>fa</v>
      </c>
      <c r="AS52" s="12" t="str">
        <f>IFERROR(__xludf.DUMMYFUNCTION("CONCATENATE(SORT(TRANSPOSE(SPLIT(REGEXREPLACE(REGEXREPLACE(AR52&amp;"""",""(?s)(.{1})"",""$1""&amp;CHAR(127)),""'"",""''""),CHAR(127))),1,true),""1"")"),"af1")</f>
        <v>af1</v>
      </c>
      <c r="AT52" s="16"/>
      <c r="AU52" s="13" t="str">
        <f>IFERROR(__xludf.DUMMYFUNCTION("FILTER($K52:$T52,len($K52:$T52)=5,NOT($K52:$T52=BD52),NOT($K52:$T52=BP52))"),"befdc")</f>
        <v>befdc</v>
      </c>
      <c r="AV52" s="12" t="str">
        <f>IFERROR(__xludf.DUMMYFUNCTION("CONCATENATE(SORT(TRANSPOSE(SPLIT(REGEXREPLACE(REGEXREPLACE(AU52&amp;"""",""(?s)(.{1})"",""$1""&amp;CHAR(127)),""'"",""''""),CHAR(127))),1,true),""1"")"),"bcdef1")</f>
        <v>bcdef1</v>
      </c>
      <c r="AW52" s="16"/>
      <c r="AX52" s="10" t="str">
        <f>IFERROR(__xludf.DUMMYFUNCTION("FILTER($K52:$T52,len($K52:$T52)=5)"),"adcef")</f>
        <v>adcef</v>
      </c>
      <c r="AY52" s="6" t="str">
        <f>IFERROR(__xludf.DUMMYFUNCTION("""COMPUTED_VALUE"""),"cegda")</f>
        <v>cegda</v>
      </c>
      <c r="AZ52" s="6" t="str">
        <f>IFERROR(__xludf.DUMMYFUNCTION("""COMPUTED_VALUE"""),"befdc")</f>
        <v>befdc</v>
      </c>
      <c r="BA52" s="6" t="str">
        <f>IFERROR(__xludf.DUMMYFUNCTION("REGEXREPLACE( $AR52, CONCATENATE(""["",AX52,""]""), """")"),"")</f>
        <v/>
      </c>
      <c r="BB52" s="6" t="str">
        <f>IFERROR(__xludf.DUMMYFUNCTION("REGEXREPLACE( $AR52, CONCATENATE(""["",AY52,""]""), """")"),"f")</f>
        <v>f</v>
      </c>
      <c r="BC52" s="6" t="str">
        <f>IFERROR(__xludf.DUMMYFUNCTION("REGEXREPLACE( $AR52, CONCATENATE(""["",AZ52,""]""), """")"),"a")</f>
        <v>a</v>
      </c>
      <c r="BD52" s="11" t="str">
        <f t="shared" si="6"/>
        <v>adcef</v>
      </c>
      <c r="BE52" s="12" t="str">
        <f>IFERROR(__xludf.DUMMYFUNCTION("CONCATENATE(SORT(TRANSPOSE(SPLIT(REGEXREPLACE(REGEXREPLACE(BD52&amp;"""",""(?s)(.{1})"",""$1""&amp;CHAR(127)),""'"",""''""),CHAR(127))),1,true),""1"")"),"acdef1")</f>
        <v>acdef1</v>
      </c>
      <c r="BF52" s="16"/>
      <c r="BG52" s="12" t="str">
        <f t="shared" si="7"/>
        <v>egfa</v>
      </c>
      <c r="BH52" s="12" t="str">
        <f>IFERROR(__xludf.DUMMYFUNCTION("CONCATENATE(SORT(TRANSPOSE(SPLIT(REGEXREPLACE(REGEXREPLACE(BG52&amp;"""",""(?s)(.{1})"",""$1""&amp;CHAR(127)),""'"",""''""),CHAR(127))),1,true),""1"")"),"aefg1")</f>
        <v>aefg1</v>
      </c>
      <c r="BI52" s="16"/>
      <c r="BJ52" s="10" t="str">
        <f>IFERROR(__xludf.DUMMYFUNCTION("FILTER($K52:$T52,len($K52:$T52)=5)"),"adcef")</f>
        <v>adcef</v>
      </c>
      <c r="BK52" s="6" t="str">
        <f>IFERROR(__xludf.DUMMYFUNCTION("""COMPUTED_VALUE"""),"cegda")</f>
        <v>cegda</v>
      </c>
      <c r="BL52" s="6" t="str">
        <f>IFERROR(__xludf.DUMMYFUNCTION("""COMPUTED_VALUE"""),"befdc")</f>
        <v>befdc</v>
      </c>
      <c r="BM52" s="14" t="str">
        <f>IFERROR(__xludf.DUMMYFUNCTION("REGEXREPLACE( $BY52, CONCATENATE(""["",BJ52,""]""), """")"),"gb")</f>
        <v>gb</v>
      </c>
      <c r="BN52" s="14" t="str">
        <f>IFERROR(__xludf.DUMMYFUNCTION("REGEXREPLACE( $BY52, CONCATENATE(""["",BK52,""]""), """")"),"b")</f>
        <v>b</v>
      </c>
      <c r="BO52" s="14" t="str">
        <f>IFERROR(__xludf.DUMMYFUNCTION("REGEXREPLACE( $BY52, CONCATENATE(""["",BL52,""]""), """")"),"ga")</f>
        <v>ga</v>
      </c>
      <c r="BP52" s="11" t="str">
        <f t="shared" si="8"/>
        <v>cegda</v>
      </c>
      <c r="BQ52" s="12" t="str">
        <f>IFERROR(__xludf.DUMMYFUNCTION("CONCATENATE(SORT(TRANSPOSE(SPLIT(REGEXREPLACE(REGEXREPLACE(BP52&amp;"""",""(?s)(.{1})"",""$1""&amp;CHAR(127)),""'"",""''""),CHAR(127))),1,true),""1"")"),"acdeg1")</f>
        <v>acdeg1</v>
      </c>
      <c r="BR52" s="16"/>
      <c r="BS52" s="10" t="str">
        <f>IFERROR(__xludf.DUMMYFUNCTION("FILTER(K52:T52,len(K52:T52)=6)"),"dafbgc")</f>
        <v>dafbgc</v>
      </c>
      <c r="BT52" s="6" t="str">
        <f>IFERROR(__xludf.DUMMYFUNCTION("""COMPUTED_VALUE"""),"gbecda")</f>
        <v>gbecda</v>
      </c>
      <c r="BU52" s="6" t="str">
        <f>IFERROR(__xludf.DUMMYFUNCTION("""COMPUTED_VALUE"""),"dagefc")</f>
        <v>dagefc</v>
      </c>
      <c r="BV52" s="6" t="str">
        <f>IFERROR(__xludf.DUMMYFUNCTION("REGEXREPLACE( $AR52, CONCATENATE(""["",BS52,""]""), """")"),"")</f>
        <v/>
      </c>
      <c r="BW52" s="6" t="str">
        <f>IFERROR(__xludf.DUMMYFUNCTION("REGEXREPLACE( $AR52, CONCATENATE(""["",BT52,""]""), """")"),"f")</f>
        <v>f</v>
      </c>
      <c r="BX52" s="6" t="str">
        <f>IFERROR(__xludf.DUMMYFUNCTION("REGEXREPLACE( $AR52, CONCATENATE(""["",BU52,""]""), """")"),"")</f>
        <v/>
      </c>
      <c r="BY52" s="12" t="str">
        <f t="shared" si="9"/>
        <v>gbecda</v>
      </c>
      <c r="BZ52" s="12" t="str">
        <f>IFERROR(__xludf.DUMMYFUNCTION("CONCATENATE(SORT(TRANSPOSE(SPLIT(REGEXREPLACE(REGEXREPLACE(BY52&amp;"""",""(?s)(.{1})"",""$1""&amp;CHAR(127)),""'"",""''""),CHAR(127))),1,true),""1"")"),"abcdeg1")</f>
        <v>abcdeg1</v>
      </c>
      <c r="CA52" s="16"/>
      <c r="CB52" s="12" t="str">
        <f t="shared" si="10"/>
        <v>cfa</v>
      </c>
      <c r="CC52" s="12" t="str">
        <f>IFERROR(__xludf.DUMMYFUNCTION("CONCATENATE(SORT(TRANSPOSE(SPLIT(REGEXREPLACE(REGEXREPLACE(CB52&amp;"""",""(?s)(.{1})"",""$1""&amp;CHAR(127)),""'"",""''""),CHAR(127))),1,true),""1"")"),"acf1")</f>
        <v>acf1</v>
      </c>
      <c r="CD52" s="16"/>
      <c r="CE52" s="12" t="str">
        <f t="shared" si="11"/>
        <v>feacbgd</v>
      </c>
      <c r="CF52" s="12" t="str">
        <f>IFERROR(__xludf.DUMMYFUNCTION("CONCATENATE(SORT(TRANSPOSE(SPLIT(REGEXREPLACE(REGEXREPLACE(CE52&amp;"""",""(?s)(.{1})"",""$1""&amp;CHAR(127)),""'"",""''""),CHAR(127))),1,true),""1"")"),"abcdefg1")</f>
        <v>abcdefg1</v>
      </c>
      <c r="CG52" s="16"/>
      <c r="CH52" s="10" t="str">
        <f>IFERROR(__xludf.DUMMYFUNCTION("FILTER(K52:T52,len(K52:T52)=6)"),"dafbgc")</f>
        <v>dafbgc</v>
      </c>
      <c r="CI52" s="6" t="str">
        <f>IFERROR(__xludf.DUMMYFUNCTION("""COMPUTED_VALUE"""),"gbecda")</f>
        <v>gbecda</v>
      </c>
      <c r="CJ52" s="6" t="str">
        <f>IFERROR(__xludf.DUMMYFUNCTION("""COMPUTED_VALUE"""),"dagefc")</f>
        <v>dagefc</v>
      </c>
      <c r="CK52" s="6" t="str">
        <f>IFERROR(__xludf.DUMMYFUNCTION("REGEXREPLACE( $BG52, CONCATENATE(""["",CH52,""]""), """")"),"e")</f>
        <v>e</v>
      </c>
      <c r="CL52" s="6" t="str">
        <f>IFERROR(__xludf.DUMMYFUNCTION("REGEXREPLACE( $BG52, CONCATENATE(""["",CI52,""]""), """")"),"f")</f>
        <v>f</v>
      </c>
      <c r="CM52" s="6" t="str">
        <f>IFERROR(__xludf.DUMMYFUNCTION("REGEXREPLACE( $BG52, CONCATENATE(""["",CJ52,""]""), """")"),"")</f>
        <v/>
      </c>
      <c r="CN52" s="12" t="str">
        <f t="shared" si="12"/>
        <v>dagefc</v>
      </c>
      <c r="CO52" s="12" t="str">
        <f>IFERROR(__xludf.DUMMYFUNCTION("CONCATENATE(SORT(TRANSPOSE(SPLIT(REGEXREPLACE(REGEXREPLACE(CN52&amp;"""",""(?s)(.{1})"",""$1""&amp;CHAR(127)),""'"",""''""),CHAR(127))),1,true),""1"")"),"acdefg1")</f>
        <v>acdefg1</v>
      </c>
      <c r="CP52" s="15"/>
    </row>
    <row r="53">
      <c r="A53" s="1" t="s">
        <v>73</v>
      </c>
      <c r="H53" s="6" t="str">
        <f>IFERROR(__xludf.DUMMYFUNCTION("SPLIT(A53,""|"")"),"gdecfa ecadg cgfd dc efbgac cefga feadbgc dca gabed dcfeab ")</f>
        <v>gdecfa ecadg cgfd dc efbgac cefga feadbgc dca gabed dcfeab </v>
      </c>
      <c r="I53" s="6" t="str">
        <f>IFERROR(__xludf.DUMMYFUNCTION("""COMPUTED_VALUE""")," acgfe gfdc dgfaec dca")</f>
        <v> acgfe gfdc dgfaec dca</v>
      </c>
      <c r="J53" s="15"/>
      <c r="K53" s="6" t="str">
        <f>IFERROR(__xludf.DUMMYFUNCTION("split(H53,"" "")"),"gdecfa")</f>
        <v>gdecfa</v>
      </c>
      <c r="L53" s="6" t="str">
        <f>IFERROR(__xludf.DUMMYFUNCTION("""COMPUTED_VALUE"""),"ecadg")</f>
        <v>ecadg</v>
      </c>
      <c r="M53" s="6" t="str">
        <f>IFERROR(__xludf.DUMMYFUNCTION("""COMPUTED_VALUE"""),"cgfd")</f>
        <v>cgfd</v>
      </c>
      <c r="N53" s="6" t="str">
        <f>IFERROR(__xludf.DUMMYFUNCTION("""COMPUTED_VALUE"""),"dc")</f>
        <v>dc</v>
      </c>
      <c r="O53" s="6" t="str">
        <f>IFERROR(__xludf.DUMMYFUNCTION("""COMPUTED_VALUE"""),"efbgac")</f>
        <v>efbgac</v>
      </c>
      <c r="P53" s="6" t="str">
        <f>IFERROR(__xludf.DUMMYFUNCTION("""COMPUTED_VALUE"""),"cefga")</f>
        <v>cefga</v>
      </c>
      <c r="Q53" s="6" t="str">
        <f>IFERROR(__xludf.DUMMYFUNCTION("""COMPUTED_VALUE"""),"feadbgc")</f>
        <v>feadbgc</v>
      </c>
      <c r="R53" s="6" t="str">
        <f>IFERROR(__xludf.DUMMYFUNCTION("""COMPUTED_VALUE"""),"dca")</f>
        <v>dca</v>
      </c>
      <c r="S53" s="6" t="str">
        <f>IFERROR(__xludf.DUMMYFUNCTION("""COMPUTED_VALUE"""),"gabed")</f>
        <v>gabed</v>
      </c>
      <c r="T53" s="6" t="str">
        <f>IFERROR(__xludf.DUMMYFUNCTION("""COMPUTED_VALUE"""),"dcfeab")</f>
        <v>dcfeab</v>
      </c>
      <c r="U53" s="15"/>
      <c r="V53" s="6" t="str">
        <f>IFERROR(__xludf.DUMMYFUNCTION("split(I53,"" "")"),"acgfe")</f>
        <v>acgfe</v>
      </c>
      <c r="W53" s="6" t="str">
        <f>IFERROR(__xludf.DUMMYFUNCTION("""COMPUTED_VALUE"""),"gfdc")</f>
        <v>gfdc</v>
      </c>
      <c r="X53" s="6" t="str">
        <f>IFERROR(__xludf.DUMMYFUNCTION("""COMPUTED_VALUE"""),"dgfaec")</f>
        <v>dgfaec</v>
      </c>
      <c r="Y53" s="6" t="str">
        <f>IFERROR(__xludf.DUMMYFUNCTION("""COMPUTED_VALUE"""),"dca")</f>
        <v>dca</v>
      </c>
      <c r="Z53" s="6" t="str">
        <f>IFERROR(__xludf.DUMMYFUNCTION("CONCATENATE(SORT(TRANSPOSE(SPLIT(REGEXREPLACE(REGEXREPLACE(V53&amp;"""",""(?s)(.{1})"",""$1""&amp;CHAR(127)),""'"",""''""),CHAR(127))),1,true))"),"acefg")</f>
        <v>acefg</v>
      </c>
      <c r="AA53" s="6" t="str">
        <f>IFERROR(__xludf.DUMMYFUNCTION("CONCATENATE(SORT(TRANSPOSE(SPLIT(REGEXREPLACE(REGEXREPLACE(W53&amp;"""",""(?s)(.{1})"",""$1""&amp;CHAR(127)),""'"",""''""),CHAR(127))),1,true))"),"cdfg")</f>
        <v>cdfg</v>
      </c>
      <c r="AB53" s="6" t="str">
        <f>IFERROR(__xludf.DUMMYFUNCTION("CONCATENATE(SORT(TRANSPOSE(SPLIT(REGEXREPLACE(REGEXREPLACE(X53&amp;"""",""(?s)(.{1})"",""$1""&amp;CHAR(127)),""'"",""''""),CHAR(127))),1,true))"),"acdefg")</f>
        <v>acdefg</v>
      </c>
      <c r="AC53" s="6" t="str">
        <f>IFERROR(__xludf.DUMMYFUNCTION("CONCATENATE(SORT(TRANSPOSE(SPLIT(REGEXREPLACE(REGEXREPLACE(Y53&amp;"""",""(?s)(.{1})"",""$1""&amp;CHAR(127)),""'"",""''""),CHAR(127))),1,true))"),"acd")</f>
        <v>acd</v>
      </c>
      <c r="AD53" s="6">
        <f t="shared" ref="AD53:AG53" si="63">INDEX($AO$1:$CP$1,1,MATCH(CONCATENATE(Z53,"1"),$AO53:$CP53,0)+1)</f>
        <v>5</v>
      </c>
      <c r="AE53" s="6">
        <f t="shared" si="63"/>
        <v>4</v>
      </c>
      <c r="AF53" s="6">
        <f t="shared" si="63"/>
        <v>9</v>
      </c>
      <c r="AG53" s="6">
        <f t="shared" si="63"/>
        <v>7</v>
      </c>
      <c r="AH53" s="6">
        <f t="shared" si="3"/>
        <v>5497</v>
      </c>
      <c r="AI53" s="16"/>
      <c r="AJ53" s="9" t="str">
        <f>IFERROR(__xludf.DUMMYFUNCTION("REGEXREPLACE(AR53,CONCATENATE(""["",BY53,""]""),"""")"),"d")</f>
        <v>d</v>
      </c>
      <c r="AK53" s="10" t="str">
        <f>IFERROR(__xludf.DUMMYFUNCTION("FILTER($K53:$T53,len($K53:$T53)=6,NOT($K53:$T53=BY53))"),"gdecfa")</f>
        <v>gdecfa</v>
      </c>
      <c r="AL53" s="6" t="str">
        <f>IFERROR(__xludf.DUMMYFUNCTION("""COMPUTED_VALUE"""),"dcfeab")</f>
        <v>dcfeab</v>
      </c>
      <c r="AM53" s="6" t="str">
        <f>IFERROR(__xludf.DUMMYFUNCTION("REGEXREPLACE( $BG53, CONCATENATE(""["",AK53,""]""), """")"),"")</f>
        <v/>
      </c>
      <c r="AN53" s="6" t="str">
        <f>IFERROR(__xludf.DUMMYFUNCTION("REGEXREPLACE( $BG53, CONCATENATE(""["",AL53,""]""), """")"),"g")</f>
        <v>g</v>
      </c>
      <c r="AO53" s="11" t="str">
        <f t="shared" si="4"/>
        <v>dcfeab</v>
      </c>
      <c r="AP53" s="12" t="str">
        <f>IFERROR(__xludf.DUMMYFUNCTION("CONCATENATE(SORT(TRANSPOSE(SPLIT(REGEXREPLACE(REGEXREPLACE(AO53&amp;"""",""(?s)(.{1})"",""$1""&amp;CHAR(127)),""'"",""''""),CHAR(127))),1,true),""1"")"),"abcdef1")</f>
        <v>abcdef1</v>
      </c>
      <c r="AQ53" s="16"/>
      <c r="AR53" s="12" t="str">
        <f t="shared" si="5"/>
        <v>dc</v>
      </c>
      <c r="AS53" s="12" t="str">
        <f>IFERROR(__xludf.DUMMYFUNCTION("CONCATENATE(SORT(TRANSPOSE(SPLIT(REGEXREPLACE(REGEXREPLACE(AR53&amp;"""",""(?s)(.{1})"",""$1""&amp;CHAR(127)),""'"",""''""),CHAR(127))),1,true),""1"")"),"cd1")</f>
        <v>cd1</v>
      </c>
      <c r="AT53" s="16"/>
      <c r="AU53" s="13" t="str">
        <f>IFERROR(__xludf.DUMMYFUNCTION("FILTER($K53:$T53,len($K53:$T53)=5,NOT($K53:$T53=BD53),NOT($K53:$T53=BP53))"),"gabed")</f>
        <v>gabed</v>
      </c>
      <c r="AV53" s="12" t="str">
        <f>IFERROR(__xludf.DUMMYFUNCTION("CONCATENATE(SORT(TRANSPOSE(SPLIT(REGEXREPLACE(REGEXREPLACE(AU53&amp;"""",""(?s)(.{1})"",""$1""&amp;CHAR(127)),""'"",""''""),CHAR(127))),1,true),""1"")"),"abdeg1")</f>
        <v>abdeg1</v>
      </c>
      <c r="AW53" s="16"/>
      <c r="AX53" s="10" t="str">
        <f>IFERROR(__xludf.DUMMYFUNCTION("FILTER($K53:$T53,len($K53:$T53)=5)"),"ecadg")</f>
        <v>ecadg</v>
      </c>
      <c r="AY53" s="6" t="str">
        <f>IFERROR(__xludf.DUMMYFUNCTION("""COMPUTED_VALUE"""),"cefga")</f>
        <v>cefga</v>
      </c>
      <c r="AZ53" s="6" t="str">
        <f>IFERROR(__xludf.DUMMYFUNCTION("""COMPUTED_VALUE"""),"gabed")</f>
        <v>gabed</v>
      </c>
      <c r="BA53" s="6" t="str">
        <f>IFERROR(__xludf.DUMMYFUNCTION("REGEXREPLACE( $AR53, CONCATENATE(""["",AX53,""]""), """")"),"")</f>
        <v/>
      </c>
      <c r="BB53" s="6" t="str">
        <f>IFERROR(__xludf.DUMMYFUNCTION("REGEXREPLACE( $AR53, CONCATENATE(""["",AY53,""]""), """")"),"d")</f>
        <v>d</v>
      </c>
      <c r="BC53" s="6" t="str">
        <f>IFERROR(__xludf.DUMMYFUNCTION("REGEXREPLACE( $AR53, CONCATENATE(""["",AZ53,""]""), """")"),"c")</f>
        <v>c</v>
      </c>
      <c r="BD53" s="11" t="str">
        <f t="shared" si="6"/>
        <v>ecadg</v>
      </c>
      <c r="BE53" s="12" t="str">
        <f>IFERROR(__xludf.DUMMYFUNCTION("CONCATENATE(SORT(TRANSPOSE(SPLIT(REGEXREPLACE(REGEXREPLACE(BD53&amp;"""",""(?s)(.{1})"",""$1""&amp;CHAR(127)),""'"",""''""),CHAR(127))),1,true),""1"")"),"acdeg1")</f>
        <v>acdeg1</v>
      </c>
      <c r="BF53" s="16"/>
      <c r="BG53" s="12" t="str">
        <f t="shared" si="7"/>
        <v>cgfd</v>
      </c>
      <c r="BH53" s="12" t="str">
        <f>IFERROR(__xludf.DUMMYFUNCTION("CONCATENATE(SORT(TRANSPOSE(SPLIT(REGEXREPLACE(REGEXREPLACE(BG53&amp;"""",""(?s)(.{1})"",""$1""&amp;CHAR(127)),""'"",""''""),CHAR(127))),1,true),""1"")"),"cdfg1")</f>
        <v>cdfg1</v>
      </c>
      <c r="BI53" s="16"/>
      <c r="BJ53" s="10" t="str">
        <f>IFERROR(__xludf.DUMMYFUNCTION("FILTER($K53:$T53,len($K53:$T53)=5)"),"ecadg")</f>
        <v>ecadg</v>
      </c>
      <c r="BK53" s="6" t="str">
        <f>IFERROR(__xludf.DUMMYFUNCTION("""COMPUTED_VALUE"""),"cefga")</f>
        <v>cefga</v>
      </c>
      <c r="BL53" s="6" t="str">
        <f>IFERROR(__xludf.DUMMYFUNCTION("""COMPUTED_VALUE"""),"gabed")</f>
        <v>gabed</v>
      </c>
      <c r="BM53" s="14" t="str">
        <f>IFERROR(__xludf.DUMMYFUNCTION("REGEXREPLACE( $BY53, CONCATENATE(""["",BJ53,""]""), """")"),"fb")</f>
        <v>fb</v>
      </c>
      <c r="BN53" s="14" t="str">
        <f>IFERROR(__xludf.DUMMYFUNCTION("REGEXREPLACE( $BY53, CONCATENATE(""["",BK53,""]""), """")"),"b")</f>
        <v>b</v>
      </c>
      <c r="BO53" s="14" t="str">
        <f>IFERROR(__xludf.DUMMYFUNCTION("REGEXREPLACE( $BY53, CONCATENATE(""["",BL53,""]""), """")"),"fc")</f>
        <v>fc</v>
      </c>
      <c r="BP53" s="11" t="str">
        <f t="shared" si="8"/>
        <v>cefga</v>
      </c>
      <c r="BQ53" s="12" t="str">
        <f>IFERROR(__xludf.DUMMYFUNCTION("CONCATENATE(SORT(TRANSPOSE(SPLIT(REGEXREPLACE(REGEXREPLACE(BP53&amp;"""",""(?s)(.{1})"",""$1""&amp;CHAR(127)),""'"",""''""),CHAR(127))),1,true),""1"")"),"acefg1")</f>
        <v>acefg1</v>
      </c>
      <c r="BR53" s="16"/>
      <c r="BS53" s="10" t="str">
        <f>IFERROR(__xludf.DUMMYFUNCTION("FILTER(K53:T53,len(K53:T53)=6)"),"gdecfa")</f>
        <v>gdecfa</v>
      </c>
      <c r="BT53" s="6" t="str">
        <f>IFERROR(__xludf.DUMMYFUNCTION("""COMPUTED_VALUE"""),"efbgac")</f>
        <v>efbgac</v>
      </c>
      <c r="BU53" s="6" t="str">
        <f>IFERROR(__xludf.DUMMYFUNCTION("""COMPUTED_VALUE"""),"dcfeab")</f>
        <v>dcfeab</v>
      </c>
      <c r="BV53" s="6" t="str">
        <f>IFERROR(__xludf.DUMMYFUNCTION("REGEXREPLACE( $AR53, CONCATENATE(""["",BS53,""]""), """")"),"")</f>
        <v/>
      </c>
      <c r="BW53" s="6" t="str">
        <f>IFERROR(__xludf.DUMMYFUNCTION("REGEXREPLACE( $AR53, CONCATENATE(""["",BT53,""]""), """")"),"d")</f>
        <v>d</v>
      </c>
      <c r="BX53" s="6" t="str">
        <f>IFERROR(__xludf.DUMMYFUNCTION("REGEXREPLACE( $AR53, CONCATENATE(""["",BU53,""]""), """")"),"")</f>
        <v/>
      </c>
      <c r="BY53" s="12" t="str">
        <f t="shared" si="9"/>
        <v>efbgac</v>
      </c>
      <c r="BZ53" s="12" t="str">
        <f>IFERROR(__xludf.DUMMYFUNCTION("CONCATENATE(SORT(TRANSPOSE(SPLIT(REGEXREPLACE(REGEXREPLACE(BY53&amp;"""",""(?s)(.{1})"",""$1""&amp;CHAR(127)),""'"",""''""),CHAR(127))),1,true),""1"")"),"abcefg1")</f>
        <v>abcefg1</v>
      </c>
      <c r="CA53" s="16"/>
      <c r="CB53" s="12" t="str">
        <f t="shared" si="10"/>
        <v>dca</v>
      </c>
      <c r="CC53" s="12" t="str">
        <f>IFERROR(__xludf.DUMMYFUNCTION("CONCATENATE(SORT(TRANSPOSE(SPLIT(REGEXREPLACE(REGEXREPLACE(CB53&amp;"""",""(?s)(.{1})"",""$1""&amp;CHAR(127)),""'"",""''""),CHAR(127))),1,true),""1"")"),"acd1")</f>
        <v>acd1</v>
      </c>
      <c r="CD53" s="16"/>
      <c r="CE53" s="12" t="str">
        <f t="shared" si="11"/>
        <v>feadbgc</v>
      </c>
      <c r="CF53" s="12" t="str">
        <f>IFERROR(__xludf.DUMMYFUNCTION("CONCATENATE(SORT(TRANSPOSE(SPLIT(REGEXREPLACE(REGEXREPLACE(CE53&amp;"""",""(?s)(.{1})"",""$1""&amp;CHAR(127)),""'"",""''""),CHAR(127))),1,true),""1"")"),"abcdefg1")</f>
        <v>abcdefg1</v>
      </c>
      <c r="CG53" s="16"/>
      <c r="CH53" s="10" t="str">
        <f>IFERROR(__xludf.DUMMYFUNCTION("FILTER(K53:T53,len(K53:T53)=6)"),"gdecfa")</f>
        <v>gdecfa</v>
      </c>
      <c r="CI53" s="6" t="str">
        <f>IFERROR(__xludf.DUMMYFUNCTION("""COMPUTED_VALUE"""),"efbgac")</f>
        <v>efbgac</v>
      </c>
      <c r="CJ53" s="6" t="str">
        <f>IFERROR(__xludf.DUMMYFUNCTION("""COMPUTED_VALUE"""),"dcfeab")</f>
        <v>dcfeab</v>
      </c>
      <c r="CK53" s="6" t="str">
        <f>IFERROR(__xludf.DUMMYFUNCTION("REGEXREPLACE( $BG53, CONCATENATE(""["",CH53,""]""), """")"),"")</f>
        <v/>
      </c>
      <c r="CL53" s="6" t="str">
        <f>IFERROR(__xludf.DUMMYFUNCTION("REGEXREPLACE( $BG53, CONCATENATE(""["",CI53,""]""), """")"),"d")</f>
        <v>d</v>
      </c>
      <c r="CM53" s="6" t="str">
        <f>IFERROR(__xludf.DUMMYFUNCTION("REGEXREPLACE( $BG53, CONCATENATE(""["",CJ53,""]""), """")"),"g")</f>
        <v>g</v>
      </c>
      <c r="CN53" s="12" t="str">
        <f t="shared" si="12"/>
        <v>gdecfa</v>
      </c>
      <c r="CO53" s="12" t="str">
        <f>IFERROR(__xludf.DUMMYFUNCTION("CONCATENATE(SORT(TRANSPOSE(SPLIT(REGEXREPLACE(REGEXREPLACE(CN53&amp;"""",""(?s)(.{1})"",""$1""&amp;CHAR(127)),""'"",""''""),CHAR(127))),1,true),""1"")"),"acdefg1")</f>
        <v>acdefg1</v>
      </c>
      <c r="CP53" s="15"/>
    </row>
    <row r="54">
      <c r="A54" s="1" t="s">
        <v>74</v>
      </c>
      <c r="H54" s="6" t="str">
        <f>IFERROR(__xludf.DUMMYFUNCTION("SPLIT(A54,""|"")"),"cdbag aecb ca bgecad dac dgbfc debfga adegfc abdge adefbcg ")</f>
        <v>cdbag aecb ca bgecad dac dgbfc debfga adegfc abdge adefbcg </v>
      </c>
      <c r="I54" s="6" t="str">
        <f>IFERROR(__xludf.DUMMYFUNCTION("""COMPUTED_VALUE""")," dac cdgba gedafc ac")</f>
        <v> dac cdgba gedafc ac</v>
      </c>
      <c r="J54" s="15"/>
      <c r="K54" s="6" t="str">
        <f>IFERROR(__xludf.DUMMYFUNCTION("split(H54,"" "")"),"cdbag")</f>
        <v>cdbag</v>
      </c>
      <c r="L54" s="6" t="str">
        <f>IFERROR(__xludf.DUMMYFUNCTION("""COMPUTED_VALUE"""),"aecb")</f>
        <v>aecb</v>
      </c>
      <c r="M54" s="6" t="str">
        <f>IFERROR(__xludf.DUMMYFUNCTION("""COMPUTED_VALUE"""),"ca")</f>
        <v>ca</v>
      </c>
      <c r="N54" s="6" t="str">
        <f>IFERROR(__xludf.DUMMYFUNCTION("""COMPUTED_VALUE"""),"bgecad")</f>
        <v>bgecad</v>
      </c>
      <c r="O54" s="6" t="str">
        <f>IFERROR(__xludf.DUMMYFUNCTION("""COMPUTED_VALUE"""),"dac")</f>
        <v>dac</v>
      </c>
      <c r="P54" s="6" t="str">
        <f>IFERROR(__xludf.DUMMYFUNCTION("""COMPUTED_VALUE"""),"dgbfc")</f>
        <v>dgbfc</v>
      </c>
      <c r="Q54" s="6" t="str">
        <f>IFERROR(__xludf.DUMMYFUNCTION("""COMPUTED_VALUE"""),"debfga")</f>
        <v>debfga</v>
      </c>
      <c r="R54" s="6" t="str">
        <f>IFERROR(__xludf.DUMMYFUNCTION("""COMPUTED_VALUE"""),"adegfc")</f>
        <v>adegfc</v>
      </c>
      <c r="S54" s="6" t="str">
        <f>IFERROR(__xludf.DUMMYFUNCTION("""COMPUTED_VALUE"""),"abdge")</f>
        <v>abdge</v>
      </c>
      <c r="T54" s="6" t="str">
        <f>IFERROR(__xludf.DUMMYFUNCTION("""COMPUTED_VALUE"""),"adefbcg")</f>
        <v>adefbcg</v>
      </c>
      <c r="U54" s="15"/>
      <c r="V54" s="6" t="str">
        <f>IFERROR(__xludf.DUMMYFUNCTION("split(I54,"" "")"),"dac")</f>
        <v>dac</v>
      </c>
      <c r="W54" s="6" t="str">
        <f>IFERROR(__xludf.DUMMYFUNCTION("""COMPUTED_VALUE"""),"cdgba")</f>
        <v>cdgba</v>
      </c>
      <c r="X54" s="6" t="str">
        <f>IFERROR(__xludf.DUMMYFUNCTION("""COMPUTED_VALUE"""),"gedafc")</f>
        <v>gedafc</v>
      </c>
      <c r="Y54" s="6" t="str">
        <f>IFERROR(__xludf.DUMMYFUNCTION("""COMPUTED_VALUE"""),"ac")</f>
        <v>ac</v>
      </c>
      <c r="Z54" s="6" t="str">
        <f>IFERROR(__xludf.DUMMYFUNCTION("CONCATENATE(SORT(TRANSPOSE(SPLIT(REGEXREPLACE(REGEXREPLACE(V54&amp;"""",""(?s)(.{1})"",""$1""&amp;CHAR(127)),""'"",""''""),CHAR(127))),1,true))"),"acd")</f>
        <v>acd</v>
      </c>
      <c r="AA54" s="6" t="str">
        <f>IFERROR(__xludf.DUMMYFUNCTION("CONCATENATE(SORT(TRANSPOSE(SPLIT(REGEXREPLACE(REGEXREPLACE(W54&amp;"""",""(?s)(.{1})"",""$1""&amp;CHAR(127)),""'"",""''""),CHAR(127))),1,true))"),"abcdg")</f>
        <v>abcdg</v>
      </c>
      <c r="AB54" s="6" t="str">
        <f>IFERROR(__xludf.DUMMYFUNCTION("CONCATENATE(SORT(TRANSPOSE(SPLIT(REGEXREPLACE(REGEXREPLACE(X54&amp;"""",""(?s)(.{1})"",""$1""&amp;CHAR(127)),""'"",""''""),CHAR(127))),1,true))"),"acdefg")</f>
        <v>acdefg</v>
      </c>
      <c r="AC54" s="6" t="str">
        <f>IFERROR(__xludf.DUMMYFUNCTION("CONCATENATE(SORT(TRANSPOSE(SPLIT(REGEXREPLACE(REGEXREPLACE(Y54&amp;"""",""(?s)(.{1})"",""$1""&amp;CHAR(127)),""'"",""''""),CHAR(127))),1,true))"),"ac")</f>
        <v>ac</v>
      </c>
      <c r="AD54" s="6">
        <f t="shared" ref="AD54:AG54" si="64">INDEX($AO$1:$CP$1,1,MATCH(CONCATENATE(Z54,"1"),$AO54:$CP54,0)+1)</f>
        <v>7</v>
      </c>
      <c r="AE54" s="6">
        <f t="shared" si="64"/>
        <v>3</v>
      </c>
      <c r="AF54" s="6">
        <f t="shared" si="64"/>
        <v>0</v>
      </c>
      <c r="AG54" s="6">
        <f t="shared" si="64"/>
        <v>1</v>
      </c>
      <c r="AH54" s="6">
        <f t="shared" si="3"/>
        <v>7301</v>
      </c>
      <c r="AI54" s="16"/>
      <c r="AJ54" s="9" t="str">
        <f>IFERROR(__xludf.DUMMYFUNCTION("REGEXREPLACE(AR54,CONCATENATE(""["",BY54,""]""),"""")"),"c")</f>
        <v>c</v>
      </c>
      <c r="AK54" s="10" t="str">
        <f>IFERROR(__xludf.DUMMYFUNCTION("FILTER($K54:$T54,len($K54:$T54)=6,NOT($K54:$T54=BY54))"),"bgecad")</f>
        <v>bgecad</v>
      </c>
      <c r="AL54" s="6" t="str">
        <f>IFERROR(__xludf.DUMMYFUNCTION("""COMPUTED_VALUE"""),"adegfc")</f>
        <v>adegfc</v>
      </c>
      <c r="AM54" s="6" t="str">
        <f>IFERROR(__xludf.DUMMYFUNCTION("REGEXREPLACE( $BG54, CONCATENATE(""["",AK54,""]""), """")"),"")</f>
        <v/>
      </c>
      <c r="AN54" s="6" t="str">
        <f>IFERROR(__xludf.DUMMYFUNCTION("REGEXREPLACE( $BG54, CONCATENATE(""["",AL54,""]""), """")"),"b")</f>
        <v>b</v>
      </c>
      <c r="AO54" s="11" t="str">
        <f t="shared" si="4"/>
        <v>adegfc</v>
      </c>
      <c r="AP54" s="12" t="str">
        <f>IFERROR(__xludf.DUMMYFUNCTION("CONCATENATE(SORT(TRANSPOSE(SPLIT(REGEXREPLACE(REGEXREPLACE(AO54&amp;"""",""(?s)(.{1})"",""$1""&amp;CHAR(127)),""'"",""''""),CHAR(127))),1,true),""1"")"),"acdefg1")</f>
        <v>acdefg1</v>
      </c>
      <c r="AQ54" s="16"/>
      <c r="AR54" s="12" t="str">
        <f t="shared" si="5"/>
        <v>ca</v>
      </c>
      <c r="AS54" s="12" t="str">
        <f>IFERROR(__xludf.DUMMYFUNCTION("CONCATENATE(SORT(TRANSPOSE(SPLIT(REGEXREPLACE(REGEXREPLACE(AR54&amp;"""",""(?s)(.{1})"",""$1""&amp;CHAR(127)),""'"",""''""),CHAR(127))),1,true),""1"")"),"ac1")</f>
        <v>ac1</v>
      </c>
      <c r="AT54" s="16"/>
      <c r="AU54" s="13" t="str">
        <f>IFERROR(__xludf.DUMMYFUNCTION("FILTER($K54:$T54,len($K54:$T54)=5,NOT($K54:$T54=BD54),NOT($K54:$T54=BP54))"),"dgbfc")</f>
        <v>dgbfc</v>
      </c>
      <c r="AV54" s="12" t="str">
        <f>IFERROR(__xludf.DUMMYFUNCTION("CONCATENATE(SORT(TRANSPOSE(SPLIT(REGEXREPLACE(REGEXREPLACE(AU54&amp;"""",""(?s)(.{1})"",""$1""&amp;CHAR(127)),""'"",""''""),CHAR(127))),1,true),""1"")"),"bcdfg1")</f>
        <v>bcdfg1</v>
      </c>
      <c r="AW54" s="16"/>
      <c r="AX54" s="10" t="str">
        <f>IFERROR(__xludf.DUMMYFUNCTION("FILTER($K54:$T54,len($K54:$T54)=5)"),"cdbag")</f>
        <v>cdbag</v>
      </c>
      <c r="AY54" s="6" t="str">
        <f>IFERROR(__xludf.DUMMYFUNCTION("""COMPUTED_VALUE"""),"dgbfc")</f>
        <v>dgbfc</v>
      </c>
      <c r="AZ54" s="6" t="str">
        <f>IFERROR(__xludf.DUMMYFUNCTION("""COMPUTED_VALUE"""),"abdge")</f>
        <v>abdge</v>
      </c>
      <c r="BA54" s="6" t="str">
        <f>IFERROR(__xludf.DUMMYFUNCTION("REGEXREPLACE( $AR54, CONCATENATE(""["",AX54,""]""), """")"),"")</f>
        <v/>
      </c>
      <c r="BB54" s="6" t="str">
        <f>IFERROR(__xludf.DUMMYFUNCTION("REGEXREPLACE( $AR54, CONCATENATE(""["",AY54,""]""), """")"),"a")</f>
        <v>a</v>
      </c>
      <c r="BC54" s="6" t="str">
        <f>IFERROR(__xludf.DUMMYFUNCTION("REGEXREPLACE( $AR54, CONCATENATE(""["",AZ54,""]""), """")"),"c")</f>
        <v>c</v>
      </c>
      <c r="BD54" s="11" t="str">
        <f t="shared" si="6"/>
        <v>cdbag</v>
      </c>
      <c r="BE54" s="12" t="str">
        <f>IFERROR(__xludf.DUMMYFUNCTION("CONCATENATE(SORT(TRANSPOSE(SPLIT(REGEXREPLACE(REGEXREPLACE(BD54&amp;"""",""(?s)(.{1})"",""$1""&amp;CHAR(127)),""'"",""''""),CHAR(127))),1,true),""1"")"),"abcdg1")</f>
        <v>abcdg1</v>
      </c>
      <c r="BF54" s="16"/>
      <c r="BG54" s="12" t="str">
        <f t="shared" si="7"/>
        <v>aecb</v>
      </c>
      <c r="BH54" s="12" t="str">
        <f>IFERROR(__xludf.DUMMYFUNCTION("CONCATENATE(SORT(TRANSPOSE(SPLIT(REGEXREPLACE(REGEXREPLACE(BG54&amp;"""",""(?s)(.{1})"",""$1""&amp;CHAR(127)),""'"",""''""),CHAR(127))),1,true),""1"")"),"abce1")</f>
        <v>abce1</v>
      </c>
      <c r="BI54" s="16"/>
      <c r="BJ54" s="10" t="str">
        <f>IFERROR(__xludf.DUMMYFUNCTION("FILTER($K54:$T54,len($K54:$T54)=5)"),"cdbag")</f>
        <v>cdbag</v>
      </c>
      <c r="BK54" s="6" t="str">
        <f>IFERROR(__xludf.DUMMYFUNCTION("""COMPUTED_VALUE"""),"dgbfc")</f>
        <v>dgbfc</v>
      </c>
      <c r="BL54" s="6" t="str">
        <f>IFERROR(__xludf.DUMMYFUNCTION("""COMPUTED_VALUE"""),"abdge")</f>
        <v>abdge</v>
      </c>
      <c r="BM54" s="14" t="str">
        <f>IFERROR(__xludf.DUMMYFUNCTION("REGEXREPLACE( $BY54, CONCATENATE(""["",BJ54,""]""), """")"),"ef")</f>
        <v>ef</v>
      </c>
      <c r="BN54" s="14" t="str">
        <f>IFERROR(__xludf.DUMMYFUNCTION("REGEXREPLACE( $BY54, CONCATENATE(""["",BK54,""]""), """")"),"ea")</f>
        <v>ea</v>
      </c>
      <c r="BO54" s="14" t="str">
        <f>IFERROR(__xludf.DUMMYFUNCTION("REGEXREPLACE( $BY54, CONCATENATE(""["",BL54,""]""), """")"),"f")</f>
        <v>f</v>
      </c>
      <c r="BP54" s="11" t="str">
        <f t="shared" si="8"/>
        <v>abdge</v>
      </c>
      <c r="BQ54" s="12" t="str">
        <f>IFERROR(__xludf.DUMMYFUNCTION("CONCATENATE(SORT(TRANSPOSE(SPLIT(REGEXREPLACE(REGEXREPLACE(BP54&amp;"""",""(?s)(.{1})"",""$1""&amp;CHAR(127)),""'"",""''""),CHAR(127))),1,true),""1"")"),"abdeg1")</f>
        <v>abdeg1</v>
      </c>
      <c r="BR54" s="16"/>
      <c r="BS54" s="10" t="str">
        <f>IFERROR(__xludf.DUMMYFUNCTION("FILTER(K54:T54,len(K54:T54)=6)"),"bgecad")</f>
        <v>bgecad</v>
      </c>
      <c r="BT54" s="6" t="str">
        <f>IFERROR(__xludf.DUMMYFUNCTION("""COMPUTED_VALUE"""),"debfga")</f>
        <v>debfga</v>
      </c>
      <c r="BU54" s="6" t="str">
        <f>IFERROR(__xludf.DUMMYFUNCTION("""COMPUTED_VALUE"""),"adegfc")</f>
        <v>adegfc</v>
      </c>
      <c r="BV54" s="6" t="str">
        <f>IFERROR(__xludf.DUMMYFUNCTION("REGEXREPLACE( $AR54, CONCATENATE(""["",BS54,""]""), """")"),"")</f>
        <v/>
      </c>
      <c r="BW54" s="6" t="str">
        <f>IFERROR(__xludf.DUMMYFUNCTION("REGEXREPLACE( $AR54, CONCATENATE(""["",BT54,""]""), """")"),"c")</f>
        <v>c</v>
      </c>
      <c r="BX54" s="6" t="str">
        <f>IFERROR(__xludf.DUMMYFUNCTION("REGEXREPLACE( $AR54, CONCATENATE(""["",BU54,""]""), """")"),"")</f>
        <v/>
      </c>
      <c r="BY54" s="12" t="str">
        <f t="shared" si="9"/>
        <v>debfga</v>
      </c>
      <c r="BZ54" s="12" t="str">
        <f>IFERROR(__xludf.DUMMYFUNCTION("CONCATENATE(SORT(TRANSPOSE(SPLIT(REGEXREPLACE(REGEXREPLACE(BY54&amp;"""",""(?s)(.{1})"",""$1""&amp;CHAR(127)),""'"",""''""),CHAR(127))),1,true),""1"")"),"abdefg1")</f>
        <v>abdefg1</v>
      </c>
      <c r="CA54" s="16"/>
      <c r="CB54" s="12" t="str">
        <f t="shared" si="10"/>
        <v>dac</v>
      </c>
      <c r="CC54" s="12" t="str">
        <f>IFERROR(__xludf.DUMMYFUNCTION("CONCATENATE(SORT(TRANSPOSE(SPLIT(REGEXREPLACE(REGEXREPLACE(CB54&amp;"""",""(?s)(.{1})"",""$1""&amp;CHAR(127)),""'"",""''""),CHAR(127))),1,true),""1"")"),"acd1")</f>
        <v>acd1</v>
      </c>
      <c r="CD54" s="16"/>
      <c r="CE54" s="12" t="str">
        <f t="shared" si="11"/>
        <v>adefbcg</v>
      </c>
      <c r="CF54" s="12" t="str">
        <f>IFERROR(__xludf.DUMMYFUNCTION("CONCATENATE(SORT(TRANSPOSE(SPLIT(REGEXREPLACE(REGEXREPLACE(CE54&amp;"""",""(?s)(.{1})"",""$1""&amp;CHAR(127)),""'"",""''""),CHAR(127))),1,true),""1"")"),"abcdefg1")</f>
        <v>abcdefg1</v>
      </c>
      <c r="CG54" s="16"/>
      <c r="CH54" s="10" t="str">
        <f>IFERROR(__xludf.DUMMYFUNCTION("FILTER(K54:T54,len(K54:T54)=6)"),"bgecad")</f>
        <v>bgecad</v>
      </c>
      <c r="CI54" s="6" t="str">
        <f>IFERROR(__xludf.DUMMYFUNCTION("""COMPUTED_VALUE"""),"debfga")</f>
        <v>debfga</v>
      </c>
      <c r="CJ54" s="6" t="str">
        <f>IFERROR(__xludf.DUMMYFUNCTION("""COMPUTED_VALUE"""),"adegfc")</f>
        <v>adegfc</v>
      </c>
      <c r="CK54" s="6" t="str">
        <f>IFERROR(__xludf.DUMMYFUNCTION("REGEXREPLACE( $BG54, CONCATENATE(""["",CH54,""]""), """")"),"")</f>
        <v/>
      </c>
      <c r="CL54" s="6" t="str">
        <f>IFERROR(__xludf.DUMMYFUNCTION("REGEXREPLACE( $BG54, CONCATENATE(""["",CI54,""]""), """")"),"c")</f>
        <v>c</v>
      </c>
      <c r="CM54" s="6" t="str">
        <f>IFERROR(__xludf.DUMMYFUNCTION("REGEXREPLACE( $BG54, CONCATENATE(""["",CJ54,""]""), """")"),"b")</f>
        <v>b</v>
      </c>
      <c r="CN54" s="12" t="str">
        <f t="shared" si="12"/>
        <v>bgecad</v>
      </c>
      <c r="CO54" s="12" t="str">
        <f>IFERROR(__xludf.DUMMYFUNCTION("CONCATENATE(SORT(TRANSPOSE(SPLIT(REGEXREPLACE(REGEXREPLACE(CN54&amp;"""",""(?s)(.{1})"",""$1""&amp;CHAR(127)),""'"",""''""),CHAR(127))),1,true),""1"")"),"abcdeg1")</f>
        <v>abcdeg1</v>
      </c>
      <c r="CP54" s="15"/>
    </row>
    <row r="55">
      <c r="A55" s="1" t="s">
        <v>75</v>
      </c>
      <c r="H55" s="6" t="str">
        <f>IFERROR(__xludf.DUMMYFUNCTION("SPLIT(A55,""|"")"),"cdbfeg abe dbcafge eacfg ba cbfde bcafe eafgdb acbd fedbac ")</f>
        <v>cdbfeg abe dbcafge eacfg ba cbfde bcafe eafgdb acbd fedbac </v>
      </c>
      <c r="I55" s="6" t="str">
        <f>IFERROR(__xludf.DUMMYFUNCTION("""COMPUTED_VALUE""")," fcbdage abe eab eab")</f>
        <v> fcbdage abe eab eab</v>
      </c>
      <c r="J55" s="15"/>
      <c r="K55" s="6" t="str">
        <f>IFERROR(__xludf.DUMMYFUNCTION("split(H55,"" "")"),"cdbfeg")</f>
        <v>cdbfeg</v>
      </c>
      <c r="L55" s="6" t="str">
        <f>IFERROR(__xludf.DUMMYFUNCTION("""COMPUTED_VALUE"""),"abe")</f>
        <v>abe</v>
      </c>
      <c r="M55" s="6" t="str">
        <f>IFERROR(__xludf.DUMMYFUNCTION("""COMPUTED_VALUE"""),"dbcafge")</f>
        <v>dbcafge</v>
      </c>
      <c r="N55" s="6" t="str">
        <f>IFERROR(__xludf.DUMMYFUNCTION("""COMPUTED_VALUE"""),"eacfg")</f>
        <v>eacfg</v>
      </c>
      <c r="O55" s="6" t="str">
        <f>IFERROR(__xludf.DUMMYFUNCTION("""COMPUTED_VALUE"""),"ba")</f>
        <v>ba</v>
      </c>
      <c r="P55" s="6" t="str">
        <f>IFERROR(__xludf.DUMMYFUNCTION("""COMPUTED_VALUE"""),"cbfde")</f>
        <v>cbfde</v>
      </c>
      <c r="Q55" s="6" t="str">
        <f>IFERROR(__xludf.DUMMYFUNCTION("""COMPUTED_VALUE"""),"bcafe")</f>
        <v>bcafe</v>
      </c>
      <c r="R55" s="6" t="str">
        <f>IFERROR(__xludf.DUMMYFUNCTION("""COMPUTED_VALUE"""),"eafgdb")</f>
        <v>eafgdb</v>
      </c>
      <c r="S55" s="6" t="str">
        <f>IFERROR(__xludf.DUMMYFUNCTION("""COMPUTED_VALUE"""),"acbd")</f>
        <v>acbd</v>
      </c>
      <c r="T55" s="6" t="str">
        <f>IFERROR(__xludf.DUMMYFUNCTION("""COMPUTED_VALUE"""),"fedbac")</f>
        <v>fedbac</v>
      </c>
      <c r="U55" s="15"/>
      <c r="V55" s="6" t="str">
        <f>IFERROR(__xludf.DUMMYFUNCTION("split(I55,"" "")"),"fcbdage")</f>
        <v>fcbdage</v>
      </c>
      <c r="W55" s="6" t="str">
        <f>IFERROR(__xludf.DUMMYFUNCTION("""COMPUTED_VALUE"""),"abe")</f>
        <v>abe</v>
      </c>
      <c r="X55" s="6" t="str">
        <f>IFERROR(__xludf.DUMMYFUNCTION("""COMPUTED_VALUE"""),"eab")</f>
        <v>eab</v>
      </c>
      <c r="Y55" s="6" t="str">
        <f>IFERROR(__xludf.DUMMYFUNCTION("""COMPUTED_VALUE"""),"eab")</f>
        <v>eab</v>
      </c>
      <c r="Z55" s="6" t="str">
        <f>IFERROR(__xludf.DUMMYFUNCTION("CONCATENATE(SORT(TRANSPOSE(SPLIT(REGEXREPLACE(REGEXREPLACE(V55&amp;"""",""(?s)(.{1})"",""$1""&amp;CHAR(127)),""'"",""''""),CHAR(127))),1,true))"),"abcdefg")</f>
        <v>abcdefg</v>
      </c>
      <c r="AA55" s="6" t="str">
        <f>IFERROR(__xludf.DUMMYFUNCTION("CONCATENATE(SORT(TRANSPOSE(SPLIT(REGEXREPLACE(REGEXREPLACE(W55&amp;"""",""(?s)(.{1})"",""$1""&amp;CHAR(127)),""'"",""''""),CHAR(127))),1,true))"),"abe")</f>
        <v>abe</v>
      </c>
      <c r="AB55" s="6" t="str">
        <f>IFERROR(__xludf.DUMMYFUNCTION("CONCATENATE(SORT(TRANSPOSE(SPLIT(REGEXREPLACE(REGEXREPLACE(X55&amp;"""",""(?s)(.{1})"",""$1""&amp;CHAR(127)),""'"",""''""),CHAR(127))),1,true))"),"abe")</f>
        <v>abe</v>
      </c>
      <c r="AC55" s="6" t="str">
        <f>IFERROR(__xludf.DUMMYFUNCTION("CONCATENATE(SORT(TRANSPOSE(SPLIT(REGEXREPLACE(REGEXREPLACE(Y55&amp;"""",""(?s)(.{1})"",""$1""&amp;CHAR(127)),""'"",""''""),CHAR(127))),1,true))"),"abe")</f>
        <v>abe</v>
      </c>
      <c r="AD55" s="6">
        <f t="shared" ref="AD55:AG55" si="65">INDEX($AO$1:$CP$1,1,MATCH(CONCATENATE(Z55,"1"),$AO55:$CP55,0)+1)</f>
        <v>8</v>
      </c>
      <c r="AE55" s="6">
        <f t="shared" si="65"/>
        <v>7</v>
      </c>
      <c r="AF55" s="6">
        <f t="shared" si="65"/>
        <v>7</v>
      </c>
      <c r="AG55" s="6">
        <f t="shared" si="65"/>
        <v>7</v>
      </c>
      <c r="AH55" s="6">
        <f t="shared" si="3"/>
        <v>8777</v>
      </c>
      <c r="AI55" s="16"/>
      <c r="AJ55" s="9" t="str">
        <f>IFERROR(__xludf.DUMMYFUNCTION("REGEXREPLACE(AR55,CONCATENATE(""["",BY55,""]""),"""")"),"a")</f>
        <v>a</v>
      </c>
      <c r="AK55" s="10" t="str">
        <f>IFERROR(__xludf.DUMMYFUNCTION("FILTER($K55:$T55,len($K55:$T55)=6,NOT($K55:$T55=BY55))"),"eafgdb")</f>
        <v>eafgdb</v>
      </c>
      <c r="AL55" s="6" t="str">
        <f>IFERROR(__xludf.DUMMYFUNCTION("""COMPUTED_VALUE"""),"fedbac")</f>
        <v>fedbac</v>
      </c>
      <c r="AM55" s="6" t="str">
        <f>IFERROR(__xludf.DUMMYFUNCTION("REGEXREPLACE( $BG55, CONCATENATE(""["",AK55,""]""), """")"),"c")</f>
        <v>c</v>
      </c>
      <c r="AN55" s="6" t="str">
        <f>IFERROR(__xludf.DUMMYFUNCTION("REGEXREPLACE( $BG55, CONCATENATE(""["",AL55,""]""), """")"),"")</f>
        <v/>
      </c>
      <c r="AO55" s="11" t="str">
        <f t="shared" si="4"/>
        <v>eafgdb</v>
      </c>
      <c r="AP55" s="12" t="str">
        <f>IFERROR(__xludf.DUMMYFUNCTION("CONCATENATE(SORT(TRANSPOSE(SPLIT(REGEXREPLACE(REGEXREPLACE(AO55&amp;"""",""(?s)(.{1})"",""$1""&amp;CHAR(127)),""'"",""''""),CHAR(127))),1,true),""1"")"),"abdefg1")</f>
        <v>abdefg1</v>
      </c>
      <c r="AQ55" s="16"/>
      <c r="AR55" s="12" t="str">
        <f t="shared" si="5"/>
        <v>ba</v>
      </c>
      <c r="AS55" s="12" t="str">
        <f>IFERROR(__xludf.DUMMYFUNCTION("CONCATENATE(SORT(TRANSPOSE(SPLIT(REGEXREPLACE(REGEXREPLACE(AR55&amp;"""",""(?s)(.{1})"",""$1""&amp;CHAR(127)),""'"",""''""),CHAR(127))),1,true),""1"")"),"ab1")</f>
        <v>ab1</v>
      </c>
      <c r="AT55" s="16"/>
      <c r="AU55" s="13" t="str">
        <f>IFERROR(__xludf.DUMMYFUNCTION("FILTER($K55:$T55,len($K55:$T55)=5,NOT($K55:$T55=BD55),NOT($K55:$T55=BP55))"),"eacfg")</f>
        <v>eacfg</v>
      </c>
      <c r="AV55" s="12" t="str">
        <f>IFERROR(__xludf.DUMMYFUNCTION("CONCATENATE(SORT(TRANSPOSE(SPLIT(REGEXREPLACE(REGEXREPLACE(AU55&amp;"""",""(?s)(.{1})"",""$1""&amp;CHAR(127)),""'"",""''""),CHAR(127))),1,true),""1"")"),"acefg1")</f>
        <v>acefg1</v>
      </c>
      <c r="AW55" s="16"/>
      <c r="AX55" s="10" t="str">
        <f>IFERROR(__xludf.DUMMYFUNCTION("FILTER($K55:$T55,len($K55:$T55)=5)"),"eacfg")</f>
        <v>eacfg</v>
      </c>
      <c r="AY55" s="6" t="str">
        <f>IFERROR(__xludf.DUMMYFUNCTION("""COMPUTED_VALUE"""),"cbfde")</f>
        <v>cbfde</v>
      </c>
      <c r="AZ55" s="6" t="str">
        <f>IFERROR(__xludf.DUMMYFUNCTION("""COMPUTED_VALUE"""),"bcafe")</f>
        <v>bcafe</v>
      </c>
      <c r="BA55" s="6" t="str">
        <f>IFERROR(__xludf.DUMMYFUNCTION("REGEXREPLACE( $AR55, CONCATENATE(""["",AX55,""]""), """")"),"b")</f>
        <v>b</v>
      </c>
      <c r="BB55" s="6" t="str">
        <f>IFERROR(__xludf.DUMMYFUNCTION("REGEXREPLACE( $AR55, CONCATENATE(""["",AY55,""]""), """")"),"a")</f>
        <v>a</v>
      </c>
      <c r="BC55" s="6" t="str">
        <f>IFERROR(__xludf.DUMMYFUNCTION("REGEXREPLACE( $AR55, CONCATENATE(""["",AZ55,""]""), """")"),"")</f>
        <v/>
      </c>
      <c r="BD55" s="11" t="str">
        <f t="shared" si="6"/>
        <v>bcafe</v>
      </c>
      <c r="BE55" s="12" t="str">
        <f>IFERROR(__xludf.DUMMYFUNCTION("CONCATENATE(SORT(TRANSPOSE(SPLIT(REGEXREPLACE(REGEXREPLACE(BD55&amp;"""",""(?s)(.{1})"",""$1""&amp;CHAR(127)),""'"",""''""),CHAR(127))),1,true),""1"")"),"abcef1")</f>
        <v>abcef1</v>
      </c>
      <c r="BF55" s="16"/>
      <c r="BG55" s="12" t="str">
        <f t="shared" si="7"/>
        <v>acbd</v>
      </c>
      <c r="BH55" s="12" t="str">
        <f>IFERROR(__xludf.DUMMYFUNCTION("CONCATENATE(SORT(TRANSPOSE(SPLIT(REGEXREPLACE(REGEXREPLACE(BG55&amp;"""",""(?s)(.{1})"",""$1""&amp;CHAR(127)),""'"",""''""),CHAR(127))),1,true),""1"")"),"abcd1")</f>
        <v>abcd1</v>
      </c>
      <c r="BI55" s="16"/>
      <c r="BJ55" s="10" t="str">
        <f>IFERROR(__xludf.DUMMYFUNCTION("FILTER($K55:$T55,len($K55:$T55)=5)"),"eacfg")</f>
        <v>eacfg</v>
      </c>
      <c r="BK55" s="6" t="str">
        <f>IFERROR(__xludf.DUMMYFUNCTION("""COMPUTED_VALUE"""),"cbfde")</f>
        <v>cbfde</v>
      </c>
      <c r="BL55" s="6" t="str">
        <f>IFERROR(__xludf.DUMMYFUNCTION("""COMPUTED_VALUE"""),"bcafe")</f>
        <v>bcafe</v>
      </c>
      <c r="BM55" s="14" t="str">
        <f>IFERROR(__xludf.DUMMYFUNCTION("REGEXREPLACE( $BY55, CONCATENATE(""["",BJ55,""]""), """")"),"db")</f>
        <v>db</v>
      </c>
      <c r="BN55" s="14" t="str">
        <f>IFERROR(__xludf.DUMMYFUNCTION("REGEXREPLACE( $BY55, CONCATENATE(""["",BK55,""]""), """")"),"g")</f>
        <v>g</v>
      </c>
      <c r="BO55" s="14" t="str">
        <f>IFERROR(__xludf.DUMMYFUNCTION("REGEXREPLACE( $BY55, CONCATENATE(""["",BL55,""]""), """")"),"dg")</f>
        <v>dg</v>
      </c>
      <c r="BP55" s="11" t="str">
        <f t="shared" si="8"/>
        <v>cbfde</v>
      </c>
      <c r="BQ55" s="12" t="str">
        <f>IFERROR(__xludf.DUMMYFUNCTION("CONCATENATE(SORT(TRANSPOSE(SPLIT(REGEXREPLACE(REGEXREPLACE(BP55&amp;"""",""(?s)(.{1})"",""$1""&amp;CHAR(127)),""'"",""''""),CHAR(127))),1,true),""1"")"),"bcdef1")</f>
        <v>bcdef1</v>
      </c>
      <c r="BR55" s="16"/>
      <c r="BS55" s="10" t="str">
        <f>IFERROR(__xludf.DUMMYFUNCTION("FILTER(K55:T55,len(K55:T55)=6)"),"cdbfeg")</f>
        <v>cdbfeg</v>
      </c>
      <c r="BT55" s="6" t="str">
        <f>IFERROR(__xludf.DUMMYFUNCTION("""COMPUTED_VALUE"""),"eafgdb")</f>
        <v>eafgdb</v>
      </c>
      <c r="BU55" s="6" t="str">
        <f>IFERROR(__xludf.DUMMYFUNCTION("""COMPUTED_VALUE"""),"fedbac")</f>
        <v>fedbac</v>
      </c>
      <c r="BV55" s="6" t="str">
        <f>IFERROR(__xludf.DUMMYFUNCTION("REGEXREPLACE( $AR55, CONCATENATE(""["",BS55,""]""), """")"),"a")</f>
        <v>a</v>
      </c>
      <c r="BW55" s="6" t="str">
        <f>IFERROR(__xludf.DUMMYFUNCTION("REGEXREPLACE( $AR55, CONCATENATE(""["",BT55,""]""), """")"),"")</f>
        <v/>
      </c>
      <c r="BX55" s="6" t="str">
        <f>IFERROR(__xludf.DUMMYFUNCTION("REGEXREPLACE( $AR55, CONCATENATE(""["",BU55,""]""), """")"),"")</f>
        <v/>
      </c>
      <c r="BY55" s="12" t="str">
        <f t="shared" si="9"/>
        <v>cdbfeg</v>
      </c>
      <c r="BZ55" s="12" t="str">
        <f>IFERROR(__xludf.DUMMYFUNCTION("CONCATENATE(SORT(TRANSPOSE(SPLIT(REGEXREPLACE(REGEXREPLACE(BY55&amp;"""",""(?s)(.{1})"",""$1""&amp;CHAR(127)),""'"",""''""),CHAR(127))),1,true),""1"")"),"bcdefg1")</f>
        <v>bcdefg1</v>
      </c>
      <c r="CA55" s="16"/>
      <c r="CB55" s="12" t="str">
        <f t="shared" si="10"/>
        <v>abe</v>
      </c>
      <c r="CC55" s="12" t="str">
        <f>IFERROR(__xludf.DUMMYFUNCTION("CONCATENATE(SORT(TRANSPOSE(SPLIT(REGEXREPLACE(REGEXREPLACE(CB55&amp;"""",""(?s)(.{1})"",""$1""&amp;CHAR(127)),""'"",""''""),CHAR(127))),1,true),""1"")"),"abe1")</f>
        <v>abe1</v>
      </c>
      <c r="CD55" s="16"/>
      <c r="CE55" s="12" t="str">
        <f t="shared" si="11"/>
        <v>dbcafge</v>
      </c>
      <c r="CF55" s="12" t="str">
        <f>IFERROR(__xludf.DUMMYFUNCTION("CONCATENATE(SORT(TRANSPOSE(SPLIT(REGEXREPLACE(REGEXREPLACE(CE55&amp;"""",""(?s)(.{1})"",""$1""&amp;CHAR(127)),""'"",""''""),CHAR(127))),1,true),""1"")"),"abcdefg1")</f>
        <v>abcdefg1</v>
      </c>
      <c r="CG55" s="16"/>
      <c r="CH55" s="10" t="str">
        <f>IFERROR(__xludf.DUMMYFUNCTION("FILTER(K55:T55,len(K55:T55)=6)"),"cdbfeg")</f>
        <v>cdbfeg</v>
      </c>
      <c r="CI55" s="6" t="str">
        <f>IFERROR(__xludf.DUMMYFUNCTION("""COMPUTED_VALUE"""),"eafgdb")</f>
        <v>eafgdb</v>
      </c>
      <c r="CJ55" s="6" t="str">
        <f>IFERROR(__xludf.DUMMYFUNCTION("""COMPUTED_VALUE"""),"fedbac")</f>
        <v>fedbac</v>
      </c>
      <c r="CK55" s="6" t="str">
        <f>IFERROR(__xludf.DUMMYFUNCTION("REGEXREPLACE( $BG55, CONCATENATE(""["",CH55,""]""), """")"),"a")</f>
        <v>a</v>
      </c>
      <c r="CL55" s="6" t="str">
        <f>IFERROR(__xludf.DUMMYFUNCTION("REGEXREPLACE( $BG55, CONCATENATE(""["",CI55,""]""), """")"),"c")</f>
        <v>c</v>
      </c>
      <c r="CM55" s="6" t="str">
        <f>IFERROR(__xludf.DUMMYFUNCTION("REGEXREPLACE( $BG55, CONCATENATE(""["",CJ55,""]""), """")"),"")</f>
        <v/>
      </c>
      <c r="CN55" s="12" t="str">
        <f t="shared" si="12"/>
        <v>fedbac</v>
      </c>
      <c r="CO55" s="12" t="str">
        <f>IFERROR(__xludf.DUMMYFUNCTION("CONCATENATE(SORT(TRANSPOSE(SPLIT(REGEXREPLACE(REGEXREPLACE(CN55&amp;"""",""(?s)(.{1})"",""$1""&amp;CHAR(127)),""'"",""''""),CHAR(127))),1,true),""1"")"),"abcdef1")</f>
        <v>abcdef1</v>
      </c>
      <c r="CP55" s="15"/>
    </row>
    <row r="56">
      <c r="A56" s="1" t="s">
        <v>76</v>
      </c>
      <c r="H56" s="6" t="str">
        <f>IFERROR(__xludf.DUMMYFUNCTION("SPLIT(A56,""|"")"),"gdafc defgbc fdgab eafgdbc agfce adbc dc fbacdg gedbfa cfd ")</f>
        <v>gdafc defgbc fdgab eafgdbc agfce adbc dc fbacdg gedbfa cfd </v>
      </c>
      <c r="I56" s="6" t="str">
        <f>IFERROR(__xludf.DUMMYFUNCTION("""COMPUTED_VALUE""")," abfdg gfadb bcda badc")</f>
        <v> abfdg gfadb bcda badc</v>
      </c>
      <c r="J56" s="15"/>
      <c r="K56" s="6" t="str">
        <f>IFERROR(__xludf.DUMMYFUNCTION("split(H56,"" "")"),"gdafc")</f>
        <v>gdafc</v>
      </c>
      <c r="L56" s="6" t="str">
        <f>IFERROR(__xludf.DUMMYFUNCTION("""COMPUTED_VALUE"""),"defgbc")</f>
        <v>defgbc</v>
      </c>
      <c r="M56" s="6" t="str">
        <f>IFERROR(__xludf.DUMMYFUNCTION("""COMPUTED_VALUE"""),"fdgab")</f>
        <v>fdgab</v>
      </c>
      <c r="N56" s="6" t="str">
        <f>IFERROR(__xludf.DUMMYFUNCTION("""COMPUTED_VALUE"""),"eafgdbc")</f>
        <v>eafgdbc</v>
      </c>
      <c r="O56" s="6" t="str">
        <f>IFERROR(__xludf.DUMMYFUNCTION("""COMPUTED_VALUE"""),"agfce")</f>
        <v>agfce</v>
      </c>
      <c r="P56" s="6" t="str">
        <f>IFERROR(__xludf.DUMMYFUNCTION("""COMPUTED_VALUE"""),"adbc")</f>
        <v>adbc</v>
      </c>
      <c r="Q56" s="6" t="str">
        <f>IFERROR(__xludf.DUMMYFUNCTION("""COMPUTED_VALUE"""),"dc")</f>
        <v>dc</v>
      </c>
      <c r="R56" s="6" t="str">
        <f>IFERROR(__xludf.DUMMYFUNCTION("""COMPUTED_VALUE"""),"fbacdg")</f>
        <v>fbacdg</v>
      </c>
      <c r="S56" s="6" t="str">
        <f>IFERROR(__xludf.DUMMYFUNCTION("""COMPUTED_VALUE"""),"gedbfa")</f>
        <v>gedbfa</v>
      </c>
      <c r="T56" s="6" t="str">
        <f>IFERROR(__xludf.DUMMYFUNCTION("""COMPUTED_VALUE"""),"cfd")</f>
        <v>cfd</v>
      </c>
      <c r="U56" s="15"/>
      <c r="V56" s="6" t="str">
        <f>IFERROR(__xludf.DUMMYFUNCTION("split(I56,"" "")"),"abfdg")</f>
        <v>abfdg</v>
      </c>
      <c r="W56" s="6" t="str">
        <f>IFERROR(__xludf.DUMMYFUNCTION("""COMPUTED_VALUE"""),"gfadb")</f>
        <v>gfadb</v>
      </c>
      <c r="X56" s="6" t="str">
        <f>IFERROR(__xludf.DUMMYFUNCTION("""COMPUTED_VALUE"""),"bcda")</f>
        <v>bcda</v>
      </c>
      <c r="Y56" s="6" t="str">
        <f>IFERROR(__xludf.DUMMYFUNCTION("""COMPUTED_VALUE"""),"badc")</f>
        <v>badc</v>
      </c>
      <c r="Z56" s="6" t="str">
        <f>IFERROR(__xludf.DUMMYFUNCTION("CONCATENATE(SORT(TRANSPOSE(SPLIT(REGEXREPLACE(REGEXREPLACE(V56&amp;"""",""(?s)(.{1})"",""$1""&amp;CHAR(127)),""'"",""''""),CHAR(127))),1,true))"),"abdfg")</f>
        <v>abdfg</v>
      </c>
      <c r="AA56" s="6" t="str">
        <f>IFERROR(__xludf.DUMMYFUNCTION("CONCATENATE(SORT(TRANSPOSE(SPLIT(REGEXREPLACE(REGEXREPLACE(W56&amp;"""",""(?s)(.{1})"",""$1""&amp;CHAR(127)),""'"",""''""),CHAR(127))),1,true))"),"abdfg")</f>
        <v>abdfg</v>
      </c>
      <c r="AB56" s="6" t="str">
        <f>IFERROR(__xludf.DUMMYFUNCTION("CONCATENATE(SORT(TRANSPOSE(SPLIT(REGEXREPLACE(REGEXREPLACE(X56&amp;"""",""(?s)(.{1})"",""$1""&amp;CHAR(127)),""'"",""''""),CHAR(127))),1,true))"),"abcd")</f>
        <v>abcd</v>
      </c>
      <c r="AC56" s="6" t="str">
        <f>IFERROR(__xludf.DUMMYFUNCTION("CONCATENATE(SORT(TRANSPOSE(SPLIT(REGEXREPLACE(REGEXREPLACE(Y56&amp;"""",""(?s)(.{1})"",""$1""&amp;CHAR(127)),""'"",""''""),CHAR(127))),1,true))"),"abcd")</f>
        <v>abcd</v>
      </c>
      <c r="AD56" s="6">
        <f t="shared" ref="AD56:AG56" si="66">INDEX($AO$1:$CP$1,1,MATCH(CONCATENATE(Z56,"1"),$AO56:$CP56,0)+1)</f>
        <v>5</v>
      </c>
      <c r="AE56" s="6">
        <f t="shared" si="66"/>
        <v>5</v>
      </c>
      <c r="AF56" s="6">
        <f t="shared" si="66"/>
        <v>4</v>
      </c>
      <c r="AG56" s="6">
        <f t="shared" si="66"/>
        <v>4</v>
      </c>
      <c r="AH56" s="6">
        <f t="shared" si="3"/>
        <v>5544</v>
      </c>
      <c r="AI56" s="16"/>
      <c r="AJ56" s="9" t="str">
        <f>IFERROR(__xludf.DUMMYFUNCTION("REGEXREPLACE(AR56,CONCATENATE(""["",BY56,""]""),"""")"),"c")</f>
        <v>c</v>
      </c>
      <c r="AK56" s="10" t="str">
        <f>IFERROR(__xludf.DUMMYFUNCTION("FILTER($K56:$T56,len($K56:$T56)=6,NOT($K56:$T56=BY56))"),"defgbc")</f>
        <v>defgbc</v>
      </c>
      <c r="AL56" s="6" t="str">
        <f>IFERROR(__xludf.DUMMYFUNCTION("""COMPUTED_VALUE"""),"fbacdg")</f>
        <v>fbacdg</v>
      </c>
      <c r="AM56" s="6" t="str">
        <f>IFERROR(__xludf.DUMMYFUNCTION("REGEXREPLACE( $BG56, CONCATENATE(""["",AK56,""]""), """")"),"a")</f>
        <v>a</v>
      </c>
      <c r="AN56" s="6" t="str">
        <f>IFERROR(__xludf.DUMMYFUNCTION("REGEXREPLACE( $BG56, CONCATENATE(""["",AL56,""]""), """")"),"")</f>
        <v/>
      </c>
      <c r="AO56" s="11" t="str">
        <f t="shared" si="4"/>
        <v>defgbc</v>
      </c>
      <c r="AP56" s="12" t="str">
        <f>IFERROR(__xludf.DUMMYFUNCTION("CONCATENATE(SORT(TRANSPOSE(SPLIT(REGEXREPLACE(REGEXREPLACE(AO56&amp;"""",""(?s)(.{1})"",""$1""&amp;CHAR(127)),""'"",""''""),CHAR(127))),1,true),""1"")"),"bcdefg1")</f>
        <v>bcdefg1</v>
      </c>
      <c r="AQ56" s="16"/>
      <c r="AR56" s="12" t="str">
        <f t="shared" si="5"/>
        <v>dc</v>
      </c>
      <c r="AS56" s="12" t="str">
        <f>IFERROR(__xludf.DUMMYFUNCTION("CONCATENATE(SORT(TRANSPOSE(SPLIT(REGEXREPLACE(REGEXREPLACE(AR56&amp;"""",""(?s)(.{1})"",""$1""&amp;CHAR(127)),""'"",""''""),CHAR(127))),1,true),""1"")"),"cd1")</f>
        <v>cd1</v>
      </c>
      <c r="AT56" s="16"/>
      <c r="AU56" s="13" t="str">
        <f>IFERROR(__xludf.DUMMYFUNCTION("FILTER($K56:$T56,len($K56:$T56)=5,NOT($K56:$T56=BD56),NOT($K56:$T56=BP56))"),"agfce")</f>
        <v>agfce</v>
      </c>
      <c r="AV56" s="12" t="str">
        <f>IFERROR(__xludf.DUMMYFUNCTION("CONCATENATE(SORT(TRANSPOSE(SPLIT(REGEXREPLACE(REGEXREPLACE(AU56&amp;"""",""(?s)(.{1})"",""$1""&amp;CHAR(127)),""'"",""''""),CHAR(127))),1,true),""1"")"),"acefg1")</f>
        <v>acefg1</v>
      </c>
      <c r="AW56" s="16"/>
      <c r="AX56" s="10" t="str">
        <f>IFERROR(__xludf.DUMMYFUNCTION("FILTER($K56:$T56,len($K56:$T56)=5)"),"gdafc")</f>
        <v>gdafc</v>
      </c>
      <c r="AY56" s="6" t="str">
        <f>IFERROR(__xludf.DUMMYFUNCTION("""COMPUTED_VALUE"""),"fdgab")</f>
        <v>fdgab</v>
      </c>
      <c r="AZ56" s="6" t="str">
        <f>IFERROR(__xludf.DUMMYFUNCTION("""COMPUTED_VALUE"""),"agfce")</f>
        <v>agfce</v>
      </c>
      <c r="BA56" s="6" t="str">
        <f>IFERROR(__xludf.DUMMYFUNCTION("REGEXREPLACE( $AR56, CONCATENATE(""["",AX56,""]""), """")"),"")</f>
        <v/>
      </c>
      <c r="BB56" s="6" t="str">
        <f>IFERROR(__xludf.DUMMYFUNCTION("REGEXREPLACE( $AR56, CONCATENATE(""["",AY56,""]""), """")"),"c")</f>
        <v>c</v>
      </c>
      <c r="BC56" s="6" t="str">
        <f>IFERROR(__xludf.DUMMYFUNCTION("REGEXREPLACE( $AR56, CONCATENATE(""["",AZ56,""]""), """")"),"d")</f>
        <v>d</v>
      </c>
      <c r="BD56" s="11" t="str">
        <f t="shared" si="6"/>
        <v>gdafc</v>
      </c>
      <c r="BE56" s="12" t="str">
        <f>IFERROR(__xludf.DUMMYFUNCTION("CONCATENATE(SORT(TRANSPOSE(SPLIT(REGEXREPLACE(REGEXREPLACE(BD56&amp;"""",""(?s)(.{1})"",""$1""&amp;CHAR(127)),""'"",""''""),CHAR(127))),1,true),""1"")"),"acdfg1")</f>
        <v>acdfg1</v>
      </c>
      <c r="BF56" s="16"/>
      <c r="BG56" s="12" t="str">
        <f t="shared" si="7"/>
        <v>adbc</v>
      </c>
      <c r="BH56" s="12" t="str">
        <f>IFERROR(__xludf.DUMMYFUNCTION("CONCATENATE(SORT(TRANSPOSE(SPLIT(REGEXREPLACE(REGEXREPLACE(BG56&amp;"""",""(?s)(.{1})"",""$1""&amp;CHAR(127)),""'"",""''""),CHAR(127))),1,true),""1"")"),"abcd1")</f>
        <v>abcd1</v>
      </c>
      <c r="BI56" s="16"/>
      <c r="BJ56" s="10" t="str">
        <f>IFERROR(__xludf.DUMMYFUNCTION("FILTER($K56:$T56,len($K56:$T56)=5)"),"gdafc")</f>
        <v>gdafc</v>
      </c>
      <c r="BK56" s="6" t="str">
        <f>IFERROR(__xludf.DUMMYFUNCTION("""COMPUTED_VALUE"""),"fdgab")</f>
        <v>fdgab</v>
      </c>
      <c r="BL56" s="6" t="str">
        <f>IFERROR(__xludf.DUMMYFUNCTION("""COMPUTED_VALUE"""),"agfce")</f>
        <v>agfce</v>
      </c>
      <c r="BM56" s="14" t="str">
        <f>IFERROR(__xludf.DUMMYFUNCTION("REGEXREPLACE( $BY56, CONCATENATE(""["",BJ56,""]""), """")"),"eb")</f>
        <v>eb</v>
      </c>
      <c r="BN56" s="14" t="str">
        <f>IFERROR(__xludf.DUMMYFUNCTION("REGEXREPLACE( $BY56, CONCATENATE(""["",BK56,""]""), """")"),"e")</f>
        <v>e</v>
      </c>
      <c r="BO56" s="14" t="str">
        <f>IFERROR(__xludf.DUMMYFUNCTION("REGEXREPLACE( $BY56, CONCATENATE(""["",BL56,""]""), """")"),"db")</f>
        <v>db</v>
      </c>
      <c r="BP56" s="11" t="str">
        <f t="shared" si="8"/>
        <v>fdgab</v>
      </c>
      <c r="BQ56" s="12" t="str">
        <f>IFERROR(__xludf.DUMMYFUNCTION("CONCATENATE(SORT(TRANSPOSE(SPLIT(REGEXREPLACE(REGEXREPLACE(BP56&amp;"""",""(?s)(.{1})"",""$1""&amp;CHAR(127)),""'"",""''""),CHAR(127))),1,true),""1"")"),"abdfg1")</f>
        <v>abdfg1</v>
      </c>
      <c r="BR56" s="16"/>
      <c r="BS56" s="10" t="str">
        <f>IFERROR(__xludf.DUMMYFUNCTION("FILTER(K56:T56,len(K56:T56)=6)"),"defgbc")</f>
        <v>defgbc</v>
      </c>
      <c r="BT56" s="6" t="str">
        <f>IFERROR(__xludf.DUMMYFUNCTION("""COMPUTED_VALUE"""),"fbacdg")</f>
        <v>fbacdg</v>
      </c>
      <c r="BU56" s="6" t="str">
        <f>IFERROR(__xludf.DUMMYFUNCTION("""COMPUTED_VALUE"""),"gedbfa")</f>
        <v>gedbfa</v>
      </c>
      <c r="BV56" s="6" t="str">
        <f>IFERROR(__xludf.DUMMYFUNCTION("REGEXREPLACE( $AR56, CONCATENATE(""["",BS56,""]""), """")"),"")</f>
        <v/>
      </c>
      <c r="BW56" s="6" t="str">
        <f>IFERROR(__xludf.DUMMYFUNCTION("REGEXREPLACE( $AR56, CONCATENATE(""["",BT56,""]""), """")"),"")</f>
        <v/>
      </c>
      <c r="BX56" s="6" t="str">
        <f>IFERROR(__xludf.DUMMYFUNCTION("REGEXREPLACE( $AR56, CONCATENATE(""["",BU56,""]""), """")"),"c")</f>
        <v>c</v>
      </c>
      <c r="BY56" s="12" t="str">
        <f t="shared" si="9"/>
        <v>gedbfa</v>
      </c>
      <c r="BZ56" s="12" t="str">
        <f>IFERROR(__xludf.DUMMYFUNCTION("CONCATENATE(SORT(TRANSPOSE(SPLIT(REGEXREPLACE(REGEXREPLACE(BY56&amp;"""",""(?s)(.{1})"",""$1""&amp;CHAR(127)),""'"",""''""),CHAR(127))),1,true),""1"")"),"abdefg1")</f>
        <v>abdefg1</v>
      </c>
      <c r="CA56" s="16"/>
      <c r="CB56" s="12" t="str">
        <f t="shared" si="10"/>
        <v>cfd</v>
      </c>
      <c r="CC56" s="12" t="str">
        <f>IFERROR(__xludf.DUMMYFUNCTION("CONCATENATE(SORT(TRANSPOSE(SPLIT(REGEXREPLACE(REGEXREPLACE(CB56&amp;"""",""(?s)(.{1})"",""$1""&amp;CHAR(127)),""'"",""''""),CHAR(127))),1,true),""1"")"),"cdf1")</f>
        <v>cdf1</v>
      </c>
      <c r="CD56" s="16"/>
      <c r="CE56" s="12" t="str">
        <f t="shared" si="11"/>
        <v>eafgdbc</v>
      </c>
      <c r="CF56" s="12" t="str">
        <f>IFERROR(__xludf.DUMMYFUNCTION("CONCATENATE(SORT(TRANSPOSE(SPLIT(REGEXREPLACE(REGEXREPLACE(CE56&amp;"""",""(?s)(.{1})"",""$1""&amp;CHAR(127)),""'"",""''""),CHAR(127))),1,true),""1"")"),"abcdefg1")</f>
        <v>abcdefg1</v>
      </c>
      <c r="CG56" s="16"/>
      <c r="CH56" s="10" t="str">
        <f>IFERROR(__xludf.DUMMYFUNCTION("FILTER(K56:T56,len(K56:T56)=6)"),"defgbc")</f>
        <v>defgbc</v>
      </c>
      <c r="CI56" s="6" t="str">
        <f>IFERROR(__xludf.DUMMYFUNCTION("""COMPUTED_VALUE"""),"fbacdg")</f>
        <v>fbacdg</v>
      </c>
      <c r="CJ56" s="6" t="str">
        <f>IFERROR(__xludf.DUMMYFUNCTION("""COMPUTED_VALUE"""),"gedbfa")</f>
        <v>gedbfa</v>
      </c>
      <c r="CK56" s="6" t="str">
        <f>IFERROR(__xludf.DUMMYFUNCTION("REGEXREPLACE( $BG56, CONCATENATE(""["",CH56,""]""), """")"),"a")</f>
        <v>a</v>
      </c>
      <c r="CL56" s="6" t="str">
        <f>IFERROR(__xludf.DUMMYFUNCTION("REGEXREPLACE( $BG56, CONCATENATE(""["",CI56,""]""), """")"),"")</f>
        <v/>
      </c>
      <c r="CM56" s="6" t="str">
        <f>IFERROR(__xludf.DUMMYFUNCTION("REGEXREPLACE( $BG56, CONCATENATE(""["",CJ56,""]""), """")"),"c")</f>
        <v>c</v>
      </c>
      <c r="CN56" s="12" t="str">
        <f t="shared" si="12"/>
        <v>fbacdg</v>
      </c>
      <c r="CO56" s="12" t="str">
        <f>IFERROR(__xludf.DUMMYFUNCTION("CONCATENATE(SORT(TRANSPOSE(SPLIT(REGEXREPLACE(REGEXREPLACE(CN56&amp;"""",""(?s)(.{1})"",""$1""&amp;CHAR(127)),""'"",""''""),CHAR(127))),1,true),""1"")"),"abcdfg1")</f>
        <v>abcdfg1</v>
      </c>
      <c r="CP56" s="15"/>
    </row>
    <row r="57">
      <c r="A57" s="1" t="s">
        <v>77</v>
      </c>
      <c r="H57" s="6" t="str">
        <f>IFERROR(__xludf.DUMMYFUNCTION("SPLIT(A57,""|"")"),"afcdge cafde acebf fabedc fbedagc cdeb fgcabd cba baefg cb ")</f>
        <v>afcdge cafde acebf fabedc fbedagc cdeb fgcabd cba baefg cb </v>
      </c>
      <c r="I57" s="6" t="str">
        <f>IFERROR(__xludf.DUMMYFUNCTION("""COMPUTED_VALUE""")," adfgbc cgedafb abc cba")</f>
        <v> adfgbc cgedafb abc cba</v>
      </c>
      <c r="J57" s="15"/>
      <c r="K57" s="6" t="str">
        <f>IFERROR(__xludf.DUMMYFUNCTION("split(H57,"" "")"),"afcdge")</f>
        <v>afcdge</v>
      </c>
      <c r="L57" s="6" t="str">
        <f>IFERROR(__xludf.DUMMYFUNCTION("""COMPUTED_VALUE"""),"cafde")</f>
        <v>cafde</v>
      </c>
      <c r="M57" s="6" t="str">
        <f>IFERROR(__xludf.DUMMYFUNCTION("""COMPUTED_VALUE"""),"acebf")</f>
        <v>acebf</v>
      </c>
      <c r="N57" s="6" t="str">
        <f>IFERROR(__xludf.DUMMYFUNCTION("""COMPUTED_VALUE"""),"fabedc")</f>
        <v>fabedc</v>
      </c>
      <c r="O57" s="6" t="str">
        <f>IFERROR(__xludf.DUMMYFUNCTION("""COMPUTED_VALUE"""),"fbedagc")</f>
        <v>fbedagc</v>
      </c>
      <c r="P57" s="6" t="str">
        <f>IFERROR(__xludf.DUMMYFUNCTION("""COMPUTED_VALUE"""),"cdeb")</f>
        <v>cdeb</v>
      </c>
      <c r="Q57" s="6" t="str">
        <f>IFERROR(__xludf.DUMMYFUNCTION("""COMPUTED_VALUE"""),"fgcabd")</f>
        <v>fgcabd</v>
      </c>
      <c r="R57" s="6" t="str">
        <f>IFERROR(__xludf.DUMMYFUNCTION("""COMPUTED_VALUE"""),"cba")</f>
        <v>cba</v>
      </c>
      <c r="S57" s="6" t="str">
        <f>IFERROR(__xludf.DUMMYFUNCTION("""COMPUTED_VALUE"""),"baefg")</f>
        <v>baefg</v>
      </c>
      <c r="T57" s="6" t="str">
        <f>IFERROR(__xludf.DUMMYFUNCTION("""COMPUTED_VALUE"""),"cb")</f>
        <v>cb</v>
      </c>
      <c r="U57" s="15"/>
      <c r="V57" s="6" t="str">
        <f>IFERROR(__xludf.DUMMYFUNCTION("split(I57,"" "")"),"adfgbc")</f>
        <v>adfgbc</v>
      </c>
      <c r="W57" s="6" t="str">
        <f>IFERROR(__xludf.DUMMYFUNCTION("""COMPUTED_VALUE"""),"cgedafb")</f>
        <v>cgedafb</v>
      </c>
      <c r="X57" s="6" t="str">
        <f>IFERROR(__xludf.DUMMYFUNCTION("""COMPUTED_VALUE"""),"abc")</f>
        <v>abc</v>
      </c>
      <c r="Y57" s="6" t="str">
        <f>IFERROR(__xludf.DUMMYFUNCTION("""COMPUTED_VALUE"""),"cba")</f>
        <v>cba</v>
      </c>
      <c r="Z57" s="6" t="str">
        <f>IFERROR(__xludf.DUMMYFUNCTION("CONCATENATE(SORT(TRANSPOSE(SPLIT(REGEXREPLACE(REGEXREPLACE(V57&amp;"""",""(?s)(.{1})"",""$1""&amp;CHAR(127)),""'"",""''""),CHAR(127))),1,true))"),"abcdfg")</f>
        <v>abcdfg</v>
      </c>
      <c r="AA57" s="6" t="str">
        <f>IFERROR(__xludf.DUMMYFUNCTION("CONCATENATE(SORT(TRANSPOSE(SPLIT(REGEXREPLACE(REGEXREPLACE(W57&amp;"""",""(?s)(.{1})"",""$1""&amp;CHAR(127)),""'"",""''""),CHAR(127))),1,true))"),"abcdefg")</f>
        <v>abcdefg</v>
      </c>
      <c r="AB57" s="6" t="str">
        <f>IFERROR(__xludf.DUMMYFUNCTION("CONCATENATE(SORT(TRANSPOSE(SPLIT(REGEXREPLACE(REGEXREPLACE(X57&amp;"""",""(?s)(.{1})"",""$1""&amp;CHAR(127)),""'"",""''""),CHAR(127))),1,true))"),"abc")</f>
        <v>abc</v>
      </c>
      <c r="AC57" s="6" t="str">
        <f>IFERROR(__xludf.DUMMYFUNCTION("CONCATENATE(SORT(TRANSPOSE(SPLIT(REGEXREPLACE(REGEXREPLACE(Y57&amp;"""",""(?s)(.{1})"",""$1""&amp;CHAR(127)),""'"",""''""),CHAR(127))),1,true))"),"abc")</f>
        <v>abc</v>
      </c>
      <c r="AD57" s="6">
        <f t="shared" ref="AD57:AG57" si="67">INDEX($AO$1:$CP$1,1,MATCH(CONCATENATE(Z57,"1"),$AO57:$CP57,0)+1)</f>
        <v>0</v>
      </c>
      <c r="AE57" s="6">
        <f t="shared" si="67"/>
        <v>8</v>
      </c>
      <c r="AF57" s="6">
        <f t="shared" si="67"/>
        <v>7</v>
      </c>
      <c r="AG57" s="6">
        <f t="shared" si="67"/>
        <v>7</v>
      </c>
      <c r="AH57" s="6">
        <f t="shared" si="3"/>
        <v>877</v>
      </c>
      <c r="AI57" s="16"/>
      <c r="AJ57" s="9" t="str">
        <f>IFERROR(__xludf.DUMMYFUNCTION("REGEXREPLACE(AR57,CONCATENATE(""["",BY57,""]""),"""")"),"b")</f>
        <v>b</v>
      </c>
      <c r="AK57" s="10" t="str">
        <f>IFERROR(__xludf.DUMMYFUNCTION("FILTER($K57:$T57,len($K57:$T57)=6,NOT($K57:$T57=BY57))"),"fabedc")</f>
        <v>fabedc</v>
      </c>
      <c r="AL57" s="6" t="str">
        <f>IFERROR(__xludf.DUMMYFUNCTION("""COMPUTED_VALUE"""),"fgcabd")</f>
        <v>fgcabd</v>
      </c>
      <c r="AM57" s="6" t="str">
        <f>IFERROR(__xludf.DUMMYFUNCTION("REGEXREPLACE( $BG57, CONCATENATE(""["",AK57,""]""), """")"),"")</f>
        <v/>
      </c>
      <c r="AN57" s="6" t="str">
        <f>IFERROR(__xludf.DUMMYFUNCTION("REGEXREPLACE( $BG57, CONCATENATE(""["",AL57,""]""), """")"),"e")</f>
        <v>e</v>
      </c>
      <c r="AO57" s="11" t="str">
        <f t="shared" si="4"/>
        <v>fgcabd</v>
      </c>
      <c r="AP57" s="12" t="str">
        <f>IFERROR(__xludf.DUMMYFUNCTION("CONCATENATE(SORT(TRANSPOSE(SPLIT(REGEXREPLACE(REGEXREPLACE(AO57&amp;"""",""(?s)(.{1})"",""$1""&amp;CHAR(127)),""'"",""''""),CHAR(127))),1,true),""1"")"),"abcdfg1")</f>
        <v>abcdfg1</v>
      </c>
      <c r="AQ57" s="16"/>
      <c r="AR57" s="12" t="str">
        <f t="shared" si="5"/>
        <v>cb</v>
      </c>
      <c r="AS57" s="12" t="str">
        <f>IFERROR(__xludf.DUMMYFUNCTION("CONCATENATE(SORT(TRANSPOSE(SPLIT(REGEXREPLACE(REGEXREPLACE(AR57&amp;"""",""(?s)(.{1})"",""$1""&amp;CHAR(127)),""'"",""''""),CHAR(127))),1,true),""1"")"),"bc1")</f>
        <v>bc1</v>
      </c>
      <c r="AT57" s="16"/>
      <c r="AU57" s="13" t="str">
        <f>IFERROR(__xludf.DUMMYFUNCTION("FILTER($K57:$T57,len($K57:$T57)=5,NOT($K57:$T57=BD57),NOT($K57:$T57=BP57))"),"baefg")</f>
        <v>baefg</v>
      </c>
      <c r="AV57" s="12" t="str">
        <f>IFERROR(__xludf.DUMMYFUNCTION("CONCATENATE(SORT(TRANSPOSE(SPLIT(REGEXREPLACE(REGEXREPLACE(AU57&amp;"""",""(?s)(.{1})"",""$1""&amp;CHAR(127)),""'"",""''""),CHAR(127))),1,true),""1"")"),"abefg1")</f>
        <v>abefg1</v>
      </c>
      <c r="AW57" s="16"/>
      <c r="AX57" s="10" t="str">
        <f>IFERROR(__xludf.DUMMYFUNCTION("FILTER($K57:$T57,len($K57:$T57)=5)"),"cafde")</f>
        <v>cafde</v>
      </c>
      <c r="AY57" s="6" t="str">
        <f>IFERROR(__xludf.DUMMYFUNCTION("""COMPUTED_VALUE"""),"acebf")</f>
        <v>acebf</v>
      </c>
      <c r="AZ57" s="6" t="str">
        <f>IFERROR(__xludf.DUMMYFUNCTION("""COMPUTED_VALUE"""),"baefg")</f>
        <v>baefg</v>
      </c>
      <c r="BA57" s="6" t="str">
        <f>IFERROR(__xludf.DUMMYFUNCTION("REGEXREPLACE( $AR57, CONCATENATE(""["",AX57,""]""), """")"),"b")</f>
        <v>b</v>
      </c>
      <c r="BB57" s="6" t="str">
        <f>IFERROR(__xludf.DUMMYFUNCTION("REGEXREPLACE( $AR57, CONCATENATE(""["",AY57,""]""), """")"),"")</f>
        <v/>
      </c>
      <c r="BC57" s="6" t="str">
        <f>IFERROR(__xludf.DUMMYFUNCTION("REGEXREPLACE( $AR57, CONCATENATE(""["",AZ57,""]""), """")"),"c")</f>
        <v>c</v>
      </c>
      <c r="BD57" s="11" t="str">
        <f t="shared" si="6"/>
        <v>acebf</v>
      </c>
      <c r="BE57" s="12" t="str">
        <f>IFERROR(__xludf.DUMMYFUNCTION("CONCATENATE(SORT(TRANSPOSE(SPLIT(REGEXREPLACE(REGEXREPLACE(BD57&amp;"""",""(?s)(.{1})"",""$1""&amp;CHAR(127)),""'"",""''""),CHAR(127))),1,true),""1"")"),"abcef1")</f>
        <v>abcef1</v>
      </c>
      <c r="BF57" s="16"/>
      <c r="BG57" s="12" t="str">
        <f t="shared" si="7"/>
        <v>cdeb</v>
      </c>
      <c r="BH57" s="12" t="str">
        <f>IFERROR(__xludf.DUMMYFUNCTION("CONCATENATE(SORT(TRANSPOSE(SPLIT(REGEXREPLACE(REGEXREPLACE(BG57&amp;"""",""(?s)(.{1})"",""$1""&amp;CHAR(127)),""'"",""''""),CHAR(127))),1,true),""1"")"),"bcde1")</f>
        <v>bcde1</v>
      </c>
      <c r="BI57" s="16"/>
      <c r="BJ57" s="10" t="str">
        <f>IFERROR(__xludf.DUMMYFUNCTION("FILTER($K57:$T57,len($K57:$T57)=5)"),"cafde")</f>
        <v>cafde</v>
      </c>
      <c r="BK57" s="6" t="str">
        <f>IFERROR(__xludf.DUMMYFUNCTION("""COMPUTED_VALUE"""),"acebf")</f>
        <v>acebf</v>
      </c>
      <c r="BL57" s="6" t="str">
        <f>IFERROR(__xludf.DUMMYFUNCTION("""COMPUTED_VALUE"""),"baefg")</f>
        <v>baefg</v>
      </c>
      <c r="BM57" s="14" t="str">
        <f>IFERROR(__xludf.DUMMYFUNCTION("REGEXREPLACE( $BY57, CONCATENATE(""["",BJ57,""]""), """")"),"g")</f>
        <v>g</v>
      </c>
      <c r="BN57" s="14" t="str">
        <f>IFERROR(__xludf.DUMMYFUNCTION("REGEXREPLACE( $BY57, CONCATENATE(""["",BK57,""]""), """")"),"dg")</f>
        <v>dg</v>
      </c>
      <c r="BO57" s="14" t="str">
        <f>IFERROR(__xludf.DUMMYFUNCTION("REGEXREPLACE( $BY57, CONCATENATE(""["",BL57,""]""), """")"),"cd")</f>
        <v>cd</v>
      </c>
      <c r="BP57" s="11" t="str">
        <f t="shared" si="8"/>
        <v>cafde</v>
      </c>
      <c r="BQ57" s="12" t="str">
        <f>IFERROR(__xludf.DUMMYFUNCTION("CONCATENATE(SORT(TRANSPOSE(SPLIT(REGEXREPLACE(REGEXREPLACE(BP57&amp;"""",""(?s)(.{1})"",""$1""&amp;CHAR(127)),""'"",""''""),CHAR(127))),1,true),""1"")"),"acdef1")</f>
        <v>acdef1</v>
      </c>
      <c r="BR57" s="16"/>
      <c r="BS57" s="10" t="str">
        <f>IFERROR(__xludf.DUMMYFUNCTION("FILTER(K57:T57,len(K57:T57)=6)"),"afcdge")</f>
        <v>afcdge</v>
      </c>
      <c r="BT57" s="6" t="str">
        <f>IFERROR(__xludf.DUMMYFUNCTION("""COMPUTED_VALUE"""),"fabedc")</f>
        <v>fabedc</v>
      </c>
      <c r="BU57" s="6" t="str">
        <f>IFERROR(__xludf.DUMMYFUNCTION("""COMPUTED_VALUE"""),"fgcabd")</f>
        <v>fgcabd</v>
      </c>
      <c r="BV57" s="6" t="str">
        <f>IFERROR(__xludf.DUMMYFUNCTION("REGEXREPLACE( $AR57, CONCATENATE(""["",BS57,""]""), """")"),"b")</f>
        <v>b</v>
      </c>
      <c r="BW57" s="6" t="str">
        <f>IFERROR(__xludf.DUMMYFUNCTION("REGEXREPLACE( $AR57, CONCATENATE(""["",BT57,""]""), """")"),"")</f>
        <v/>
      </c>
      <c r="BX57" s="6" t="str">
        <f>IFERROR(__xludf.DUMMYFUNCTION("REGEXREPLACE( $AR57, CONCATENATE(""["",BU57,""]""), """")"),"")</f>
        <v/>
      </c>
      <c r="BY57" s="12" t="str">
        <f t="shared" si="9"/>
        <v>afcdge</v>
      </c>
      <c r="BZ57" s="12" t="str">
        <f>IFERROR(__xludf.DUMMYFUNCTION("CONCATENATE(SORT(TRANSPOSE(SPLIT(REGEXREPLACE(REGEXREPLACE(BY57&amp;"""",""(?s)(.{1})"",""$1""&amp;CHAR(127)),""'"",""''""),CHAR(127))),1,true),""1"")"),"acdefg1")</f>
        <v>acdefg1</v>
      </c>
      <c r="CA57" s="16"/>
      <c r="CB57" s="12" t="str">
        <f t="shared" si="10"/>
        <v>cba</v>
      </c>
      <c r="CC57" s="12" t="str">
        <f>IFERROR(__xludf.DUMMYFUNCTION("CONCATENATE(SORT(TRANSPOSE(SPLIT(REGEXREPLACE(REGEXREPLACE(CB57&amp;"""",""(?s)(.{1})"",""$1""&amp;CHAR(127)),""'"",""''""),CHAR(127))),1,true),""1"")"),"abc1")</f>
        <v>abc1</v>
      </c>
      <c r="CD57" s="16"/>
      <c r="CE57" s="12" t="str">
        <f t="shared" si="11"/>
        <v>fbedagc</v>
      </c>
      <c r="CF57" s="12" t="str">
        <f>IFERROR(__xludf.DUMMYFUNCTION("CONCATENATE(SORT(TRANSPOSE(SPLIT(REGEXREPLACE(REGEXREPLACE(CE57&amp;"""",""(?s)(.{1})"",""$1""&amp;CHAR(127)),""'"",""''""),CHAR(127))),1,true),""1"")"),"abcdefg1")</f>
        <v>abcdefg1</v>
      </c>
      <c r="CG57" s="16"/>
      <c r="CH57" s="10" t="str">
        <f>IFERROR(__xludf.DUMMYFUNCTION("FILTER(K57:T57,len(K57:T57)=6)"),"afcdge")</f>
        <v>afcdge</v>
      </c>
      <c r="CI57" s="6" t="str">
        <f>IFERROR(__xludf.DUMMYFUNCTION("""COMPUTED_VALUE"""),"fabedc")</f>
        <v>fabedc</v>
      </c>
      <c r="CJ57" s="6" t="str">
        <f>IFERROR(__xludf.DUMMYFUNCTION("""COMPUTED_VALUE"""),"fgcabd")</f>
        <v>fgcabd</v>
      </c>
      <c r="CK57" s="6" t="str">
        <f>IFERROR(__xludf.DUMMYFUNCTION("REGEXREPLACE( $BG57, CONCATENATE(""["",CH57,""]""), """")"),"b")</f>
        <v>b</v>
      </c>
      <c r="CL57" s="6" t="str">
        <f>IFERROR(__xludf.DUMMYFUNCTION("REGEXREPLACE( $BG57, CONCATENATE(""["",CI57,""]""), """")"),"")</f>
        <v/>
      </c>
      <c r="CM57" s="6" t="str">
        <f>IFERROR(__xludf.DUMMYFUNCTION("REGEXREPLACE( $BG57, CONCATENATE(""["",CJ57,""]""), """")"),"e")</f>
        <v>e</v>
      </c>
      <c r="CN57" s="12" t="str">
        <f t="shared" si="12"/>
        <v>fabedc</v>
      </c>
      <c r="CO57" s="12" t="str">
        <f>IFERROR(__xludf.DUMMYFUNCTION("CONCATENATE(SORT(TRANSPOSE(SPLIT(REGEXREPLACE(REGEXREPLACE(CN57&amp;"""",""(?s)(.{1})"",""$1""&amp;CHAR(127)),""'"",""''""),CHAR(127))),1,true),""1"")"),"abcdef1")</f>
        <v>abcdef1</v>
      </c>
      <c r="CP57" s="15"/>
    </row>
    <row r="58">
      <c r="A58" s="1" t="s">
        <v>78</v>
      </c>
      <c r="H58" s="6" t="str">
        <f>IFERROR(__xludf.DUMMYFUNCTION("SPLIT(A58,""|"")"),"gb agfbd deabf gab bagcdfe agcdf cfgbae gcabfd agcefd dcgb ")</f>
        <v>gb agfbd deabf gab bagcdfe agcdf cfgbae gcabfd agcefd dcgb </v>
      </c>
      <c r="I58" s="6" t="str">
        <f>IFERROR(__xludf.DUMMYFUNCTION("""COMPUTED_VALUE""")," cafdge gbcd acdfgeb cgaefd")</f>
        <v> cafdge gbcd acdfgeb cgaefd</v>
      </c>
      <c r="J58" s="15"/>
      <c r="K58" s="6" t="str">
        <f>IFERROR(__xludf.DUMMYFUNCTION("split(H58,"" "")"),"gb")</f>
        <v>gb</v>
      </c>
      <c r="L58" s="6" t="str">
        <f>IFERROR(__xludf.DUMMYFUNCTION("""COMPUTED_VALUE"""),"agfbd")</f>
        <v>agfbd</v>
      </c>
      <c r="M58" s="6" t="str">
        <f>IFERROR(__xludf.DUMMYFUNCTION("""COMPUTED_VALUE"""),"deabf")</f>
        <v>deabf</v>
      </c>
      <c r="N58" s="6" t="str">
        <f>IFERROR(__xludf.DUMMYFUNCTION("""COMPUTED_VALUE"""),"gab")</f>
        <v>gab</v>
      </c>
      <c r="O58" s="6" t="str">
        <f>IFERROR(__xludf.DUMMYFUNCTION("""COMPUTED_VALUE"""),"bagcdfe")</f>
        <v>bagcdfe</v>
      </c>
      <c r="P58" s="6" t="str">
        <f>IFERROR(__xludf.DUMMYFUNCTION("""COMPUTED_VALUE"""),"agcdf")</f>
        <v>agcdf</v>
      </c>
      <c r="Q58" s="6" t="str">
        <f>IFERROR(__xludf.DUMMYFUNCTION("""COMPUTED_VALUE"""),"cfgbae")</f>
        <v>cfgbae</v>
      </c>
      <c r="R58" s="6" t="str">
        <f>IFERROR(__xludf.DUMMYFUNCTION("""COMPUTED_VALUE"""),"gcabfd")</f>
        <v>gcabfd</v>
      </c>
      <c r="S58" s="6" t="str">
        <f>IFERROR(__xludf.DUMMYFUNCTION("""COMPUTED_VALUE"""),"agcefd")</f>
        <v>agcefd</v>
      </c>
      <c r="T58" s="6" t="str">
        <f>IFERROR(__xludf.DUMMYFUNCTION("""COMPUTED_VALUE"""),"dcgb")</f>
        <v>dcgb</v>
      </c>
      <c r="U58" s="15"/>
      <c r="V58" s="6" t="str">
        <f>IFERROR(__xludf.DUMMYFUNCTION("split(I58,"" "")"),"cafdge")</f>
        <v>cafdge</v>
      </c>
      <c r="W58" s="6" t="str">
        <f>IFERROR(__xludf.DUMMYFUNCTION("""COMPUTED_VALUE"""),"gbcd")</f>
        <v>gbcd</v>
      </c>
      <c r="X58" s="6" t="str">
        <f>IFERROR(__xludf.DUMMYFUNCTION("""COMPUTED_VALUE"""),"acdfgeb")</f>
        <v>acdfgeb</v>
      </c>
      <c r="Y58" s="6" t="str">
        <f>IFERROR(__xludf.DUMMYFUNCTION("""COMPUTED_VALUE"""),"cgaefd")</f>
        <v>cgaefd</v>
      </c>
      <c r="Z58" s="6" t="str">
        <f>IFERROR(__xludf.DUMMYFUNCTION("CONCATENATE(SORT(TRANSPOSE(SPLIT(REGEXREPLACE(REGEXREPLACE(V58&amp;"""",""(?s)(.{1})"",""$1""&amp;CHAR(127)),""'"",""''""),CHAR(127))),1,true))"),"acdefg")</f>
        <v>acdefg</v>
      </c>
      <c r="AA58" s="6" t="str">
        <f>IFERROR(__xludf.DUMMYFUNCTION("CONCATENATE(SORT(TRANSPOSE(SPLIT(REGEXREPLACE(REGEXREPLACE(W58&amp;"""",""(?s)(.{1})"",""$1""&amp;CHAR(127)),""'"",""''""),CHAR(127))),1,true))"),"bcdg")</f>
        <v>bcdg</v>
      </c>
      <c r="AB58" s="6" t="str">
        <f>IFERROR(__xludf.DUMMYFUNCTION("CONCATENATE(SORT(TRANSPOSE(SPLIT(REGEXREPLACE(REGEXREPLACE(X58&amp;"""",""(?s)(.{1})"",""$1""&amp;CHAR(127)),""'"",""''""),CHAR(127))),1,true))"),"abcdefg")</f>
        <v>abcdefg</v>
      </c>
      <c r="AC58" s="6" t="str">
        <f>IFERROR(__xludf.DUMMYFUNCTION("CONCATENATE(SORT(TRANSPOSE(SPLIT(REGEXREPLACE(REGEXREPLACE(Y58&amp;"""",""(?s)(.{1})"",""$1""&amp;CHAR(127)),""'"",""''""),CHAR(127))),1,true))"),"acdefg")</f>
        <v>acdefg</v>
      </c>
      <c r="AD58" s="6">
        <f t="shared" ref="AD58:AG58" si="68">INDEX($AO$1:$CP$1,1,MATCH(CONCATENATE(Z58,"1"),$AO58:$CP58,0)+1)</f>
        <v>6</v>
      </c>
      <c r="AE58" s="6">
        <f t="shared" si="68"/>
        <v>4</v>
      </c>
      <c r="AF58" s="6">
        <f t="shared" si="68"/>
        <v>8</v>
      </c>
      <c r="AG58" s="6">
        <f t="shared" si="68"/>
        <v>6</v>
      </c>
      <c r="AH58" s="6">
        <f t="shared" si="3"/>
        <v>6486</v>
      </c>
      <c r="AI58" s="16"/>
      <c r="AJ58" s="9" t="str">
        <f>IFERROR(__xludf.DUMMYFUNCTION("REGEXREPLACE(AR58,CONCATENATE(""["",BY58,""]""),"""")"),"b")</f>
        <v>b</v>
      </c>
      <c r="AK58" s="10" t="str">
        <f>IFERROR(__xludf.DUMMYFUNCTION("FILTER($K58:$T58,len($K58:$T58)=6,NOT($K58:$T58=BY58))"),"cfgbae")</f>
        <v>cfgbae</v>
      </c>
      <c r="AL58" s="6" t="str">
        <f>IFERROR(__xludf.DUMMYFUNCTION("""COMPUTED_VALUE"""),"gcabfd")</f>
        <v>gcabfd</v>
      </c>
      <c r="AM58" s="6" t="str">
        <f>IFERROR(__xludf.DUMMYFUNCTION("REGEXREPLACE( $BG58, CONCATENATE(""["",AK58,""]""), """")"),"d")</f>
        <v>d</v>
      </c>
      <c r="AN58" s="6" t="str">
        <f>IFERROR(__xludf.DUMMYFUNCTION("REGEXREPLACE( $BG58, CONCATENATE(""["",AL58,""]""), """")"),"")</f>
        <v/>
      </c>
      <c r="AO58" s="11" t="str">
        <f t="shared" si="4"/>
        <v>cfgbae</v>
      </c>
      <c r="AP58" s="12" t="str">
        <f>IFERROR(__xludf.DUMMYFUNCTION("CONCATENATE(SORT(TRANSPOSE(SPLIT(REGEXREPLACE(REGEXREPLACE(AO58&amp;"""",""(?s)(.{1})"",""$1""&amp;CHAR(127)),""'"",""''""),CHAR(127))),1,true),""1"")"),"abcefg1")</f>
        <v>abcefg1</v>
      </c>
      <c r="AQ58" s="16"/>
      <c r="AR58" s="12" t="str">
        <f t="shared" si="5"/>
        <v>gb</v>
      </c>
      <c r="AS58" s="12" t="str">
        <f>IFERROR(__xludf.DUMMYFUNCTION("CONCATENATE(SORT(TRANSPOSE(SPLIT(REGEXREPLACE(REGEXREPLACE(AR58&amp;"""",""(?s)(.{1})"",""$1""&amp;CHAR(127)),""'"",""''""),CHAR(127))),1,true),""1"")"),"bg1")</f>
        <v>bg1</v>
      </c>
      <c r="AT58" s="16"/>
      <c r="AU58" s="13" t="str">
        <f>IFERROR(__xludf.DUMMYFUNCTION("FILTER($K58:$T58,len($K58:$T58)=5,NOT($K58:$T58=BD58),NOT($K58:$T58=BP58))"),"deabf")</f>
        <v>deabf</v>
      </c>
      <c r="AV58" s="12" t="str">
        <f>IFERROR(__xludf.DUMMYFUNCTION("CONCATENATE(SORT(TRANSPOSE(SPLIT(REGEXREPLACE(REGEXREPLACE(AU58&amp;"""",""(?s)(.{1})"",""$1""&amp;CHAR(127)),""'"",""''""),CHAR(127))),1,true),""1"")"),"abdef1")</f>
        <v>abdef1</v>
      </c>
      <c r="AW58" s="16"/>
      <c r="AX58" s="10" t="str">
        <f>IFERROR(__xludf.DUMMYFUNCTION("FILTER($K58:$T58,len($K58:$T58)=5)"),"agfbd")</f>
        <v>agfbd</v>
      </c>
      <c r="AY58" s="6" t="str">
        <f>IFERROR(__xludf.DUMMYFUNCTION("""COMPUTED_VALUE"""),"deabf")</f>
        <v>deabf</v>
      </c>
      <c r="AZ58" s="6" t="str">
        <f>IFERROR(__xludf.DUMMYFUNCTION("""COMPUTED_VALUE"""),"agcdf")</f>
        <v>agcdf</v>
      </c>
      <c r="BA58" s="6" t="str">
        <f>IFERROR(__xludf.DUMMYFUNCTION("REGEXREPLACE( $AR58, CONCATENATE(""["",AX58,""]""), """")"),"")</f>
        <v/>
      </c>
      <c r="BB58" s="6" t="str">
        <f>IFERROR(__xludf.DUMMYFUNCTION("REGEXREPLACE( $AR58, CONCATENATE(""["",AY58,""]""), """")"),"g")</f>
        <v>g</v>
      </c>
      <c r="BC58" s="6" t="str">
        <f>IFERROR(__xludf.DUMMYFUNCTION("REGEXREPLACE( $AR58, CONCATENATE(""["",AZ58,""]""), """")"),"b")</f>
        <v>b</v>
      </c>
      <c r="BD58" s="11" t="str">
        <f t="shared" si="6"/>
        <v>agfbd</v>
      </c>
      <c r="BE58" s="12" t="str">
        <f>IFERROR(__xludf.DUMMYFUNCTION("CONCATENATE(SORT(TRANSPOSE(SPLIT(REGEXREPLACE(REGEXREPLACE(BD58&amp;"""",""(?s)(.{1})"",""$1""&amp;CHAR(127)),""'"",""''""),CHAR(127))),1,true),""1"")"),"abdfg1")</f>
        <v>abdfg1</v>
      </c>
      <c r="BF58" s="16"/>
      <c r="BG58" s="12" t="str">
        <f t="shared" si="7"/>
        <v>dcgb</v>
      </c>
      <c r="BH58" s="12" t="str">
        <f>IFERROR(__xludf.DUMMYFUNCTION("CONCATENATE(SORT(TRANSPOSE(SPLIT(REGEXREPLACE(REGEXREPLACE(BG58&amp;"""",""(?s)(.{1})"",""$1""&amp;CHAR(127)),""'"",""''""),CHAR(127))),1,true),""1"")"),"bcdg1")</f>
        <v>bcdg1</v>
      </c>
      <c r="BI58" s="16"/>
      <c r="BJ58" s="10" t="str">
        <f>IFERROR(__xludf.DUMMYFUNCTION("FILTER($K58:$T58,len($K58:$T58)=5)"),"agfbd")</f>
        <v>agfbd</v>
      </c>
      <c r="BK58" s="6" t="str">
        <f>IFERROR(__xludf.DUMMYFUNCTION("""COMPUTED_VALUE"""),"deabf")</f>
        <v>deabf</v>
      </c>
      <c r="BL58" s="6" t="str">
        <f>IFERROR(__xludf.DUMMYFUNCTION("""COMPUTED_VALUE"""),"agcdf")</f>
        <v>agcdf</v>
      </c>
      <c r="BM58" s="14" t="str">
        <f>IFERROR(__xludf.DUMMYFUNCTION("REGEXREPLACE( $BY58, CONCATENATE(""["",BJ58,""]""), """")"),"ce")</f>
        <v>ce</v>
      </c>
      <c r="BN58" s="14" t="str">
        <f>IFERROR(__xludf.DUMMYFUNCTION("REGEXREPLACE( $BY58, CONCATENATE(""["",BK58,""]""), """")"),"gc")</f>
        <v>gc</v>
      </c>
      <c r="BO58" s="14" t="str">
        <f>IFERROR(__xludf.DUMMYFUNCTION("REGEXREPLACE( $BY58, CONCATENATE(""["",BL58,""]""), """")"),"e")</f>
        <v>e</v>
      </c>
      <c r="BP58" s="11" t="str">
        <f t="shared" si="8"/>
        <v>agcdf</v>
      </c>
      <c r="BQ58" s="12" t="str">
        <f>IFERROR(__xludf.DUMMYFUNCTION("CONCATENATE(SORT(TRANSPOSE(SPLIT(REGEXREPLACE(REGEXREPLACE(BP58&amp;"""",""(?s)(.{1})"",""$1""&amp;CHAR(127)),""'"",""''""),CHAR(127))),1,true),""1"")"),"acdfg1")</f>
        <v>acdfg1</v>
      </c>
      <c r="BR58" s="16"/>
      <c r="BS58" s="10" t="str">
        <f>IFERROR(__xludf.DUMMYFUNCTION("FILTER(K58:T58,len(K58:T58)=6)"),"cfgbae")</f>
        <v>cfgbae</v>
      </c>
      <c r="BT58" s="6" t="str">
        <f>IFERROR(__xludf.DUMMYFUNCTION("""COMPUTED_VALUE"""),"gcabfd")</f>
        <v>gcabfd</v>
      </c>
      <c r="BU58" s="6" t="str">
        <f>IFERROR(__xludf.DUMMYFUNCTION("""COMPUTED_VALUE"""),"agcefd")</f>
        <v>agcefd</v>
      </c>
      <c r="BV58" s="6" t="str">
        <f>IFERROR(__xludf.DUMMYFUNCTION("REGEXREPLACE( $AR58, CONCATENATE(""["",BS58,""]""), """")"),"")</f>
        <v/>
      </c>
      <c r="BW58" s="6" t="str">
        <f>IFERROR(__xludf.DUMMYFUNCTION("REGEXREPLACE( $AR58, CONCATENATE(""["",BT58,""]""), """")"),"")</f>
        <v/>
      </c>
      <c r="BX58" s="6" t="str">
        <f>IFERROR(__xludf.DUMMYFUNCTION("REGEXREPLACE( $AR58, CONCATENATE(""["",BU58,""]""), """")"),"b")</f>
        <v>b</v>
      </c>
      <c r="BY58" s="12" t="str">
        <f t="shared" si="9"/>
        <v>agcefd</v>
      </c>
      <c r="BZ58" s="12" t="str">
        <f>IFERROR(__xludf.DUMMYFUNCTION("CONCATENATE(SORT(TRANSPOSE(SPLIT(REGEXREPLACE(REGEXREPLACE(BY58&amp;"""",""(?s)(.{1})"",""$1""&amp;CHAR(127)),""'"",""''""),CHAR(127))),1,true),""1"")"),"acdefg1")</f>
        <v>acdefg1</v>
      </c>
      <c r="CA58" s="16"/>
      <c r="CB58" s="12" t="str">
        <f t="shared" si="10"/>
        <v>gab</v>
      </c>
      <c r="CC58" s="12" t="str">
        <f>IFERROR(__xludf.DUMMYFUNCTION("CONCATENATE(SORT(TRANSPOSE(SPLIT(REGEXREPLACE(REGEXREPLACE(CB58&amp;"""",""(?s)(.{1})"",""$1""&amp;CHAR(127)),""'"",""''""),CHAR(127))),1,true),""1"")"),"abg1")</f>
        <v>abg1</v>
      </c>
      <c r="CD58" s="16"/>
      <c r="CE58" s="12" t="str">
        <f t="shared" si="11"/>
        <v>bagcdfe</v>
      </c>
      <c r="CF58" s="12" t="str">
        <f>IFERROR(__xludf.DUMMYFUNCTION("CONCATENATE(SORT(TRANSPOSE(SPLIT(REGEXREPLACE(REGEXREPLACE(CE58&amp;"""",""(?s)(.{1})"",""$1""&amp;CHAR(127)),""'"",""''""),CHAR(127))),1,true),""1"")"),"abcdefg1")</f>
        <v>abcdefg1</v>
      </c>
      <c r="CG58" s="16"/>
      <c r="CH58" s="10" t="str">
        <f>IFERROR(__xludf.DUMMYFUNCTION("FILTER(K58:T58,len(K58:T58)=6)"),"cfgbae")</f>
        <v>cfgbae</v>
      </c>
      <c r="CI58" s="6" t="str">
        <f>IFERROR(__xludf.DUMMYFUNCTION("""COMPUTED_VALUE"""),"gcabfd")</f>
        <v>gcabfd</v>
      </c>
      <c r="CJ58" s="6" t="str">
        <f>IFERROR(__xludf.DUMMYFUNCTION("""COMPUTED_VALUE"""),"agcefd")</f>
        <v>agcefd</v>
      </c>
      <c r="CK58" s="6" t="str">
        <f>IFERROR(__xludf.DUMMYFUNCTION("REGEXREPLACE( $BG58, CONCATENATE(""["",CH58,""]""), """")"),"d")</f>
        <v>d</v>
      </c>
      <c r="CL58" s="6" t="str">
        <f>IFERROR(__xludf.DUMMYFUNCTION("REGEXREPLACE( $BG58, CONCATENATE(""["",CI58,""]""), """")"),"")</f>
        <v/>
      </c>
      <c r="CM58" s="6" t="str">
        <f>IFERROR(__xludf.DUMMYFUNCTION("REGEXREPLACE( $BG58, CONCATENATE(""["",CJ58,""]""), """")"),"b")</f>
        <v>b</v>
      </c>
      <c r="CN58" s="12" t="str">
        <f t="shared" si="12"/>
        <v>gcabfd</v>
      </c>
      <c r="CO58" s="12" t="str">
        <f>IFERROR(__xludf.DUMMYFUNCTION("CONCATENATE(SORT(TRANSPOSE(SPLIT(REGEXREPLACE(REGEXREPLACE(CN58&amp;"""",""(?s)(.{1})"",""$1""&amp;CHAR(127)),""'"",""''""),CHAR(127))),1,true),""1"")"),"abcdfg1")</f>
        <v>abcdfg1</v>
      </c>
      <c r="CP58" s="15"/>
    </row>
    <row r="59">
      <c r="A59" s="1" t="s">
        <v>79</v>
      </c>
      <c r="H59" s="6" t="str">
        <f>IFERROR(__xludf.DUMMYFUNCTION("SPLIT(A59,""|"")"),"gbadcfe ecfgba ebfad gabcf ace ce bceaf cbge gecdaf bcadgf ")</f>
        <v>gbadcfe ecfgba ebfad gabcf ace ce bceaf cbge gecdaf bcadgf </v>
      </c>
      <c r="I59" s="6" t="str">
        <f>IFERROR(__xludf.DUMMYFUNCTION("""COMPUTED_VALUE""")," begc bfgac bafgcd gcbe")</f>
        <v> begc bfgac bafgcd gcbe</v>
      </c>
      <c r="J59" s="15"/>
      <c r="K59" s="6" t="str">
        <f>IFERROR(__xludf.DUMMYFUNCTION("split(H59,"" "")"),"gbadcfe")</f>
        <v>gbadcfe</v>
      </c>
      <c r="L59" s="6" t="str">
        <f>IFERROR(__xludf.DUMMYFUNCTION("""COMPUTED_VALUE"""),"ecfgba")</f>
        <v>ecfgba</v>
      </c>
      <c r="M59" s="6" t="str">
        <f>IFERROR(__xludf.DUMMYFUNCTION("""COMPUTED_VALUE"""),"ebfad")</f>
        <v>ebfad</v>
      </c>
      <c r="N59" s="6" t="str">
        <f>IFERROR(__xludf.DUMMYFUNCTION("""COMPUTED_VALUE"""),"gabcf")</f>
        <v>gabcf</v>
      </c>
      <c r="O59" s="6" t="str">
        <f>IFERROR(__xludf.DUMMYFUNCTION("""COMPUTED_VALUE"""),"ace")</f>
        <v>ace</v>
      </c>
      <c r="P59" s="6" t="str">
        <f>IFERROR(__xludf.DUMMYFUNCTION("""COMPUTED_VALUE"""),"ce")</f>
        <v>ce</v>
      </c>
      <c r="Q59" s="6" t="str">
        <f>IFERROR(__xludf.DUMMYFUNCTION("""COMPUTED_VALUE"""),"bceaf")</f>
        <v>bceaf</v>
      </c>
      <c r="R59" s="6" t="str">
        <f>IFERROR(__xludf.DUMMYFUNCTION("""COMPUTED_VALUE"""),"cbge")</f>
        <v>cbge</v>
      </c>
      <c r="S59" s="6" t="str">
        <f>IFERROR(__xludf.DUMMYFUNCTION("""COMPUTED_VALUE"""),"gecdaf")</f>
        <v>gecdaf</v>
      </c>
      <c r="T59" s="6" t="str">
        <f>IFERROR(__xludf.DUMMYFUNCTION("""COMPUTED_VALUE"""),"bcadgf")</f>
        <v>bcadgf</v>
      </c>
      <c r="U59" s="15"/>
      <c r="V59" s="6" t="str">
        <f>IFERROR(__xludf.DUMMYFUNCTION("split(I59,"" "")"),"begc")</f>
        <v>begc</v>
      </c>
      <c r="W59" s="6" t="str">
        <f>IFERROR(__xludf.DUMMYFUNCTION("""COMPUTED_VALUE"""),"bfgac")</f>
        <v>bfgac</v>
      </c>
      <c r="X59" s="6" t="str">
        <f>IFERROR(__xludf.DUMMYFUNCTION("""COMPUTED_VALUE"""),"bafgcd")</f>
        <v>bafgcd</v>
      </c>
      <c r="Y59" s="6" t="str">
        <f>IFERROR(__xludf.DUMMYFUNCTION("""COMPUTED_VALUE"""),"gcbe")</f>
        <v>gcbe</v>
      </c>
      <c r="Z59" s="6" t="str">
        <f>IFERROR(__xludf.DUMMYFUNCTION("CONCATENATE(SORT(TRANSPOSE(SPLIT(REGEXREPLACE(REGEXREPLACE(V59&amp;"""",""(?s)(.{1})"",""$1""&amp;CHAR(127)),""'"",""''""),CHAR(127))),1,true))"),"bceg")</f>
        <v>bceg</v>
      </c>
      <c r="AA59" s="6" t="str">
        <f>IFERROR(__xludf.DUMMYFUNCTION("CONCATENATE(SORT(TRANSPOSE(SPLIT(REGEXREPLACE(REGEXREPLACE(W59&amp;"""",""(?s)(.{1})"",""$1""&amp;CHAR(127)),""'"",""''""),CHAR(127))),1,true))"),"abcfg")</f>
        <v>abcfg</v>
      </c>
      <c r="AB59" s="6" t="str">
        <f>IFERROR(__xludf.DUMMYFUNCTION("CONCATENATE(SORT(TRANSPOSE(SPLIT(REGEXREPLACE(REGEXREPLACE(X59&amp;"""",""(?s)(.{1})"",""$1""&amp;CHAR(127)),""'"",""''""),CHAR(127))),1,true))"),"abcdfg")</f>
        <v>abcdfg</v>
      </c>
      <c r="AC59" s="6" t="str">
        <f>IFERROR(__xludf.DUMMYFUNCTION("CONCATENATE(SORT(TRANSPOSE(SPLIT(REGEXREPLACE(REGEXREPLACE(Y59&amp;"""",""(?s)(.{1})"",""$1""&amp;CHAR(127)),""'"",""''""),CHAR(127))),1,true))"),"bceg")</f>
        <v>bceg</v>
      </c>
      <c r="AD59" s="6">
        <f t="shared" ref="AD59:AG59" si="69">INDEX($AO$1:$CP$1,1,MATCH(CONCATENATE(Z59,"1"),$AO59:$CP59,0)+1)</f>
        <v>4</v>
      </c>
      <c r="AE59" s="6">
        <f t="shared" si="69"/>
        <v>5</v>
      </c>
      <c r="AF59" s="6">
        <f t="shared" si="69"/>
        <v>6</v>
      </c>
      <c r="AG59" s="6">
        <f t="shared" si="69"/>
        <v>4</v>
      </c>
      <c r="AH59" s="6">
        <f t="shared" si="3"/>
        <v>4564</v>
      </c>
      <c r="AI59" s="16"/>
      <c r="AJ59" s="9" t="str">
        <f>IFERROR(__xludf.DUMMYFUNCTION("REGEXREPLACE(AR59,CONCATENATE(""["",BY59,""]""),"""")"),"e")</f>
        <v>e</v>
      </c>
      <c r="AK59" s="10" t="str">
        <f>IFERROR(__xludf.DUMMYFUNCTION("FILTER($K59:$T59,len($K59:$T59)=6,NOT($K59:$T59=BY59))"),"ecfgba")</f>
        <v>ecfgba</v>
      </c>
      <c r="AL59" s="6" t="str">
        <f>IFERROR(__xludf.DUMMYFUNCTION("""COMPUTED_VALUE"""),"gecdaf")</f>
        <v>gecdaf</v>
      </c>
      <c r="AM59" s="6" t="str">
        <f>IFERROR(__xludf.DUMMYFUNCTION("REGEXREPLACE( $BG59, CONCATENATE(""["",AK59,""]""), """")"),"")</f>
        <v/>
      </c>
      <c r="AN59" s="6" t="str">
        <f>IFERROR(__xludf.DUMMYFUNCTION("REGEXREPLACE( $BG59, CONCATENATE(""["",AL59,""]""), """")"),"b")</f>
        <v>b</v>
      </c>
      <c r="AO59" s="11" t="str">
        <f t="shared" si="4"/>
        <v>gecdaf</v>
      </c>
      <c r="AP59" s="12" t="str">
        <f>IFERROR(__xludf.DUMMYFUNCTION("CONCATENATE(SORT(TRANSPOSE(SPLIT(REGEXREPLACE(REGEXREPLACE(AO59&amp;"""",""(?s)(.{1})"",""$1""&amp;CHAR(127)),""'"",""''""),CHAR(127))),1,true),""1"")"),"acdefg1")</f>
        <v>acdefg1</v>
      </c>
      <c r="AQ59" s="16"/>
      <c r="AR59" s="12" t="str">
        <f t="shared" si="5"/>
        <v>ce</v>
      </c>
      <c r="AS59" s="12" t="str">
        <f>IFERROR(__xludf.DUMMYFUNCTION("CONCATENATE(SORT(TRANSPOSE(SPLIT(REGEXREPLACE(REGEXREPLACE(AR59&amp;"""",""(?s)(.{1})"",""$1""&amp;CHAR(127)),""'"",""''""),CHAR(127))),1,true),""1"")"),"ce1")</f>
        <v>ce1</v>
      </c>
      <c r="AT59" s="16"/>
      <c r="AU59" s="13" t="str">
        <f>IFERROR(__xludf.DUMMYFUNCTION("FILTER($K59:$T59,len($K59:$T59)=5,NOT($K59:$T59=BD59),NOT($K59:$T59=BP59))"),"ebfad")</f>
        <v>ebfad</v>
      </c>
      <c r="AV59" s="12" t="str">
        <f>IFERROR(__xludf.DUMMYFUNCTION("CONCATENATE(SORT(TRANSPOSE(SPLIT(REGEXREPLACE(REGEXREPLACE(AU59&amp;"""",""(?s)(.{1})"",""$1""&amp;CHAR(127)),""'"",""''""),CHAR(127))),1,true),""1"")"),"abdef1")</f>
        <v>abdef1</v>
      </c>
      <c r="AW59" s="16"/>
      <c r="AX59" s="10" t="str">
        <f>IFERROR(__xludf.DUMMYFUNCTION("FILTER($K59:$T59,len($K59:$T59)=5)"),"ebfad")</f>
        <v>ebfad</v>
      </c>
      <c r="AY59" s="6" t="str">
        <f>IFERROR(__xludf.DUMMYFUNCTION("""COMPUTED_VALUE"""),"gabcf")</f>
        <v>gabcf</v>
      </c>
      <c r="AZ59" s="6" t="str">
        <f>IFERROR(__xludf.DUMMYFUNCTION("""COMPUTED_VALUE"""),"bceaf")</f>
        <v>bceaf</v>
      </c>
      <c r="BA59" s="6" t="str">
        <f>IFERROR(__xludf.DUMMYFUNCTION("REGEXREPLACE( $AR59, CONCATENATE(""["",AX59,""]""), """")"),"c")</f>
        <v>c</v>
      </c>
      <c r="BB59" s="6" t="str">
        <f>IFERROR(__xludf.DUMMYFUNCTION("REGEXREPLACE( $AR59, CONCATENATE(""["",AY59,""]""), """")"),"e")</f>
        <v>e</v>
      </c>
      <c r="BC59" s="6" t="str">
        <f>IFERROR(__xludf.DUMMYFUNCTION("REGEXREPLACE( $AR59, CONCATENATE(""["",AZ59,""]""), """")"),"")</f>
        <v/>
      </c>
      <c r="BD59" s="11" t="str">
        <f t="shared" si="6"/>
        <v>bceaf</v>
      </c>
      <c r="BE59" s="12" t="str">
        <f>IFERROR(__xludf.DUMMYFUNCTION("CONCATENATE(SORT(TRANSPOSE(SPLIT(REGEXREPLACE(REGEXREPLACE(BD59&amp;"""",""(?s)(.{1})"",""$1""&amp;CHAR(127)),""'"",""''""),CHAR(127))),1,true),""1"")"),"abcef1")</f>
        <v>abcef1</v>
      </c>
      <c r="BF59" s="16"/>
      <c r="BG59" s="12" t="str">
        <f t="shared" si="7"/>
        <v>cbge</v>
      </c>
      <c r="BH59" s="12" t="str">
        <f>IFERROR(__xludf.DUMMYFUNCTION("CONCATENATE(SORT(TRANSPOSE(SPLIT(REGEXREPLACE(REGEXREPLACE(BG59&amp;"""",""(?s)(.{1})"",""$1""&amp;CHAR(127)),""'"",""''""),CHAR(127))),1,true),""1"")"),"bceg1")</f>
        <v>bceg1</v>
      </c>
      <c r="BI59" s="16"/>
      <c r="BJ59" s="10" t="str">
        <f>IFERROR(__xludf.DUMMYFUNCTION("FILTER($K59:$T59,len($K59:$T59)=5)"),"ebfad")</f>
        <v>ebfad</v>
      </c>
      <c r="BK59" s="6" t="str">
        <f>IFERROR(__xludf.DUMMYFUNCTION("""COMPUTED_VALUE"""),"gabcf")</f>
        <v>gabcf</v>
      </c>
      <c r="BL59" s="6" t="str">
        <f>IFERROR(__xludf.DUMMYFUNCTION("""COMPUTED_VALUE"""),"bceaf")</f>
        <v>bceaf</v>
      </c>
      <c r="BM59" s="14" t="str">
        <f>IFERROR(__xludf.DUMMYFUNCTION("REGEXREPLACE( $BY59, CONCATENATE(""["",BJ59,""]""), """")"),"cg")</f>
        <v>cg</v>
      </c>
      <c r="BN59" s="14" t="str">
        <f>IFERROR(__xludf.DUMMYFUNCTION("REGEXREPLACE( $BY59, CONCATENATE(""["",BK59,""]""), """")"),"d")</f>
        <v>d</v>
      </c>
      <c r="BO59" s="14" t="str">
        <f>IFERROR(__xludf.DUMMYFUNCTION("REGEXREPLACE( $BY59, CONCATENATE(""["",BL59,""]""), """")"),"dg")</f>
        <v>dg</v>
      </c>
      <c r="BP59" s="11" t="str">
        <f t="shared" si="8"/>
        <v>gabcf</v>
      </c>
      <c r="BQ59" s="12" t="str">
        <f>IFERROR(__xludf.DUMMYFUNCTION("CONCATENATE(SORT(TRANSPOSE(SPLIT(REGEXREPLACE(REGEXREPLACE(BP59&amp;"""",""(?s)(.{1})"",""$1""&amp;CHAR(127)),""'"",""''""),CHAR(127))),1,true),""1"")"),"abcfg1")</f>
        <v>abcfg1</v>
      </c>
      <c r="BR59" s="16"/>
      <c r="BS59" s="10" t="str">
        <f>IFERROR(__xludf.DUMMYFUNCTION("FILTER(K59:T59,len(K59:T59)=6)"),"ecfgba")</f>
        <v>ecfgba</v>
      </c>
      <c r="BT59" s="6" t="str">
        <f>IFERROR(__xludf.DUMMYFUNCTION("""COMPUTED_VALUE"""),"gecdaf")</f>
        <v>gecdaf</v>
      </c>
      <c r="BU59" s="6" t="str">
        <f>IFERROR(__xludf.DUMMYFUNCTION("""COMPUTED_VALUE"""),"bcadgf")</f>
        <v>bcadgf</v>
      </c>
      <c r="BV59" s="6" t="str">
        <f>IFERROR(__xludf.DUMMYFUNCTION("REGEXREPLACE( $AR59, CONCATENATE(""["",BS59,""]""), """")"),"")</f>
        <v/>
      </c>
      <c r="BW59" s="6" t="str">
        <f>IFERROR(__xludf.DUMMYFUNCTION("REGEXREPLACE( $AR59, CONCATENATE(""["",BT59,""]""), """")"),"")</f>
        <v/>
      </c>
      <c r="BX59" s="6" t="str">
        <f>IFERROR(__xludf.DUMMYFUNCTION("REGEXREPLACE( $AR59, CONCATENATE(""["",BU59,""]""), """")"),"e")</f>
        <v>e</v>
      </c>
      <c r="BY59" s="12" t="str">
        <f t="shared" si="9"/>
        <v>bcadgf</v>
      </c>
      <c r="BZ59" s="12" t="str">
        <f>IFERROR(__xludf.DUMMYFUNCTION("CONCATENATE(SORT(TRANSPOSE(SPLIT(REGEXREPLACE(REGEXREPLACE(BY59&amp;"""",""(?s)(.{1})"",""$1""&amp;CHAR(127)),""'"",""''""),CHAR(127))),1,true),""1"")"),"abcdfg1")</f>
        <v>abcdfg1</v>
      </c>
      <c r="CA59" s="16"/>
      <c r="CB59" s="12" t="str">
        <f t="shared" si="10"/>
        <v>ace</v>
      </c>
      <c r="CC59" s="12" t="str">
        <f>IFERROR(__xludf.DUMMYFUNCTION("CONCATENATE(SORT(TRANSPOSE(SPLIT(REGEXREPLACE(REGEXREPLACE(CB59&amp;"""",""(?s)(.{1})"",""$1""&amp;CHAR(127)),""'"",""''""),CHAR(127))),1,true),""1"")"),"ace1")</f>
        <v>ace1</v>
      </c>
      <c r="CD59" s="16"/>
      <c r="CE59" s="12" t="str">
        <f t="shared" si="11"/>
        <v>gbadcfe</v>
      </c>
      <c r="CF59" s="12" t="str">
        <f>IFERROR(__xludf.DUMMYFUNCTION("CONCATENATE(SORT(TRANSPOSE(SPLIT(REGEXREPLACE(REGEXREPLACE(CE59&amp;"""",""(?s)(.{1})"",""$1""&amp;CHAR(127)),""'"",""''""),CHAR(127))),1,true),""1"")"),"abcdefg1")</f>
        <v>abcdefg1</v>
      </c>
      <c r="CG59" s="16"/>
      <c r="CH59" s="10" t="str">
        <f>IFERROR(__xludf.DUMMYFUNCTION("FILTER(K59:T59,len(K59:T59)=6)"),"ecfgba")</f>
        <v>ecfgba</v>
      </c>
      <c r="CI59" s="6" t="str">
        <f>IFERROR(__xludf.DUMMYFUNCTION("""COMPUTED_VALUE"""),"gecdaf")</f>
        <v>gecdaf</v>
      </c>
      <c r="CJ59" s="6" t="str">
        <f>IFERROR(__xludf.DUMMYFUNCTION("""COMPUTED_VALUE"""),"bcadgf")</f>
        <v>bcadgf</v>
      </c>
      <c r="CK59" s="6" t="str">
        <f>IFERROR(__xludf.DUMMYFUNCTION("REGEXREPLACE( $BG59, CONCATENATE(""["",CH59,""]""), """")"),"")</f>
        <v/>
      </c>
      <c r="CL59" s="6" t="str">
        <f>IFERROR(__xludf.DUMMYFUNCTION("REGEXREPLACE( $BG59, CONCATENATE(""["",CI59,""]""), """")"),"b")</f>
        <v>b</v>
      </c>
      <c r="CM59" s="6" t="str">
        <f>IFERROR(__xludf.DUMMYFUNCTION("REGEXREPLACE( $BG59, CONCATENATE(""["",CJ59,""]""), """")"),"e")</f>
        <v>e</v>
      </c>
      <c r="CN59" s="12" t="str">
        <f t="shared" si="12"/>
        <v>ecfgba</v>
      </c>
      <c r="CO59" s="12" t="str">
        <f>IFERROR(__xludf.DUMMYFUNCTION("CONCATENATE(SORT(TRANSPOSE(SPLIT(REGEXREPLACE(REGEXREPLACE(CN59&amp;"""",""(?s)(.{1})"",""$1""&amp;CHAR(127)),""'"",""''""),CHAR(127))),1,true),""1"")"),"abcefg1")</f>
        <v>abcefg1</v>
      </c>
      <c r="CP59" s="15"/>
    </row>
    <row r="60">
      <c r="A60" s="1" t="s">
        <v>80</v>
      </c>
      <c r="H60" s="6" t="str">
        <f>IFERROR(__xludf.DUMMYFUNCTION("SPLIT(A60,""|"")"),"cedbfa bdecgf gfcdbea aecbgd gbcaf abgdc gd edga gdc cdeba ")</f>
        <v>cedbfa bdecgf gfcdbea aecbgd gbcaf abgdc gd edga gdc cdeba </v>
      </c>
      <c r="I60" s="6" t="str">
        <f>IFERROR(__xludf.DUMMYFUNCTION("""COMPUTED_VALUE""")," abedc dcg edga dcg")</f>
        <v> abedc dcg edga dcg</v>
      </c>
      <c r="J60" s="15"/>
      <c r="K60" s="6" t="str">
        <f>IFERROR(__xludf.DUMMYFUNCTION("split(H60,"" "")"),"cedbfa")</f>
        <v>cedbfa</v>
      </c>
      <c r="L60" s="6" t="str">
        <f>IFERROR(__xludf.DUMMYFUNCTION("""COMPUTED_VALUE"""),"bdecgf")</f>
        <v>bdecgf</v>
      </c>
      <c r="M60" s="6" t="str">
        <f>IFERROR(__xludf.DUMMYFUNCTION("""COMPUTED_VALUE"""),"gfcdbea")</f>
        <v>gfcdbea</v>
      </c>
      <c r="N60" s="6" t="str">
        <f>IFERROR(__xludf.DUMMYFUNCTION("""COMPUTED_VALUE"""),"aecbgd")</f>
        <v>aecbgd</v>
      </c>
      <c r="O60" s="6" t="str">
        <f>IFERROR(__xludf.DUMMYFUNCTION("""COMPUTED_VALUE"""),"gbcaf")</f>
        <v>gbcaf</v>
      </c>
      <c r="P60" s="6" t="str">
        <f>IFERROR(__xludf.DUMMYFUNCTION("""COMPUTED_VALUE"""),"abgdc")</f>
        <v>abgdc</v>
      </c>
      <c r="Q60" s="6" t="str">
        <f>IFERROR(__xludf.DUMMYFUNCTION("""COMPUTED_VALUE"""),"gd")</f>
        <v>gd</v>
      </c>
      <c r="R60" s="6" t="str">
        <f>IFERROR(__xludf.DUMMYFUNCTION("""COMPUTED_VALUE"""),"edga")</f>
        <v>edga</v>
      </c>
      <c r="S60" s="6" t="str">
        <f>IFERROR(__xludf.DUMMYFUNCTION("""COMPUTED_VALUE"""),"gdc")</f>
        <v>gdc</v>
      </c>
      <c r="T60" s="6" t="str">
        <f>IFERROR(__xludf.DUMMYFUNCTION("""COMPUTED_VALUE"""),"cdeba")</f>
        <v>cdeba</v>
      </c>
      <c r="U60" s="15"/>
      <c r="V60" s="6" t="str">
        <f>IFERROR(__xludf.DUMMYFUNCTION("split(I60,"" "")"),"abedc")</f>
        <v>abedc</v>
      </c>
      <c r="W60" s="6" t="str">
        <f>IFERROR(__xludf.DUMMYFUNCTION("""COMPUTED_VALUE"""),"dcg")</f>
        <v>dcg</v>
      </c>
      <c r="X60" s="6" t="str">
        <f>IFERROR(__xludf.DUMMYFUNCTION("""COMPUTED_VALUE"""),"edga")</f>
        <v>edga</v>
      </c>
      <c r="Y60" s="6" t="str">
        <f>IFERROR(__xludf.DUMMYFUNCTION("""COMPUTED_VALUE"""),"dcg")</f>
        <v>dcg</v>
      </c>
      <c r="Z60" s="6" t="str">
        <f>IFERROR(__xludf.DUMMYFUNCTION("CONCATENATE(SORT(TRANSPOSE(SPLIT(REGEXREPLACE(REGEXREPLACE(V60&amp;"""",""(?s)(.{1})"",""$1""&amp;CHAR(127)),""'"",""''""),CHAR(127))),1,true))"),"abcde")</f>
        <v>abcde</v>
      </c>
      <c r="AA60" s="6" t="str">
        <f>IFERROR(__xludf.DUMMYFUNCTION("CONCATENATE(SORT(TRANSPOSE(SPLIT(REGEXREPLACE(REGEXREPLACE(W60&amp;"""",""(?s)(.{1})"",""$1""&amp;CHAR(127)),""'"",""''""),CHAR(127))),1,true))"),"cdg")</f>
        <v>cdg</v>
      </c>
      <c r="AB60" s="6" t="str">
        <f>IFERROR(__xludf.DUMMYFUNCTION("CONCATENATE(SORT(TRANSPOSE(SPLIT(REGEXREPLACE(REGEXREPLACE(X60&amp;"""",""(?s)(.{1})"",""$1""&amp;CHAR(127)),""'"",""''""),CHAR(127))),1,true))"),"adeg")</f>
        <v>adeg</v>
      </c>
      <c r="AC60" s="6" t="str">
        <f>IFERROR(__xludf.DUMMYFUNCTION("CONCATENATE(SORT(TRANSPOSE(SPLIT(REGEXREPLACE(REGEXREPLACE(Y60&amp;"""",""(?s)(.{1})"",""$1""&amp;CHAR(127)),""'"",""''""),CHAR(127))),1,true))"),"cdg")</f>
        <v>cdg</v>
      </c>
      <c r="AD60" s="6">
        <f t="shared" ref="AD60:AG60" si="70">INDEX($AO$1:$CP$1,1,MATCH(CONCATENATE(Z60,"1"),$AO60:$CP60,0)+1)</f>
        <v>5</v>
      </c>
      <c r="AE60" s="6">
        <f t="shared" si="70"/>
        <v>7</v>
      </c>
      <c r="AF60" s="6">
        <f t="shared" si="70"/>
        <v>4</v>
      </c>
      <c r="AG60" s="6">
        <f t="shared" si="70"/>
        <v>7</v>
      </c>
      <c r="AH60" s="6">
        <f t="shared" si="3"/>
        <v>5747</v>
      </c>
      <c r="AI60" s="16"/>
      <c r="AJ60" s="9" t="str">
        <f>IFERROR(__xludf.DUMMYFUNCTION("REGEXREPLACE(AR60,CONCATENATE(""["",BY60,""]""),"""")"),"g")</f>
        <v>g</v>
      </c>
      <c r="AK60" s="10" t="str">
        <f>IFERROR(__xludf.DUMMYFUNCTION("FILTER($K60:$T60,len($K60:$T60)=6,NOT($K60:$T60=BY60))"),"bdecgf")</f>
        <v>bdecgf</v>
      </c>
      <c r="AL60" s="6" t="str">
        <f>IFERROR(__xludf.DUMMYFUNCTION("""COMPUTED_VALUE"""),"aecbgd")</f>
        <v>aecbgd</v>
      </c>
      <c r="AM60" s="6" t="str">
        <f>IFERROR(__xludf.DUMMYFUNCTION("REGEXREPLACE( $BG60, CONCATENATE(""["",AK60,""]""), """")"),"a")</f>
        <v>a</v>
      </c>
      <c r="AN60" s="6" t="str">
        <f>IFERROR(__xludf.DUMMYFUNCTION("REGEXREPLACE( $BG60, CONCATENATE(""["",AL60,""]""), """")"),"")</f>
        <v/>
      </c>
      <c r="AO60" s="11" t="str">
        <f t="shared" si="4"/>
        <v>bdecgf</v>
      </c>
      <c r="AP60" s="12" t="str">
        <f>IFERROR(__xludf.DUMMYFUNCTION("CONCATENATE(SORT(TRANSPOSE(SPLIT(REGEXREPLACE(REGEXREPLACE(AO60&amp;"""",""(?s)(.{1})"",""$1""&amp;CHAR(127)),""'"",""''""),CHAR(127))),1,true),""1"")"),"bcdefg1")</f>
        <v>bcdefg1</v>
      </c>
      <c r="AQ60" s="16"/>
      <c r="AR60" s="12" t="str">
        <f t="shared" si="5"/>
        <v>gd</v>
      </c>
      <c r="AS60" s="12" t="str">
        <f>IFERROR(__xludf.DUMMYFUNCTION("CONCATENATE(SORT(TRANSPOSE(SPLIT(REGEXREPLACE(REGEXREPLACE(AR60&amp;"""",""(?s)(.{1})"",""$1""&amp;CHAR(127)),""'"",""''""),CHAR(127))),1,true),""1"")"),"dg1")</f>
        <v>dg1</v>
      </c>
      <c r="AT60" s="16"/>
      <c r="AU60" s="13" t="str">
        <f>IFERROR(__xludf.DUMMYFUNCTION("FILTER($K60:$T60,len($K60:$T60)=5,NOT($K60:$T60=BD60),NOT($K60:$T60=BP60))"),"gbcaf")</f>
        <v>gbcaf</v>
      </c>
      <c r="AV60" s="12" t="str">
        <f>IFERROR(__xludf.DUMMYFUNCTION("CONCATENATE(SORT(TRANSPOSE(SPLIT(REGEXREPLACE(REGEXREPLACE(AU60&amp;"""",""(?s)(.{1})"",""$1""&amp;CHAR(127)),""'"",""''""),CHAR(127))),1,true),""1"")"),"abcfg1")</f>
        <v>abcfg1</v>
      </c>
      <c r="AW60" s="16"/>
      <c r="AX60" s="10" t="str">
        <f>IFERROR(__xludf.DUMMYFUNCTION("FILTER($K60:$T60,len($K60:$T60)=5)"),"gbcaf")</f>
        <v>gbcaf</v>
      </c>
      <c r="AY60" s="6" t="str">
        <f>IFERROR(__xludf.DUMMYFUNCTION("""COMPUTED_VALUE"""),"abgdc")</f>
        <v>abgdc</v>
      </c>
      <c r="AZ60" s="6" t="str">
        <f>IFERROR(__xludf.DUMMYFUNCTION("""COMPUTED_VALUE"""),"cdeba")</f>
        <v>cdeba</v>
      </c>
      <c r="BA60" s="6" t="str">
        <f>IFERROR(__xludf.DUMMYFUNCTION("REGEXREPLACE( $AR60, CONCATENATE(""["",AX60,""]""), """")"),"d")</f>
        <v>d</v>
      </c>
      <c r="BB60" s="6" t="str">
        <f>IFERROR(__xludf.DUMMYFUNCTION("REGEXREPLACE( $AR60, CONCATENATE(""["",AY60,""]""), """")"),"")</f>
        <v/>
      </c>
      <c r="BC60" s="6" t="str">
        <f>IFERROR(__xludf.DUMMYFUNCTION("REGEXREPLACE( $AR60, CONCATENATE(""["",AZ60,""]""), """")"),"g")</f>
        <v>g</v>
      </c>
      <c r="BD60" s="11" t="str">
        <f t="shared" si="6"/>
        <v>abgdc</v>
      </c>
      <c r="BE60" s="12" t="str">
        <f>IFERROR(__xludf.DUMMYFUNCTION("CONCATENATE(SORT(TRANSPOSE(SPLIT(REGEXREPLACE(REGEXREPLACE(BD60&amp;"""",""(?s)(.{1})"",""$1""&amp;CHAR(127)),""'"",""''""),CHAR(127))),1,true),""1"")"),"abcdg1")</f>
        <v>abcdg1</v>
      </c>
      <c r="BF60" s="16"/>
      <c r="BG60" s="12" t="str">
        <f t="shared" si="7"/>
        <v>edga</v>
      </c>
      <c r="BH60" s="12" t="str">
        <f>IFERROR(__xludf.DUMMYFUNCTION("CONCATENATE(SORT(TRANSPOSE(SPLIT(REGEXREPLACE(REGEXREPLACE(BG60&amp;"""",""(?s)(.{1})"",""$1""&amp;CHAR(127)),""'"",""''""),CHAR(127))),1,true),""1"")"),"adeg1")</f>
        <v>adeg1</v>
      </c>
      <c r="BI60" s="16"/>
      <c r="BJ60" s="10" t="str">
        <f>IFERROR(__xludf.DUMMYFUNCTION("FILTER($K60:$T60,len($K60:$T60)=5)"),"gbcaf")</f>
        <v>gbcaf</v>
      </c>
      <c r="BK60" s="6" t="str">
        <f>IFERROR(__xludf.DUMMYFUNCTION("""COMPUTED_VALUE"""),"abgdc")</f>
        <v>abgdc</v>
      </c>
      <c r="BL60" s="6" t="str">
        <f>IFERROR(__xludf.DUMMYFUNCTION("""COMPUTED_VALUE"""),"cdeba")</f>
        <v>cdeba</v>
      </c>
      <c r="BM60" s="14" t="str">
        <f>IFERROR(__xludf.DUMMYFUNCTION("REGEXREPLACE( $BY60, CONCATENATE(""["",BJ60,""]""), """")"),"ed")</f>
        <v>ed</v>
      </c>
      <c r="BN60" s="14" t="str">
        <f>IFERROR(__xludf.DUMMYFUNCTION("REGEXREPLACE( $BY60, CONCATENATE(""["",BK60,""]""), """")"),"ef")</f>
        <v>ef</v>
      </c>
      <c r="BO60" s="14" t="str">
        <f>IFERROR(__xludf.DUMMYFUNCTION("REGEXREPLACE( $BY60, CONCATENATE(""["",BL60,""]""), """")"),"f")</f>
        <v>f</v>
      </c>
      <c r="BP60" s="11" t="str">
        <f t="shared" si="8"/>
        <v>cdeba</v>
      </c>
      <c r="BQ60" s="12" t="str">
        <f>IFERROR(__xludf.DUMMYFUNCTION("CONCATENATE(SORT(TRANSPOSE(SPLIT(REGEXREPLACE(REGEXREPLACE(BP60&amp;"""",""(?s)(.{1})"",""$1""&amp;CHAR(127)),""'"",""''""),CHAR(127))),1,true),""1"")"),"abcde1")</f>
        <v>abcde1</v>
      </c>
      <c r="BR60" s="16"/>
      <c r="BS60" s="10" t="str">
        <f>IFERROR(__xludf.DUMMYFUNCTION("FILTER(K60:T60,len(K60:T60)=6)"),"cedbfa")</f>
        <v>cedbfa</v>
      </c>
      <c r="BT60" s="6" t="str">
        <f>IFERROR(__xludf.DUMMYFUNCTION("""COMPUTED_VALUE"""),"bdecgf")</f>
        <v>bdecgf</v>
      </c>
      <c r="BU60" s="6" t="str">
        <f>IFERROR(__xludf.DUMMYFUNCTION("""COMPUTED_VALUE"""),"aecbgd")</f>
        <v>aecbgd</v>
      </c>
      <c r="BV60" s="6" t="str">
        <f>IFERROR(__xludf.DUMMYFUNCTION("REGEXREPLACE( $AR60, CONCATENATE(""["",BS60,""]""), """")"),"g")</f>
        <v>g</v>
      </c>
      <c r="BW60" s="6" t="str">
        <f>IFERROR(__xludf.DUMMYFUNCTION("REGEXREPLACE( $AR60, CONCATENATE(""["",BT60,""]""), """")"),"")</f>
        <v/>
      </c>
      <c r="BX60" s="6" t="str">
        <f>IFERROR(__xludf.DUMMYFUNCTION("REGEXREPLACE( $AR60, CONCATENATE(""["",BU60,""]""), """")"),"")</f>
        <v/>
      </c>
      <c r="BY60" s="12" t="str">
        <f t="shared" si="9"/>
        <v>cedbfa</v>
      </c>
      <c r="BZ60" s="12" t="str">
        <f>IFERROR(__xludf.DUMMYFUNCTION("CONCATENATE(SORT(TRANSPOSE(SPLIT(REGEXREPLACE(REGEXREPLACE(BY60&amp;"""",""(?s)(.{1})"",""$1""&amp;CHAR(127)),""'"",""''""),CHAR(127))),1,true),""1"")"),"abcdef1")</f>
        <v>abcdef1</v>
      </c>
      <c r="CA60" s="16"/>
      <c r="CB60" s="12" t="str">
        <f t="shared" si="10"/>
        <v>gdc</v>
      </c>
      <c r="CC60" s="12" t="str">
        <f>IFERROR(__xludf.DUMMYFUNCTION("CONCATENATE(SORT(TRANSPOSE(SPLIT(REGEXREPLACE(REGEXREPLACE(CB60&amp;"""",""(?s)(.{1})"",""$1""&amp;CHAR(127)),""'"",""''""),CHAR(127))),1,true),""1"")"),"cdg1")</f>
        <v>cdg1</v>
      </c>
      <c r="CD60" s="16"/>
      <c r="CE60" s="12" t="str">
        <f t="shared" si="11"/>
        <v>gfcdbea</v>
      </c>
      <c r="CF60" s="12" t="str">
        <f>IFERROR(__xludf.DUMMYFUNCTION("CONCATENATE(SORT(TRANSPOSE(SPLIT(REGEXREPLACE(REGEXREPLACE(CE60&amp;"""",""(?s)(.{1})"",""$1""&amp;CHAR(127)),""'"",""''""),CHAR(127))),1,true),""1"")"),"abcdefg1")</f>
        <v>abcdefg1</v>
      </c>
      <c r="CG60" s="16"/>
      <c r="CH60" s="10" t="str">
        <f>IFERROR(__xludf.DUMMYFUNCTION("FILTER(K60:T60,len(K60:T60)=6)"),"cedbfa")</f>
        <v>cedbfa</v>
      </c>
      <c r="CI60" s="6" t="str">
        <f>IFERROR(__xludf.DUMMYFUNCTION("""COMPUTED_VALUE"""),"bdecgf")</f>
        <v>bdecgf</v>
      </c>
      <c r="CJ60" s="6" t="str">
        <f>IFERROR(__xludf.DUMMYFUNCTION("""COMPUTED_VALUE"""),"aecbgd")</f>
        <v>aecbgd</v>
      </c>
      <c r="CK60" s="6" t="str">
        <f>IFERROR(__xludf.DUMMYFUNCTION("REGEXREPLACE( $BG60, CONCATENATE(""["",CH60,""]""), """")"),"g")</f>
        <v>g</v>
      </c>
      <c r="CL60" s="6" t="str">
        <f>IFERROR(__xludf.DUMMYFUNCTION("REGEXREPLACE( $BG60, CONCATENATE(""["",CI60,""]""), """")"),"a")</f>
        <v>a</v>
      </c>
      <c r="CM60" s="6" t="str">
        <f>IFERROR(__xludf.DUMMYFUNCTION("REGEXREPLACE( $BG60, CONCATENATE(""["",CJ60,""]""), """")"),"")</f>
        <v/>
      </c>
      <c r="CN60" s="12" t="str">
        <f t="shared" si="12"/>
        <v>aecbgd</v>
      </c>
      <c r="CO60" s="12" t="str">
        <f>IFERROR(__xludf.DUMMYFUNCTION("CONCATENATE(SORT(TRANSPOSE(SPLIT(REGEXREPLACE(REGEXREPLACE(CN60&amp;"""",""(?s)(.{1})"",""$1""&amp;CHAR(127)),""'"",""''""),CHAR(127))),1,true),""1"")"),"abcdeg1")</f>
        <v>abcdeg1</v>
      </c>
      <c r="CP60" s="15"/>
    </row>
    <row r="61">
      <c r="A61" s="1" t="s">
        <v>81</v>
      </c>
      <c r="H61" s="6" t="str">
        <f>IFERROR(__xludf.DUMMYFUNCTION("SPLIT(A61,""|"")"),"dcage fegcbd cdab gbfae ebdagc gbfdace bd baged dbg cfagde ")</f>
        <v>dcage fegcbd cdab gbfae ebdagc gbfdace bd baged dbg cfagde </v>
      </c>
      <c r="I61" s="6" t="str">
        <f>IFERROR(__xludf.DUMMYFUNCTION("""COMPUTED_VALUE""")," daebg dcbeag efabg dbgae")</f>
        <v> daebg dcbeag efabg dbgae</v>
      </c>
      <c r="J61" s="15"/>
      <c r="K61" s="6" t="str">
        <f>IFERROR(__xludf.DUMMYFUNCTION("split(H61,"" "")"),"dcage")</f>
        <v>dcage</v>
      </c>
      <c r="L61" s="6" t="str">
        <f>IFERROR(__xludf.DUMMYFUNCTION("""COMPUTED_VALUE"""),"fegcbd")</f>
        <v>fegcbd</v>
      </c>
      <c r="M61" s="6" t="str">
        <f>IFERROR(__xludf.DUMMYFUNCTION("""COMPUTED_VALUE"""),"cdab")</f>
        <v>cdab</v>
      </c>
      <c r="N61" s="6" t="str">
        <f>IFERROR(__xludf.DUMMYFUNCTION("""COMPUTED_VALUE"""),"gbfae")</f>
        <v>gbfae</v>
      </c>
      <c r="O61" s="6" t="str">
        <f>IFERROR(__xludf.DUMMYFUNCTION("""COMPUTED_VALUE"""),"ebdagc")</f>
        <v>ebdagc</v>
      </c>
      <c r="P61" s="6" t="str">
        <f>IFERROR(__xludf.DUMMYFUNCTION("""COMPUTED_VALUE"""),"gbfdace")</f>
        <v>gbfdace</v>
      </c>
      <c r="Q61" s="6" t="str">
        <f>IFERROR(__xludf.DUMMYFUNCTION("""COMPUTED_VALUE"""),"bd")</f>
        <v>bd</v>
      </c>
      <c r="R61" s="6" t="str">
        <f>IFERROR(__xludf.DUMMYFUNCTION("""COMPUTED_VALUE"""),"baged")</f>
        <v>baged</v>
      </c>
      <c r="S61" s="6" t="str">
        <f>IFERROR(__xludf.DUMMYFUNCTION("""COMPUTED_VALUE"""),"dbg")</f>
        <v>dbg</v>
      </c>
      <c r="T61" s="6" t="str">
        <f>IFERROR(__xludf.DUMMYFUNCTION("""COMPUTED_VALUE"""),"cfagde")</f>
        <v>cfagde</v>
      </c>
      <c r="U61" s="15"/>
      <c r="V61" s="6" t="str">
        <f>IFERROR(__xludf.DUMMYFUNCTION("split(I61,"" "")"),"daebg")</f>
        <v>daebg</v>
      </c>
      <c r="W61" s="6" t="str">
        <f>IFERROR(__xludf.DUMMYFUNCTION("""COMPUTED_VALUE"""),"dcbeag")</f>
        <v>dcbeag</v>
      </c>
      <c r="X61" s="6" t="str">
        <f>IFERROR(__xludf.DUMMYFUNCTION("""COMPUTED_VALUE"""),"efabg")</f>
        <v>efabg</v>
      </c>
      <c r="Y61" s="6" t="str">
        <f>IFERROR(__xludf.DUMMYFUNCTION("""COMPUTED_VALUE"""),"dbgae")</f>
        <v>dbgae</v>
      </c>
      <c r="Z61" s="6" t="str">
        <f>IFERROR(__xludf.DUMMYFUNCTION("CONCATENATE(SORT(TRANSPOSE(SPLIT(REGEXREPLACE(REGEXREPLACE(V61&amp;"""",""(?s)(.{1})"",""$1""&amp;CHAR(127)),""'"",""''""),CHAR(127))),1,true))"),"abdeg")</f>
        <v>abdeg</v>
      </c>
      <c r="AA61" s="6" t="str">
        <f>IFERROR(__xludf.DUMMYFUNCTION("CONCATENATE(SORT(TRANSPOSE(SPLIT(REGEXREPLACE(REGEXREPLACE(W61&amp;"""",""(?s)(.{1})"",""$1""&amp;CHAR(127)),""'"",""''""),CHAR(127))),1,true))"),"abcdeg")</f>
        <v>abcdeg</v>
      </c>
      <c r="AB61" s="6" t="str">
        <f>IFERROR(__xludf.DUMMYFUNCTION("CONCATENATE(SORT(TRANSPOSE(SPLIT(REGEXREPLACE(REGEXREPLACE(X61&amp;"""",""(?s)(.{1})"",""$1""&amp;CHAR(127)),""'"",""''""),CHAR(127))),1,true))"),"abefg")</f>
        <v>abefg</v>
      </c>
      <c r="AC61" s="6" t="str">
        <f>IFERROR(__xludf.DUMMYFUNCTION("CONCATENATE(SORT(TRANSPOSE(SPLIT(REGEXREPLACE(REGEXREPLACE(Y61&amp;"""",""(?s)(.{1})"",""$1""&amp;CHAR(127)),""'"",""''""),CHAR(127))),1,true))"),"abdeg")</f>
        <v>abdeg</v>
      </c>
      <c r="AD61" s="6">
        <f t="shared" ref="AD61:AG61" si="71">INDEX($AO$1:$CP$1,1,MATCH(CONCATENATE(Z61,"1"),$AO61:$CP61,0)+1)</f>
        <v>3</v>
      </c>
      <c r="AE61" s="6">
        <f t="shared" si="71"/>
        <v>9</v>
      </c>
      <c r="AF61" s="6">
        <f t="shared" si="71"/>
        <v>2</v>
      </c>
      <c r="AG61" s="6">
        <f t="shared" si="71"/>
        <v>3</v>
      </c>
      <c r="AH61" s="6">
        <f t="shared" si="3"/>
        <v>3923</v>
      </c>
      <c r="AI61" s="16"/>
      <c r="AJ61" s="9" t="str">
        <f>IFERROR(__xludf.DUMMYFUNCTION("REGEXREPLACE(AR61,CONCATENATE(""["",BY61,""]""),"""")"),"b")</f>
        <v>b</v>
      </c>
      <c r="AK61" s="10" t="str">
        <f>IFERROR(__xludf.DUMMYFUNCTION("FILTER($K61:$T61,len($K61:$T61)=6,NOT($K61:$T61=BY61))"),"fegcbd")</f>
        <v>fegcbd</v>
      </c>
      <c r="AL61" s="6" t="str">
        <f>IFERROR(__xludf.DUMMYFUNCTION("""COMPUTED_VALUE"""),"ebdagc")</f>
        <v>ebdagc</v>
      </c>
      <c r="AM61" s="6" t="str">
        <f>IFERROR(__xludf.DUMMYFUNCTION("REGEXREPLACE( $BG61, CONCATENATE(""["",AK61,""]""), """")"),"a")</f>
        <v>a</v>
      </c>
      <c r="AN61" s="6" t="str">
        <f>IFERROR(__xludf.DUMMYFUNCTION("REGEXREPLACE( $BG61, CONCATENATE(""["",AL61,""]""), """")"),"")</f>
        <v/>
      </c>
      <c r="AO61" s="11" t="str">
        <f t="shared" si="4"/>
        <v>fegcbd</v>
      </c>
      <c r="AP61" s="12" t="str">
        <f>IFERROR(__xludf.DUMMYFUNCTION("CONCATENATE(SORT(TRANSPOSE(SPLIT(REGEXREPLACE(REGEXREPLACE(AO61&amp;"""",""(?s)(.{1})"",""$1""&amp;CHAR(127)),""'"",""''""),CHAR(127))),1,true),""1"")"),"bcdefg1")</f>
        <v>bcdefg1</v>
      </c>
      <c r="AQ61" s="16"/>
      <c r="AR61" s="12" t="str">
        <f t="shared" si="5"/>
        <v>bd</v>
      </c>
      <c r="AS61" s="12" t="str">
        <f>IFERROR(__xludf.DUMMYFUNCTION("CONCATENATE(SORT(TRANSPOSE(SPLIT(REGEXREPLACE(REGEXREPLACE(AR61&amp;"""",""(?s)(.{1})"",""$1""&amp;CHAR(127)),""'"",""''""),CHAR(127))),1,true),""1"")"),"bd1")</f>
        <v>bd1</v>
      </c>
      <c r="AT61" s="16"/>
      <c r="AU61" s="13" t="str">
        <f>IFERROR(__xludf.DUMMYFUNCTION("FILTER($K61:$T61,len($K61:$T61)=5,NOT($K61:$T61=BD61),NOT($K61:$T61=BP61))"),"gbfae")</f>
        <v>gbfae</v>
      </c>
      <c r="AV61" s="12" t="str">
        <f>IFERROR(__xludf.DUMMYFUNCTION("CONCATENATE(SORT(TRANSPOSE(SPLIT(REGEXREPLACE(REGEXREPLACE(AU61&amp;"""",""(?s)(.{1})"",""$1""&amp;CHAR(127)),""'"",""''""),CHAR(127))),1,true),""1"")"),"abefg1")</f>
        <v>abefg1</v>
      </c>
      <c r="AW61" s="16"/>
      <c r="AX61" s="10" t="str">
        <f>IFERROR(__xludf.DUMMYFUNCTION("FILTER($K61:$T61,len($K61:$T61)=5)"),"dcage")</f>
        <v>dcage</v>
      </c>
      <c r="AY61" s="6" t="str">
        <f>IFERROR(__xludf.DUMMYFUNCTION("""COMPUTED_VALUE"""),"gbfae")</f>
        <v>gbfae</v>
      </c>
      <c r="AZ61" s="6" t="str">
        <f>IFERROR(__xludf.DUMMYFUNCTION("""COMPUTED_VALUE"""),"baged")</f>
        <v>baged</v>
      </c>
      <c r="BA61" s="6" t="str">
        <f>IFERROR(__xludf.DUMMYFUNCTION("REGEXREPLACE( $AR61, CONCATENATE(""["",AX61,""]""), """")"),"b")</f>
        <v>b</v>
      </c>
      <c r="BB61" s="6" t="str">
        <f>IFERROR(__xludf.DUMMYFUNCTION("REGEXREPLACE( $AR61, CONCATENATE(""["",AY61,""]""), """")"),"d")</f>
        <v>d</v>
      </c>
      <c r="BC61" s="6" t="str">
        <f>IFERROR(__xludf.DUMMYFUNCTION("REGEXREPLACE( $AR61, CONCATENATE(""["",AZ61,""]""), """")"),"")</f>
        <v/>
      </c>
      <c r="BD61" s="11" t="str">
        <f t="shared" si="6"/>
        <v>baged</v>
      </c>
      <c r="BE61" s="12" t="str">
        <f>IFERROR(__xludf.DUMMYFUNCTION("CONCATENATE(SORT(TRANSPOSE(SPLIT(REGEXREPLACE(REGEXREPLACE(BD61&amp;"""",""(?s)(.{1})"",""$1""&amp;CHAR(127)),""'"",""''""),CHAR(127))),1,true),""1"")"),"abdeg1")</f>
        <v>abdeg1</v>
      </c>
      <c r="BF61" s="16"/>
      <c r="BG61" s="12" t="str">
        <f t="shared" si="7"/>
        <v>cdab</v>
      </c>
      <c r="BH61" s="12" t="str">
        <f>IFERROR(__xludf.DUMMYFUNCTION("CONCATENATE(SORT(TRANSPOSE(SPLIT(REGEXREPLACE(REGEXREPLACE(BG61&amp;"""",""(?s)(.{1})"",""$1""&amp;CHAR(127)),""'"",""''""),CHAR(127))),1,true),""1"")"),"abcd1")</f>
        <v>abcd1</v>
      </c>
      <c r="BI61" s="16"/>
      <c r="BJ61" s="10" t="str">
        <f>IFERROR(__xludf.DUMMYFUNCTION("FILTER($K61:$T61,len($K61:$T61)=5)"),"dcage")</f>
        <v>dcage</v>
      </c>
      <c r="BK61" s="6" t="str">
        <f>IFERROR(__xludf.DUMMYFUNCTION("""COMPUTED_VALUE"""),"gbfae")</f>
        <v>gbfae</v>
      </c>
      <c r="BL61" s="6" t="str">
        <f>IFERROR(__xludf.DUMMYFUNCTION("""COMPUTED_VALUE"""),"baged")</f>
        <v>baged</v>
      </c>
      <c r="BM61" s="14" t="str">
        <f>IFERROR(__xludf.DUMMYFUNCTION("REGEXREPLACE( $BY61, CONCATENATE(""["",BJ61,""]""), """")"),"f")</f>
        <v>f</v>
      </c>
      <c r="BN61" s="14" t="str">
        <f>IFERROR(__xludf.DUMMYFUNCTION("REGEXREPLACE( $BY61, CONCATENATE(""["",BK61,""]""), """")"),"cd")</f>
        <v>cd</v>
      </c>
      <c r="BO61" s="14" t="str">
        <f>IFERROR(__xludf.DUMMYFUNCTION("REGEXREPLACE( $BY61, CONCATENATE(""["",BL61,""]""), """")"),"cf")</f>
        <v>cf</v>
      </c>
      <c r="BP61" s="11" t="str">
        <f t="shared" si="8"/>
        <v>dcage</v>
      </c>
      <c r="BQ61" s="12" t="str">
        <f>IFERROR(__xludf.DUMMYFUNCTION("CONCATENATE(SORT(TRANSPOSE(SPLIT(REGEXREPLACE(REGEXREPLACE(BP61&amp;"""",""(?s)(.{1})"",""$1""&amp;CHAR(127)),""'"",""''""),CHAR(127))),1,true),""1"")"),"acdeg1")</f>
        <v>acdeg1</v>
      </c>
      <c r="BR61" s="16"/>
      <c r="BS61" s="10" t="str">
        <f>IFERROR(__xludf.DUMMYFUNCTION("FILTER(K61:T61,len(K61:T61)=6)"),"fegcbd")</f>
        <v>fegcbd</v>
      </c>
      <c r="BT61" s="6" t="str">
        <f>IFERROR(__xludf.DUMMYFUNCTION("""COMPUTED_VALUE"""),"ebdagc")</f>
        <v>ebdagc</v>
      </c>
      <c r="BU61" s="6" t="str">
        <f>IFERROR(__xludf.DUMMYFUNCTION("""COMPUTED_VALUE"""),"cfagde")</f>
        <v>cfagde</v>
      </c>
      <c r="BV61" s="6" t="str">
        <f>IFERROR(__xludf.DUMMYFUNCTION("REGEXREPLACE( $AR61, CONCATENATE(""["",BS61,""]""), """")"),"")</f>
        <v/>
      </c>
      <c r="BW61" s="6" t="str">
        <f>IFERROR(__xludf.DUMMYFUNCTION("REGEXREPLACE( $AR61, CONCATENATE(""["",BT61,""]""), """")"),"")</f>
        <v/>
      </c>
      <c r="BX61" s="6" t="str">
        <f>IFERROR(__xludf.DUMMYFUNCTION("REGEXREPLACE( $AR61, CONCATENATE(""["",BU61,""]""), """")"),"b")</f>
        <v>b</v>
      </c>
      <c r="BY61" s="12" t="str">
        <f t="shared" si="9"/>
        <v>cfagde</v>
      </c>
      <c r="BZ61" s="12" t="str">
        <f>IFERROR(__xludf.DUMMYFUNCTION("CONCATENATE(SORT(TRANSPOSE(SPLIT(REGEXREPLACE(REGEXREPLACE(BY61&amp;"""",""(?s)(.{1})"",""$1""&amp;CHAR(127)),""'"",""''""),CHAR(127))),1,true),""1"")"),"acdefg1")</f>
        <v>acdefg1</v>
      </c>
      <c r="CA61" s="16"/>
      <c r="CB61" s="12" t="str">
        <f t="shared" si="10"/>
        <v>dbg</v>
      </c>
      <c r="CC61" s="12" t="str">
        <f>IFERROR(__xludf.DUMMYFUNCTION("CONCATENATE(SORT(TRANSPOSE(SPLIT(REGEXREPLACE(REGEXREPLACE(CB61&amp;"""",""(?s)(.{1})"",""$1""&amp;CHAR(127)),""'"",""''""),CHAR(127))),1,true),""1"")"),"bdg1")</f>
        <v>bdg1</v>
      </c>
      <c r="CD61" s="16"/>
      <c r="CE61" s="12" t="str">
        <f t="shared" si="11"/>
        <v>gbfdace</v>
      </c>
      <c r="CF61" s="12" t="str">
        <f>IFERROR(__xludf.DUMMYFUNCTION("CONCATENATE(SORT(TRANSPOSE(SPLIT(REGEXREPLACE(REGEXREPLACE(CE61&amp;"""",""(?s)(.{1})"",""$1""&amp;CHAR(127)),""'"",""''""),CHAR(127))),1,true),""1"")"),"abcdefg1")</f>
        <v>abcdefg1</v>
      </c>
      <c r="CG61" s="16"/>
      <c r="CH61" s="10" t="str">
        <f>IFERROR(__xludf.DUMMYFUNCTION("FILTER(K61:T61,len(K61:T61)=6)"),"fegcbd")</f>
        <v>fegcbd</v>
      </c>
      <c r="CI61" s="6" t="str">
        <f>IFERROR(__xludf.DUMMYFUNCTION("""COMPUTED_VALUE"""),"ebdagc")</f>
        <v>ebdagc</v>
      </c>
      <c r="CJ61" s="6" t="str">
        <f>IFERROR(__xludf.DUMMYFUNCTION("""COMPUTED_VALUE"""),"cfagde")</f>
        <v>cfagde</v>
      </c>
      <c r="CK61" s="6" t="str">
        <f>IFERROR(__xludf.DUMMYFUNCTION("REGEXREPLACE( $BG61, CONCATENATE(""["",CH61,""]""), """")"),"a")</f>
        <v>a</v>
      </c>
      <c r="CL61" s="6" t="str">
        <f>IFERROR(__xludf.DUMMYFUNCTION("REGEXREPLACE( $BG61, CONCATENATE(""["",CI61,""]""), """")"),"")</f>
        <v/>
      </c>
      <c r="CM61" s="6" t="str">
        <f>IFERROR(__xludf.DUMMYFUNCTION("REGEXREPLACE( $BG61, CONCATENATE(""["",CJ61,""]""), """")"),"b")</f>
        <v>b</v>
      </c>
      <c r="CN61" s="12" t="str">
        <f t="shared" si="12"/>
        <v>ebdagc</v>
      </c>
      <c r="CO61" s="12" t="str">
        <f>IFERROR(__xludf.DUMMYFUNCTION("CONCATENATE(SORT(TRANSPOSE(SPLIT(REGEXREPLACE(REGEXREPLACE(CN61&amp;"""",""(?s)(.{1})"",""$1""&amp;CHAR(127)),""'"",""''""),CHAR(127))),1,true),""1"")"),"abcdeg1")</f>
        <v>abcdeg1</v>
      </c>
      <c r="CP61" s="15"/>
    </row>
    <row r="62">
      <c r="A62" s="1" t="s">
        <v>82</v>
      </c>
      <c r="H62" s="6" t="str">
        <f>IFERROR(__xludf.DUMMYFUNCTION("SPLIT(A62,""|"")"),"agdbf gfac bedcafg cbafd bafcgd ceabdf fbcegd dfg gf dgeba ")</f>
        <v>agdbf gfac bedcafg cbafd bafcgd ceabdf fbcegd dfg gf dgeba </v>
      </c>
      <c r="I62" s="6" t="str">
        <f>IFERROR(__xludf.DUMMYFUNCTION("""COMPUTED_VALUE""")," fg fadbc cfgebd gf")</f>
        <v> fg fadbc cfgebd gf</v>
      </c>
      <c r="J62" s="15"/>
      <c r="K62" s="6" t="str">
        <f>IFERROR(__xludf.DUMMYFUNCTION("split(H62,"" "")"),"agdbf")</f>
        <v>agdbf</v>
      </c>
      <c r="L62" s="6" t="str">
        <f>IFERROR(__xludf.DUMMYFUNCTION("""COMPUTED_VALUE"""),"gfac")</f>
        <v>gfac</v>
      </c>
      <c r="M62" s="6" t="str">
        <f>IFERROR(__xludf.DUMMYFUNCTION("""COMPUTED_VALUE"""),"bedcafg")</f>
        <v>bedcafg</v>
      </c>
      <c r="N62" s="6" t="str">
        <f>IFERROR(__xludf.DUMMYFUNCTION("""COMPUTED_VALUE"""),"cbafd")</f>
        <v>cbafd</v>
      </c>
      <c r="O62" s="6" t="str">
        <f>IFERROR(__xludf.DUMMYFUNCTION("""COMPUTED_VALUE"""),"bafcgd")</f>
        <v>bafcgd</v>
      </c>
      <c r="P62" s="6" t="str">
        <f>IFERROR(__xludf.DUMMYFUNCTION("""COMPUTED_VALUE"""),"ceabdf")</f>
        <v>ceabdf</v>
      </c>
      <c r="Q62" s="6" t="str">
        <f>IFERROR(__xludf.DUMMYFUNCTION("""COMPUTED_VALUE"""),"fbcegd")</f>
        <v>fbcegd</v>
      </c>
      <c r="R62" s="6" t="str">
        <f>IFERROR(__xludf.DUMMYFUNCTION("""COMPUTED_VALUE"""),"dfg")</f>
        <v>dfg</v>
      </c>
      <c r="S62" s="6" t="str">
        <f>IFERROR(__xludf.DUMMYFUNCTION("""COMPUTED_VALUE"""),"gf")</f>
        <v>gf</v>
      </c>
      <c r="T62" s="6" t="str">
        <f>IFERROR(__xludf.DUMMYFUNCTION("""COMPUTED_VALUE"""),"dgeba")</f>
        <v>dgeba</v>
      </c>
      <c r="U62" s="15"/>
      <c r="V62" s="6" t="str">
        <f>IFERROR(__xludf.DUMMYFUNCTION("split(I62,"" "")"),"fg")</f>
        <v>fg</v>
      </c>
      <c r="W62" s="6" t="str">
        <f>IFERROR(__xludf.DUMMYFUNCTION("""COMPUTED_VALUE"""),"fadbc")</f>
        <v>fadbc</v>
      </c>
      <c r="X62" s="6" t="str">
        <f>IFERROR(__xludf.DUMMYFUNCTION("""COMPUTED_VALUE"""),"cfgebd")</f>
        <v>cfgebd</v>
      </c>
      <c r="Y62" s="6" t="str">
        <f>IFERROR(__xludf.DUMMYFUNCTION("""COMPUTED_VALUE"""),"gf")</f>
        <v>gf</v>
      </c>
      <c r="Z62" s="6" t="str">
        <f>IFERROR(__xludf.DUMMYFUNCTION("CONCATENATE(SORT(TRANSPOSE(SPLIT(REGEXREPLACE(REGEXREPLACE(V62&amp;"""",""(?s)(.{1})"",""$1""&amp;CHAR(127)),""'"",""''""),CHAR(127))),1,true))"),"fg")</f>
        <v>fg</v>
      </c>
      <c r="AA62" s="6" t="str">
        <f>IFERROR(__xludf.DUMMYFUNCTION("CONCATENATE(SORT(TRANSPOSE(SPLIT(REGEXREPLACE(REGEXREPLACE(W62&amp;"""",""(?s)(.{1})"",""$1""&amp;CHAR(127)),""'"",""''""),CHAR(127))),1,true))"),"abcdf")</f>
        <v>abcdf</v>
      </c>
      <c r="AB62" s="6" t="str">
        <f>IFERROR(__xludf.DUMMYFUNCTION("CONCATENATE(SORT(TRANSPOSE(SPLIT(REGEXREPLACE(REGEXREPLACE(X62&amp;"""",""(?s)(.{1})"",""$1""&amp;CHAR(127)),""'"",""''""),CHAR(127))),1,true))"),"bcdefg")</f>
        <v>bcdefg</v>
      </c>
      <c r="AC62" s="6" t="str">
        <f>IFERROR(__xludf.DUMMYFUNCTION("CONCATENATE(SORT(TRANSPOSE(SPLIT(REGEXREPLACE(REGEXREPLACE(Y62&amp;"""",""(?s)(.{1})"",""$1""&amp;CHAR(127)),""'"",""''""),CHAR(127))),1,true))"),"fg")</f>
        <v>fg</v>
      </c>
      <c r="AD62" s="6">
        <f t="shared" ref="AD62:AG62" si="72">INDEX($AO$1:$CP$1,1,MATCH(CONCATENATE(Z62,"1"),$AO62:$CP62,0)+1)</f>
        <v>1</v>
      </c>
      <c r="AE62" s="6">
        <f t="shared" si="72"/>
        <v>5</v>
      </c>
      <c r="AF62" s="6">
        <f t="shared" si="72"/>
        <v>0</v>
      </c>
      <c r="AG62" s="6">
        <f t="shared" si="72"/>
        <v>1</v>
      </c>
      <c r="AH62" s="6">
        <f t="shared" si="3"/>
        <v>1501</v>
      </c>
      <c r="AI62" s="16"/>
      <c r="AJ62" s="9" t="str">
        <f>IFERROR(__xludf.DUMMYFUNCTION("REGEXREPLACE(AR62,CONCATENATE(""["",BY62,""]""),"""")"),"g")</f>
        <v>g</v>
      </c>
      <c r="AK62" s="10" t="str">
        <f>IFERROR(__xludf.DUMMYFUNCTION("FILTER($K62:$T62,len($K62:$T62)=6,NOT($K62:$T62=BY62))"),"bafcgd")</f>
        <v>bafcgd</v>
      </c>
      <c r="AL62" s="6" t="str">
        <f>IFERROR(__xludf.DUMMYFUNCTION("""COMPUTED_VALUE"""),"fbcegd")</f>
        <v>fbcegd</v>
      </c>
      <c r="AM62" s="6" t="str">
        <f>IFERROR(__xludf.DUMMYFUNCTION("REGEXREPLACE( $BG62, CONCATENATE(""["",AK62,""]""), """")"),"")</f>
        <v/>
      </c>
      <c r="AN62" s="6" t="str">
        <f>IFERROR(__xludf.DUMMYFUNCTION("REGEXREPLACE( $BG62, CONCATENATE(""["",AL62,""]""), """")"),"a")</f>
        <v>a</v>
      </c>
      <c r="AO62" s="11" t="str">
        <f t="shared" si="4"/>
        <v>fbcegd</v>
      </c>
      <c r="AP62" s="12" t="str">
        <f>IFERROR(__xludf.DUMMYFUNCTION("CONCATENATE(SORT(TRANSPOSE(SPLIT(REGEXREPLACE(REGEXREPLACE(AO62&amp;"""",""(?s)(.{1})"",""$1""&amp;CHAR(127)),""'"",""''""),CHAR(127))),1,true),""1"")"),"bcdefg1")</f>
        <v>bcdefg1</v>
      </c>
      <c r="AQ62" s="16"/>
      <c r="AR62" s="12" t="str">
        <f t="shared" si="5"/>
        <v>gf</v>
      </c>
      <c r="AS62" s="12" t="str">
        <f>IFERROR(__xludf.DUMMYFUNCTION("CONCATENATE(SORT(TRANSPOSE(SPLIT(REGEXREPLACE(REGEXREPLACE(AR62&amp;"""",""(?s)(.{1})"",""$1""&amp;CHAR(127)),""'"",""''""),CHAR(127))),1,true),""1"")"),"fg1")</f>
        <v>fg1</v>
      </c>
      <c r="AT62" s="16"/>
      <c r="AU62" s="13" t="str">
        <f>IFERROR(__xludf.DUMMYFUNCTION("FILTER($K62:$T62,len($K62:$T62)=5,NOT($K62:$T62=BD62),NOT($K62:$T62=BP62))"),"dgeba")</f>
        <v>dgeba</v>
      </c>
      <c r="AV62" s="12" t="str">
        <f>IFERROR(__xludf.DUMMYFUNCTION("CONCATENATE(SORT(TRANSPOSE(SPLIT(REGEXREPLACE(REGEXREPLACE(AU62&amp;"""",""(?s)(.{1})"",""$1""&amp;CHAR(127)),""'"",""''""),CHAR(127))),1,true),""1"")"),"abdeg1")</f>
        <v>abdeg1</v>
      </c>
      <c r="AW62" s="16"/>
      <c r="AX62" s="10" t="str">
        <f>IFERROR(__xludf.DUMMYFUNCTION("FILTER($K62:$T62,len($K62:$T62)=5)"),"agdbf")</f>
        <v>agdbf</v>
      </c>
      <c r="AY62" s="6" t="str">
        <f>IFERROR(__xludf.DUMMYFUNCTION("""COMPUTED_VALUE"""),"cbafd")</f>
        <v>cbafd</v>
      </c>
      <c r="AZ62" s="6" t="str">
        <f>IFERROR(__xludf.DUMMYFUNCTION("""COMPUTED_VALUE"""),"dgeba")</f>
        <v>dgeba</v>
      </c>
      <c r="BA62" s="6" t="str">
        <f>IFERROR(__xludf.DUMMYFUNCTION("REGEXREPLACE( $AR62, CONCATENATE(""["",AX62,""]""), """")"),"")</f>
        <v/>
      </c>
      <c r="BB62" s="6" t="str">
        <f>IFERROR(__xludf.DUMMYFUNCTION("REGEXREPLACE( $AR62, CONCATENATE(""["",AY62,""]""), """")"),"g")</f>
        <v>g</v>
      </c>
      <c r="BC62" s="6" t="str">
        <f>IFERROR(__xludf.DUMMYFUNCTION("REGEXREPLACE( $AR62, CONCATENATE(""["",AZ62,""]""), """")"),"f")</f>
        <v>f</v>
      </c>
      <c r="BD62" s="11" t="str">
        <f t="shared" si="6"/>
        <v>agdbf</v>
      </c>
      <c r="BE62" s="12" t="str">
        <f>IFERROR(__xludf.DUMMYFUNCTION("CONCATENATE(SORT(TRANSPOSE(SPLIT(REGEXREPLACE(REGEXREPLACE(BD62&amp;"""",""(?s)(.{1})"",""$1""&amp;CHAR(127)),""'"",""''""),CHAR(127))),1,true),""1"")"),"abdfg1")</f>
        <v>abdfg1</v>
      </c>
      <c r="BF62" s="16"/>
      <c r="BG62" s="12" t="str">
        <f t="shared" si="7"/>
        <v>gfac</v>
      </c>
      <c r="BH62" s="12" t="str">
        <f>IFERROR(__xludf.DUMMYFUNCTION("CONCATENATE(SORT(TRANSPOSE(SPLIT(REGEXREPLACE(REGEXREPLACE(BG62&amp;"""",""(?s)(.{1})"",""$1""&amp;CHAR(127)),""'"",""''""),CHAR(127))),1,true),""1"")"),"acfg1")</f>
        <v>acfg1</v>
      </c>
      <c r="BI62" s="16"/>
      <c r="BJ62" s="10" t="str">
        <f>IFERROR(__xludf.DUMMYFUNCTION("FILTER($K62:$T62,len($K62:$T62)=5)"),"agdbf")</f>
        <v>agdbf</v>
      </c>
      <c r="BK62" s="6" t="str">
        <f>IFERROR(__xludf.DUMMYFUNCTION("""COMPUTED_VALUE"""),"cbafd")</f>
        <v>cbafd</v>
      </c>
      <c r="BL62" s="6" t="str">
        <f>IFERROR(__xludf.DUMMYFUNCTION("""COMPUTED_VALUE"""),"dgeba")</f>
        <v>dgeba</v>
      </c>
      <c r="BM62" s="14" t="str">
        <f>IFERROR(__xludf.DUMMYFUNCTION("REGEXREPLACE( $BY62, CONCATENATE(""["",BJ62,""]""), """")"),"ce")</f>
        <v>ce</v>
      </c>
      <c r="BN62" s="14" t="str">
        <f>IFERROR(__xludf.DUMMYFUNCTION("REGEXREPLACE( $BY62, CONCATENATE(""["",BK62,""]""), """")"),"e")</f>
        <v>e</v>
      </c>
      <c r="BO62" s="14" t="str">
        <f>IFERROR(__xludf.DUMMYFUNCTION("REGEXREPLACE( $BY62, CONCATENATE(""["",BL62,""]""), """")"),"cf")</f>
        <v>cf</v>
      </c>
      <c r="BP62" s="11" t="str">
        <f t="shared" si="8"/>
        <v>cbafd</v>
      </c>
      <c r="BQ62" s="12" t="str">
        <f>IFERROR(__xludf.DUMMYFUNCTION("CONCATENATE(SORT(TRANSPOSE(SPLIT(REGEXREPLACE(REGEXREPLACE(BP62&amp;"""",""(?s)(.{1})"",""$1""&amp;CHAR(127)),""'"",""''""),CHAR(127))),1,true),""1"")"),"abcdf1")</f>
        <v>abcdf1</v>
      </c>
      <c r="BR62" s="16"/>
      <c r="BS62" s="10" t="str">
        <f>IFERROR(__xludf.DUMMYFUNCTION("FILTER(K62:T62,len(K62:T62)=6)"),"bafcgd")</f>
        <v>bafcgd</v>
      </c>
      <c r="BT62" s="6" t="str">
        <f>IFERROR(__xludf.DUMMYFUNCTION("""COMPUTED_VALUE"""),"ceabdf")</f>
        <v>ceabdf</v>
      </c>
      <c r="BU62" s="6" t="str">
        <f>IFERROR(__xludf.DUMMYFUNCTION("""COMPUTED_VALUE"""),"fbcegd")</f>
        <v>fbcegd</v>
      </c>
      <c r="BV62" s="6" t="str">
        <f>IFERROR(__xludf.DUMMYFUNCTION("REGEXREPLACE( $AR62, CONCATENATE(""["",BS62,""]""), """")"),"")</f>
        <v/>
      </c>
      <c r="BW62" s="6" t="str">
        <f>IFERROR(__xludf.DUMMYFUNCTION("REGEXREPLACE( $AR62, CONCATENATE(""["",BT62,""]""), """")"),"g")</f>
        <v>g</v>
      </c>
      <c r="BX62" s="6" t="str">
        <f>IFERROR(__xludf.DUMMYFUNCTION("REGEXREPLACE( $AR62, CONCATENATE(""["",BU62,""]""), """")"),"")</f>
        <v/>
      </c>
      <c r="BY62" s="12" t="str">
        <f t="shared" si="9"/>
        <v>ceabdf</v>
      </c>
      <c r="BZ62" s="12" t="str">
        <f>IFERROR(__xludf.DUMMYFUNCTION("CONCATENATE(SORT(TRANSPOSE(SPLIT(REGEXREPLACE(REGEXREPLACE(BY62&amp;"""",""(?s)(.{1})"",""$1""&amp;CHAR(127)),""'"",""''""),CHAR(127))),1,true),""1"")"),"abcdef1")</f>
        <v>abcdef1</v>
      </c>
      <c r="CA62" s="16"/>
      <c r="CB62" s="12" t="str">
        <f t="shared" si="10"/>
        <v>dfg</v>
      </c>
      <c r="CC62" s="12" t="str">
        <f>IFERROR(__xludf.DUMMYFUNCTION("CONCATENATE(SORT(TRANSPOSE(SPLIT(REGEXREPLACE(REGEXREPLACE(CB62&amp;"""",""(?s)(.{1})"",""$1""&amp;CHAR(127)),""'"",""''""),CHAR(127))),1,true),""1"")"),"dfg1")</f>
        <v>dfg1</v>
      </c>
      <c r="CD62" s="16"/>
      <c r="CE62" s="12" t="str">
        <f t="shared" si="11"/>
        <v>bedcafg</v>
      </c>
      <c r="CF62" s="12" t="str">
        <f>IFERROR(__xludf.DUMMYFUNCTION("CONCATENATE(SORT(TRANSPOSE(SPLIT(REGEXREPLACE(REGEXREPLACE(CE62&amp;"""",""(?s)(.{1})"",""$1""&amp;CHAR(127)),""'"",""''""),CHAR(127))),1,true),""1"")"),"abcdefg1")</f>
        <v>abcdefg1</v>
      </c>
      <c r="CG62" s="16"/>
      <c r="CH62" s="10" t="str">
        <f>IFERROR(__xludf.DUMMYFUNCTION("FILTER(K62:T62,len(K62:T62)=6)"),"bafcgd")</f>
        <v>bafcgd</v>
      </c>
      <c r="CI62" s="6" t="str">
        <f>IFERROR(__xludf.DUMMYFUNCTION("""COMPUTED_VALUE"""),"ceabdf")</f>
        <v>ceabdf</v>
      </c>
      <c r="CJ62" s="6" t="str">
        <f>IFERROR(__xludf.DUMMYFUNCTION("""COMPUTED_VALUE"""),"fbcegd")</f>
        <v>fbcegd</v>
      </c>
      <c r="CK62" s="6" t="str">
        <f>IFERROR(__xludf.DUMMYFUNCTION("REGEXREPLACE( $BG62, CONCATENATE(""["",CH62,""]""), """")"),"")</f>
        <v/>
      </c>
      <c r="CL62" s="6" t="str">
        <f>IFERROR(__xludf.DUMMYFUNCTION("REGEXREPLACE( $BG62, CONCATENATE(""["",CI62,""]""), """")"),"g")</f>
        <v>g</v>
      </c>
      <c r="CM62" s="6" t="str">
        <f>IFERROR(__xludf.DUMMYFUNCTION("REGEXREPLACE( $BG62, CONCATENATE(""["",CJ62,""]""), """")"),"a")</f>
        <v>a</v>
      </c>
      <c r="CN62" s="12" t="str">
        <f t="shared" si="12"/>
        <v>bafcgd</v>
      </c>
      <c r="CO62" s="12" t="str">
        <f>IFERROR(__xludf.DUMMYFUNCTION("CONCATENATE(SORT(TRANSPOSE(SPLIT(REGEXREPLACE(REGEXREPLACE(CN62&amp;"""",""(?s)(.{1})"",""$1""&amp;CHAR(127)),""'"",""''""),CHAR(127))),1,true),""1"")"),"abcdfg1")</f>
        <v>abcdfg1</v>
      </c>
      <c r="CP62" s="15"/>
    </row>
    <row r="63">
      <c r="A63" s="1" t="s">
        <v>83</v>
      </c>
      <c r="H63" s="6" t="str">
        <f>IFERROR(__xludf.DUMMYFUNCTION("SPLIT(A63,""|"")"),"ab cagef fgeacb bag fdcgb cagfdeb eabf bfgca degbca edgcaf ")</f>
        <v>ab cagef fgeacb bag fdcgb cagfdeb eabf bfgca degbca edgcaf </v>
      </c>
      <c r="I63" s="6" t="str">
        <f>IFERROR(__xludf.DUMMYFUNCTION("""COMPUTED_VALUE""")," fcbgd edgfac cafgdbe gcfab")</f>
        <v> fcbgd edgfac cafgdbe gcfab</v>
      </c>
      <c r="J63" s="15"/>
      <c r="K63" s="6" t="str">
        <f>IFERROR(__xludf.DUMMYFUNCTION("split(H63,"" "")"),"ab")</f>
        <v>ab</v>
      </c>
      <c r="L63" s="6" t="str">
        <f>IFERROR(__xludf.DUMMYFUNCTION("""COMPUTED_VALUE"""),"cagef")</f>
        <v>cagef</v>
      </c>
      <c r="M63" s="6" t="str">
        <f>IFERROR(__xludf.DUMMYFUNCTION("""COMPUTED_VALUE"""),"fgeacb")</f>
        <v>fgeacb</v>
      </c>
      <c r="N63" s="6" t="str">
        <f>IFERROR(__xludf.DUMMYFUNCTION("""COMPUTED_VALUE"""),"bag")</f>
        <v>bag</v>
      </c>
      <c r="O63" s="6" t="str">
        <f>IFERROR(__xludf.DUMMYFUNCTION("""COMPUTED_VALUE"""),"fdcgb")</f>
        <v>fdcgb</v>
      </c>
      <c r="P63" s="6" t="str">
        <f>IFERROR(__xludf.DUMMYFUNCTION("""COMPUTED_VALUE"""),"cagfdeb")</f>
        <v>cagfdeb</v>
      </c>
      <c r="Q63" s="6" t="str">
        <f>IFERROR(__xludf.DUMMYFUNCTION("""COMPUTED_VALUE"""),"eabf")</f>
        <v>eabf</v>
      </c>
      <c r="R63" s="6" t="str">
        <f>IFERROR(__xludf.DUMMYFUNCTION("""COMPUTED_VALUE"""),"bfgca")</f>
        <v>bfgca</v>
      </c>
      <c r="S63" s="6" t="str">
        <f>IFERROR(__xludf.DUMMYFUNCTION("""COMPUTED_VALUE"""),"degbca")</f>
        <v>degbca</v>
      </c>
      <c r="T63" s="6" t="str">
        <f>IFERROR(__xludf.DUMMYFUNCTION("""COMPUTED_VALUE"""),"edgcaf")</f>
        <v>edgcaf</v>
      </c>
      <c r="U63" s="15"/>
      <c r="V63" s="6" t="str">
        <f>IFERROR(__xludf.DUMMYFUNCTION("split(I63,"" "")"),"fcbgd")</f>
        <v>fcbgd</v>
      </c>
      <c r="W63" s="6" t="str">
        <f>IFERROR(__xludf.DUMMYFUNCTION("""COMPUTED_VALUE"""),"edgfac")</f>
        <v>edgfac</v>
      </c>
      <c r="X63" s="6" t="str">
        <f>IFERROR(__xludf.DUMMYFUNCTION("""COMPUTED_VALUE"""),"cafgdbe")</f>
        <v>cafgdbe</v>
      </c>
      <c r="Y63" s="6" t="str">
        <f>IFERROR(__xludf.DUMMYFUNCTION("""COMPUTED_VALUE"""),"gcfab")</f>
        <v>gcfab</v>
      </c>
      <c r="Z63" s="6" t="str">
        <f>IFERROR(__xludf.DUMMYFUNCTION("CONCATENATE(SORT(TRANSPOSE(SPLIT(REGEXREPLACE(REGEXREPLACE(V63&amp;"""",""(?s)(.{1})"",""$1""&amp;CHAR(127)),""'"",""''""),CHAR(127))),1,true))"),"bcdfg")</f>
        <v>bcdfg</v>
      </c>
      <c r="AA63" s="6" t="str">
        <f>IFERROR(__xludf.DUMMYFUNCTION("CONCATENATE(SORT(TRANSPOSE(SPLIT(REGEXREPLACE(REGEXREPLACE(W63&amp;"""",""(?s)(.{1})"",""$1""&amp;CHAR(127)),""'"",""''""),CHAR(127))),1,true))"),"acdefg")</f>
        <v>acdefg</v>
      </c>
      <c r="AB63" s="6" t="str">
        <f>IFERROR(__xludf.DUMMYFUNCTION("CONCATENATE(SORT(TRANSPOSE(SPLIT(REGEXREPLACE(REGEXREPLACE(X63&amp;"""",""(?s)(.{1})"",""$1""&amp;CHAR(127)),""'"",""''""),CHAR(127))),1,true))"),"abcdefg")</f>
        <v>abcdefg</v>
      </c>
      <c r="AC63" s="6" t="str">
        <f>IFERROR(__xludf.DUMMYFUNCTION("CONCATENATE(SORT(TRANSPOSE(SPLIT(REGEXREPLACE(REGEXREPLACE(Y63&amp;"""",""(?s)(.{1})"",""$1""&amp;CHAR(127)),""'"",""''""),CHAR(127))),1,true))"),"abcfg")</f>
        <v>abcfg</v>
      </c>
      <c r="AD63" s="6">
        <f t="shared" ref="AD63:AG63" si="73">INDEX($AO$1:$CP$1,1,MATCH(CONCATENATE(Z63,"1"),$AO63:$CP63,0)+1)</f>
        <v>2</v>
      </c>
      <c r="AE63" s="6">
        <f t="shared" si="73"/>
        <v>6</v>
      </c>
      <c r="AF63" s="6">
        <f t="shared" si="73"/>
        <v>8</v>
      </c>
      <c r="AG63" s="6">
        <f t="shared" si="73"/>
        <v>3</v>
      </c>
      <c r="AH63" s="6">
        <f t="shared" si="3"/>
        <v>2683</v>
      </c>
      <c r="AI63" s="16"/>
      <c r="AJ63" s="9" t="str">
        <f>IFERROR(__xludf.DUMMYFUNCTION("REGEXREPLACE(AR63,CONCATENATE(""["",BY63,""]""),"""")"),"b")</f>
        <v>b</v>
      </c>
      <c r="AK63" s="10" t="str">
        <f>IFERROR(__xludf.DUMMYFUNCTION("FILTER($K63:$T63,len($K63:$T63)=6,NOT($K63:$T63=BY63))"),"fgeacb")</f>
        <v>fgeacb</v>
      </c>
      <c r="AL63" s="6" t="str">
        <f>IFERROR(__xludf.DUMMYFUNCTION("""COMPUTED_VALUE"""),"degbca")</f>
        <v>degbca</v>
      </c>
      <c r="AM63" s="6" t="str">
        <f>IFERROR(__xludf.DUMMYFUNCTION("REGEXREPLACE( $BG63, CONCATENATE(""["",AK63,""]""), """")"),"")</f>
        <v/>
      </c>
      <c r="AN63" s="6" t="str">
        <f>IFERROR(__xludf.DUMMYFUNCTION("REGEXREPLACE( $BG63, CONCATENATE(""["",AL63,""]""), """")"),"f")</f>
        <v>f</v>
      </c>
      <c r="AO63" s="11" t="str">
        <f t="shared" si="4"/>
        <v>degbca</v>
      </c>
      <c r="AP63" s="12" t="str">
        <f>IFERROR(__xludf.DUMMYFUNCTION("CONCATENATE(SORT(TRANSPOSE(SPLIT(REGEXREPLACE(REGEXREPLACE(AO63&amp;"""",""(?s)(.{1})"",""$1""&amp;CHAR(127)),""'"",""''""),CHAR(127))),1,true),""1"")"),"abcdeg1")</f>
        <v>abcdeg1</v>
      </c>
      <c r="AQ63" s="16"/>
      <c r="AR63" s="12" t="str">
        <f t="shared" si="5"/>
        <v>ab</v>
      </c>
      <c r="AS63" s="12" t="str">
        <f>IFERROR(__xludf.DUMMYFUNCTION("CONCATENATE(SORT(TRANSPOSE(SPLIT(REGEXREPLACE(REGEXREPLACE(AR63&amp;"""",""(?s)(.{1})"",""$1""&amp;CHAR(127)),""'"",""''""),CHAR(127))),1,true),""1"")"),"ab1")</f>
        <v>ab1</v>
      </c>
      <c r="AT63" s="16"/>
      <c r="AU63" s="13" t="str">
        <f>IFERROR(__xludf.DUMMYFUNCTION("FILTER($K63:$T63,len($K63:$T63)=5,NOT($K63:$T63=BD63),NOT($K63:$T63=BP63))"),"fdcgb")</f>
        <v>fdcgb</v>
      </c>
      <c r="AV63" s="12" t="str">
        <f>IFERROR(__xludf.DUMMYFUNCTION("CONCATENATE(SORT(TRANSPOSE(SPLIT(REGEXREPLACE(REGEXREPLACE(AU63&amp;"""",""(?s)(.{1})"",""$1""&amp;CHAR(127)),""'"",""''""),CHAR(127))),1,true),""1"")"),"bcdfg1")</f>
        <v>bcdfg1</v>
      </c>
      <c r="AW63" s="16"/>
      <c r="AX63" s="10" t="str">
        <f>IFERROR(__xludf.DUMMYFUNCTION("FILTER($K63:$T63,len($K63:$T63)=5)"),"cagef")</f>
        <v>cagef</v>
      </c>
      <c r="AY63" s="6" t="str">
        <f>IFERROR(__xludf.DUMMYFUNCTION("""COMPUTED_VALUE"""),"fdcgb")</f>
        <v>fdcgb</v>
      </c>
      <c r="AZ63" s="6" t="str">
        <f>IFERROR(__xludf.DUMMYFUNCTION("""COMPUTED_VALUE"""),"bfgca")</f>
        <v>bfgca</v>
      </c>
      <c r="BA63" s="6" t="str">
        <f>IFERROR(__xludf.DUMMYFUNCTION("REGEXREPLACE( $AR63, CONCATENATE(""["",AX63,""]""), """")"),"b")</f>
        <v>b</v>
      </c>
      <c r="BB63" s="6" t="str">
        <f>IFERROR(__xludf.DUMMYFUNCTION("REGEXREPLACE( $AR63, CONCATENATE(""["",AY63,""]""), """")"),"a")</f>
        <v>a</v>
      </c>
      <c r="BC63" s="6" t="str">
        <f>IFERROR(__xludf.DUMMYFUNCTION("REGEXREPLACE( $AR63, CONCATENATE(""["",AZ63,""]""), """")"),"")</f>
        <v/>
      </c>
      <c r="BD63" s="11" t="str">
        <f t="shared" si="6"/>
        <v>bfgca</v>
      </c>
      <c r="BE63" s="12" t="str">
        <f>IFERROR(__xludf.DUMMYFUNCTION("CONCATENATE(SORT(TRANSPOSE(SPLIT(REGEXREPLACE(REGEXREPLACE(BD63&amp;"""",""(?s)(.{1})"",""$1""&amp;CHAR(127)),""'"",""''""),CHAR(127))),1,true),""1"")"),"abcfg1")</f>
        <v>abcfg1</v>
      </c>
      <c r="BF63" s="16"/>
      <c r="BG63" s="12" t="str">
        <f t="shared" si="7"/>
        <v>eabf</v>
      </c>
      <c r="BH63" s="12" t="str">
        <f>IFERROR(__xludf.DUMMYFUNCTION("CONCATENATE(SORT(TRANSPOSE(SPLIT(REGEXREPLACE(REGEXREPLACE(BG63&amp;"""",""(?s)(.{1})"",""$1""&amp;CHAR(127)),""'"",""''""),CHAR(127))),1,true),""1"")"),"abef1")</f>
        <v>abef1</v>
      </c>
      <c r="BI63" s="16"/>
      <c r="BJ63" s="10" t="str">
        <f>IFERROR(__xludf.DUMMYFUNCTION("FILTER($K63:$T63,len($K63:$T63)=5)"),"cagef")</f>
        <v>cagef</v>
      </c>
      <c r="BK63" s="6" t="str">
        <f>IFERROR(__xludf.DUMMYFUNCTION("""COMPUTED_VALUE"""),"fdcgb")</f>
        <v>fdcgb</v>
      </c>
      <c r="BL63" s="6" t="str">
        <f>IFERROR(__xludf.DUMMYFUNCTION("""COMPUTED_VALUE"""),"bfgca")</f>
        <v>bfgca</v>
      </c>
      <c r="BM63" s="14" t="str">
        <f>IFERROR(__xludf.DUMMYFUNCTION("REGEXREPLACE( $BY63, CONCATENATE(""["",BJ63,""]""), """")"),"d")</f>
        <v>d</v>
      </c>
      <c r="BN63" s="14" t="str">
        <f>IFERROR(__xludf.DUMMYFUNCTION("REGEXREPLACE( $BY63, CONCATENATE(""["",BK63,""]""), """")"),"ea")</f>
        <v>ea</v>
      </c>
      <c r="BO63" s="14" t="str">
        <f>IFERROR(__xludf.DUMMYFUNCTION("REGEXREPLACE( $BY63, CONCATENATE(""["",BL63,""]""), """")"),"ed")</f>
        <v>ed</v>
      </c>
      <c r="BP63" s="11" t="str">
        <f t="shared" si="8"/>
        <v>cagef</v>
      </c>
      <c r="BQ63" s="12" t="str">
        <f>IFERROR(__xludf.DUMMYFUNCTION("CONCATENATE(SORT(TRANSPOSE(SPLIT(REGEXREPLACE(REGEXREPLACE(BP63&amp;"""",""(?s)(.{1})"",""$1""&amp;CHAR(127)),""'"",""''""),CHAR(127))),1,true),""1"")"),"acefg1")</f>
        <v>acefg1</v>
      </c>
      <c r="BR63" s="16"/>
      <c r="BS63" s="10" t="str">
        <f>IFERROR(__xludf.DUMMYFUNCTION("FILTER(K63:T63,len(K63:T63)=6)"),"fgeacb")</f>
        <v>fgeacb</v>
      </c>
      <c r="BT63" s="6" t="str">
        <f>IFERROR(__xludf.DUMMYFUNCTION("""COMPUTED_VALUE"""),"degbca")</f>
        <v>degbca</v>
      </c>
      <c r="BU63" s="6" t="str">
        <f>IFERROR(__xludf.DUMMYFUNCTION("""COMPUTED_VALUE"""),"edgcaf")</f>
        <v>edgcaf</v>
      </c>
      <c r="BV63" s="6" t="str">
        <f>IFERROR(__xludf.DUMMYFUNCTION("REGEXREPLACE( $AR63, CONCATENATE(""["",BS63,""]""), """")"),"")</f>
        <v/>
      </c>
      <c r="BW63" s="6" t="str">
        <f>IFERROR(__xludf.DUMMYFUNCTION("REGEXREPLACE( $AR63, CONCATENATE(""["",BT63,""]""), """")"),"")</f>
        <v/>
      </c>
      <c r="BX63" s="6" t="str">
        <f>IFERROR(__xludf.DUMMYFUNCTION("REGEXREPLACE( $AR63, CONCATENATE(""["",BU63,""]""), """")"),"b")</f>
        <v>b</v>
      </c>
      <c r="BY63" s="12" t="str">
        <f t="shared" si="9"/>
        <v>edgcaf</v>
      </c>
      <c r="BZ63" s="12" t="str">
        <f>IFERROR(__xludf.DUMMYFUNCTION("CONCATENATE(SORT(TRANSPOSE(SPLIT(REGEXREPLACE(REGEXREPLACE(BY63&amp;"""",""(?s)(.{1})"",""$1""&amp;CHAR(127)),""'"",""''""),CHAR(127))),1,true),""1"")"),"acdefg1")</f>
        <v>acdefg1</v>
      </c>
      <c r="CA63" s="16"/>
      <c r="CB63" s="12" t="str">
        <f t="shared" si="10"/>
        <v>bag</v>
      </c>
      <c r="CC63" s="12" t="str">
        <f>IFERROR(__xludf.DUMMYFUNCTION("CONCATENATE(SORT(TRANSPOSE(SPLIT(REGEXREPLACE(REGEXREPLACE(CB63&amp;"""",""(?s)(.{1})"",""$1""&amp;CHAR(127)),""'"",""''""),CHAR(127))),1,true),""1"")"),"abg1")</f>
        <v>abg1</v>
      </c>
      <c r="CD63" s="16"/>
      <c r="CE63" s="12" t="str">
        <f t="shared" si="11"/>
        <v>cagfdeb</v>
      </c>
      <c r="CF63" s="12" t="str">
        <f>IFERROR(__xludf.DUMMYFUNCTION("CONCATENATE(SORT(TRANSPOSE(SPLIT(REGEXREPLACE(REGEXREPLACE(CE63&amp;"""",""(?s)(.{1})"",""$1""&amp;CHAR(127)),""'"",""''""),CHAR(127))),1,true),""1"")"),"abcdefg1")</f>
        <v>abcdefg1</v>
      </c>
      <c r="CG63" s="16"/>
      <c r="CH63" s="10" t="str">
        <f>IFERROR(__xludf.DUMMYFUNCTION("FILTER(K63:T63,len(K63:T63)=6)"),"fgeacb")</f>
        <v>fgeacb</v>
      </c>
      <c r="CI63" s="6" t="str">
        <f>IFERROR(__xludf.DUMMYFUNCTION("""COMPUTED_VALUE"""),"degbca")</f>
        <v>degbca</v>
      </c>
      <c r="CJ63" s="6" t="str">
        <f>IFERROR(__xludf.DUMMYFUNCTION("""COMPUTED_VALUE"""),"edgcaf")</f>
        <v>edgcaf</v>
      </c>
      <c r="CK63" s="6" t="str">
        <f>IFERROR(__xludf.DUMMYFUNCTION("REGEXREPLACE( $BG63, CONCATENATE(""["",CH63,""]""), """")"),"")</f>
        <v/>
      </c>
      <c r="CL63" s="6" t="str">
        <f>IFERROR(__xludf.DUMMYFUNCTION("REGEXREPLACE( $BG63, CONCATENATE(""["",CI63,""]""), """")"),"f")</f>
        <v>f</v>
      </c>
      <c r="CM63" s="6" t="str">
        <f>IFERROR(__xludf.DUMMYFUNCTION("REGEXREPLACE( $BG63, CONCATENATE(""["",CJ63,""]""), """")"),"b")</f>
        <v>b</v>
      </c>
      <c r="CN63" s="12" t="str">
        <f t="shared" si="12"/>
        <v>fgeacb</v>
      </c>
      <c r="CO63" s="12" t="str">
        <f>IFERROR(__xludf.DUMMYFUNCTION("CONCATENATE(SORT(TRANSPOSE(SPLIT(REGEXREPLACE(REGEXREPLACE(CN63&amp;"""",""(?s)(.{1})"",""$1""&amp;CHAR(127)),""'"",""''""),CHAR(127))),1,true),""1"")"),"abcefg1")</f>
        <v>abcefg1</v>
      </c>
      <c r="CP63" s="15"/>
    </row>
    <row r="64">
      <c r="A64" s="1" t="s">
        <v>84</v>
      </c>
      <c r="H64" s="6" t="str">
        <f>IFERROR(__xludf.DUMMYFUNCTION("SPLIT(A64,""|"")"),"befdg dafbeg dfbacg ge cdegba gfae deg dbcfe dgaebfc gabdf ")</f>
        <v>befdg dafbeg dfbacg ge cdegba gfae deg dbcfe dgaebfc gabdf </v>
      </c>
      <c r="I64" s="6" t="str">
        <f>IFERROR(__xludf.DUMMYFUNCTION("""COMPUTED_VALUE""")," eg eg efga bdefc")</f>
        <v> eg eg efga bdefc</v>
      </c>
      <c r="J64" s="15"/>
      <c r="K64" s="6" t="str">
        <f>IFERROR(__xludf.DUMMYFUNCTION("split(H64,"" "")"),"befdg")</f>
        <v>befdg</v>
      </c>
      <c r="L64" s="6" t="str">
        <f>IFERROR(__xludf.DUMMYFUNCTION("""COMPUTED_VALUE"""),"dafbeg")</f>
        <v>dafbeg</v>
      </c>
      <c r="M64" s="6" t="str">
        <f>IFERROR(__xludf.DUMMYFUNCTION("""COMPUTED_VALUE"""),"dfbacg")</f>
        <v>dfbacg</v>
      </c>
      <c r="N64" s="6" t="str">
        <f>IFERROR(__xludf.DUMMYFUNCTION("""COMPUTED_VALUE"""),"ge")</f>
        <v>ge</v>
      </c>
      <c r="O64" s="6" t="str">
        <f>IFERROR(__xludf.DUMMYFUNCTION("""COMPUTED_VALUE"""),"cdegba")</f>
        <v>cdegba</v>
      </c>
      <c r="P64" s="6" t="str">
        <f>IFERROR(__xludf.DUMMYFUNCTION("""COMPUTED_VALUE"""),"gfae")</f>
        <v>gfae</v>
      </c>
      <c r="Q64" s="6" t="str">
        <f>IFERROR(__xludf.DUMMYFUNCTION("""COMPUTED_VALUE"""),"deg")</f>
        <v>deg</v>
      </c>
      <c r="R64" s="6" t="str">
        <f>IFERROR(__xludf.DUMMYFUNCTION("""COMPUTED_VALUE"""),"dbcfe")</f>
        <v>dbcfe</v>
      </c>
      <c r="S64" s="6" t="str">
        <f>IFERROR(__xludf.DUMMYFUNCTION("""COMPUTED_VALUE"""),"dgaebfc")</f>
        <v>dgaebfc</v>
      </c>
      <c r="T64" s="6" t="str">
        <f>IFERROR(__xludf.DUMMYFUNCTION("""COMPUTED_VALUE"""),"gabdf")</f>
        <v>gabdf</v>
      </c>
      <c r="U64" s="15"/>
      <c r="V64" s="6" t="str">
        <f>IFERROR(__xludf.DUMMYFUNCTION("split(I64,"" "")"),"eg")</f>
        <v>eg</v>
      </c>
      <c r="W64" s="6" t="str">
        <f>IFERROR(__xludf.DUMMYFUNCTION("""COMPUTED_VALUE"""),"eg")</f>
        <v>eg</v>
      </c>
      <c r="X64" s="6" t="str">
        <f>IFERROR(__xludf.DUMMYFUNCTION("""COMPUTED_VALUE"""),"efga")</f>
        <v>efga</v>
      </c>
      <c r="Y64" s="6" t="str">
        <f>IFERROR(__xludf.DUMMYFUNCTION("""COMPUTED_VALUE"""),"bdefc")</f>
        <v>bdefc</v>
      </c>
      <c r="Z64" s="6" t="str">
        <f>IFERROR(__xludf.DUMMYFUNCTION("CONCATENATE(SORT(TRANSPOSE(SPLIT(REGEXREPLACE(REGEXREPLACE(V64&amp;"""",""(?s)(.{1})"",""$1""&amp;CHAR(127)),""'"",""''""),CHAR(127))),1,true))"),"eg")</f>
        <v>eg</v>
      </c>
      <c r="AA64" s="6" t="str">
        <f>IFERROR(__xludf.DUMMYFUNCTION("CONCATENATE(SORT(TRANSPOSE(SPLIT(REGEXREPLACE(REGEXREPLACE(W64&amp;"""",""(?s)(.{1})"",""$1""&amp;CHAR(127)),""'"",""''""),CHAR(127))),1,true))"),"eg")</f>
        <v>eg</v>
      </c>
      <c r="AB64" s="6" t="str">
        <f>IFERROR(__xludf.DUMMYFUNCTION("CONCATENATE(SORT(TRANSPOSE(SPLIT(REGEXREPLACE(REGEXREPLACE(X64&amp;"""",""(?s)(.{1})"",""$1""&amp;CHAR(127)),""'"",""''""),CHAR(127))),1,true))"),"aefg")</f>
        <v>aefg</v>
      </c>
      <c r="AC64" s="6" t="str">
        <f>IFERROR(__xludf.DUMMYFUNCTION("CONCATENATE(SORT(TRANSPOSE(SPLIT(REGEXREPLACE(REGEXREPLACE(Y64&amp;"""",""(?s)(.{1})"",""$1""&amp;CHAR(127)),""'"",""''""),CHAR(127))),1,true))"),"bcdef")</f>
        <v>bcdef</v>
      </c>
      <c r="AD64" s="6">
        <f t="shared" ref="AD64:AG64" si="74">INDEX($AO$1:$CP$1,1,MATCH(CONCATENATE(Z64,"1"),$AO64:$CP64,0)+1)</f>
        <v>1</v>
      </c>
      <c r="AE64" s="6">
        <f t="shared" si="74"/>
        <v>1</v>
      </c>
      <c r="AF64" s="6">
        <f t="shared" si="74"/>
        <v>4</v>
      </c>
      <c r="AG64" s="6">
        <f t="shared" si="74"/>
        <v>2</v>
      </c>
      <c r="AH64" s="6">
        <f t="shared" si="3"/>
        <v>1142</v>
      </c>
      <c r="AI64" s="16"/>
      <c r="AJ64" s="9" t="str">
        <f>IFERROR(__xludf.DUMMYFUNCTION("REGEXREPLACE(AR64,CONCATENATE(""["",BY64,""]""),"""")"),"e")</f>
        <v>e</v>
      </c>
      <c r="AK64" s="10" t="str">
        <f>IFERROR(__xludf.DUMMYFUNCTION("FILTER($K64:$T64,len($K64:$T64)=6,NOT($K64:$T64=BY64))"),"dafbeg")</f>
        <v>dafbeg</v>
      </c>
      <c r="AL64" s="6" t="str">
        <f>IFERROR(__xludf.DUMMYFUNCTION("""COMPUTED_VALUE"""),"cdegba")</f>
        <v>cdegba</v>
      </c>
      <c r="AM64" s="6" t="str">
        <f>IFERROR(__xludf.DUMMYFUNCTION("REGEXREPLACE( $BG64, CONCATENATE(""["",AK64,""]""), """")"),"")</f>
        <v/>
      </c>
      <c r="AN64" s="6" t="str">
        <f>IFERROR(__xludf.DUMMYFUNCTION("REGEXREPLACE( $BG64, CONCATENATE(""["",AL64,""]""), """")"),"f")</f>
        <v>f</v>
      </c>
      <c r="AO64" s="11" t="str">
        <f t="shared" si="4"/>
        <v>cdegba</v>
      </c>
      <c r="AP64" s="12" t="str">
        <f>IFERROR(__xludf.DUMMYFUNCTION("CONCATENATE(SORT(TRANSPOSE(SPLIT(REGEXREPLACE(REGEXREPLACE(AO64&amp;"""",""(?s)(.{1})"",""$1""&amp;CHAR(127)),""'"",""''""),CHAR(127))),1,true),""1"")"),"abcdeg1")</f>
        <v>abcdeg1</v>
      </c>
      <c r="AQ64" s="16"/>
      <c r="AR64" s="12" t="str">
        <f t="shared" si="5"/>
        <v>ge</v>
      </c>
      <c r="AS64" s="12" t="str">
        <f>IFERROR(__xludf.DUMMYFUNCTION("CONCATENATE(SORT(TRANSPOSE(SPLIT(REGEXREPLACE(REGEXREPLACE(AR64&amp;"""",""(?s)(.{1})"",""$1""&amp;CHAR(127)),""'"",""''""),CHAR(127))),1,true),""1"")"),"eg1")</f>
        <v>eg1</v>
      </c>
      <c r="AT64" s="16"/>
      <c r="AU64" s="13" t="str">
        <f>IFERROR(__xludf.DUMMYFUNCTION("FILTER($K64:$T64,len($K64:$T64)=5,NOT($K64:$T64=BD64),NOT($K64:$T64=BP64))"),"dbcfe")</f>
        <v>dbcfe</v>
      </c>
      <c r="AV64" s="12" t="str">
        <f>IFERROR(__xludf.DUMMYFUNCTION("CONCATENATE(SORT(TRANSPOSE(SPLIT(REGEXREPLACE(REGEXREPLACE(AU64&amp;"""",""(?s)(.{1})"",""$1""&amp;CHAR(127)),""'"",""''""),CHAR(127))),1,true),""1"")"),"bcdef1")</f>
        <v>bcdef1</v>
      </c>
      <c r="AW64" s="16"/>
      <c r="AX64" s="10" t="str">
        <f>IFERROR(__xludf.DUMMYFUNCTION("FILTER($K64:$T64,len($K64:$T64)=5)"),"befdg")</f>
        <v>befdg</v>
      </c>
      <c r="AY64" s="6" t="str">
        <f>IFERROR(__xludf.DUMMYFUNCTION("""COMPUTED_VALUE"""),"dbcfe")</f>
        <v>dbcfe</v>
      </c>
      <c r="AZ64" s="6" t="str">
        <f>IFERROR(__xludf.DUMMYFUNCTION("""COMPUTED_VALUE"""),"gabdf")</f>
        <v>gabdf</v>
      </c>
      <c r="BA64" s="6" t="str">
        <f>IFERROR(__xludf.DUMMYFUNCTION("REGEXREPLACE( $AR64, CONCATENATE(""["",AX64,""]""), """")"),"")</f>
        <v/>
      </c>
      <c r="BB64" s="6" t="str">
        <f>IFERROR(__xludf.DUMMYFUNCTION("REGEXREPLACE( $AR64, CONCATENATE(""["",AY64,""]""), """")"),"g")</f>
        <v>g</v>
      </c>
      <c r="BC64" s="6" t="str">
        <f>IFERROR(__xludf.DUMMYFUNCTION("REGEXREPLACE( $AR64, CONCATENATE(""["",AZ64,""]""), """")"),"e")</f>
        <v>e</v>
      </c>
      <c r="BD64" s="11" t="str">
        <f t="shared" si="6"/>
        <v>befdg</v>
      </c>
      <c r="BE64" s="12" t="str">
        <f>IFERROR(__xludf.DUMMYFUNCTION("CONCATENATE(SORT(TRANSPOSE(SPLIT(REGEXREPLACE(REGEXREPLACE(BD64&amp;"""",""(?s)(.{1})"",""$1""&amp;CHAR(127)),""'"",""''""),CHAR(127))),1,true),""1"")"),"bdefg1")</f>
        <v>bdefg1</v>
      </c>
      <c r="BF64" s="16"/>
      <c r="BG64" s="12" t="str">
        <f t="shared" si="7"/>
        <v>gfae</v>
      </c>
      <c r="BH64" s="12" t="str">
        <f>IFERROR(__xludf.DUMMYFUNCTION("CONCATENATE(SORT(TRANSPOSE(SPLIT(REGEXREPLACE(REGEXREPLACE(BG64&amp;"""",""(?s)(.{1})"",""$1""&amp;CHAR(127)),""'"",""''""),CHAR(127))),1,true),""1"")"),"aefg1")</f>
        <v>aefg1</v>
      </c>
      <c r="BI64" s="16"/>
      <c r="BJ64" s="10" t="str">
        <f>IFERROR(__xludf.DUMMYFUNCTION("FILTER($K64:$T64,len($K64:$T64)=5)"),"befdg")</f>
        <v>befdg</v>
      </c>
      <c r="BK64" s="6" t="str">
        <f>IFERROR(__xludf.DUMMYFUNCTION("""COMPUTED_VALUE"""),"dbcfe")</f>
        <v>dbcfe</v>
      </c>
      <c r="BL64" s="6" t="str">
        <f>IFERROR(__xludf.DUMMYFUNCTION("""COMPUTED_VALUE"""),"gabdf")</f>
        <v>gabdf</v>
      </c>
      <c r="BM64" s="14" t="str">
        <f>IFERROR(__xludf.DUMMYFUNCTION("REGEXREPLACE( $BY64, CONCATENATE(""["",BJ64,""]""), """")"),"ac")</f>
        <v>ac</v>
      </c>
      <c r="BN64" s="14" t="str">
        <f>IFERROR(__xludf.DUMMYFUNCTION("REGEXREPLACE( $BY64, CONCATENATE(""["",BK64,""]""), """")"),"ag")</f>
        <v>ag</v>
      </c>
      <c r="BO64" s="14" t="str">
        <f>IFERROR(__xludf.DUMMYFUNCTION("REGEXREPLACE( $BY64, CONCATENATE(""["",BL64,""]""), """")"),"c")</f>
        <v>c</v>
      </c>
      <c r="BP64" s="11" t="str">
        <f t="shared" si="8"/>
        <v>gabdf</v>
      </c>
      <c r="BQ64" s="12" t="str">
        <f>IFERROR(__xludf.DUMMYFUNCTION("CONCATENATE(SORT(TRANSPOSE(SPLIT(REGEXREPLACE(REGEXREPLACE(BP64&amp;"""",""(?s)(.{1})"",""$1""&amp;CHAR(127)),""'"",""''""),CHAR(127))),1,true),""1"")"),"abdfg1")</f>
        <v>abdfg1</v>
      </c>
      <c r="BR64" s="16"/>
      <c r="BS64" s="10" t="str">
        <f>IFERROR(__xludf.DUMMYFUNCTION("FILTER(K64:T64,len(K64:T64)=6)"),"dafbeg")</f>
        <v>dafbeg</v>
      </c>
      <c r="BT64" s="6" t="str">
        <f>IFERROR(__xludf.DUMMYFUNCTION("""COMPUTED_VALUE"""),"dfbacg")</f>
        <v>dfbacg</v>
      </c>
      <c r="BU64" s="6" t="str">
        <f>IFERROR(__xludf.DUMMYFUNCTION("""COMPUTED_VALUE"""),"cdegba")</f>
        <v>cdegba</v>
      </c>
      <c r="BV64" s="6" t="str">
        <f>IFERROR(__xludf.DUMMYFUNCTION("REGEXREPLACE( $AR64, CONCATENATE(""["",BS64,""]""), """")"),"")</f>
        <v/>
      </c>
      <c r="BW64" s="6" t="str">
        <f>IFERROR(__xludf.DUMMYFUNCTION("REGEXREPLACE( $AR64, CONCATENATE(""["",BT64,""]""), """")"),"e")</f>
        <v>e</v>
      </c>
      <c r="BX64" s="6" t="str">
        <f>IFERROR(__xludf.DUMMYFUNCTION("REGEXREPLACE( $AR64, CONCATENATE(""["",BU64,""]""), """")"),"")</f>
        <v/>
      </c>
      <c r="BY64" s="12" t="str">
        <f t="shared" si="9"/>
        <v>dfbacg</v>
      </c>
      <c r="BZ64" s="12" t="str">
        <f>IFERROR(__xludf.DUMMYFUNCTION("CONCATENATE(SORT(TRANSPOSE(SPLIT(REGEXREPLACE(REGEXREPLACE(BY64&amp;"""",""(?s)(.{1})"",""$1""&amp;CHAR(127)),""'"",""''""),CHAR(127))),1,true),""1"")"),"abcdfg1")</f>
        <v>abcdfg1</v>
      </c>
      <c r="CA64" s="16"/>
      <c r="CB64" s="12" t="str">
        <f t="shared" si="10"/>
        <v>deg</v>
      </c>
      <c r="CC64" s="12" t="str">
        <f>IFERROR(__xludf.DUMMYFUNCTION("CONCATENATE(SORT(TRANSPOSE(SPLIT(REGEXREPLACE(REGEXREPLACE(CB64&amp;"""",""(?s)(.{1})"",""$1""&amp;CHAR(127)),""'"",""''""),CHAR(127))),1,true),""1"")"),"deg1")</f>
        <v>deg1</v>
      </c>
      <c r="CD64" s="16"/>
      <c r="CE64" s="12" t="str">
        <f t="shared" si="11"/>
        <v>dgaebfc</v>
      </c>
      <c r="CF64" s="12" t="str">
        <f>IFERROR(__xludf.DUMMYFUNCTION("CONCATENATE(SORT(TRANSPOSE(SPLIT(REGEXREPLACE(REGEXREPLACE(CE64&amp;"""",""(?s)(.{1})"",""$1""&amp;CHAR(127)),""'"",""''""),CHAR(127))),1,true),""1"")"),"abcdefg1")</f>
        <v>abcdefg1</v>
      </c>
      <c r="CG64" s="16"/>
      <c r="CH64" s="10" t="str">
        <f>IFERROR(__xludf.DUMMYFUNCTION("FILTER(K64:T64,len(K64:T64)=6)"),"dafbeg")</f>
        <v>dafbeg</v>
      </c>
      <c r="CI64" s="6" t="str">
        <f>IFERROR(__xludf.DUMMYFUNCTION("""COMPUTED_VALUE"""),"dfbacg")</f>
        <v>dfbacg</v>
      </c>
      <c r="CJ64" s="6" t="str">
        <f>IFERROR(__xludf.DUMMYFUNCTION("""COMPUTED_VALUE"""),"cdegba")</f>
        <v>cdegba</v>
      </c>
      <c r="CK64" s="6" t="str">
        <f>IFERROR(__xludf.DUMMYFUNCTION("REGEXREPLACE( $BG64, CONCATENATE(""["",CH64,""]""), """")"),"")</f>
        <v/>
      </c>
      <c r="CL64" s="6" t="str">
        <f>IFERROR(__xludf.DUMMYFUNCTION("REGEXREPLACE( $BG64, CONCATENATE(""["",CI64,""]""), """")"),"e")</f>
        <v>e</v>
      </c>
      <c r="CM64" s="6" t="str">
        <f>IFERROR(__xludf.DUMMYFUNCTION("REGEXREPLACE( $BG64, CONCATENATE(""["",CJ64,""]""), """")"),"f")</f>
        <v>f</v>
      </c>
      <c r="CN64" s="12" t="str">
        <f t="shared" si="12"/>
        <v>dafbeg</v>
      </c>
      <c r="CO64" s="12" t="str">
        <f>IFERROR(__xludf.DUMMYFUNCTION("CONCATENATE(SORT(TRANSPOSE(SPLIT(REGEXREPLACE(REGEXREPLACE(CN64&amp;"""",""(?s)(.{1})"",""$1""&amp;CHAR(127)),""'"",""''""),CHAR(127))),1,true),""1"")"),"abdefg1")</f>
        <v>abdefg1</v>
      </c>
      <c r="CP64" s="15"/>
    </row>
    <row r="65">
      <c r="A65" s="1" t="s">
        <v>85</v>
      </c>
      <c r="H65" s="6" t="str">
        <f>IFERROR(__xludf.DUMMYFUNCTION("SPLIT(A65,""|"")"),"beafcd gbaedc adfecg afbdecg bafgc ef dgeac ecf aecgf dgef ")</f>
        <v>beafcd gbaedc adfecg afbdecg bafgc ef dgeac ecf aecgf dgef </v>
      </c>
      <c r="I65" s="6" t="str">
        <f>IFERROR(__xludf.DUMMYFUNCTION("""COMPUTED_VALUE""")," dfeagc cgdea fdecga fce")</f>
        <v> dfeagc cgdea fdecga fce</v>
      </c>
      <c r="J65" s="15"/>
      <c r="K65" s="6" t="str">
        <f>IFERROR(__xludf.DUMMYFUNCTION("split(H65,"" "")"),"beafcd")</f>
        <v>beafcd</v>
      </c>
      <c r="L65" s="6" t="str">
        <f>IFERROR(__xludf.DUMMYFUNCTION("""COMPUTED_VALUE"""),"gbaedc")</f>
        <v>gbaedc</v>
      </c>
      <c r="M65" s="6" t="str">
        <f>IFERROR(__xludf.DUMMYFUNCTION("""COMPUTED_VALUE"""),"adfecg")</f>
        <v>adfecg</v>
      </c>
      <c r="N65" s="6" t="str">
        <f>IFERROR(__xludf.DUMMYFUNCTION("""COMPUTED_VALUE"""),"afbdecg")</f>
        <v>afbdecg</v>
      </c>
      <c r="O65" s="6" t="str">
        <f>IFERROR(__xludf.DUMMYFUNCTION("""COMPUTED_VALUE"""),"bafgc")</f>
        <v>bafgc</v>
      </c>
      <c r="P65" s="6" t="str">
        <f>IFERROR(__xludf.DUMMYFUNCTION("""COMPUTED_VALUE"""),"ef")</f>
        <v>ef</v>
      </c>
      <c r="Q65" s="6" t="str">
        <f>IFERROR(__xludf.DUMMYFUNCTION("""COMPUTED_VALUE"""),"dgeac")</f>
        <v>dgeac</v>
      </c>
      <c r="R65" s="6" t="str">
        <f>IFERROR(__xludf.DUMMYFUNCTION("""COMPUTED_VALUE"""),"ecf")</f>
        <v>ecf</v>
      </c>
      <c r="S65" s="6" t="str">
        <f>IFERROR(__xludf.DUMMYFUNCTION("""COMPUTED_VALUE"""),"aecgf")</f>
        <v>aecgf</v>
      </c>
      <c r="T65" s="6" t="str">
        <f>IFERROR(__xludf.DUMMYFUNCTION("""COMPUTED_VALUE"""),"dgef")</f>
        <v>dgef</v>
      </c>
      <c r="U65" s="15"/>
      <c r="V65" s="6" t="str">
        <f>IFERROR(__xludf.DUMMYFUNCTION("split(I65,"" "")"),"dfeagc")</f>
        <v>dfeagc</v>
      </c>
      <c r="W65" s="6" t="str">
        <f>IFERROR(__xludf.DUMMYFUNCTION("""COMPUTED_VALUE"""),"cgdea")</f>
        <v>cgdea</v>
      </c>
      <c r="X65" s="6" t="str">
        <f>IFERROR(__xludf.DUMMYFUNCTION("""COMPUTED_VALUE"""),"fdecga")</f>
        <v>fdecga</v>
      </c>
      <c r="Y65" s="6" t="str">
        <f>IFERROR(__xludf.DUMMYFUNCTION("""COMPUTED_VALUE"""),"fce")</f>
        <v>fce</v>
      </c>
      <c r="Z65" s="6" t="str">
        <f>IFERROR(__xludf.DUMMYFUNCTION("CONCATENATE(SORT(TRANSPOSE(SPLIT(REGEXREPLACE(REGEXREPLACE(V65&amp;"""",""(?s)(.{1})"",""$1""&amp;CHAR(127)),""'"",""''""),CHAR(127))),1,true))"),"acdefg")</f>
        <v>acdefg</v>
      </c>
      <c r="AA65" s="6" t="str">
        <f>IFERROR(__xludf.DUMMYFUNCTION("CONCATENATE(SORT(TRANSPOSE(SPLIT(REGEXREPLACE(REGEXREPLACE(W65&amp;"""",""(?s)(.{1})"",""$1""&amp;CHAR(127)),""'"",""''""),CHAR(127))),1,true))"),"acdeg")</f>
        <v>acdeg</v>
      </c>
      <c r="AB65" s="6" t="str">
        <f>IFERROR(__xludf.DUMMYFUNCTION("CONCATENATE(SORT(TRANSPOSE(SPLIT(REGEXREPLACE(REGEXREPLACE(X65&amp;"""",""(?s)(.{1})"",""$1""&amp;CHAR(127)),""'"",""''""),CHAR(127))),1,true))"),"acdefg")</f>
        <v>acdefg</v>
      </c>
      <c r="AC65" s="6" t="str">
        <f>IFERROR(__xludf.DUMMYFUNCTION("CONCATENATE(SORT(TRANSPOSE(SPLIT(REGEXREPLACE(REGEXREPLACE(Y65&amp;"""",""(?s)(.{1})"",""$1""&amp;CHAR(127)),""'"",""''""),CHAR(127))),1,true))"),"cef")</f>
        <v>cef</v>
      </c>
      <c r="AD65" s="6">
        <f t="shared" ref="AD65:AG65" si="75">INDEX($AO$1:$CP$1,1,MATCH(CONCATENATE(Z65,"1"),$AO65:$CP65,0)+1)</f>
        <v>9</v>
      </c>
      <c r="AE65" s="6">
        <f t="shared" si="75"/>
        <v>5</v>
      </c>
      <c r="AF65" s="6">
        <f t="shared" si="75"/>
        <v>9</v>
      </c>
      <c r="AG65" s="6">
        <f t="shared" si="75"/>
        <v>7</v>
      </c>
      <c r="AH65" s="6">
        <f t="shared" si="3"/>
        <v>9597</v>
      </c>
      <c r="AI65" s="16"/>
      <c r="AJ65" s="9" t="str">
        <f>IFERROR(__xludf.DUMMYFUNCTION("REGEXREPLACE(AR65,CONCATENATE(""["",BY65,""]""),"""")"),"f")</f>
        <v>f</v>
      </c>
      <c r="AK65" s="10" t="str">
        <f>IFERROR(__xludf.DUMMYFUNCTION("FILTER($K65:$T65,len($K65:$T65)=6,NOT($K65:$T65=BY65))"),"beafcd")</f>
        <v>beafcd</v>
      </c>
      <c r="AL65" s="6" t="str">
        <f>IFERROR(__xludf.DUMMYFUNCTION("""COMPUTED_VALUE"""),"adfecg")</f>
        <v>adfecg</v>
      </c>
      <c r="AM65" s="6" t="str">
        <f>IFERROR(__xludf.DUMMYFUNCTION("REGEXREPLACE( $BG65, CONCATENATE(""["",AK65,""]""), """")"),"g")</f>
        <v>g</v>
      </c>
      <c r="AN65" s="6" t="str">
        <f>IFERROR(__xludf.DUMMYFUNCTION("REGEXREPLACE( $BG65, CONCATENATE(""["",AL65,""]""), """")"),"")</f>
        <v/>
      </c>
      <c r="AO65" s="11" t="str">
        <f t="shared" si="4"/>
        <v>beafcd</v>
      </c>
      <c r="AP65" s="12" t="str">
        <f>IFERROR(__xludf.DUMMYFUNCTION("CONCATENATE(SORT(TRANSPOSE(SPLIT(REGEXREPLACE(REGEXREPLACE(AO65&amp;"""",""(?s)(.{1})"",""$1""&amp;CHAR(127)),""'"",""''""),CHAR(127))),1,true),""1"")"),"abcdef1")</f>
        <v>abcdef1</v>
      </c>
      <c r="AQ65" s="16"/>
      <c r="AR65" s="12" t="str">
        <f t="shared" si="5"/>
        <v>ef</v>
      </c>
      <c r="AS65" s="12" t="str">
        <f>IFERROR(__xludf.DUMMYFUNCTION("CONCATENATE(SORT(TRANSPOSE(SPLIT(REGEXREPLACE(REGEXREPLACE(AR65&amp;"""",""(?s)(.{1})"",""$1""&amp;CHAR(127)),""'"",""''""),CHAR(127))),1,true),""1"")"),"ef1")</f>
        <v>ef1</v>
      </c>
      <c r="AT65" s="16"/>
      <c r="AU65" s="13" t="str">
        <f>IFERROR(__xludf.DUMMYFUNCTION("FILTER($K65:$T65,len($K65:$T65)=5,NOT($K65:$T65=BD65),NOT($K65:$T65=BP65))"),"bafgc")</f>
        <v>bafgc</v>
      </c>
      <c r="AV65" s="12" t="str">
        <f>IFERROR(__xludf.DUMMYFUNCTION("CONCATENATE(SORT(TRANSPOSE(SPLIT(REGEXREPLACE(REGEXREPLACE(AU65&amp;"""",""(?s)(.{1})"",""$1""&amp;CHAR(127)),""'"",""''""),CHAR(127))),1,true),""1"")"),"abcfg1")</f>
        <v>abcfg1</v>
      </c>
      <c r="AW65" s="16"/>
      <c r="AX65" s="10" t="str">
        <f>IFERROR(__xludf.DUMMYFUNCTION("FILTER($K65:$T65,len($K65:$T65)=5)"),"bafgc")</f>
        <v>bafgc</v>
      </c>
      <c r="AY65" s="6" t="str">
        <f>IFERROR(__xludf.DUMMYFUNCTION("""COMPUTED_VALUE"""),"dgeac")</f>
        <v>dgeac</v>
      </c>
      <c r="AZ65" s="6" t="str">
        <f>IFERROR(__xludf.DUMMYFUNCTION("""COMPUTED_VALUE"""),"aecgf")</f>
        <v>aecgf</v>
      </c>
      <c r="BA65" s="6" t="str">
        <f>IFERROR(__xludf.DUMMYFUNCTION("REGEXREPLACE( $AR65, CONCATENATE(""["",AX65,""]""), """")"),"e")</f>
        <v>e</v>
      </c>
      <c r="BB65" s="6" t="str">
        <f>IFERROR(__xludf.DUMMYFUNCTION("REGEXREPLACE( $AR65, CONCATENATE(""["",AY65,""]""), """")"),"f")</f>
        <v>f</v>
      </c>
      <c r="BC65" s="6" t="str">
        <f>IFERROR(__xludf.DUMMYFUNCTION("REGEXREPLACE( $AR65, CONCATENATE(""["",AZ65,""]""), """")"),"")</f>
        <v/>
      </c>
      <c r="BD65" s="11" t="str">
        <f t="shared" si="6"/>
        <v>aecgf</v>
      </c>
      <c r="BE65" s="12" t="str">
        <f>IFERROR(__xludf.DUMMYFUNCTION("CONCATENATE(SORT(TRANSPOSE(SPLIT(REGEXREPLACE(REGEXREPLACE(BD65&amp;"""",""(?s)(.{1})"",""$1""&amp;CHAR(127)),""'"",""''""),CHAR(127))),1,true),""1"")"),"acefg1")</f>
        <v>acefg1</v>
      </c>
      <c r="BF65" s="16"/>
      <c r="BG65" s="12" t="str">
        <f t="shared" si="7"/>
        <v>dgef</v>
      </c>
      <c r="BH65" s="12" t="str">
        <f>IFERROR(__xludf.DUMMYFUNCTION("CONCATENATE(SORT(TRANSPOSE(SPLIT(REGEXREPLACE(REGEXREPLACE(BG65&amp;"""",""(?s)(.{1})"",""$1""&amp;CHAR(127)),""'"",""''""),CHAR(127))),1,true),""1"")"),"defg1")</f>
        <v>defg1</v>
      </c>
      <c r="BI65" s="16"/>
      <c r="BJ65" s="10" t="str">
        <f>IFERROR(__xludf.DUMMYFUNCTION("FILTER($K65:$T65,len($K65:$T65)=5)"),"bafgc")</f>
        <v>bafgc</v>
      </c>
      <c r="BK65" s="6" t="str">
        <f>IFERROR(__xludf.DUMMYFUNCTION("""COMPUTED_VALUE"""),"dgeac")</f>
        <v>dgeac</v>
      </c>
      <c r="BL65" s="6" t="str">
        <f>IFERROR(__xludf.DUMMYFUNCTION("""COMPUTED_VALUE"""),"aecgf")</f>
        <v>aecgf</v>
      </c>
      <c r="BM65" s="14" t="str">
        <f>IFERROR(__xludf.DUMMYFUNCTION("REGEXREPLACE( $BY65, CONCATENATE(""["",BJ65,""]""), """")"),"ed")</f>
        <v>ed</v>
      </c>
      <c r="BN65" s="14" t="str">
        <f>IFERROR(__xludf.DUMMYFUNCTION("REGEXREPLACE( $BY65, CONCATENATE(""["",BK65,""]""), """")"),"b")</f>
        <v>b</v>
      </c>
      <c r="BO65" s="14" t="str">
        <f>IFERROR(__xludf.DUMMYFUNCTION("REGEXREPLACE( $BY65, CONCATENATE(""["",BL65,""]""), """")"),"bd")</f>
        <v>bd</v>
      </c>
      <c r="BP65" s="11" t="str">
        <f t="shared" si="8"/>
        <v>dgeac</v>
      </c>
      <c r="BQ65" s="12" t="str">
        <f>IFERROR(__xludf.DUMMYFUNCTION("CONCATENATE(SORT(TRANSPOSE(SPLIT(REGEXREPLACE(REGEXREPLACE(BP65&amp;"""",""(?s)(.{1})"",""$1""&amp;CHAR(127)),""'"",""''""),CHAR(127))),1,true),""1"")"),"acdeg1")</f>
        <v>acdeg1</v>
      </c>
      <c r="BR65" s="16"/>
      <c r="BS65" s="10" t="str">
        <f>IFERROR(__xludf.DUMMYFUNCTION("FILTER(K65:T65,len(K65:T65)=6)"),"beafcd")</f>
        <v>beafcd</v>
      </c>
      <c r="BT65" s="6" t="str">
        <f>IFERROR(__xludf.DUMMYFUNCTION("""COMPUTED_VALUE"""),"gbaedc")</f>
        <v>gbaedc</v>
      </c>
      <c r="BU65" s="6" t="str">
        <f>IFERROR(__xludf.DUMMYFUNCTION("""COMPUTED_VALUE"""),"adfecg")</f>
        <v>adfecg</v>
      </c>
      <c r="BV65" s="6" t="str">
        <f>IFERROR(__xludf.DUMMYFUNCTION("REGEXREPLACE( $AR65, CONCATENATE(""["",BS65,""]""), """")"),"")</f>
        <v/>
      </c>
      <c r="BW65" s="6" t="str">
        <f>IFERROR(__xludf.DUMMYFUNCTION("REGEXREPLACE( $AR65, CONCATENATE(""["",BT65,""]""), """")"),"f")</f>
        <v>f</v>
      </c>
      <c r="BX65" s="6" t="str">
        <f>IFERROR(__xludf.DUMMYFUNCTION("REGEXREPLACE( $AR65, CONCATENATE(""["",BU65,""]""), """")"),"")</f>
        <v/>
      </c>
      <c r="BY65" s="12" t="str">
        <f t="shared" si="9"/>
        <v>gbaedc</v>
      </c>
      <c r="BZ65" s="12" t="str">
        <f>IFERROR(__xludf.DUMMYFUNCTION("CONCATENATE(SORT(TRANSPOSE(SPLIT(REGEXREPLACE(REGEXREPLACE(BY65&amp;"""",""(?s)(.{1})"",""$1""&amp;CHAR(127)),""'"",""''""),CHAR(127))),1,true),""1"")"),"abcdeg1")</f>
        <v>abcdeg1</v>
      </c>
      <c r="CA65" s="16"/>
      <c r="CB65" s="12" t="str">
        <f t="shared" si="10"/>
        <v>ecf</v>
      </c>
      <c r="CC65" s="12" t="str">
        <f>IFERROR(__xludf.DUMMYFUNCTION("CONCATENATE(SORT(TRANSPOSE(SPLIT(REGEXREPLACE(REGEXREPLACE(CB65&amp;"""",""(?s)(.{1})"",""$1""&amp;CHAR(127)),""'"",""''""),CHAR(127))),1,true),""1"")"),"cef1")</f>
        <v>cef1</v>
      </c>
      <c r="CD65" s="16"/>
      <c r="CE65" s="12" t="str">
        <f t="shared" si="11"/>
        <v>afbdecg</v>
      </c>
      <c r="CF65" s="12" t="str">
        <f>IFERROR(__xludf.DUMMYFUNCTION("CONCATENATE(SORT(TRANSPOSE(SPLIT(REGEXREPLACE(REGEXREPLACE(CE65&amp;"""",""(?s)(.{1})"",""$1""&amp;CHAR(127)),""'"",""''""),CHAR(127))),1,true),""1"")"),"abcdefg1")</f>
        <v>abcdefg1</v>
      </c>
      <c r="CG65" s="16"/>
      <c r="CH65" s="10" t="str">
        <f>IFERROR(__xludf.DUMMYFUNCTION("FILTER(K65:T65,len(K65:T65)=6)"),"beafcd")</f>
        <v>beafcd</v>
      </c>
      <c r="CI65" s="6" t="str">
        <f>IFERROR(__xludf.DUMMYFUNCTION("""COMPUTED_VALUE"""),"gbaedc")</f>
        <v>gbaedc</v>
      </c>
      <c r="CJ65" s="6" t="str">
        <f>IFERROR(__xludf.DUMMYFUNCTION("""COMPUTED_VALUE"""),"adfecg")</f>
        <v>adfecg</v>
      </c>
      <c r="CK65" s="6" t="str">
        <f>IFERROR(__xludf.DUMMYFUNCTION("REGEXREPLACE( $BG65, CONCATENATE(""["",CH65,""]""), """")"),"g")</f>
        <v>g</v>
      </c>
      <c r="CL65" s="6" t="str">
        <f>IFERROR(__xludf.DUMMYFUNCTION("REGEXREPLACE( $BG65, CONCATENATE(""["",CI65,""]""), """")"),"f")</f>
        <v>f</v>
      </c>
      <c r="CM65" s="6" t="str">
        <f>IFERROR(__xludf.DUMMYFUNCTION("REGEXREPLACE( $BG65, CONCATENATE(""["",CJ65,""]""), """")"),"")</f>
        <v/>
      </c>
      <c r="CN65" s="12" t="str">
        <f t="shared" si="12"/>
        <v>adfecg</v>
      </c>
      <c r="CO65" s="12" t="str">
        <f>IFERROR(__xludf.DUMMYFUNCTION("CONCATENATE(SORT(TRANSPOSE(SPLIT(REGEXREPLACE(REGEXREPLACE(CN65&amp;"""",""(?s)(.{1})"",""$1""&amp;CHAR(127)),""'"",""''""),CHAR(127))),1,true),""1"")"),"acdefg1")</f>
        <v>acdefg1</v>
      </c>
      <c r="CP65" s="15"/>
    </row>
    <row r="66">
      <c r="A66" s="1" t="s">
        <v>86</v>
      </c>
      <c r="H66" s="6" t="str">
        <f>IFERROR(__xludf.DUMMYFUNCTION("SPLIT(A66,""|"")"),"degbc agcbd ecabdg bcefd gfdacb eafbgc decgabf gdae eg gbe ")</f>
        <v>degbc agcbd ecabdg bcefd gfdacb eafbgc decgabf gdae eg gbe </v>
      </c>
      <c r="I66" s="6" t="str">
        <f>IFERROR(__xludf.DUMMYFUNCTION("""COMPUTED_VALUE""")," gcbda dbefc dcafgb gcfeabd")</f>
        <v> gcbda dbefc dcafgb gcfeabd</v>
      </c>
      <c r="J66" s="15"/>
      <c r="K66" s="6" t="str">
        <f>IFERROR(__xludf.DUMMYFUNCTION("split(H66,"" "")"),"degbc")</f>
        <v>degbc</v>
      </c>
      <c r="L66" s="6" t="str">
        <f>IFERROR(__xludf.DUMMYFUNCTION("""COMPUTED_VALUE"""),"agcbd")</f>
        <v>agcbd</v>
      </c>
      <c r="M66" s="6" t="str">
        <f>IFERROR(__xludf.DUMMYFUNCTION("""COMPUTED_VALUE"""),"ecabdg")</f>
        <v>ecabdg</v>
      </c>
      <c r="N66" s="6" t="str">
        <f>IFERROR(__xludf.DUMMYFUNCTION("""COMPUTED_VALUE"""),"bcefd")</f>
        <v>bcefd</v>
      </c>
      <c r="O66" s="6" t="str">
        <f>IFERROR(__xludf.DUMMYFUNCTION("""COMPUTED_VALUE"""),"gfdacb")</f>
        <v>gfdacb</v>
      </c>
      <c r="P66" s="6" t="str">
        <f>IFERROR(__xludf.DUMMYFUNCTION("""COMPUTED_VALUE"""),"eafbgc")</f>
        <v>eafbgc</v>
      </c>
      <c r="Q66" s="6" t="str">
        <f>IFERROR(__xludf.DUMMYFUNCTION("""COMPUTED_VALUE"""),"decgabf")</f>
        <v>decgabf</v>
      </c>
      <c r="R66" s="6" t="str">
        <f>IFERROR(__xludf.DUMMYFUNCTION("""COMPUTED_VALUE"""),"gdae")</f>
        <v>gdae</v>
      </c>
      <c r="S66" s="6" t="str">
        <f>IFERROR(__xludf.DUMMYFUNCTION("""COMPUTED_VALUE"""),"eg")</f>
        <v>eg</v>
      </c>
      <c r="T66" s="6" t="str">
        <f>IFERROR(__xludf.DUMMYFUNCTION("""COMPUTED_VALUE"""),"gbe")</f>
        <v>gbe</v>
      </c>
      <c r="U66" s="15"/>
      <c r="V66" s="6" t="str">
        <f>IFERROR(__xludf.DUMMYFUNCTION("split(I66,"" "")"),"gcbda")</f>
        <v>gcbda</v>
      </c>
      <c r="W66" s="6" t="str">
        <f>IFERROR(__xludf.DUMMYFUNCTION("""COMPUTED_VALUE"""),"dbefc")</f>
        <v>dbefc</v>
      </c>
      <c r="X66" s="6" t="str">
        <f>IFERROR(__xludf.DUMMYFUNCTION("""COMPUTED_VALUE"""),"dcafgb")</f>
        <v>dcafgb</v>
      </c>
      <c r="Y66" s="6" t="str">
        <f>IFERROR(__xludf.DUMMYFUNCTION("""COMPUTED_VALUE"""),"gcfeabd")</f>
        <v>gcfeabd</v>
      </c>
      <c r="Z66" s="6" t="str">
        <f>IFERROR(__xludf.DUMMYFUNCTION("CONCATENATE(SORT(TRANSPOSE(SPLIT(REGEXREPLACE(REGEXREPLACE(V66&amp;"""",""(?s)(.{1})"",""$1""&amp;CHAR(127)),""'"",""''""),CHAR(127))),1,true))"),"abcdg")</f>
        <v>abcdg</v>
      </c>
      <c r="AA66" s="6" t="str">
        <f>IFERROR(__xludf.DUMMYFUNCTION("CONCATENATE(SORT(TRANSPOSE(SPLIT(REGEXREPLACE(REGEXREPLACE(W66&amp;"""",""(?s)(.{1})"",""$1""&amp;CHAR(127)),""'"",""''""),CHAR(127))),1,true))"),"bcdef")</f>
        <v>bcdef</v>
      </c>
      <c r="AB66" s="6" t="str">
        <f>IFERROR(__xludf.DUMMYFUNCTION("CONCATENATE(SORT(TRANSPOSE(SPLIT(REGEXREPLACE(REGEXREPLACE(X66&amp;"""",""(?s)(.{1})"",""$1""&amp;CHAR(127)),""'"",""''""),CHAR(127))),1,true))"),"abcdfg")</f>
        <v>abcdfg</v>
      </c>
      <c r="AC66" s="6" t="str">
        <f>IFERROR(__xludf.DUMMYFUNCTION("CONCATENATE(SORT(TRANSPOSE(SPLIT(REGEXREPLACE(REGEXREPLACE(Y66&amp;"""",""(?s)(.{1})"",""$1""&amp;CHAR(127)),""'"",""''""),CHAR(127))),1,true))"),"abcdefg")</f>
        <v>abcdefg</v>
      </c>
      <c r="AD66" s="6">
        <f t="shared" ref="AD66:AG66" si="76">INDEX($AO$1:$CP$1,1,MATCH(CONCATENATE(Z66,"1"),$AO66:$CP66,0)+1)</f>
        <v>5</v>
      </c>
      <c r="AE66" s="6">
        <f t="shared" si="76"/>
        <v>2</v>
      </c>
      <c r="AF66" s="6">
        <f t="shared" si="76"/>
        <v>6</v>
      </c>
      <c r="AG66" s="6">
        <f t="shared" si="76"/>
        <v>8</v>
      </c>
      <c r="AH66" s="6">
        <f t="shared" si="3"/>
        <v>5268</v>
      </c>
      <c r="AI66" s="16"/>
      <c r="AJ66" s="9" t="str">
        <f>IFERROR(__xludf.DUMMYFUNCTION("REGEXREPLACE(AR66,CONCATENATE(""["",BY66,""]""),"""")"),"e")</f>
        <v>e</v>
      </c>
      <c r="AK66" s="10" t="str">
        <f>IFERROR(__xludf.DUMMYFUNCTION("FILTER($K66:$T66,len($K66:$T66)=6,NOT($K66:$T66=BY66))"),"ecabdg")</f>
        <v>ecabdg</v>
      </c>
      <c r="AL66" s="6" t="str">
        <f>IFERROR(__xludf.DUMMYFUNCTION("""COMPUTED_VALUE"""),"eafbgc")</f>
        <v>eafbgc</v>
      </c>
      <c r="AM66" s="6" t="str">
        <f>IFERROR(__xludf.DUMMYFUNCTION("REGEXREPLACE( $BG66, CONCATENATE(""["",AK66,""]""), """")"),"")</f>
        <v/>
      </c>
      <c r="AN66" s="6" t="str">
        <f>IFERROR(__xludf.DUMMYFUNCTION("REGEXREPLACE( $BG66, CONCATENATE(""["",AL66,""]""), """")"),"d")</f>
        <v>d</v>
      </c>
      <c r="AO66" s="11" t="str">
        <f t="shared" si="4"/>
        <v>eafbgc</v>
      </c>
      <c r="AP66" s="12" t="str">
        <f>IFERROR(__xludf.DUMMYFUNCTION("CONCATENATE(SORT(TRANSPOSE(SPLIT(REGEXREPLACE(REGEXREPLACE(AO66&amp;"""",""(?s)(.{1})"",""$1""&amp;CHAR(127)),""'"",""''""),CHAR(127))),1,true),""1"")"),"abcefg1")</f>
        <v>abcefg1</v>
      </c>
      <c r="AQ66" s="16"/>
      <c r="AR66" s="12" t="str">
        <f t="shared" si="5"/>
        <v>eg</v>
      </c>
      <c r="AS66" s="12" t="str">
        <f>IFERROR(__xludf.DUMMYFUNCTION("CONCATENATE(SORT(TRANSPOSE(SPLIT(REGEXREPLACE(REGEXREPLACE(AR66&amp;"""",""(?s)(.{1})"",""$1""&amp;CHAR(127)),""'"",""''""),CHAR(127))),1,true),""1"")"),"eg1")</f>
        <v>eg1</v>
      </c>
      <c r="AT66" s="16"/>
      <c r="AU66" s="13" t="str">
        <f>IFERROR(__xludf.DUMMYFUNCTION("FILTER($K66:$T66,len($K66:$T66)=5,NOT($K66:$T66=BD66),NOT($K66:$T66=BP66))"),"bcefd")</f>
        <v>bcefd</v>
      </c>
      <c r="AV66" s="12" t="str">
        <f>IFERROR(__xludf.DUMMYFUNCTION("CONCATENATE(SORT(TRANSPOSE(SPLIT(REGEXREPLACE(REGEXREPLACE(AU66&amp;"""",""(?s)(.{1})"",""$1""&amp;CHAR(127)),""'"",""''""),CHAR(127))),1,true),""1"")"),"bcdef1")</f>
        <v>bcdef1</v>
      </c>
      <c r="AW66" s="16"/>
      <c r="AX66" s="10" t="str">
        <f>IFERROR(__xludf.DUMMYFUNCTION("FILTER($K66:$T66,len($K66:$T66)=5)"),"degbc")</f>
        <v>degbc</v>
      </c>
      <c r="AY66" s="6" t="str">
        <f>IFERROR(__xludf.DUMMYFUNCTION("""COMPUTED_VALUE"""),"agcbd")</f>
        <v>agcbd</v>
      </c>
      <c r="AZ66" s="6" t="str">
        <f>IFERROR(__xludf.DUMMYFUNCTION("""COMPUTED_VALUE"""),"bcefd")</f>
        <v>bcefd</v>
      </c>
      <c r="BA66" s="6" t="str">
        <f>IFERROR(__xludf.DUMMYFUNCTION("REGEXREPLACE( $AR66, CONCATENATE(""["",AX66,""]""), """")"),"")</f>
        <v/>
      </c>
      <c r="BB66" s="6" t="str">
        <f>IFERROR(__xludf.DUMMYFUNCTION("REGEXREPLACE( $AR66, CONCATENATE(""["",AY66,""]""), """")"),"e")</f>
        <v>e</v>
      </c>
      <c r="BC66" s="6" t="str">
        <f>IFERROR(__xludf.DUMMYFUNCTION("REGEXREPLACE( $AR66, CONCATENATE(""["",AZ66,""]""), """")"),"g")</f>
        <v>g</v>
      </c>
      <c r="BD66" s="11" t="str">
        <f t="shared" si="6"/>
        <v>degbc</v>
      </c>
      <c r="BE66" s="12" t="str">
        <f>IFERROR(__xludf.DUMMYFUNCTION("CONCATENATE(SORT(TRANSPOSE(SPLIT(REGEXREPLACE(REGEXREPLACE(BD66&amp;"""",""(?s)(.{1})"",""$1""&amp;CHAR(127)),""'"",""''""),CHAR(127))),1,true),""1"")"),"bcdeg1")</f>
        <v>bcdeg1</v>
      </c>
      <c r="BF66" s="16"/>
      <c r="BG66" s="12" t="str">
        <f t="shared" si="7"/>
        <v>gdae</v>
      </c>
      <c r="BH66" s="12" t="str">
        <f>IFERROR(__xludf.DUMMYFUNCTION("CONCATENATE(SORT(TRANSPOSE(SPLIT(REGEXREPLACE(REGEXREPLACE(BG66&amp;"""",""(?s)(.{1})"",""$1""&amp;CHAR(127)),""'"",""''""),CHAR(127))),1,true),""1"")"),"adeg1")</f>
        <v>adeg1</v>
      </c>
      <c r="BI66" s="16"/>
      <c r="BJ66" s="10" t="str">
        <f>IFERROR(__xludf.DUMMYFUNCTION("FILTER($K66:$T66,len($K66:$T66)=5)"),"degbc")</f>
        <v>degbc</v>
      </c>
      <c r="BK66" s="6" t="str">
        <f>IFERROR(__xludf.DUMMYFUNCTION("""COMPUTED_VALUE"""),"agcbd")</f>
        <v>agcbd</v>
      </c>
      <c r="BL66" s="6" t="str">
        <f>IFERROR(__xludf.DUMMYFUNCTION("""COMPUTED_VALUE"""),"bcefd")</f>
        <v>bcefd</v>
      </c>
      <c r="BM66" s="14" t="str">
        <f>IFERROR(__xludf.DUMMYFUNCTION("REGEXREPLACE( $BY66, CONCATENATE(""["",BJ66,""]""), """")"),"fa")</f>
        <v>fa</v>
      </c>
      <c r="BN66" s="14" t="str">
        <f>IFERROR(__xludf.DUMMYFUNCTION("REGEXREPLACE( $BY66, CONCATENATE(""["",BK66,""]""), """")"),"f")</f>
        <v>f</v>
      </c>
      <c r="BO66" s="14" t="str">
        <f>IFERROR(__xludf.DUMMYFUNCTION("REGEXREPLACE( $BY66, CONCATENATE(""["",BL66,""]""), """")"),"ga")</f>
        <v>ga</v>
      </c>
      <c r="BP66" s="11" t="str">
        <f t="shared" si="8"/>
        <v>agcbd</v>
      </c>
      <c r="BQ66" s="12" t="str">
        <f>IFERROR(__xludf.DUMMYFUNCTION("CONCATENATE(SORT(TRANSPOSE(SPLIT(REGEXREPLACE(REGEXREPLACE(BP66&amp;"""",""(?s)(.{1})"",""$1""&amp;CHAR(127)),""'"",""''""),CHAR(127))),1,true),""1"")"),"abcdg1")</f>
        <v>abcdg1</v>
      </c>
      <c r="BR66" s="16"/>
      <c r="BS66" s="10" t="str">
        <f>IFERROR(__xludf.DUMMYFUNCTION("FILTER(K66:T66,len(K66:T66)=6)"),"ecabdg")</f>
        <v>ecabdg</v>
      </c>
      <c r="BT66" s="6" t="str">
        <f>IFERROR(__xludf.DUMMYFUNCTION("""COMPUTED_VALUE"""),"gfdacb")</f>
        <v>gfdacb</v>
      </c>
      <c r="BU66" s="6" t="str">
        <f>IFERROR(__xludf.DUMMYFUNCTION("""COMPUTED_VALUE"""),"eafbgc")</f>
        <v>eafbgc</v>
      </c>
      <c r="BV66" s="6" t="str">
        <f>IFERROR(__xludf.DUMMYFUNCTION("REGEXREPLACE( $AR66, CONCATENATE(""["",BS66,""]""), """")"),"")</f>
        <v/>
      </c>
      <c r="BW66" s="6" t="str">
        <f>IFERROR(__xludf.DUMMYFUNCTION("REGEXREPLACE( $AR66, CONCATENATE(""["",BT66,""]""), """")"),"e")</f>
        <v>e</v>
      </c>
      <c r="BX66" s="6" t="str">
        <f>IFERROR(__xludf.DUMMYFUNCTION("REGEXREPLACE( $AR66, CONCATENATE(""["",BU66,""]""), """")"),"")</f>
        <v/>
      </c>
      <c r="BY66" s="12" t="str">
        <f t="shared" si="9"/>
        <v>gfdacb</v>
      </c>
      <c r="BZ66" s="12" t="str">
        <f>IFERROR(__xludf.DUMMYFUNCTION("CONCATENATE(SORT(TRANSPOSE(SPLIT(REGEXREPLACE(REGEXREPLACE(BY66&amp;"""",""(?s)(.{1})"",""$1""&amp;CHAR(127)),""'"",""''""),CHAR(127))),1,true),""1"")"),"abcdfg1")</f>
        <v>abcdfg1</v>
      </c>
      <c r="CA66" s="16"/>
      <c r="CB66" s="12" t="str">
        <f t="shared" si="10"/>
        <v>gbe</v>
      </c>
      <c r="CC66" s="12" t="str">
        <f>IFERROR(__xludf.DUMMYFUNCTION("CONCATENATE(SORT(TRANSPOSE(SPLIT(REGEXREPLACE(REGEXREPLACE(CB66&amp;"""",""(?s)(.{1})"",""$1""&amp;CHAR(127)),""'"",""''""),CHAR(127))),1,true),""1"")"),"beg1")</f>
        <v>beg1</v>
      </c>
      <c r="CD66" s="16"/>
      <c r="CE66" s="12" t="str">
        <f t="shared" si="11"/>
        <v>decgabf</v>
      </c>
      <c r="CF66" s="12" t="str">
        <f>IFERROR(__xludf.DUMMYFUNCTION("CONCATENATE(SORT(TRANSPOSE(SPLIT(REGEXREPLACE(REGEXREPLACE(CE66&amp;"""",""(?s)(.{1})"",""$1""&amp;CHAR(127)),""'"",""''""),CHAR(127))),1,true),""1"")"),"abcdefg1")</f>
        <v>abcdefg1</v>
      </c>
      <c r="CG66" s="16"/>
      <c r="CH66" s="10" t="str">
        <f>IFERROR(__xludf.DUMMYFUNCTION("FILTER(K66:T66,len(K66:T66)=6)"),"ecabdg")</f>
        <v>ecabdg</v>
      </c>
      <c r="CI66" s="6" t="str">
        <f>IFERROR(__xludf.DUMMYFUNCTION("""COMPUTED_VALUE"""),"gfdacb")</f>
        <v>gfdacb</v>
      </c>
      <c r="CJ66" s="6" t="str">
        <f>IFERROR(__xludf.DUMMYFUNCTION("""COMPUTED_VALUE"""),"eafbgc")</f>
        <v>eafbgc</v>
      </c>
      <c r="CK66" s="6" t="str">
        <f>IFERROR(__xludf.DUMMYFUNCTION("REGEXREPLACE( $BG66, CONCATENATE(""["",CH66,""]""), """")"),"")</f>
        <v/>
      </c>
      <c r="CL66" s="6" t="str">
        <f>IFERROR(__xludf.DUMMYFUNCTION("REGEXREPLACE( $BG66, CONCATENATE(""["",CI66,""]""), """")"),"e")</f>
        <v>e</v>
      </c>
      <c r="CM66" s="6" t="str">
        <f>IFERROR(__xludf.DUMMYFUNCTION("REGEXREPLACE( $BG66, CONCATENATE(""["",CJ66,""]""), """")"),"d")</f>
        <v>d</v>
      </c>
      <c r="CN66" s="12" t="str">
        <f t="shared" si="12"/>
        <v>ecabdg</v>
      </c>
      <c r="CO66" s="12" t="str">
        <f>IFERROR(__xludf.DUMMYFUNCTION("CONCATENATE(SORT(TRANSPOSE(SPLIT(REGEXREPLACE(REGEXREPLACE(CN66&amp;"""",""(?s)(.{1})"",""$1""&amp;CHAR(127)),""'"",""''""),CHAR(127))),1,true),""1"")"),"abcdeg1")</f>
        <v>abcdeg1</v>
      </c>
      <c r="CP66" s="15"/>
    </row>
    <row r="67">
      <c r="A67" s="1" t="s">
        <v>87</v>
      </c>
      <c r="H67" s="6" t="str">
        <f>IFERROR(__xludf.DUMMYFUNCTION("SPLIT(A67,""|"")"),"bedacg bge bg cfgdea bcedf gaedc dbceg fdbcgae dgab gecfab ")</f>
        <v>bedacg bge bg cfgdea bcedf gaedc dbceg fdbcgae dgab gecfab </v>
      </c>
      <c r="I67" s="6" t="str">
        <f>IFERROR(__xludf.DUMMYFUNCTION("""COMPUTED_VALUE""")," ecfbd egb beg adgb")</f>
        <v> ecfbd egb beg adgb</v>
      </c>
      <c r="J67" s="15"/>
      <c r="K67" s="6" t="str">
        <f>IFERROR(__xludf.DUMMYFUNCTION("split(H67,"" "")"),"bedacg")</f>
        <v>bedacg</v>
      </c>
      <c r="L67" s="6" t="str">
        <f>IFERROR(__xludf.DUMMYFUNCTION("""COMPUTED_VALUE"""),"bge")</f>
        <v>bge</v>
      </c>
      <c r="M67" s="6" t="str">
        <f>IFERROR(__xludf.DUMMYFUNCTION("""COMPUTED_VALUE"""),"bg")</f>
        <v>bg</v>
      </c>
      <c r="N67" s="6" t="str">
        <f>IFERROR(__xludf.DUMMYFUNCTION("""COMPUTED_VALUE"""),"cfgdea")</f>
        <v>cfgdea</v>
      </c>
      <c r="O67" s="6" t="str">
        <f>IFERROR(__xludf.DUMMYFUNCTION("""COMPUTED_VALUE"""),"bcedf")</f>
        <v>bcedf</v>
      </c>
      <c r="P67" s="6" t="str">
        <f>IFERROR(__xludf.DUMMYFUNCTION("""COMPUTED_VALUE"""),"gaedc")</f>
        <v>gaedc</v>
      </c>
      <c r="Q67" s="6" t="str">
        <f>IFERROR(__xludf.DUMMYFUNCTION("""COMPUTED_VALUE"""),"dbceg")</f>
        <v>dbceg</v>
      </c>
      <c r="R67" s="6" t="str">
        <f>IFERROR(__xludf.DUMMYFUNCTION("""COMPUTED_VALUE"""),"fdbcgae")</f>
        <v>fdbcgae</v>
      </c>
      <c r="S67" s="6" t="str">
        <f>IFERROR(__xludf.DUMMYFUNCTION("""COMPUTED_VALUE"""),"dgab")</f>
        <v>dgab</v>
      </c>
      <c r="T67" s="6" t="str">
        <f>IFERROR(__xludf.DUMMYFUNCTION("""COMPUTED_VALUE"""),"gecfab")</f>
        <v>gecfab</v>
      </c>
      <c r="U67" s="15"/>
      <c r="V67" s="6" t="str">
        <f>IFERROR(__xludf.DUMMYFUNCTION("split(I67,"" "")"),"ecfbd")</f>
        <v>ecfbd</v>
      </c>
      <c r="W67" s="6" t="str">
        <f>IFERROR(__xludf.DUMMYFUNCTION("""COMPUTED_VALUE"""),"egb")</f>
        <v>egb</v>
      </c>
      <c r="X67" s="6" t="str">
        <f>IFERROR(__xludf.DUMMYFUNCTION("""COMPUTED_VALUE"""),"beg")</f>
        <v>beg</v>
      </c>
      <c r="Y67" s="6" t="str">
        <f>IFERROR(__xludf.DUMMYFUNCTION("""COMPUTED_VALUE"""),"adgb")</f>
        <v>adgb</v>
      </c>
      <c r="Z67" s="6" t="str">
        <f>IFERROR(__xludf.DUMMYFUNCTION("CONCATENATE(SORT(TRANSPOSE(SPLIT(REGEXREPLACE(REGEXREPLACE(V67&amp;"""",""(?s)(.{1})"",""$1""&amp;CHAR(127)),""'"",""''""),CHAR(127))),1,true))"),"bcdef")</f>
        <v>bcdef</v>
      </c>
      <c r="AA67" s="6" t="str">
        <f>IFERROR(__xludf.DUMMYFUNCTION("CONCATENATE(SORT(TRANSPOSE(SPLIT(REGEXREPLACE(REGEXREPLACE(W67&amp;"""",""(?s)(.{1})"",""$1""&amp;CHAR(127)),""'"",""''""),CHAR(127))),1,true))"),"beg")</f>
        <v>beg</v>
      </c>
      <c r="AB67" s="6" t="str">
        <f>IFERROR(__xludf.DUMMYFUNCTION("CONCATENATE(SORT(TRANSPOSE(SPLIT(REGEXREPLACE(REGEXREPLACE(X67&amp;"""",""(?s)(.{1})"",""$1""&amp;CHAR(127)),""'"",""''""),CHAR(127))),1,true))"),"beg")</f>
        <v>beg</v>
      </c>
      <c r="AC67" s="6" t="str">
        <f>IFERROR(__xludf.DUMMYFUNCTION("CONCATENATE(SORT(TRANSPOSE(SPLIT(REGEXREPLACE(REGEXREPLACE(Y67&amp;"""",""(?s)(.{1})"",""$1""&amp;CHAR(127)),""'"",""''""),CHAR(127))),1,true))"),"abdg")</f>
        <v>abdg</v>
      </c>
      <c r="AD67" s="6">
        <f t="shared" ref="AD67:AG67" si="77">INDEX($AO$1:$CP$1,1,MATCH(CONCATENATE(Z67,"1"),$AO67:$CP67,0)+1)</f>
        <v>2</v>
      </c>
      <c r="AE67" s="6">
        <f t="shared" si="77"/>
        <v>7</v>
      </c>
      <c r="AF67" s="6">
        <f t="shared" si="77"/>
        <v>7</v>
      </c>
      <c r="AG67" s="6">
        <f t="shared" si="77"/>
        <v>4</v>
      </c>
      <c r="AH67" s="6">
        <f t="shared" si="3"/>
        <v>2774</v>
      </c>
      <c r="AI67" s="16"/>
      <c r="AJ67" s="9" t="str">
        <f>IFERROR(__xludf.DUMMYFUNCTION("REGEXREPLACE(AR67,CONCATENATE(""["",BY67,""]""),"""")"),"b")</f>
        <v>b</v>
      </c>
      <c r="AK67" s="10" t="str">
        <f>IFERROR(__xludf.DUMMYFUNCTION("FILTER($K67:$T67,len($K67:$T67)=6,NOT($K67:$T67=BY67))"),"bedacg")</f>
        <v>bedacg</v>
      </c>
      <c r="AL67" s="6" t="str">
        <f>IFERROR(__xludf.DUMMYFUNCTION("""COMPUTED_VALUE"""),"gecfab")</f>
        <v>gecfab</v>
      </c>
      <c r="AM67" s="6" t="str">
        <f>IFERROR(__xludf.DUMMYFUNCTION("REGEXREPLACE( $BG67, CONCATENATE(""["",AK67,""]""), """")"),"")</f>
        <v/>
      </c>
      <c r="AN67" s="6" t="str">
        <f>IFERROR(__xludf.DUMMYFUNCTION("REGEXREPLACE( $BG67, CONCATENATE(""["",AL67,""]""), """")"),"d")</f>
        <v>d</v>
      </c>
      <c r="AO67" s="11" t="str">
        <f t="shared" si="4"/>
        <v>gecfab</v>
      </c>
      <c r="AP67" s="12" t="str">
        <f>IFERROR(__xludf.DUMMYFUNCTION("CONCATENATE(SORT(TRANSPOSE(SPLIT(REGEXREPLACE(REGEXREPLACE(AO67&amp;"""",""(?s)(.{1})"",""$1""&amp;CHAR(127)),""'"",""''""),CHAR(127))),1,true),""1"")"),"abcefg1")</f>
        <v>abcefg1</v>
      </c>
      <c r="AQ67" s="16"/>
      <c r="AR67" s="12" t="str">
        <f t="shared" si="5"/>
        <v>bg</v>
      </c>
      <c r="AS67" s="12" t="str">
        <f>IFERROR(__xludf.DUMMYFUNCTION("CONCATENATE(SORT(TRANSPOSE(SPLIT(REGEXREPLACE(REGEXREPLACE(AR67&amp;"""",""(?s)(.{1})"",""$1""&amp;CHAR(127)),""'"",""''""),CHAR(127))),1,true),""1"")"),"bg1")</f>
        <v>bg1</v>
      </c>
      <c r="AT67" s="16"/>
      <c r="AU67" s="13" t="str">
        <f>IFERROR(__xludf.DUMMYFUNCTION("FILTER($K67:$T67,len($K67:$T67)=5,NOT($K67:$T67=BD67),NOT($K67:$T67=BP67))"),"bcedf")</f>
        <v>bcedf</v>
      </c>
      <c r="AV67" s="12" t="str">
        <f>IFERROR(__xludf.DUMMYFUNCTION("CONCATENATE(SORT(TRANSPOSE(SPLIT(REGEXREPLACE(REGEXREPLACE(AU67&amp;"""",""(?s)(.{1})"",""$1""&amp;CHAR(127)),""'"",""''""),CHAR(127))),1,true),""1"")"),"bcdef1")</f>
        <v>bcdef1</v>
      </c>
      <c r="AW67" s="16"/>
      <c r="AX67" s="10" t="str">
        <f>IFERROR(__xludf.DUMMYFUNCTION("FILTER($K67:$T67,len($K67:$T67)=5)"),"bcedf")</f>
        <v>bcedf</v>
      </c>
      <c r="AY67" s="6" t="str">
        <f>IFERROR(__xludf.DUMMYFUNCTION("""COMPUTED_VALUE"""),"gaedc")</f>
        <v>gaedc</v>
      </c>
      <c r="AZ67" s="6" t="str">
        <f>IFERROR(__xludf.DUMMYFUNCTION("""COMPUTED_VALUE"""),"dbceg")</f>
        <v>dbceg</v>
      </c>
      <c r="BA67" s="6" t="str">
        <f>IFERROR(__xludf.DUMMYFUNCTION("REGEXREPLACE( $AR67, CONCATENATE(""["",AX67,""]""), """")"),"g")</f>
        <v>g</v>
      </c>
      <c r="BB67" s="6" t="str">
        <f>IFERROR(__xludf.DUMMYFUNCTION("REGEXREPLACE( $AR67, CONCATENATE(""["",AY67,""]""), """")"),"b")</f>
        <v>b</v>
      </c>
      <c r="BC67" s="6" t="str">
        <f>IFERROR(__xludf.DUMMYFUNCTION("REGEXREPLACE( $AR67, CONCATENATE(""["",AZ67,""]""), """")"),"")</f>
        <v/>
      </c>
      <c r="BD67" s="11" t="str">
        <f t="shared" si="6"/>
        <v>dbceg</v>
      </c>
      <c r="BE67" s="12" t="str">
        <f>IFERROR(__xludf.DUMMYFUNCTION("CONCATENATE(SORT(TRANSPOSE(SPLIT(REGEXREPLACE(REGEXREPLACE(BD67&amp;"""",""(?s)(.{1})"",""$1""&amp;CHAR(127)),""'"",""''""),CHAR(127))),1,true),""1"")"),"bcdeg1")</f>
        <v>bcdeg1</v>
      </c>
      <c r="BF67" s="16"/>
      <c r="BG67" s="12" t="str">
        <f t="shared" si="7"/>
        <v>dgab</v>
      </c>
      <c r="BH67" s="12" t="str">
        <f>IFERROR(__xludf.DUMMYFUNCTION("CONCATENATE(SORT(TRANSPOSE(SPLIT(REGEXREPLACE(REGEXREPLACE(BG67&amp;"""",""(?s)(.{1})"",""$1""&amp;CHAR(127)),""'"",""''""),CHAR(127))),1,true),""1"")"),"abdg1")</f>
        <v>abdg1</v>
      </c>
      <c r="BI67" s="16"/>
      <c r="BJ67" s="10" t="str">
        <f>IFERROR(__xludf.DUMMYFUNCTION("FILTER($K67:$T67,len($K67:$T67)=5)"),"bcedf")</f>
        <v>bcedf</v>
      </c>
      <c r="BK67" s="6" t="str">
        <f>IFERROR(__xludf.DUMMYFUNCTION("""COMPUTED_VALUE"""),"gaedc")</f>
        <v>gaedc</v>
      </c>
      <c r="BL67" s="6" t="str">
        <f>IFERROR(__xludf.DUMMYFUNCTION("""COMPUTED_VALUE"""),"dbceg")</f>
        <v>dbceg</v>
      </c>
      <c r="BM67" s="14" t="str">
        <f>IFERROR(__xludf.DUMMYFUNCTION("REGEXREPLACE( $BY67, CONCATENATE(""["",BJ67,""]""), """")"),"ga")</f>
        <v>ga</v>
      </c>
      <c r="BN67" s="14" t="str">
        <f>IFERROR(__xludf.DUMMYFUNCTION("REGEXREPLACE( $BY67, CONCATENATE(""["",BK67,""]""), """")"),"f")</f>
        <v>f</v>
      </c>
      <c r="BO67" s="14" t="str">
        <f>IFERROR(__xludf.DUMMYFUNCTION("REGEXREPLACE( $BY67, CONCATENATE(""["",BL67,""]""), """")"),"fa")</f>
        <v>fa</v>
      </c>
      <c r="BP67" s="11" t="str">
        <f t="shared" si="8"/>
        <v>gaedc</v>
      </c>
      <c r="BQ67" s="12" t="str">
        <f>IFERROR(__xludf.DUMMYFUNCTION("CONCATENATE(SORT(TRANSPOSE(SPLIT(REGEXREPLACE(REGEXREPLACE(BP67&amp;"""",""(?s)(.{1})"",""$1""&amp;CHAR(127)),""'"",""''""),CHAR(127))),1,true),""1"")"),"acdeg1")</f>
        <v>acdeg1</v>
      </c>
      <c r="BR67" s="16"/>
      <c r="BS67" s="10" t="str">
        <f>IFERROR(__xludf.DUMMYFUNCTION("FILTER(K67:T67,len(K67:T67)=6)"),"bedacg")</f>
        <v>bedacg</v>
      </c>
      <c r="BT67" s="6" t="str">
        <f>IFERROR(__xludf.DUMMYFUNCTION("""COMPUTED_VALUE"""),"cfgdea")</f>
        <v>cfgdea</v>
      </c>
      <c r="BU67" s="6" t="str">
        <f>IFERROR(__xludf.DUMMYFUNCTION("""COMPUTED_VALUE"""),"gecfab")</f>
        <v>gecfab</v>
      </c>
      <c r="BV67" s="6" t="str">
        <f>IFERROR(__xludf.DUMMYFUNCTION("REGEXREPLACE( $AR67, CONCATENATE(""["",BS67,""]""), """")"),"")</f>
        <v/>
      </c>
      <c r="BW67" s="6" t="str">
        <f>IFERROR(__xludf.DUMMYFUNCTION("REGEXREPLACE( $AR67, CONCATENATE(""["",BT67,""]""), """")"),"b")</f>
        <v>b</v>
      </c>
      <c r="BX67" s="6" t="str">
        <f>IFERROR(__xludf.DUMMYFUNCTION("REGEXREPLACE( $AR67, CONCATENATE(""["",BU67,""]""), """")"),"")</f>
        <v/>
      </c>
      <c r="BY67" s="12" t="str">
        <f t="shared" si="9"/>
        <v>cfgdea</v>
      </c>
      <c r="BZ67" s="12" t="str">
        <f>IFERROR(__xludf.DUMMYFUNCTION("CONCATENATE(SORT(TRANSPOSE(SPLIT(REGEXREPLACE(REGEXREPLACE(BY67&amp;"""",""(?s)(.{1})"",""$1""&amp;CHAR(127)),""'"",""''""),CHAR(127))),1,true),""1"")"),"acdefg1")</f>
        <v>acdefg1</v>
      </c>
      <c r="CA67" s="16"/>
      <c r="CB67" s="12" t="str">
        <f t="shared" si="10"/>
        <v>bge</v>
      </c>
      <c r="CC67" s="12" t="str">
        <f>IFERROR(__xludf.DUMMYFUNCTION("CONCATENATE(SORT(TRANSPOSE(SPLIT(REGEXREPLACE(REGEXREPLACE(CB67&amp;"""",""(?s)(.{1})"",""$1""&amp;CHAR(127)),""'"",""''""),CHAR(127))),1,true),""1"")"),"beg1")</f>
        <v>beg1</v>
      </c>
      <c r="CD67" s="16"/>
      <c r="CE67" s="12" t="str">
        <f t="shared" si="11"/>
        <v>fdbcgae</v>
      </c>
      <c r="CF67" s="12" t="str">
        <f>IFERROR(__xludf.DUMMYFUNCTION("CONCATENATE(SORT(TRANSPOSE(SPLIT(REGEXREPLACE(REGEXREPLACE(CE67&amp;"""",""(?s)(.{1})"",""$1""&amp;CHAR(127)),""'"",""''""),CHAR(127))),1,true),""1"")"),"abcdefg1")</f>
        <v>abcdefg1</v>
      </c>
      <c r="CG67" s="16"/>
      <c r="CH67" s="10" t="str">
        <f>IFERROR(__xludf.DUMMYFUNCTION("FILTER(K67:T67,len(K67:T67)=6)"),"bedacg")</f>
        <v>bedacg</v>
      </c>
      <c r="CI67" s="6" t="str">
        <f>IFERROR(__xludf.DUMMYFUNCTION("""COMPUTED_VALUE"""),"cfgdea")</f>
        <v>cfgdea</v>
      </c>
      <c r="CJ67" s="6" t="str">
        <f>IFERROR(__xludf.DUMMYFUNCTION("""COMPUTED_VALUE"""),"gecfab")</f>
        <v>gecfab</v>
      </c>
      <c r="CK67" s="6" t="str">
        <f>IFERROR(__xludf.DUMMYFUNCTION("REGEXREPLACE( $BG67, CONCATENATE(""["",CH67,""]""), """")"),"")</f>
        <v/>
      </c>
      <c r="CL67" s="6" t="str">
        <f>IFERROR(__xludf.DUMMYFUNCTION("REGEXREPLACE( $BG67, CONCATENATE(""["",CI67,""]""), """")"),"b")</f>
        <v>b</v>
      </c>
      <c r="CM67" s="6" t="str">
        <f>IFERROR(__xludf.DUMMYFUNCTION("REGEXREPLACE( $BG67, CONCATENATE(""["",CJ67,""]""), """")"),"d")</f>
        <v>d</v>
      </c>
      <c r="CN67" s="12" t="str">
        <f t="shared" si="12"/>
        <v>bedacg</v>
      </c>
      <c r="CO67" s="12" t="str">
        <f>IFERROR(__xludf.DUMMYFUNCTION("CONCATENATE(SORT(TRANSPOSE(SPLIT(REGEXREPLACE(REGEXREPLACE(CN67&amp;"""",""(?s)(.{1})"",""$1""&amp;CHAR(127)),""'"",""''""),CHAR(127))),1,true),""1"")"),"abcdeg1")</f>
        <v>abcdeg1</v>
      </c>
      <c r="CP67" s="15"/>
    </row>
    <row r="68">
      <c r="A68" s="1" t="s">
        <v>88</v>
      </c>
      <c r="H68" s="6" t="str">
        <f>IFERROR(__xludf.DUMMYFUNCTION("SPLIT(A68,""|"")"),"bagdfec fdcb gdbeac facbg egfab gfc fc cadfgb geafcd abdcg ")</f>
        <v>bagdfec fdcb gdbeac facbg egfab gfc fc cadfgb geafcd abdcg </v>
      </c>
      <c r="I68" s="6" t="str">
        <f>IFERROR(__xludf.DUMMYFUNCTION("""COMPUTED_VALUE""")," cbfd adbgc fagcde dbceag")</f>
        <v> cbfd adbgc fagcde dbceag</v>
      </c>
      <c r="J68" s="15"/>
      <c r="K68" s="6" t="str">
        <f>IFERROR(__xludf.DUMMYFUNCTION("split(H68,"" "")"),"bagdfec")</f>
        <v>bagdfec</v>
      </c>
      <c r="L68" s="6" t="str">
        <f>IFERROR(__xludf.DUMMYFUNCTION("""COMPUTED_VALUE"""),"fdcb")</f>
        <v>fdcb</v>
      </c>
      <c r="M68" s="6" t="str">
        <f>IFERROR(__xludf.DUMMYFUNCTION("""COMPUTED_VALUE"""),"gdbeac")</f>
        <v>gdbeac</v>
      </c>
      <c r="N68" s="6" t="str">
        <f>IFERROR(__xludf.DUMMYFUNCTION("""COMPUTED_VALUE"""),"facbg")</f>
        <v>facbg</v>
      </c>
      <c r="O68" s="6" t="str">
        <f>IFERROR(__xludf.DUMMYFUNCTION("""COMPUTED_VALUE"""),"egfab")</f>
        <v>egfab</v>
      </c>
      <c r="P68" s="6" t="str">
        <f>IFERROR(__xludf.DUMMYFUNCTION("""COMPUTED_VALUE"""),"gfc")</f>
        <v>gfc</v>
      </c>
      <c r="Q68" s="6" t="str">
        <f>IFERROR(__xludf.DUMMYFUNCTION("""COMPUTED_VALUE"""),"fc")</f>
        <v>fc</v>
      </c>
      <c r="R68" s="6" t="str">
        <f>IFERROR(__xludf.DUMMYFUNCTION("""COMPUTED_VALUE"""),"cadfgb")</f>
        <v>cadfgb</v>
      </c>
      <c r="S68" s="6" t="str">
        <f>IFERROR(__xludf.DUMMYFUNCTION("""COMPUTED_VALUE"""),"geafcd")</f>
        <v>geafcd</v>
      </c>
      <c r="T68" s="6" t="str">
        <f>IFERROR(__xludf.DUMMYFUNCTION("""COMPUTED_VALUE"""),"abdcg")</f>
        <v>abdcg</v>
      </c>
      <c r="U68" s="15"/>
      <c r="V68" s="6" t="str">
        <f>IFERROR(__xludf.DUMMYFUNCTION("split(I68,"" "")"),"cbfd")</f>
        <v>cbfd</v>
      </c>
      <c r="W68" s="6" t="str">
        <f>IFERROR(__xludf.DUMMYFUNCTION("""COMPUTED_VALUE"""),"adbgc")</f>
        <v>adbgc</v>
      </c>
      <c r="X68" s="6" t="str">
        <f>IFERROR(__xludf.DUMMYFUNCTION("""COMPUTED_VALUE"""),"fagcde")</f>
        <v>fagcde</v>
      </c>
      <c r="Y68" s="6" t="str">
        <f>IFERROR(__xludf.DUMMYFUNCTION("""COMPUTED_VALUE"""),"dbceag")</f>
        <v>dbceag</v>
      </c>
      <c r="Z68" s="6" t="str">
        <f>IFERROR(__xludf.DUMMYFUNCTION("CONCATENATE(SORT(TRANSPOSE(SPLIT(REGEXREPLACE(REGEXREPLACE(V68&amp;"""",""(?s)(.{1})"",""$1""&amp;CHAR(127)),""'"",""''""),CHAR(127))),1,true))"),"bcdf")</f>
        <v>bcdf</v>
      </c>
      <c r="AA68" s="6" t="str">
        <f>IFERROR(__xludf.DUMMYFUNCTION("CONCATENATE(SORT(TRANSPOSE(SPLIT(REGEXREPLACE(REGEXREPLACE(W68&amp;"""",""(?s)(.{1})"",""$1""&amp;CHAR(127)),""'"",""''""),CHAR(127))),1,true))"),"abcdg")</f>
        <v>abcdg</v>
      </c>
      <c r="AB68" s="6" t="str">
        <f>IFERROR(__xludf.DUMMYFUNCTION("CONCATENATE(SORT(TRANSPOSE(SPLIT(REGEXREPLACE(REGEXREPLACE(X68&amp;"""",""(?s)(.{1})"",""$1""&amp;CHAR(127)),""'"",""''""),CHAR(127))),1,true))"),"acdefg")</f>
        <v>acdefg</v>
      </c>
      <c r="AC68" s="6" t="str">
        <f>IFERROR(__xludf.DUMMYFUNCTION("CONCATENATE(SORT(TRANSPOSE(SPLIT(REGEXREPLACE(REGEXREPLACE(Y68&amp;"""",""(?s)(.{1})"",""$1""&amp;CHAR(127)),""'"",""''""),CHAR(127))),1,true))"),"abcdeg")</f>
        <v>abcdeg</v>
      </c>
      <c r="AD68" s="6">
        <f t="shared" ref="AD68:AG68" si="78">INDEX($AO$1:$CP$1,1,MATCH(CONCATENATE(Z68,"1"),$AO68:$CP68,0)+1)</f>
        <v>4</v>
      </c>
      <c r="AE68" s="6">
        <f t="shared" si="78"/>
        <v>5</v>
      </c>
      <c r="AF68" s="6">
        <f t="shared" si="78"/>
        <v>0</v>
      </c>
      <c r="AG68" s="6">
        <f t="shared" si="78"/>
        <v>6</v>
      </c>
      <c r="AH68" s="6">
        <f t="shared" si="3"/>
        <v>4506</v>
      </c>
      <c r="AI68" s="16"/>
      <c r="AJ68" s="9" t="str">
        <f>IFERROR(__xludf.DUMMYFUNCTION("REGEXREPLACE(AR68,CONCATENATE(""["",BY68,""]""),"""")"),"f")</f>
        <v>f</v>
      </c>
      <c r="AK68" s="10" t="str">
        <f>IFERROR(__xludf.DUMMYFUNCTION("FILTER($K68:$T68,len($K68:$T68)=6,NOT($K68:$T68=BY68))"),"cadfgb")</f>
        <v>cadfgb</v>
      </c>
      <c r="AL68" s="6" t="str">
        <f>IFERROR(__xludf.DUMMYFUNCTION("""COMPUTED_VALUE"""),"geafcd")</f>
        <v>geafcd</v>
      </c>
      <c r="AM68" s="6" t="str">
        <f>IFERROR(__xludf.DUMMYFUNCTION("REGEXREPLACE( $BG68, CONCATENATE(""["",AK68,""]""), """")"),"")</f>
        <v/>
      </c>
      <c r="AN68" s="6" t="str">
        <f>IFERROR(__xludf.DUMMYFUNCTION("REGEXREPLACE( $BG68, CONCATENATE(""["",AL68,""]""), """")"),"b")</f>
        <v>b</v>
      </c>
      <c r="AO68" s="11" t="str">
        <f t="shared" si="4"/>
        <v>geafcd</v>
      </c>
      <c r="AP68" s="12" t="str">
        <f>IFERROR(__xludf.DUMMYFUNCTION("CONCATENATE(SORT(TRANSPOSE(SPLIT(REGEXREPLACE(REGEXREPLACE(AO68&amp;"""",""(?s)(.{1})"",""$1""&amp;CHAR(127)),""'"",""''""),CHAR(127))),1,true),""1"")"),"acdefg1")</f>
        <v>acdefg1</v>
      </c>
      <c r="AQ68" s="16"/>
      <c r="AR68" s="12" t="str">
        <f t="shared" si="5"/>
        <v>fc</v>
      </c>
      <c r="AS68" s="12" t="str">
        <f>IFERROR(__xludf.DUMMYFUNCTION("CONCATENATE(SORT(TRANSPOSE(SPLIT(REGEXREPLACE(REGEXREPLACE(AR68&amp;"""",""(?s)(.{1})"",""$1""&amp;CHAR(127)),""'"",""''""),CHAR(127))),1,true),""1"")"),"cf1")</f>
        <v>cf1</v>
      </c>
      <c r="AT68" s="16"/>
      <c r="AU68" s="13" t="str">
        <f>IFERROR(__xludf.DUMMYFUNCTION("FILTER($K68:$T68,len($K68:$T68)=5,NOT($K68:$T68=BD68),NOT($K68:$T68=BP68))"),"egfab")</f>
        <v>egfab</v>
      </c>
      <c r="AV68" s="12" t="str">
        <f>IFERROR(__xludf.DUMMYFUNCTION("CONCATENATE(SORT(TRANSPOSE(SPLIT(REGEXREPLACE(REGEXREPLACE(AU68&amp;"""",""(?s)(.{1})"",""$1""&amp;CHAR(127)),""'"",""''""),CHAR(127))),1,true),""1"")"),"abefg1")</f>
        <v>abefg1</v>
      </c>
      <c r="AW68" s="16"/>
      <c r="AX68" s="10" t="str">
        <f>IFERROR(__xludf.DUMMYFUNCTION("FILTER($K68:$T68,len($K68:$T68)=5)"),"facbg")</f>
        <v>facbg</v>
      </c>
      <c r="AY68" s="6" t="str">
        <f>IFERROR(__xludf.DUMMYFUNCTION("""COMPUTED_VALUE"""),"egfab")</f>
        <v>egfab</v>
      </c>
      <c r="AZ68" s="6" t="str">
        <f>IFERROR(__xludf.DUMMYFUNCTION("""COMPUTED_VALUE"""),"abdcg")</f>
        <v>abdcg</v>
      </c>
      <c r="BA68" s="6" t="str">
        <f>IFERROR(__xludf.DUMMYFUNCTION("REGEXREPLACE( $AR68, CONCATENATE(""["",AX68,""]""), """")"),"")</f>
        <v/>
      </c>
      <c r="BB68" s="6" t="str">
        <f>IFERROR(__xludf.DUMMYFUNCTION("REGEXREPLACE( $AR68, CONCATENATE(""["",AY68,""]""), """")"),"c")</f>
        <v>c</v>
      </c>
      <c r="BC68" s="6" t="str">
        <f>IFERROR(__xludf.DUMMYFUNCTION("REGEXREPLACE( $AR68, CONCATENATE(""["",AZ68,""]""), """")"),"f")</f>
        <v>f</v>
      </c>
      <c r="BD68" s="11" t="str">
        <f t="shared" si="6"/>
        <v>facbg</v>
      </c>
      <c r="BE68" s="12" t="str">
        <f>IFERROR(__xludf.DUMMYFUNCTION("CONCATENATE(SORT(TRANSPOSE(SPLIT(REGEXREPLACE(REGEXREPLACE(BD68&amp;"""",""(?s)(.{1})"",""$1""&amp;CHAR(127)),""'"",""''""),CHAR(127))),1,true),""1"")"),"abcfg1")</f>
        <v>abcfg1</v>
      </c>
      <c r="BF68" s="16"/>
      <c r="BG68" s="12" t="str">
        <f t="shared" si="7"/>
        <v>fdcb</v>
      </c>
      <c r="BH68" s="12" t="str">
        <f>IFERROR(__xludf.DUMMYFUNCTION("CONCATENATE(SORT(TRANSPOSE(SPLIT(REGEXREPLACE(REGEXREPLACE(BG68&amp;"""",""(?s)(.{1})"",""$1""&amp;CHAR(127)),""'"",""''""),CHAR(127))),1,true),""1"")"),"bcdf1")</f>
        <v>bcdf1</v>
      </c>
      <c r="BI68" s="16"/>
      <c r="BJ68" s="10" t="str">
        <f>IFERROR(__xludf.DUMMYFUNCTION("FILTER($K68:$T68,len($K68:$T68)=5)"),"facbg")</f>
        <v>facbg</v>
      </c>
      <c r="BK68" s="6" t="str">
        <f>IFERROR(__xludf.DUMMYFUNCTION("""COMPUTED_VALUE"""),"egfab")</f>
        <v>egfab</v>
      </c>
      <c r="BL68" s="6" t="str">
        <f>IFERROR(__xludf.DUMMYFUNCTION("""COMPUTED_VALUE"""),"abdcg")</f>
        <v>abdcg</v>
      </c>
      <c r="BM68" s="14" t="str">
        <f>IFERROR(__xludf.DUMMYFUNCTION("REGEXREPLACE( $BY68, CONCATENATE(""["",BJ68,""]""), """")"),"de")</f>
        <v>de</v>
      </c>
      <c r="BN68" s="14" t="str">
        <f>IFERROR(__xludf.DUMMYFUNCTION("REGEXREPLACE( $BY68, CONCATENATE(""["",BK68,""]""), """")"),"dc")</f>
        <v>dc</v>
      </c>
      <c r="BO68" s="14" t="str">
        <f>IFERROR(__xludf.DUMMYFUNCTION("REGEXREPLACE( $BY68, CONCATENATE(""["",BL68,""]""), """")"),"e")</f>
        <v>e</v>
      </c>
      <c r="BP68" s="11" t="str">
        <f t="shared" si="8"/>
        <v>abdcg</v>
      </c>
      <c r="BQ68" s="12" t="str">
        <f>IFERROR(__xludf.DUMMYFUNCTION("CONCATENATE(SORT(TRANSPOSE(SPLIT(REGEXREPLACE(REGEXREPLACE(BP68&amp;"""",""(?s)(.{1})"",""$1""&amp;CHAR(127)),""'"",""''""),CHAR(127))),1,true),""1"")"),"abcdg1")</f>
        <v>abcdg1</v>
      </c>
      <c r="BR68" s="16"/>
      <c r="BS68" s="10" t="str">
        <f>IFERROR(__xludf.DUMMYFUNCTION("FILTER(K68:T68,len(K68:T68)=6)"),"gdbeac")</f>
        <v>gdbeac</v>
      </c>
      <c r="BT68" s="6" t="str">
        <f>IFERROR(__xludf.DUMMYFUNCTION("""COMPUTED_VALUE"""),"cadfgb")</f>
        <v>cadfgb</v>
      </c>
      <c r="BU68" s="6" t="str">
        <f>IFERROR(__xludf.DUMMYFUNCTION("""COMPUTED_VALUE"""),"geafcd")</f>
        <v>geafcd</v>
      </c>
      <c r="BV68" s="6" t="str">
        <f>IFERROR(__xludf.DUMMYFUNCTION("REGEXREPLACE( $AR68, CONCATENATE(""["",BS68,""]""), """")"),"f")</f>
        <v>f</v>
      </c>
      <c r="BW68" s="6" t="str">
        <f>IFERROR(__xludf.DUMMYFUNCTION("REGEXREPLACE( $AR68, CONCATENATE(""["",BT68,""]""), """")"),"")</f>
        <v/>
      </c>
      <c r="BX68" s="6" t="str">
        <f>IFERROR(__xludf.DUMMYFUNCTION("REGEXREPLACE( $AR68, CONCATENATE(""["",BU68,""]""), """")"),"")</f>
        <v/>
      </c>
      <c r="BY68" s="12" t="str">
        <f t="shared" si="9"/>
        <v>gdbeac</v>
      </c>
      <c r="BZ68" s="12" t="str">
        <f>IFERROR(__xludf.DUMMYFUNCTION("CONCATENATE(SORT(TRANSPOSE(SPLIT(REGEXREPLACE(REGEXREPLACE(BY68&amp;"""",""(?s)(.{1})"",""$1""&amp;CHAR(127)),""'"",""''""),CHAR(127))),1,true),""1"")"),"abcdeg1")</f>
        <v>abcdeg1</v>
      </c>
      <c r="CA68" s="16"/>
      <c r="CB68" s="12" t="str">
        <f t="shared" si="10"/>
        <v>gfc</v>
      </c>
      <c r="CC68" s="12" t="str">
        <f>IFERROR(__xludf.DUMMYFUNCTION("CONCATENATE(SORT(TRANSPOSE(SPLIT(REGEXREPLACE(REGEXREPLACE(CB68&amp;"""",""(?s)(.{1})"",""$1""&amp;CHAR(127)),""'"",""''""),CHAR(127))),1,true),""1"")"),"cfg1")</f>
        <v>cfg1</v>
      </c>
      <c r="CD68" s="16"/>
      <c r="CE68" s="12" t="str">
        <f t="shared" si="11"/>
        <v>bagdfec</v>
      </c>
      <c r="CF68" s="12" t="str">
        <f>IFERROR(__xludf.DUMMYFUNCTION("CONCATENATE(SORT(TRANSPOSE(SPLIT(REGEXREPLACE(REGEXREPLACE(CE68&amp;"""",""(?s)(.{1})"",""$1""&amp;CHAR(127)),""'"",""''""),CHAR(127))),1,true),""1"")"),"abcdefg1")</f>
        <v>abcdefg1</v>
      </c>
      <c r="CG68" s="16"/>
      <c r="CH68" s="10" t="str">
        <f>IFERROR(__xludf.DUMMYFUNCTION("FILTER(K68:T68,len(K68:T68)=6)"),"gdbeac")</f>
        <v>gdbeac</v>
      </c>
      <c r="CI68" s="6" t="str">
        <f>IFERROR(__xludf.DUMMYFUNCTION("""COMPUTED_VALUE"""),"cadfgb")</f>
        <v>cadfgb</v>
      </c>
      <c r="CJ68" s="6" t="str">
        <f>IFERROR(__xludf.DUMMYFUNCTION("""COMPUTED_VALUE"""),"geafcd")</f>
        <v>geafcd</v>
      </c>
      <c r="CK68" s="6" t="str">
        <f>IFERROR(__xludf.DUMMYFUNCTION("REGEXREPLACE( $BG68, CONCATENATE(""["",CH68,""]""), """")"),"f")</f>
        <v>f</v>
      </c>
      <c r="CL68" s="6" t="str">
        <f>IFERROR(__xludf.DUMMYFUNCTION("REGEXREPLACE( $BG68, CONCATENATE(""["",CI68,""]""), """")"),"")</f>
        <v/>
      </c>
      <c r="CM68" s="6" t="str">
        <f>IFERROR(__xludf.DUMMYFUNCTION("REGEXREPLACE( $BG68, CONCATENATE(""["",CJ68,""]""), """")"),"b")</f>
        <v>b</v>
      </c>
      <c r="CN68" s="12" t="str">
        <f t="shared" si="12"/>
        <v>cadfgb</v>
      </c>
      <c r="CO68" s="12" t="str">
        <f>IFERROR(__xludf.DUMMYFUNCTION("CONCATENATE(SORT(TRANSPOSE(SPLIT(REGEXREPLACE(REGEXREPLACE(CN68&amp;"""",""(?s)(.{1})"",""$1""&amp;CHAR(127)),""'"",""''""),CHAR(127))),1,true),""1"")"),"abcdfg1")</f>
        <v>abcdfg1</v>
      </c>
      <c r="CP68" s="15"/>
    </row>
    <row r="69">
      <c r="A69" s="1" t="s">
        <v>89</v>
      </c>
      <c r="H69" s="6" t="str">
        <f>IFERROR(__xludf.DUMMYFUNCTION("SPLIT(A69,""|"")"),"afd fa fgbaed facb decfa dbeafgc aedfbc fbgdce cdage decfb ")</f>
        <v>afd fa fgbaed facb decfa dbeafgc aedfbc fbgdce cdage decfb </v>
      </c>
      <c r="I69" s="6" t="str">
        <f>IFERROR(__xludf.DUMMYFUNCTION("""COMPUTED_VALUE""")," afd cbaf eadfgb caedf")</f>
        <v> afd cbaf eadfgb caedf</v>
      </c>
      <c r="J69" s="15"/>
      <c r="K69" s="6" t="str">
        <f>IFERROR(__xludf.DUMMYFUNCTION("split(H69,"" "")"),"afd")</f>
        <v>afd</v>
      </c>
      <c r="L69" s="6" t="str">
        <f>IFERROR(__xludf.DUMMYFUNCTION("""COMPUTED_VALUE"""),"fa")</f>
        <v>fa</v>
      </c>
      <c r="M69" s="6" t="str">
        <f>IFERROR(__xludf.DUMMYFUNCTION("""COMPUTED_VALUE"""),"fgbaed")</f>
        <v>fgbaed</v>
      </c>
      <c r="N69" s="6" t="str">
        <f>IFERROR(__xludf.DUMMYFUNCTION("""COMPUTED_VALUE"""),"facb")</f>
        <v>facb</v>
      </c>
      <c r="O69" s="6" t="str">
        <f>IFERROR(__xludf.DUMMYFUNCTION("""COMPUTED_VALUE"""),"decfa")</f>
        <v>decfa</v>
      </c>
      <c r="P69" s="6" t="str">
        <f>IFERROR(__xludf.DUMMYFUNCTION("""COMPUTED_VALUE"""),"dbeafgc")</f>
        <v>dbeafgc</v>
      </c>
      <c r="Q69" s="6" t="str">
        <f>IFERROR(__xludf.DUMMYFUNCTION("""COMPUTED_VALUE"""),"aedfbc")</f>
        <v>aedfbc</v>
      </c>
      <c r="R69" s="6" t="str">
        <f>IFERROR(__xludf.DUMMYFUNCTION("""COMPUTED_VALUE"""),"fbgdce")</f>
        <v>fbgdce</v>
      </c>
      <c r="S69" s="6" t="str">
        <f>IFERROR(__xludf.DUMMYFUNCTION("""COMPUTED_VALUE"""),"cdage")</f>
        <v>cdage</v>
      </c>
      <c r="T69" s="6" t="str">
        <f>IFERROR(__xludf.DUMMYFUNCTION("""COMPUTED_VALUE"""),"decfb")</f>
        <v>decfb</v>
      </c>
      <c r="U69" s="15"/>
      <c r="V69" s="6" t="str">
        <f>IFERROR(__xludf.DUMMYFUNCTION("split(I69,"" "")"),"afd")</f>
        <v>afd</v>
      </c>
      <c r="W69" s="6" t="str">
        <f>IFERROR(__xludf.DUMMYFUNCTION("""COMPUTED_VALUE"""),"cbaf")</f>
        <v>cbaf</v>
      </c>
      <c r="X69" s="6" t="str">
        <f>IFERROR(__xludf.DUMMYFUNCTION("""COMPUTED_VALUE"""),"eadfgb")</f>
        <v>eadfgb</v>
      </c>
      <c r="Y69" s="6" t="str">
        <f>IFERROR(__xludf.DUMMYFUNCTION("""COMPUTED_VALUE"""),"caedf")</f>
        <v>caedf</v>
      </c>
      <c r="Z69" s="6" t="str">
        <f>IFERROR(__xludf.DUMMYFUNCTION("CONCATENATE(SORT(TRANSPOSE(SPLIT(REGEXREPLACE(REGEXREPLACE(V69&amp;"""",""(?s)(.{1})"",""$1""&amp;CHAR(127)),""'"",""''""),CHAR(127))),1,true))"),"adf")</f>
        <v>adf</v>
      </c>
      <c r="AA69" s="6" t="str">
        <f>IFERROR(__xludf.DUMMYFUNCTION("CONCATENATE(SORT(TRANSPOSE(SPLIT(REGEXREPLACE(REGEXREPLACE(W69&amp;"""",""(?s)(.{1})"",""$1""&amp;CHAR(127)),""'"",""''""),CHAR(127))),1,true))"),"abcf")</f>
        <v>abcf</v>
      </c>
      <c r="AB69" s="6" t="str">
        <f>IFERROR(__xludf.DUMMYFUNCTION("CONCATENATE(SORT(TRANSPOSE(SPLIT(REGEXREPLACE(REGEXREPLACE(X69&amp;"""",""(?s)(.{1})"",""$1""&amp;CHAR(127)),""'"",""''""),CHAR(127))),1,true))"),"abdefg")</f>
        <v>abdefg</v>
      </c>
      <c r="AC69" s="6" t="str">
        <f>IFERROR(__xludf.DUMMYFUNCTION("CONCATENATE(SORT(TRANSPOSE(SPLIT(REGEXREPLACE(REGEXREPLACE(Y69&amp;"""",""(?s)(.{1})"",""$1""&amp;CHAR(127)),""'"",""''""),CHAR(127))),1,true))"),"acdef")</f>
        <v>acdef</v>
      </c>
      <c r="AD69" s="6">
        <f t="shared" ref="AD69:AG69" si="79">INDEX($AO$1:$CP$1,1,MATCH(CONCATENATE(Z69,"1"),$AO69:$CP69,0)+1)</f>
        <v>7</v>
      </c>
      <c r="AE69" s="6">
        <f t="shared" si="79"/>
        <v>4</v>
      </c>
      <c r="AF69" s="6">
        <f t="shared" si="79"/>
        <v>0</v>
      </c>
      <c r="AG69" s="6">
        <f t="shared" si="79"/>
        <v>3</v>
      </c>
      <c r="AH69" s="6">
        <f t="shared" si="3"/>
        <v>7403</v>
      </c>
      <c r="AI69" s="16"/>
      <c r="AJ69" s="9" t="str">
        <f>IFERROR(__xludf.DUMMYFUNCTION("REGEXREPLACE(AR69,CONCATENATE(""["",BY69,""]""),"""")"),"a")</f>
        <v>a</v>
      </c>
      <c r="AK69" s="10" t="str">
        <f>IFERROR(__xludf.DUMMYFUNCTION("FILTER($K69:$T69,len($K69:$T69)=6,NOT($K69:$T69=BY69))"),"fgbaed")</f>
        <v>fgbaed</v>
      </c>
      <c r="AL69" s="6" t="str">
        <f>IFERROR(__xludf.DUMMYFUNCTION("""COMPUTED_VALUE"""),"aedfbc")</f>
        <v>aedfbc</v>
      </c>
      <c r="AM69" s="6" t="str">
        <f>IFERROR(__xludf.DUMMYFUNCTION("REGEXREPLACE( $BG69, CONCATENATE(""["",AK69,""]""), """")"),"c")</f>
        <v>c</v>
      </c>
      <c r="AN69" s="6" t="str">
        <f>IFERROR(__xludf.DUMMYFUNCTION("REGEXREPLACE( $BG69, CONCATENATE(""["",AL69,""]""), """")"),"")</f>
        <v/>
      </c>
      <c r="AO69" s="11" t="str">
        <f t="shared" si="4"/>
        <v>fgbaed</v>
      </c>
      <c r="AP69" s="12" t="str">
        <f>IFERROR(__xludf.DUMMYFUNCTION("CONCATENATE(SORT(TRANSPOSE(SPLIT(REGEXREPLACE(REGEXREPLACE(AO69&amp;"""",""(?s)(.{1})"",""$1""&amp;CHAR(127)),""'"",""''""),CHAR(127))),1,true),""1"")"),"abdefg1")</f>
        <v>abdefg1</v>
      </c>
      <c r="AQ69" s="16"/>
      <c r="AR69" s="12" t="str">
        <f t="shared" si="5"/>
        <v>fa</v>
      </c>
      <c r="AS69" s="12" t="str">
        <f>IFERROR(__xludf.DUMMYFUNCTION("CONCATENATE(SORT(TRANSPOSE(SPLIT(REGEXREPLACE(REGEXREPLACE(AR69&amp;"""",""(?s)(.{1})"",""$1""&amp;CHAR(127)),""'"",""''""),CHAR(127))),1,true),""1"")"),"af1")</f>
        <v>af1</v>
      </c>
      <c r="AT69" s="16"/>
      <c r="AU69" s="13" t="str">
        <f>IFERROR(__xludf.DUMMYFUNCTION("FILTER($K69:$T69,len($K69:$T69)=5,NOT($K69:$T69=BD69),NOT($K69:$T69=BP69))"),"cdage")</f>
        <v>cdage</v>
      </c>
      <c r="AV69" s="12" t="str">
        <f>IFERROR(__xludf.DUMMYFUNCTION("CONCATENATE(SORT(TRANSPOSE(SPLIT(REGEXREPLACE(REGEXREPLACE(AU69&amp;"""",""(?s)(.{1})"",""$1""&amp;CHAR(127)),""'"",""''""),CHAR(127))),1,true),""1"")"),"acdeg1")</f>
        <v>acdeg1</v>
      </c>
      <c r="AW69" s="16"/>
      <c r="AX69" s="10" t="str">
        <f>IFERROR(__xludf.DUMMYFUNCTION("FILTER($K69:$T69,len($K69:$T69)=5)"),"decfa")</f>
        <v>decfa</v>
      </c>
      <c r="AY69" s="6" t="str">
        <f>IFERROR(__xludf.DUMMYFUNCTION("""COMPUTED_VALUE"""),"cdage")</f>
        <v>cdage</v>
      </c>
      <c r="AZ69" s="6" t="str">
        <f>IFERROR(__xludf.DUMMYFUNCTION("""COMPUTED_VALUE"""),"decfb")</f>
        <v>decfb</v>
      </c>
      <c r="BA69" s="6" t="str">
        <f>IFERROR(__xludf.DUMMYFUNCTION("REGEXREPLACE( $AR69, CONCATENATE(""["",AX69,""]""), """")"),"")</f>
        <v/>
      </c>
      <c r="BB69" s="6" t="str">
        <f>IFERROR(__xludf.DUMMYFUNCTION("REGEXREPLACE( $AR69, CONCATENATE(""["",AY69,""]""), """")"),"f")</f>
        <v>f</v>
      </c>
      <c r="BC69" s="6" t="str">
        <f>IFERROR(__xludf.DUMMYFUNCTION("REGEXREPLACE( $AR69, CONCATENATE(""["",AZ69,""]""), """")"),"a")</f>
        <v>a</v>
      </c>
      <c r="BD69" s="11" t="str">
        <f t="shared" si="6"/>
        <v>decfa</v>
      </c>
      <c r="BE69" s="12" t="str">
        <f>IFERROR(__xludf.DUMMYFUNCTION("CONCATENATE(SORT(TRANSPOSE(SPLIT(REGEXREPLACE(REGEXREPLACE(BD69&amp;"""",""(?s)(.{1})"",""$1""&amp;CHAR(127)),""'"",""''""),CHAR(127))),1,true),""1"")"),"acdef1")</f>
        <v>acdef1</v>
      </c>
      <c r="BF69" s="16"/>
      <c r="BG69" s="12" t="str">
        <f t="shared" si="7"/>
        <v>facb</v>
      </c>
      <c r="BH69" s="12" t="str">
        <f>IFERROR(__xludf.DUMMYFUNCTION("CONCATENATE(SORT(TRANSPOSE(SPLIT(REGEXREPLACE(REGEXREPLACE(BG69&amp;"""",""(?s)(.{1})"",""$1""&amp;CHAR(127)),""'"",""''""),CHAR(127))),1,true),""1"")"),"abcf1")</f>
        <v>abcf1</v>
      </c>
      <c r="BI69" s="16"/>
      <c r="BJ69" s="10" t="str">
        <f>IFERROR(__xludf.DUMMYFUNCTION("FILTER($K69:$T69,len($K69:$T69)=5)"),"decfa")</f>
        <v>decfa</v>
      </c>
      <c r="BK69" s="6" t="str">
        <f>IFERROR(__xludf.DUMMYFUNCTION("""COMPUTED_VALUE"""),"cdage")</f>
        <v>cdage</v>
      </c>
      <c r="BL69" s="6" t="str">
        <f>IFERROR(__xludf.DUMMYFUNCTION("""COMPUTED_VALUE"""),"decfb")</f>
        <v>decfb</v>
      </c>
      <c r="BM69" s="14" t="str">
        <f>IFERROR(__xludf.DUMMYFUNCTION("REGEXREPLACE( $BY69, CONCATENATE(""["",BJ69,""]""), """")"),"bg")</f>
        <v>bg</v>
      </c>
      <c r="BN69" s="14" t="str">
        <f>IFERROR(__xludf.DUMMYFUNCTION("REGEXREPLACE( $BY69, CONCATENATE(""["",BK69,""]""), """")"),"fb")</f>
        <v>fb</v>
      </c>
      <c r="BO69" s="14" t="str">
        <f>IFERROR(__xludf.DUMMYFUNCTION("REGEXREPLACE( $BY69, CONCATENATE(""["",BL69,""]""), """")"),"g")</f>
        <v>g</v>
      </c>
      <c r="BP69" s="11" t="str">
        <f t="shared" si="8"/>
        <v>decfb</v>
      </c>
      <c r="BQ69" s="12" t="str">
        <f>IFERROR(__xludf.DUMMYFUNCTION("CONCATENATE(SORT(TRANSPOSE(SPLIT(REGEXREPLACE(REGEXREPLACE(BP69&amp;"""",""(?s)(.{1})"",""$1""&amp;CHAR(127)),""'"",""''""),CHAR(127))),1,true),""1"")"),"bcdef1")</f>
        <v>bcdef1</v>
      </c>
      <c r="BR69" s="16"/>
      <c r="BS69" s="10" t="str">
        <f>IFERROR(__xludf.DUMMYFUNCTION("FILTER(K69:T69,len(K69:T69)=6)"),"fgbaed")</f>
        <v>fgbaed</v>
      </c>
      <c r="BT69" s="6" t="str">
        <f>IFERROR(__xludf.DUMMYFUNCTION("""COMPUTED_VALUE"""),"aedfbc")</f>
        <v>aedfbc</v>
      </c>
      <c r="BU69" s="6" t="str">
        <f>IFERROR(__xludf.DUMMYFUNCTION("""COMPUTED_VALUE"""),"fbgdce")</f>
        <v>fbgdce</v>
      </c>
      <c r="BV69" s="6" t="str">
        <f>IFERROR(__xludf.DUMMYFUNCTION("REGEXREPLACE( $AR69, CONCATENATE(""["",BS69,""]""), """")"),"")</f>
        <v/>
      </c>
      <c r="BW69" s="6" t="str">
        <f>IFERROR(__xludf.DUMMYFUNCTION("REGEXREPLACE( $AR69, CONCATENATE(""["",BT69,""]""), """")"),"")</f>
        <v/>
      </c>
      <c r="BX69" s="6" t="str">
        <f>IFERROR(__xludf.DUMMYFUNCTION("REGEXREPLACE( $AR69, CONCATENATE(""["",BU69,""]""), """")"),"a")</f>
        <v>a</v>
      </c>
      <c r="BY69" s="12" t="str">
        <f t="shared" si="9"/>
        <v>fbgdce</v>
      </c>
      <c r="BZ69" s="12" t="str">
        <f>IFERROR(__xludf.DUMMYFUNCTION("CONCATENATE(SORT(TRANSPOSE(SPLIT(REGEXREPLACE(REGEXREPLACE(BY69&amp;"""",""(?s)(.{1})"",""$1""&amp;CHAR(127)),""'"",""''""),CHAR(127))),1,true),""1"")"),"bcdefg1")</f>
        <v>bcdefg1</v>
      </c>
      <c r="CA69" s="16"/>
      <c r="CB69" s="12" t="str">
        <f t="shared" si="10"/>
        <v>afd</v>
      </c>
      <c r="CC69" s="12" t="str">
        <f>IFERROR(__xludf.DUMMYFUNCTION("CONCATENATE(SORT(TRANSPOSE(SPLIT(REGEXREPLACE(REGEXREPLACE(CB69&amp;"""",""(?s)(.{1})"",""$1""&amp;CHAR(127)),""'"",""''""),CHAR(127))),1,true),""1"")"),"adf1")</f>
        <v>adf1</v>
      </c>
      <c r="CD69" s="16"/>
      <c r="CE69" s="12" t="str">
        <f t="shared" si="11"/>
        <v>dbeafgc</v>
      </c>
      <c r="CF69" s="12" t="str">
        <f>IFERROR(__xludf.DUMMYFUNCTION("CONCATENATE(SORT(TRANSPOSE(SPLIT(REGEXREPLACE(REGEXREPLACE(CE69&amp;"""",""(?s)(.{1})"",""$1""&amp;CHAR(127)),""'"",""''""),CHAR(127))),1,true),""1"")"),"abcdefg1")</f>
        <v>abcdefg1</v>
      </c>
      <c r="CG69" s="16"/>
      <c r="CH69" s="10" t="str">
        <f>IFERROR(__xludf.DUMMYFUNCTION("FILTER(K69:T69,len(K69:T69)=6)"),"fgbaed")</f>
        <v>fgbaed</v>
      </c>
      <c r="CI69" s="6" t="str">
        <f>IFERROR(__xludf.DUMMYFUNCTION("""COMPUTED_VALUE"""),"aedfbc")</f>
        <v>aedfbc</v>
      </c>
      <c r="CJ69" s="6" t="str">
        <f>IFERROR(__xludf.DUMMYFUNCTION("""COMPUTED_VALUE"""),"fbgdce")</f>
        <v>fbgdce</v>
      </c>
      <c r="CK69" s="6" t="str">
        <f>IFERROR(__xludf.DUMMYFUNCTION("REGEXREPLACE( $BG69, CONCATENATE(""["",CH69,""]""), """")"),"c")</f>
        <v>c</v>
      </c>
      <c r="CL69" s="6" t="str">
        <f>IFERROR(__xludf.DUMMYFUNCTION("REGEXREPLACE( $BG69, CONCATENATE(""["",CI69,""]""), """")"),"")</f>
        <v/>
      </c>
      <c r="CM69" s="6" t="str">
        <f>IFERROR(__xludf.DUMMYFUNCTION("REGEXREPLACE( $BG69, CONCATENATE(""["",CJ69,""]""), """")"),"a")</f>
        <v>a</v>
      </c>
      <c r="CN69" s="12" t="str">
        <f t="shared" si="12"/>
        <v>aedfbc</v>
      </c>
      <c r="CO69" s="12" t="str">
        <f>IFERROR(__xludf.DUMMYFUNCTION("CONCATENATE(SORT(TRANSPOSE(SPLIT(REGEXREPLACE(REGEXREPLACE(CN69&amp;"""",""(?s)(.{1})"",""$1""&amp;CHAR(127)),""'"",""''""),CHAR(127))),1,true),""1"")"),"abcdef1")</f>
        <v>abcdef1</v>
      </c>
      <c r="CP69" s="15"/>
    </row>
    <row r="70">
      <c r="A70" s="1" t="s">
        <v>90</v>
      </c>
      <c r="H70" s="6" t="str">
        <f>IFERROR(__xludf.DUMMYFUNCTION("SPLIT(A70,""|"")"),"fgead dgfbac df gaebfcd fgd gedab cadgbe defb gafec edgafb ")</f>
        <v>fgead dgfbac df gaebfcd fgd gedab cadgbe defb gafec edgafb </v>
      </c>
      <c r="I70" s="6" t="str">
        <f>IFERROR(__xludf.DUMMYFUNCTION("""COMPUTED_VALUE""")," badegf edfb fdg fgd")</f>
        <v> badegf edfb fdg fgd</v>
      </c>
      <c r="J70" s="15"/>
      <c r="K70" s="6" t="str">
        <f>IFERROR(__xludf.DUMMYFUNCTION("split(H70,"" "")"),"fgead")</f>
        <v>fgead</v>
      </c>
      <c r="L70" s="6" t="str">
        <f>IFERROR(__xludf.DUMMYFUNCTION("""COMPUTED_VALUE"""),"dgfbac")</f>
        <v>dgfbac</v>
      </c>
      <c r="M70" s="6" t="str">
        <f>IFERROR(__xludf.DUMMYFUNCTION("""COMPUTED_VALUE"""),"df")</f>
        <v>df</v>
      </c>
      <c r="N70" s="6" t="str">
        <f>IFERROR(__xludf.DUMMYFUNCTION("""COMPUTED_VALUE"""),"gaebfcd")</f>
        <v>gaebfcd</v>
      </c>
      <c r="O70" s="6" t="str">
        <f>IFERROR(__xludf.DUMMYFUNCTION("""COMPUTED_VALUE"""),"fgd")</f>
        <v>fgd</v>
      </c>
      <c r="P70" s="6" t="str">
        <f>IFERROR(__xludf.DUMMYFUNCTION("""COMPUTED_VALUE"""),"gedab")</f>
        <v>gedab</v>
      </c>
      <c r="Q70" s="6" t="str">
        <f>IFERROR(__xludf.DUMMYFUNCTION("""COMPUTED_VALUE"""),"cadgbe")</f>
        <v>cadgbe</v>
      </c>
      <c r="R70" s="6" t="str">
        <f>IFERROR(__xludf.DUMMYFUNCTION("""COMPUTED_VALUE"""),"defb")</f>
        <v>defb</v>
      </c>
      <c r="S70" s="6" t="str">
        <f>IFERROR(__xludf.DUMMYFUNCTION("""COMPUTED_VALUE"""),"gafec")</f>
        <v>gafec</v>
      </c>
      <c r="T70" s="6" t="str">
        <f>IFERROR(__xludf.DUMMYFUNCTION("""COMPUTED_VALUE"""),"edgafb")</f>
        <v>edgafb</v>
      </c>
      <c r="U70" s="15"/>
      <c r="V70" s="6" t="str">
        <f>IFERROR(__xludf.DUMMYFUNCTION("split(I70,"" "")"),"badegf")</f>
        <v>badegf</v>
      </c>
      <c r="W70" s="6" t="str">
        <f>IFERROR(__xludf.DUMMYFUNCTION("""COMPUTED_VALUE"""),"edfb")</f>
        <v>edfb</v>
      </c>
      <c r="X70" s="6" t="str">
        <f>IFERROR(__xludf.DUMMYFUNCTION("""COMPUTED_VALUE"""),"fdg")</f>
        <v>fdg</v>
      </c>
      <c r="Y70" s="6" t="str">
        <f>IFERROR(__xludf.DUMMYFUNCTION("""COMPUTED_VALUE"""),"fgd")</f>
        <v>fgd</v>
      </c>
      <c r="Z70" s="6" t="str">
        <f>IFERROR(__xludf.DUMMYFUNCTION("CONCATENATE(SORT(TRANSPOSE(SPLIT(REGEXREPLACE(REGEXREPLACE(V70&amp;"""",""(?s)(.{1})"",""$1""&amp;CHAR(127)),""'"",""''""),CHAR(127))),1,true))"),"abdefg")</f>
        <v>abdefg</v>
      </c>
      <c r="AA70" s="6" t="str">
        <f>IFERROR(__xludf.DUMMYFUNCTION("CONCATENATE(SORT(TRANSPOSE(SPLIT(REGEXREPLACE(REGEXREPLACE(W70&amp;"""",""(?s)(.{1})"",""$1""&amp;CHAR(127)),""'"",""''""),CHAR(127))),1,true))"),"bdef")</f>
        <v>bdef</v>
      </c>
      <c r="AB70" s="6" t="str">
        <f>IFERROR(__xludf.DUMMYFUNCTION("CONCATENATE(SORT(TRANSPOSE(SPLIT(REGEXREPLACE(REGEXREPLACE(X70&amp;"""",""(?s)(.{1})"",""$1""&amp;CHAR(127)),""'"",""''""),CHAR(127))),1,true))"),"dfg")</f>
        <v>dfg</v>
      </c>
      <c r="AC70" s="6" t="str">
        <f>IFERROR(__xludf.DUMMYFUNCTION("CONCATENATE(SORT(TRANSPOSE(SPLIT(REGEXREPLACE(REGEXREPLACE(Y70&amp;"""",""(?s)(.{1})"",""$1""&amp;CHAR(127)),""'"",""''""),CHAR(127))),1,true))"),"dfg")</f>
        <v>dfg</v>
      </c>
      <c r="AD70" s="6">
        <f t="shared" ref="AD70:AG70" si="80">INDEX($AO$1:$CP$1,1,MATCH(CONCATENATE(Z70,"1"),$AO70:$CP70,0)+1)</f>
        <v>9</v>
      </c>
      <c r="AE70" s="6">
        <f t="shared" si="80"/>
        <v>4</v>
      </c>
      <c r="AF70" s="6">
        <f t="shared" si="80"/>
        <v>7</v>
      </c>
      <c r="AG70" s="6">
        <f t="shared" si="80"/>
        <v>7</v>
      </c>
      <c r="AH70" s="6">
        <f t="shared" si="3"/>
        <v>9477</v>
      </c>
      <c r="AI70" s="16"/>
      <c r="AJ70" s="9" t="str">
        <f>IFERROR(__xludf.DUMMYFUNCTION("REGEXREPLACE(AR70,CONCATENATE(""["",BY70,""]""),"""")"),"f")</f>
        <v>f</v>
      </c>
      <c r="AK70" s="10" t="str">
        <f>IFERROR(__xludf.DUMMYFUNCTION("FILTER($K70:$T70,len($K70:$T70)=6,NOT($K70:$T70=BY70))"),"dgfbac")</f>
        <v>dgfbac</v>
      </c>
      <c r="AL70" s="6" t="str">
        <f>IFERROR(__xludf.DUMMYFUNCTION("""COMPUTED_VALUE"""),"edgafb")</f>
        <v>edgafb</v>
      </c>
      <c r="AM70" s="6" t="str">
        <f>IFERROR(__xludf.DUMMYFUNCTION("REGEXREPLACE( $BG70, CONCATENATE(""["",AK70,""]""), """")"),"e")</f>
        <v>e</v>
      </c>
      <c r="AN70" s="6" t="str">
        <f>IFERROR(__xludf.DUMMYFUNCTION("REGEXREPLACE( $BG70, CONCATENATE(""["",AL70,""]""), """")"),"")</f>
        <v/>
      </c>
      <c r="AO70" s="11" t="str">
        <f t="shared" si="4"/>
        <v>dgfbac</v>
      </c>
      <c r="AP70" s="12" t="str">
        <f>IFERROR(__xludf.DUMMYFUNCTION("CONCATENATE(SORT(TRANSPOSE(SPLIT(REGEXREPLACE(REGEXREPLACE(AO70&amp;"""",""(?s)(.{1})"",""$1""&amp;CHAR(127)),""'"",""''""),CHAR(127))),1,true),""1"")"),"abcdfg1")</f>
        <v>abcdfg1</v>
      </c>
      <c r="AQ70" s="16"/>
      <c r="AR70" s="12" t="str">
        <f t="shared" si="5"/>
        <v>df</v>
      </c>
      <c r="AS70" s="12" t="str">
        <f>IFERROR(__xludf.DUMMYFUNCTION("CONCATENATE(SORT(TRANSPOSE(SPLIT(REGEXREPLACE(REGEXREPLACE(AR70&amp;"""",""(?s)(.{1})"",""$1""&amp;CHAR(127)),""'"",""''""),CHAR(127))),1,true),""1"")"),"df1")</f>
        <v>df1</v>
      </c>
      <c r="AT70" s="16"/>
      <c r="AU70" s="13" t="str">
        <f>IFERROR(__xludf.DUMMYFUNCTION("FILTER($K70:$T70,len($K70:$T70)=5,NOT($K70:$T70=BD70),NOT($K70:$T70=BP70))"),"gafec")</f>
        <v>gafec</v>
      </c>
      <c r="AV70" s="12" t="str">
        <f>IFERROR(__xludf.DUMMYFUNCTION("CONCATENATE(SORT(TRANSPOSE(SPLIT(REGEXREPLACE(REGEXREPLACE(AU70&amp;"""",""(?s)(.{1})"",""$1""&amp;CHAR(127)),""'"",""''""),CHAR(127))),1,true),""1"")"),"acefg1")</f>
        <v>acefg1</v>
      </c>
      <c r="AW70" s="16"/>
      <c r="AX70" s="10" t="str">
        <f>IFERROR(__xludf.DUMMYFUNCTION("FILTER($K70:$T70,len($K70:$T70)=5)"),"fgead")</f>
        <v>fgead</v>
      </c>
      <c r="AY70" s="6" t="str">
        <f>IFERROR(__xludf.DUMMYFUNCTION("""COMPUTED_VALUE"""),"gedab")</f>
        <v>gedab</v>
      </c>
      <c r="AZ70" s="6" t="str">
        <f>IFERROR(__xludf.DUMMYFUNCTION("""COMPUTED_VALUE"""),"gafec")</f>
        <v>gafec</v>
      </c>
      <c r="BA70" s="6" t="str">
        <f>IFERROR(__xludf.DUMMYFUNCTION("REGEXREPLACE( $AR70, CONCATENATE(""["",AX70,""]""), """")"),"")</f>
        <v/>
      </c>
      <c r="BB70" s="6" t="str">
        <f>IFERROR(__xludf.DUMMYFUNCTION("REGEXREPLACE( $AR70, CONCATENATE(""["",AY70,""]""), """")"),"f")</f>
        <v>f</v>
      </c>
      <c r="BC70" s="6" t="str">
        <f>IFERROR(__xludf.DUMMYFUNCTION("REGEXREPLACE( $AR70, CONCATENATE(""["",AZ70,""]""), """")"),"d")</f>
        <v>d</v>
      </c>
      <c r="BD70" s="11" t="str">
        <f t="shared" si="6"/>
        <v>fgead</v>
      </c>
      <c r="BE70" s="12" t="str">
        <f>IFERROR(__xludf.DUMMYFUNCTION("CONCATENATE(SORT(TRANSPOSE(SPLIT(REGEXREPLACE(REGEXREPLACE(BD70&amp;"""",""(?s)(.{1})"",""$1""&amp;CHAR(127)),""'"",""''""),CHAR(127))),1,true),""1"")"),"adefg1")</f>
        <v>adefg1</v>
      </c>
      <c r="BF70" s="16"/>
      <c r="BG70" s="12" t="str">
        <f t="shared" si="7"/>
        <v>defb</v>
      </c>
      <c r="BH70" s="12" t="str">
        <f>IFERROR(__xludf.DUMMYFUNCTION("CONCATENATE(SORT(TRANSPOSE(SPLIT(REGEXREPLACE(REGEXREPLACE(BG70&amp;"""",""(?s)(.{1})"",""$1""&amp;CHAR(127)),""'"",""''""),CHAR(127))),1,true),""1"")"),"bdef1")</f>
        <v>bdef1</v>
      </c>
      <c r="BI70" s="16"/>
      <c r="BJ70" s="10" t="str">
        <f>IFERROR(__xludf.DUMMYFUNCTION("FILTER($K70:$T70,len($K70:$T70)=5)"),"fgead")</f>
        <v>fgead</v>
      </c>
      <c r="BK70" s="6" t="str">
        <f>IFERROR(__xludf.DUMMYFUNCTION("""COMPUTED_VALUE"""),"gedab")</f>
        <v>gedab</v>
      </c>
      <c r="BL70" s="6" t="str">
        <f>IFERROR(__xludf.DUMMYFUNCTION("""COMPUTED_VALUE"""),"gafec")</f>
        <v>gafec</v>
      </c>
      <c r="BM70" s="14" t="str">
        <f>IFERROR(__xludf.DUMMYFUNCTION("REGEXREPLACE( $BY70, CONCATENATE(""["",BJ70,""]""), """")"),"cb")</f>
        <v>cb</v>
      </c>
      <c r="BN70" s="14" t="str">
        <f>IFERROR(__xludf.DUMMYFUNCTION("REGEXREPLACE( $BY70, CONCATENATE(""["",BK70,""]""), """")"),"c")</f>
        <v>c</v>
      </c>
      <c r="BO70" s="14" t="str">
        <f>IFERROR(__xludf.DUMMYFUNCTION("REGEXREPLACE( $BY70, CONCATENATE(""["",BL70,""]""), """")"),"db")</f>
        <v>db</v>
      </c>
      <c r="BP70" s="11" t="str">
        <f t="shared" si="8"/>
        <v>gedab</v>
      </c>
      <c r="BQ70" s="12" t="str">
        <f>IFERROR(__xludf.DUMMYFUNCTION("CONCATENATE(SORT(TRANSPOSE(SPLIT(REGEXREPLACE(REGEXREPLACE(BP70&amp;"""",""(?s)(.{1})"",""$1""&amp;CHAR(127)),""'"",""''""),CHAR(127))),1,true),""1"")"),"abdeg1")</f>
        <v>abdeg1</v>
      </c>
      <c r="BR70" s="16"/>
      <c r="BS70" s="10" t="str">
        <f>IFERROR(__xludf.DUMMYFUNCTION("FILTER(K70:T70,len(K70:T70)=6)"),"dgfbac")</f>
        <v>dgfbac</v>
      </c>
      <c r="BT70" s="6" t="str">
        <f>IFERROR(__xludf.DUMMYFUNCTION("""COMPUTED_VALUE"""),"cadgbe")</f>
        <v>cadgbe</v>
      </c>
      <c r="BU70" s="6" t="str">
        <f>IFERROR(__xludf.DUMMYFUNCTION("""COMPUTED_VALUE"""),"edgafb")</f>
        <v>edgafb</v>
      </c>
      <c r="BV70" s="6" t="str">
        <f>IFERROR(__xludf.DUMMYFUNCTION("REGEXREPLACE( $AR70, CONCATENATE(""["",BS70,""]""), """")"),"")</f>
        <v/>
      </c>
      <c r="BW70" s="6" t="str">
        <f>IFERROR(__xludf.DUMMYFUNCTION("REGEXREPLACE( $AR70, CONCATENATE(""["",BT70,""]""), """")"),"f")</f>
        <v>f</v>
      </c>
      <c r="BX70" s="6" t="str">
        <f>IFERROR(__xludf.DUMMYFUNCTION("REGEXREPLACE( $AR70, CONCATENATE(""["",BU70,""]""), """")"),"")</f>
        <v/>
      </c>
      <c r="BY70" s="12" t="str">
        <f t="shared" si="9"/>
        <v>cadgbe</v>
      </c>
      <c r="BZ70" s="12" t="str">
        <f>IFERROR(__xludf.DUMMYFUNCTION("CONCATENATE(SORT(TRANSPOSE(SPLIT(REGEXREPLACE(REGEXREPLACE(BY70&amp;"""",""(?s)(.{1})"",""$1""&amp;CHAR(127)),""'"",""''""),CHAR(127))),1,true),""1"")"),"abcdeg1")</f>
        <v>abcdeg1</v>
      </c>
      <c r="CA70" s="16"/>
      <c r="CB70" s="12" t="str">
        <f t="shared" si="10"/>
        <v>fgd</v>
      </c>
      <c r="CC70" s="12" t="str">
        <f>IFERROR(__xludf.DUMMYFUNCTION("CONCATENATE(SORT(TRANSPOSE(SPLIT(REGEXREPLACE(REGEXREPLACE(CB70&amp;"""",""(?s)(.{1})"",""$1""&amp;CHAR(127)),""'"",""''""),CHAR(127))),1,true),""1"")"),"dfg1")</f>
        <v>dfg1</v>
      </c>
      <c r="CD70" s="16"/>
      <c r="CE70" s="12" t="str">
        <f t="shared" si="11"/>
        <v>gaebfcd</v>
      </c>
      <c r="CF70" s="12" t="str">
        <f>IFERROR(__xludf.DUMMYFUNCTION("CONCATENATE(SORT(TRANSPOSE(SPLIT(REGEXREPLACE(REGEXREPLACE(CE70&amp;"""",""(?s)(.{1})"",""$1""&amp;CHAR(127)),""'"",""''""),CHAR(127))),1,true),""1"")"),"abcdefg1")</f>
        <v>abcdefg1</v>
      </c>
      <c r="CG70" s="16"/>
      <c r="CH70" s="10" t="str">
        <f>IFERROR(__xludf.DUMMYFUNCTION("FILTER(K70:T70,len(K70:T70)=6)"),"dgfbac")</f>
        <v>dgfbac</v>
      </c>
      <c r="CI70" s="6" t="str">
        <f>IFERROR(__xludf.DUMMYFUNCTION("""COMPUTED_VALUE"""),"cadgbe")</f>
        <v>cadgbe</v>
      </c>
      <c r="CJ70" s="6" t="str">
        <f>IFERROR(__xludf.DUMMYFUNCTION("""COMPUTED_VALUE"""),"edgafb")</f>
        <v>edgafb</v>
      </c>
      <c r="CK70" s="6" t="str">
        <f>IFERROR(__xludf.DUMMYFUNCTION("REGEXREPLACE( $BG70, CONCATENATE(""["",CH70,""]""), """")"),"e")</f>
        <v>e</v>
      </c>
      <c r="CL70" s="6" t="str">
        <f>IFERROR(__xludf.DUMMYFUNCTION("REGEXREPLACE( $BG70, CONCATENATE(""["",CI70,""]""), """")"),"f")</f>
        <v>f</v>
      </c>
      <c r="CM70" s="6" t="str">
        <f>IFERROR(__xludf.DUMMYFUNCTION("REGEXREPLACE( $BG70, CONCATENATE(""["",CJ70,""]""), """")"),"")</f>
        <v/>
      </c>
      <c r="CN70" s="12" t="str">
        <f t="shared" si="12"/>
        <v>edgafb</v>
      </c>
      <c r="CO70" s="12" t="str">
        <f>IFERROR(__xludf.DUMMYFUNCTION("CONCATENATE(SORT(TRANSPOSE(SPLIT(REGEXREPLACE(REGEXREPLACE(CN70&amp;"""",""(?s)(.{1})"",""$1""&amp;CHAR(127)),""'"",""''""),CHAR(127))),1,true),""1"")"),"abdefg1")</f>
        <v>abdefg1</v>
      </c>
      <c r="CP70" s="15"/>
    </row>
    <row r="71">
      <c r="A71" s="1" t="s">
        <v>91</v>
      </c>
      <c r="H71" s="6" t="str">
        <f>IFERROR(__xludf.DUMMYFUNCTION("SPLIT(A71,""|"")"),"dbceag egfc ecadf degcbfa eg bcefad ega egfad dfbga fcegda ")</f>
        <v>dbceag egfc ecadf degcbfa eg bcefad ega egfad dfbga fcegda </v>
      </c>
      <c r="I71" s="6" t="str">
        <f>IFERROR(__xludf.DUMMYFUNCTION("""COMPUTED_VALUE""")," aefgdc defga ge bcaedg")</f>
        <v> aefgdc defga ge bcaedg</v>
      </c>
      <c r="J71" s="15"/>
      <c r="K71" s="6" t="str">
        <f>IFERROR(__xludf.DUMMYFUNCTION("split(H71,"" "")"),"dbceag")</f>
        <v>dbceag</v>
      </c>
      <c r="L71" s="6" t="str">
        <f>IFERROR(__xludf.DUMMYFUNCTION("""COMPUTED_VALUE"""),"egfc")</f>
        <v>egfc</v>
      </c>
      <c r="M71" s="6" t="str">
        <f>IFERROR(__xludf.DUMMYFUNCTION("""COMPUTED_VALUE"""),"ecadf")</f>
        <v>ecadf</v>
      </c>
      <c r="N71" s="6" t="str">
        <f>IFERROR(__xludf.DUMMYFUNCTION("""COMPUTED_VALUE"""),"degcbfa")</f>
        <v>degcbfa</v>
      </c>
      <c r="O71" s="6" t="str">
        <f>IFERROR(__xludf.DUMMYFUNCTION("""COMPUTED_VALUE"""),"eg")</f>
        <v>eg</v>
      </c>
      <c r="P71" s="6" t="str">
        <f>IFERROR(__xludf.DUMMYFUNCTION("""COMPUTED_VALUE"""),"bcefad")</f>
        <v>bcefad</v>
      </c>
      <c r="Q71" s="6" t="str">
        <f>IFERROR(__xludf.DUMMYFUNCTION("""COMPUTED_VALUE"""),"ega")</f>
        <v>ega</v>
      </c>
      <c r="R71" s="6" t="str">
        <f>IFERROR(__xludf.DUMMYFUNCTION("""COMPUTED_VALUE"""),"egfad")</f>
        <v>egfad</v>
      </c>
      <c r="S71" s="6" t="str">
        <f>IFERROR(__xludf.DUMMYFUNCTION("""COMPUTED_VALUE"""),"dfbga")</f>
        <v>dfbga</v>
      </c>
      <c r="T71" s="6" t="str">
        <f>IFERROR(__xludf.DUMMYFUNCTION("""COMPUTED_VALUE"""),"fcegda")</f>
        <v>fcegda</v>
      </c>
      <c r="U71" s="15"/>
      <c r="V71" s="6" t="str">
        <f>IFERROR(__xludf.DUMMYFUNCTION("split(I71,"" "")"),"aefgdc")</f>
        <v>aefgdc</v>
      </c>
      <c r="W71" s="6" t="str">
        <f>IFERROR(__xludf.DUMMYFUNCTION("""COMPUTED_VALUE"""),"defga")</f>
        <v>defga</v>
      </c>
      <c r="X71" s="6" t="str">
        <f>IFERROR(__xludf.DUMMYFUNCTION("""COMPUTED_VALUE"""),"ge")</f>
        <v>ge</v>
      </c>
      <c r="Y71" s="6" t="str">
        <f>IFERROR(__xludf.DUMMYFUNCTION("""COMPUTED_VALUE"""),"bcaedg")</f>
        <v>bcaedg</v>
      </c>
      <c r="Z71" s="6" t="str">
        <f>IFERROR(__xludf.DUMMYFUNCTION("CONCATENATE(SORT(TRANSPOSE(SPLIT(REGEXREPLACE(REGEXREPLACE(V71&amp;"""",""(?s)(.{1})"",""$1""&amp;CHAR(127)),""'"",""''""),CHAR(127))),1,true))"),"acdefg")</f>
        <v>acdefg</v>
      </c>
      <c r="AA71" s="6" t="str">
        <f>IFERROR(__xludf.DUMMYFUNCTION("CONCATENATE(SORT(TRANSPOSE(SPLIT(REGEXREPLACE(REGEXREPLACE(W71&amp;"""",""(?s)(.{1})"",""$1""&amp;CHAR(127)),""'"",""''""),CHAR(127))),1,true))"),"adefg")</f>
        <v>adefg</v>
      </c>
      <c r="AB71" s="6" t="str">
        <f>IFERROR(__xludf.DUMMYFUNCTION("CONCATENATE(SORT(TRANSPOSE(SPLIT(REGEXREPLACE(REGEXREPLACE(X71&amp;"""",""(?s)(.{1})"",""$1""&amp;CHAR(127)),""'"",""''""),CHAR(127))),1,true))"),"eg")</f>
        <v>eg</v>
      </c>
      <c r="AC71" s="6" t="str">
        <f>IFERROR(__xludf.DUMMYFUNCTION("CONCATENATE(SORT(TRANSPOSE(SPLIT(REGEXREPLACE(REGEXREPLACE(Y71&amp;"""",""(?s)(.{1})"",""$1""&amp;CHAR(127)),""'"",""''""),CHAR(127))),1,true))"),"abcdeg")</f>
        <v>abcdeg</v>
      </c>
      <c r="AD71" s="6">
        <f t="shared" ref="AD71:AG71" si="81">INDEX($AO$1:$CP$1,1,MATCH(CONCATENATE(Z71,"1"),$AO71:$CP71,0)+1)</f>
        <v>9</v>
      </c>
      <c r="AE71" s="6">
        <f t="shared" si="81"/>
        <v>3</v>
      </c>
      <c r="AF71" s="6">
        <f t="shared" si="81"/>
        <v>1</v>
      </c>
      <c r="AG71" s="6">
        <f t="shared" si="81"/>
        <v>0</v>
      </c>
      <c r="AH71" s="6">
        <f t="shared" si="3"/>
        <v>9310</v>
      </c>
      <c r="AI71" s="16"/>
      <c r="AJ71" s="9" t="str">
        <f>IFERROR(__xludf.DUMMYFUNCTION("REGEXREPLACE(AR71,CONCATENATE(""["",BY71,""]""),"""")"),"g")</f>
        <v>g</v>
      </c>
      <c r="AK71" s="10" t="str">
        <f>IFERROR(__xludf.DUMMYFUNCTION("FILTER($K71:$T71,len($K71:$T71)=6,NOT($K71:$T71=BY71))"),"dbceag")</f>
        <v>dbceag</v>
      </c>
      <c r="AL71" s="6" t="str">
        <f>IFERROR(__xludf.DUMMYFUNCTION("""COMPUTED_VALUE"""),"fcegda")</f>
        <v>fcegda</v>
      </c>
      <c r="AM71" s="6" t="str">
        <f>IFERROR(__xludf.DUMMYFUNCTION("REGEXREPLACE( $BG71, CONCATENATE(""["",AK71,""]""), """")"),"f")</f>
        <v>f</v>
      </c>
      <c r="AN71" s="6" t="str">
        <f>IFERROR(__xludf.DUMMYFUNCTION("REGEXREPLACE( $BG71, CONCATENATE(""["",AL71,""]""), """")"),"")</f>
        <v/>
      </c>
      <c r="AO71" s="11" t="str">
        <f t="shared" si="4"/>
        <v>dbceag</v>
      </c>
      <c r="AP71" s="12" t="str">
        <f>IFERROR(__xludf.DUMMYFUNCTION("CONCATENATE(SORT(TRANSPOSE(SPLIT(REGEXREPLACE(REGEXREPLACE(AO71&amp;"""",""(?s)(.{1})"",""$1""&amp;CHAR(127)),""'"",""''""),CHAR(127))),1,true),""1"")"),"abcdeg1")</f>
        <v>abcdeg1</v>
      </c>
      <c r="AQ71" s="16"/>
      <c r="AR71" s="12" t="str">
        <f t="shared" si="5"/>
        <v>eg</v>
      </c>
      <c r="AS71" s="12" t="str">
        <f>IFERROR(__xludf.DUMMYFUNCTION("CONCATENATE(SORT(TRANSPOSE(SPLIT(REGEXREPLACE(REGEXREPLACE(AR71&amp;"""",""(?s)(.{1})"",""$1""&amp;CHAR(127)),""'"",""''""),CHAR(127))),1,true),""1"")"),"eg1")</f>
        <v>eg1</v>
      </c>
      <c r="AT71" s="16"/>
      <c r="AU71" s="13" t="str">
        <f>IFERROR(__xludf.DUMMYFUNCTION("FILTER($K71:$T71,len($K71:$T71)=5,NOT($K71:$T71=BD71),NOT($K71:$T71=BP71))"),"dfbga")</f>
        <v>dfbga</v>
      </c>
      <c r="AV71" s="12" t="str">
        <f>IFERROR(__xludf.DUMMYFUNCTION("CONCATENATE(SORT(TRANSPOSE(SPLIT(REGEXREPLACE(REGEXREPLACE(AU71&amp;"""",""(?s)(.{1})"",""$1""&amp;CHAR(127)),""'"",""''""),CHAR(127))),1,true),""1"")"),"abdfg1")</f>
        <v>abdfg1</v>
      </c>
      <c r="AW71" s="16"/>
      <c r="AX71" s="10" t="str">
        <f>IFERROR(__xludf.DUMMYFUNCTION("FILTER($K71:$T71,len($K71:$T71)=5)"),"ecadf")</f>
        <v>ecadf</v>
      </c>
      <c r="AY71" s="6" t="str">
        <f>IFERROR(__xludf.DUMMYFUNCTION("""COMPUTED_VALUE"""),"egfad")</f>
        <v>egfad</v>
      </c>
      <c r="AZ71" s="6" t="str">
        <f>IFERROR(__xludf.DUMMYFUNCTION("""COMPUTED_VALUE"""),"dfbga")</f>
        <v>dfbga</v>
      </c>
      <c r="BA71" s="6" t="str">
        <f>IFERROR(__xludf.DUMMYFUNCTION("REGEXREPLACE( $AR71, CONCATENATE(""["",AX71,""]""), """")"),"g")</f>
        <v>g</v>
      </c>
      <c r="BB71" s="6" t="str">
        <f>IFERROR(__xludf.DUMMYFUNCTION("REGEXREPLACE( $AR71, CONCATENATE(""["",AY71,""]""), """")"),"")</f>
        <v/>
      </c>
      <c r="BC71" s="6" t="str">
        <f>IFERROR(__xludf.DUMMYFUNCTION("REGEXREPLACE( $AR71, CONCATENATE(""["",AZ71,""]""), """")"),"e")</f>
        <v>e</v>
      </c>
      <c r="BD71" s="11" t="str">
        <f t="shared" si="6"/>
        <v>egfad</v>
      </c>
      <c r="BE71" s="12" t="str">
        <f>IFERROR(__xludf.DUMMYFUNCTION("CONCATENATE(SORT(TRANSPOSE(SPLIT(REGEXREPLACE(REGEXREPLACE(BD71&amp;"""",""(?s)(.{1})"",""$1""&amp;CHAR(127)),""'"",""''""),CHAR(127))),1,true),""1"")"),"adefg1")</f>
        <v>adefg1</v>
      </c>
      <c r="BF71" s="16"/>
      <c r="BG71" s="12" t="str">
        <f t="shared" si="7"/>
        <v>egfc</v>
      </c>
      <c r="BH71" s="12" t="str">
        <f>IFERROR(__xludf.DUMMYFUNCTION("CONCATENATE(SORT(TRANSPOSE(SPLIT(REGEXREPLACE(REGEXREPLACE(BG71&amp;"""",""(?s)(.{1})"",""$1""&amp;CHAR(127)),""'"",""''""),CHAR(127))),1,true),""1"")"),"cefg1")</f>
        <v>cefg1</v>
      </c>
      <c r="BI71" s="16"/>
      <c r="BJ71" s="10" t="str">
        <f>IFERROR(__xludf.DUMMYFUNCTION("FILTER($K71:$T71,len($K71:$T71)=5)"),"ecadf")</f>
        <v>ecadf</v>
      </c>
      <c r="BK71" s="6" t="str">
        <f>IFERROR(__xludf.DUMMYFUNCTION("""COMPUTED_VALUE"""),"egfad")</f>
        <v>egfad</v>
      </c>
      <c r="BL71" s="6" t="str">
        <f>IFERROR(__xludf.DUMMYFUNCTION("""COMPUTED_VALUE"""),"dfbga")</f>
        <v>dfbga</v>
      </c>
      <c r="BM71" s="14" t="str">
        <f>IFERROR(__xludf.DUMMYFUNCTION("REGEXREPLACE( $BY71, CONCATENATE(""["",BJ71,""]""), """")"),"b")</f>
        <v>b</v>
      </c>
      <c r="BN71" s="14" t="str">
        <f>IFERROR(__xludf.DUMMYFUNCTION("REGEXREPLACE( $BY71, CONCATENATE(""["",BK71,""]""), """")"),"bc")</f>
        <v>bc</v>
      </c>
      <c r="BO71" s="14" t="str">
        <f>IFERROR(__xludf.DUMMYFUNCTION("REGEXREPLACE( $BY71, CONCATENATE(""["",BL71,""]""), """")"),"ce")</f>
        <v>ce</v>
      </c>
      <c r="BP71" s="11" t="str">
        <f t="shared" si="8"/>
        <v>ecadf</v>
      </c>
      <c r="BQ71" s="12" t="str">
        <f>IFERROR(__xludf.DUMMYFUNCTION("CONCATENATE(SORT(TRANSPOSE(SPLIT(REGEXREPLACE(REGEXREPLACE(BP71&amp;"""",""(?s)(.{1})"",""$1""&amp;CHAR(127)),""'"",""''""),CHAR(127))),1,true),""1"")"),"acdef1")</f>
        <v>acdef1</v>
      </c>
      <c r="BR71" s="16"/>
      <c r="BS71" s="10" t="str">
        <f>IFERROR(__xludf.DUMMYFUNCTION("FILTER(K71:T71,len(K71:T71)=6)"),"dbceag")</f>
        <v>dbceag</v>
      </c>
      <c r="BT71" s="6" t="str">
        <f>IFERROR(__xludf.DUMMYFUNCTION("""COMPUTED_VALUE"""),"bcefad")</f>
        <v>bcefad</v>
      </c>
      <c r="BU71" s="6" t="str">
        <f>IFERROR(__xludf.DUMMYFUNCTION("""COMPUTED_VALUE"""),"fcegda")</f>
        <v>fcegda</v>
      </c>
      <c r="BV71" s="6" t="str">
        <f>IFERROR(__xludf.DUMMYFUNCTION("REGEXREPLACE( $AR71, CONCATENATE(""["",BS71,""]""), """")"),"")</f>
        <v/>
      </c>
      <c r="BW71" s="6" t="str">
        <f>IFERROR(__xludf.DUMMYFUNCTION("REGEXREPLACE( $AR71, CONCATENATE(""["",BT71,""]""), """")"),"g")</f>
        <v>g</v>
      </c>
      <c r="BX71" s="6" t="str">
        <f>IFERROR(__xludf.DUMMYFUNCTION("REGEXREPLACE( $AR71, CONCATENATE(""["",BU71,""]""), """")"),"")</f>
        <v/>
      </c>
      <c r="BY71" s="12" t="str">
        <f t="shared" si="9"/>
        <v>bcefad</v>
      </c>
      <c r="BZ71" s="12" t="str">
        <f>IFERROR(__xludf.DUMMYFUNCTION("CONCATENATE(SORT(TRANSPOSE(SPLIT(REGEXREPLACE(REGEXREPLACE(BY71&amp;"""",""(?s)(.{1})"",""$1""&amp;CHAR(127)),""'"",""''""),CHAR(127))),1,true),""1"")"),"abcdef1")</f>
        <v>abcdef1</v>
      </c>
      <c r="CA71" s="16"/>
      <c r="CB71" s="12" t="str">
        <f t="shared" si="10"/>
        <v>ega</v>
      </c>
      <c r="CC71" s="12" t="str">
        <f>IFERROR(__xludf.DUMMYFUNCTION("CONCATENATE(SORT(TRANSPOSE(SPLIT(REGEXREPLACE(REGEXREPLACE(CB71&amp;"""",""(?s)(.{1})"",""$1""&amp;CHAR(127)),""'"",""''""),CHAR(127))),1,true),""1"")"),"aeg1")</f>
        <v>aeg1</v>
      </c>
      <c r="CD71" s="16"/>
      <c r="CE71" s="12" t="str">
        <f t="shared" si="11"/>
        <v>degcbfa</v>
      </c>
      <c r="CF71" s="12" t="str">
        <f>IFERROR(__xludf.DUMMYFUNCTION("CONCATENATE(SORT(TRANSPOSE(SPLIT(REGEXREPLACE(REGEXREPLACE(CE71&amp;"""",""(?s)(.{1})"",""$1""&amp;CHAR(127)),""'"",""''""),CHAR(127))),1,true),""1"")"),"abcdefg1")</f>
        <v>abcdefg1</v>
      </c>
      <c r="CG71" s="16"/>
      <c r="CH71" s="10" t="str">
        <f>IFERROR(__xludf.DUMMYFUNCTION("FILTER(K71:T71,len(K71:T71)=6)"),"dbceag")</f>
        <v>dbceag</v>
      </c>
      <c r="CI71" s="6" t="str">
        <f>IFERROR(__xludf.DUMMYFUNCTION("""COMPUTED_VALUE"""),"bcefad")</f>
        <v>bcefad</v>
      </c>
      <c r="CJ71" s="6" t="str">
        <f>IFERROR(__xludf.DUMMYFUNCTION("""COMPUTED_VALUE"""),"fcegda")</f>
        <v>fcegda</v>
      </c>
      <c r="CK71" s="6" t="str">
        <f>IFERROR(__xludf.DUMMYFUNCTION("REGEXREPLACE( $BG71, CONCATENATE(""["",CH71,""]""), """")"),"f")</f>
        <v>f</v>
      </c>
      <c r="CL71" s="6" t="str">
        <f>IFERROR(__xludf.DUMMYFUNCTION("REGEXREPLACE( $BG71, CONCATENATE(""["",CI71,""]""), """")"),"g")</f>
        <v>g</v>
      </c>
      <c r="CM71" s="6" t="str">
        <f>IFERROR(__xludf.DUMMYFUNCTION("REGEXREPLACE( $BG71, CONCATENATE(""["",CJ71,""]""), """")"),"")</f>
        <v/>
      </c>
      <c r="CN71" s="12" t="str">
        <f t="shared" si="12"/>
        <v>fcegda</v>
      </c>
      <c r="CO71" s="12" t="str">
        <f>IFERROR(__xludf.DUMMYFUNCTION("CONCATENATE(SORT(TRANSPOSE(SPLIT(REGEXREPLACE(REGEXREPLACE(CN71&amp;"""",""(?s)(.{1})"",""$1""&amp;CHAR(127)),""'"",""''""),CHAR(127))),1,true),""1"")"),"acdefg1")</f>
        <v>acdefg1</v>
      </c>
      <c r="CP71" s="15"/>
    </row>
    <row r="72">
      <c r="A72" s="1" t="s">
        <v>92</v>
      </c>
      <c r="H72" s="6" t="str">
        <f>IFERROR(__xludf.DUMMYFUNCTION("SPLIT(A72,""|"")"),"dbgef dcfeb dcba ceb faecdbg adcfge bcaegf adbfce cfead bc ")</f>
        <v>dbgef dcfeb dcba ceb faecdbg adcfge bcaegf adbfce cfead bc </v>
      </c>
      <c r="I72" s="6" t="str">
        <f>IFERROR(__xludf.DUMMYFUNCTION("""COMPUTED_VALUE""")," bc dagbecf bc bec")</f>
        <v> bc dagbecf bc bec</v>
      </c>
      <c r="J72" s="15"/>
      <c r="K72" s="6" t="str">
        <f>IFERROR(__xludf.DUMMYFUNCTION("split(H72,"" "")"),"dbgef")</f>
        <v>dbgef</v>
      </c>
      <c r="L72" s="6" t="str">
        <f>IFERROR(__xludf.DUMMYFUNCTION("""COMPUTED_VALUE"""),"dcfeb")</f>
        <v>dcfeb</v>
      </c>
      <c r="M72" s="6" t="str">
        <f>IFERROR(__xludf.DUMMYFUNCTION("""COMPUTED_VALUE"""),"dcba")</f>
        <v>dcba</v>
      </c>
      <c r="N72" s="6" t="str">
        <f>IFERROR(__xludf.DUMMYFUNCTION("""COMPUTED_VALUE"""),"ceb")</f>
        <v>ceb</v>
      </c>
      <c r="O72" s="6" t="str">
        <f>IFERROR(__xludf.DUMMYFUNCTION("""COMPUTED_VALUE"""),"faecdbg")</f>
        <v>faecdbg</v>
      </c>
      <c r="P72" s="6" t="str">
        <f>IFERROR(__xludf.DUMMYFUNCTION("""COMPUTED_VALUE"""),"adcfge")</f>
        <v>adcfge</v>
      </c>
      <c r="Q72" s="6" t="str">
        <f>IFERROR(__xludf.DUMMYFUNCTION("""COMPUTED_VALUE"""),"bcaegf")</f>
        <v>bcaegf</v>
      </c>
      <c r="R72" s="6" t="str">
        <f>IFERROR(__xludf.DUMMYFUNCTION("""COMPUTED_VALUE"""),"adbfce")</f>
        <v>adbfce</v>
      </c>
      <c r="S72" s="6" t="str">
        <f>IFERROR(__xludf.DUMMYFUNCTION("""COMPUTED_VALUE"""),"cfead")</f>
        <v>cfead</v>
      </c>
      <c r="T72" s="6" t="str">
        <f>IFERROR(__xludf.DUMMYFUNCTION("""COMPUTED_VALUE"""),"bc")</f>
        <v>bc</v>
      </c>
      <c r="U72" s="15"/>
      <c r="V72" s="6" t="str">
        <f>IFERROR(__xludf.DUMMYFUNCTION("split(I72,"" "")"),"bc")</f>
        <v>bc</v>
      </c>
      <c r="W72" s="6" t="str">
        <f>IFERROR(__xludf.DUMMYFUNCTION("""COMPUTED_VALUE"""),"dagbecf")</f>
        <v>dagbecf</v>
      </c>
      <c r="X72" s="6" t="str">
        <f>IFERROR(__xludf.DUMMYFUNCTION("""COMPUTED_VALUE"""),"bc")</f>
        <v>bc</v>
      </c>
      <c r="Y72" s="6" t="str">
        <f>IFERROR(__xludf.DUMMYFUNCTION("""COMPUTED_VALUE"""),"bec")</f>
        <v>bec</v>
      </c>
      <c r="Z72" s="6" t="str">
        <f>IFERROR(__xludf.DUMMYFUNCTION("CONCATENATE(SORT(TRANSPOSE(SPLIT(REGEXREPLACE(REGEXREPLACE(V72&amp;"""",""(?s)(.{1})"",""$1""&amp;CHAR(127)),""'"",""''""),CHAR(127))),1,true))"),"bc")</f>
        <v>bc</v>
      </c>
      <c r="AA72" s="6" t="str">
        <f>IFERROR(__xludf.DUMMYFUNCTION("CONCATENATE(SORT(TRANSPOSE(SPLIT(REGEXREPLACE(REGEXREPLACE(W72&amp;"""",""(?s)(.{1})"",""$1""&amp;CHAR(127)),""'"",""''""),CHAR(127))),1,true))"),"abcdefg")</f>
        <v>abcdefg</v>
      </c>
      <c r="AB72" s="6" t="str">
        <f>IFERROR(__xludf.DUMMYFUNCTION("CONCATENATE(SORT(TRANSPOSE(SPLIT(REGEXREPLACE(REGEXREPLACE(X72&amp;"""",""(?s)(.{1})"",""$1""&amp;CHAR(127)),""'"",""''""),CHAR(127))),1,true))"),"bc")</f>
        <v>bc</v>
      </c>
      <c r="AC72" s="6" t="str">
        <f>IFERROR(__xludf.DUMMYFUNCTION("CONCATENATE(SORT(TRANSPOSE(SPLIT(REGEXREPLACE(REGEXREPLACE(Y72&amp;"""",""(?s)(.{1})"",""$1""&amp;CHAR(127)),""'"",""''""),CHAR(127))),1,true))"),"bce")</f>
        <v>bce</v>
      </c>
      <c r="AD72" s="6">
        <f t="shared" ref="AD72:AG72" si="82">INDEX($AO$1:$CP$1,1,MATCH(CONCATENATE(Z72,"1"),$AO72:$CP72,0)+1)</f>
        <v>1</v>
      </c>
      <c r="AE72" s="6">
        <f t="shared" si="82"/>
        <v>8</v>
      </c>
      <c r="AF72" s="6">
        <f t="shared" si="82"/>
        <v>1</v>
      </c>
      <c r="AG72" s="6">
        <f t="shared" si="82"/>
        <v>7</v>
      </c>
      <c r="AH72" s="6">
        <f t="shared" si="3"/>
        <v>1817</v>
      </c>
      <c r="AI72" s="16"/>
      <c r="AJ72" s="9" t="str">
        <f>IFERROR(__xludf.DUMMYFUNCTION("REGEXREPLACE(AR72,CONCATENATE(""["",BY72,""]""),"""")"),"b")</f>
        <v>b</v>
      </c>
      <c r="AK72" s="10" t="str">
        <f>IFERROR(__xludf.DUMMYFUNCTION("FILTER($K72:$T72,len($K72:$T72)=6,NOT($K72:$T72=BY72))"),"bcaegf")</f>
        <v>bcaegf</v>
      </c>
      <c r="AL72" s="6" t="str">
        <f>IFERROR(__xludf.DUMMYFUNCTION("""COMPUTED_VALUE"""),"adbfce")</f>
        <v>adbfce</v>
      </c>
      <c r="AM72" s="6" t="str">
        <f>IFERROR(__xludf.DUMMYFUNCTION("REGEXREPLACE( $BG72, CONCATENATE(""["",AK72,""]""), """")"),"d")</f>
        <v>d</v>
      </c>
      <c r="AN72" s="6" t="str">
        <f>IFERROR(__xludf.DUMMYFUNCTION("REGEXREPLACE( $BG72, CONCATENATE(""["",AL72,""]""), """")"),"")</f>
        <v/>
      </c>
      <c r="AO72" s="11" t="str">
        <f t="shared" si="4"/>
        <v>bcaegf</v>
      </c>
      <c r="AP72" s="12" t="str">
        <f>IFERROR(__xludf.DUMMYFUNCTION("CONCATENATE(SORT(TRANSPOSE(SPLIT(REGEXREPLACE(REGEXREPLACE(AO72&amp;"""",""(?s)(.{1})"",""$1""&amp;CHAR(127)),""'"",""''""),CHAR(127))),1,true),""1"")"),"abcefg1")</f>
        <v>abcefg1</v>
      </c>
      <c r="AQ72" s="16"/>
      <c r="AR72" s="12" t="str">
        <f t="shared" si="5"/>
        <v>bc</v>
      </c>
      <c r="AS72" s="12" t="str">
        <f>IFERROR(__xludf.DUMMYFUNCTION("CONCATENATE(SORT(TRANSPOSE(SPLIT(REGEXREPLACE(REGEXREPLACE(AR72&amp;"""",""(?s)(.{1})"",""$1""&amp;CHAR(127)),""'"",""''""),CHAR(127))),1,true),""1"")"),"bc1")</f>
        <v>bc1</v>
      </c>
      <c r="AT72" s="16"/>
      <c r="AU72" s="13" t="str">
        <f>IFERROR(__xludf.DUMMYFUNCTION("FILTER($K72:$T72,len($K72:$T72)=5,NOT($K72:$T72=BD72),NOT($K72:$T72=BP72))"),"dbgef")</f>
        <v>dbgef</v>
      </c>
      <c r="AV72" s="12" t="str">
        <f>IFERROR(__xludf.DUMMYFUNCTION("CONCATENATE(SORT(TRANSPOSE(SPLIT(REGEXREPLACE(REGEXREPLACE(AU72&amp;"""",""(?s)(.{1})"",""$1""&amp;CHAR(127)),""'"",""''""),CHAR(127))),1,true),""1"")"),"bdefg1")</f>
        <v>bdefg1</v>
      </c>
      <c r="AW72" s="16"/>
      <c r="AX72" s="10" t="str">
        <f>IFERROR(__xludf.DUMMYFUNCTION("FILTER($K72:$T72,len($K72:$T72)=5)"),"dbgef")</f>
        <v>dbgef</v>
      </c>
      <c r="AY72" s="6" t="str">
        <f>IFERROR(__xludf.DUMMYFUNCTION("""COMPUTED_VALUE"""),"dcfeb")</f>
        <v>dcfeb</v>
      </c>
      <c r="AZ72" s="6" t="str">
        <f>IFERROR(__xludf.DUMMYFUNCTION("""COMPUTED_VALUE"""),"cfead")</f>
        <v>cfead</v>
      </c>
      <c r="BA72" s="6" t="str">
        <f>IFERROR(__xludf.DUMMYFUNCTION("REGEXREPLACE( $AR72, CONCATENATE(""["",AX72,""]""), """")"),"c")</f>
        <v>c</v>
      </c>
      <c r="BB72" s="6" t="str">
        <f>IFERROR(__xludf.DUMMYFUNCTION("REGEXREPLACE( $AR72, CONCATENATE(""["",AY72,""]""), """")"),"")</f>
        <v/>
      </c>
      <c r="BC72" s="6" t="str">
        <f>IFERROR(__xludf.DUMMYFUNCTION("REGEXREPLACE( $AR72, CONCATENATE(""["",AZ72,""]""), """")"),"b")</f>
        <v>b</v>
      </c>
      <c r="BD72" s="11" t="str">
        <f t="shared" si="6"/>
        <v>dcfeb</v>
      </c>
      <c r="BE72" s="12" t="str">
        <f>IFERROR(__xludf.DUMMYFUNCTION("CONCATENATE(SORT(TRANSPOSE(SPLIT(REGEXREPLACE(REGEXREPLACE(BD72&amp;"""",""(?s)(.{1})"",""$1""&amp;CHAR(127)),""'"",""''""),CHAR(127))),1,true),""1"")"),"bcdef1")</f>
        <v>bcdef1</v>
      </c>
      <c r="BF72" s="16"/>
      <c r="BG72" s="12" t="str">
        <f t="shared" si="7"/>
        <v>dcba</v>
      </c>
      <c r="BH72" s="12" t="str">
        <f>IFERROR(__xludf.DUMMYFUNCTION("CONCATENATE(SORT(TRANSPOSE(SPLIT(REGEXREPLACE(REGEXREPLACE(BG72&amp;"""",""(?s)(.{1})"",""$1""&amp;CHAR(127)),""'"",""''""),CHAR(127))),1,true),""1"")"),"abcd1")</f>
        <v>abcd1</v>
      </c>
      <c r="BI72" s="16"/>
      <c r="BJ72" s="10" t="str">
        <f>IFERROR(__xludf.DUMMYFUNCTION("FILTER($K72:$T72,len($K72:$T72)=5)"),"dbgef")</f>
        <v>dbgef</v>
      </c>
      <c r="BK72" s="6" t="str">
        <f>IFERROR(__xludf.DUMMYFUNCTION("""COMPUTED_VALUE"""),"dcfeb")</f>
        <v>dcfeb</v>
      </c>
      <c r="BL72" s="6" t="str">
        <f>IFERROR(__xludf.DUMMYFUNCTION("""COMPUTED_VALUE"""),"cfead")</f>
        <v>cfead</v>
      </c>
      <c r="BM72" s="14" t="str">
        <f>IFERROR(__xludf.DUMMYFUNCTION("REGEXREPLACE( $BY72, CONCATENATE(""["",BJ72,""]""), """")"),"ac")</f>
        <v>ac</v>
      </c>
      <c r="BN72" s="14" t="str">
        <f>IFERROR(__xludf.DUMMYFUNCTION("REGEXREPLACE( $BY72, CONCATENATE(""["",BK72,""]""), """")"),"ag")</f>
        <v>ag</v>
      </c>
      <c r="BO72" s="14" t="str">
        <f>IFERROR(__xludf.DUMMYFUNCTION("REGEXREPLACE( $BY72, CONCATENATE(""["",BL72,""]""), """")"),"g")</f>
        <v>g</v>
      </c>
      <c r="BP72" s="11" t="str">
        <f t="shared" si="8"/>
        <v>cfead</v>
      </c>
      <c r="BQ72" s="12" t="str">
        <f>IFERROR(__xludf.DUMMYFUNCTION("CONCATENATE(SORT(TRANSPOSE(SPLIT(REGEXREPLACE(REGEXREPLACE(BP72&amp;"""",""(?s)(.{1})"",""$1""&amp;CHAR(127)),""'"",""''""),CHAR(127))),1,true),""1"")"),"acdef1")</f>
        <v>acdef1</v>
      </c>
      <c r="BR72" s="16"/>
      <c r="BS72" s="10" t="str">
        <f>IFERROR(__xludf.DUMMYFUNCTION("FILTER(K72:T72,len(K72:T72)=6)"),"adcfge")</f>
        <v>adcfge</v>
      </c>
      <c r="BT72" s="6" t="str">
        <f>IFERROR(__xludf.DUMMYFUNCTION("""COMPUTED_VALUE"""),"bcaegf")</f>
        <v>bcaegf</v>
      </c>
      <c r="BU72" s="6" t="str">
        <f>IFERROR(__xludf.DUMMYFUNCTION("""COMPUTED_VALUE"""),"adbfce")</f>
        <v>adbfce</v>
      </c>
      <c r="BV72" s="6" t="str">
        <f>IFERROR(__xludf.DUMMYFUNCTION("REGEXREPLACE( $AR72, CONCATENATE(""["",BS72,""]""), """")"),"b")</f>
        <v>b</v>
      </c>
      <c r="BW72" s="6" t="str">
        <f>IFERROR(__xludf.DUMMYFUNCTION("REGEXREPLACE( $AR72, CONCATENATE(""["",BT72,""]""), """")"),"")</f>
        <v/>
      </c>
      <c r="BX72" s="6" t="str">
        <f>IFERROR(__xludf.DUMMYFUNCTION("REGEXREPLACE( $AR72, CONCATENATE(""["",BU72,""]""), """")"),"")</f>
        <v/>
      </c>
      <c r="BY72" s="12" t="str">
        <f t="shared" si="9"/>
        <v>adcfge</v>
      </c>
      <c r="BZ72" s="12" t="str">
        <f>IFERROR(__xludf.DUMMYFUNCTION("CONCATENATE(SORT(TRANSPOSE(SPLIT(REGEXREPLACE(REGEXREPLACE(BY72&amp;"""",""(?s)(.{1})"",""$1""&amp;CHAR(127)),""'"",""''""),CHAR(127))),1,true),""1"")"),"acdefg1")</f>
        <v>acdefg1</v>
      </c>
      <c r="CA72" s="16"/>
      <c r="CB72" s="12" t="str">
        <f t="shared" si="10"/>
        <v>ceb</v>
      </c>
      <c r="CC72" s="12" t="str">
        <f>IFERROR(__xludf.DUMMYFUNCTION("CONCATENATE(SORT(TRANSPOSE(SPLIT(REGEXREPLACE(REGEXREPLACE(CB72&amp;"""",""(?s)(.{1})"",""$1""&amp;CHAR(127)),""'"",""''""),CHAR(127))),1,true),""1"")"),"bce1")</f>
        <v>bce1</v>
      </c>
      <c r="CD72" s="16"/>
      <c r="CE72" s="12" t="str">
        <f t="shared" si="11"/>
        <v>faecdbg</v>
      </c>
      <c r="CF72" s="12" t="str">
        <f>IFERROR(__xludf.DUMMYFUNCTION("CONCATENATE(SORT(TRANSPOSE(SPLIT(REGEXREPLACE(REGEXREPLACE(CE72&amp;"""",""(?s)(.{1})"",""$1""&amp;CHAR(127)),""'"",""''""),CHAR(127))),1,true),""1"")"),"abcdefg1")</f>
        <v>abcdefg1</v>
      </c>
      <c r="CG72" s="16"/>
      <c r="CH72" s="10" t="str">
        <f>IFERROR(__xludf.DUMMYFUNCTION("FILTER(K72:T72,len(K72:T72)=6)"),"adcfge")</f>
        <v>adcfge</v>
      </c>
      <c r="CI72" s="6" t="str">
        <f>IFERROR(__xludf.DUMMYFUNCTION("""COMPUTED_VALUE"""),"bcaegf")</f>
        <v>bcaegf</v>
      </c>
      <c r="CJ72" s="6" t="str">
        <f>IFERROR(__xludf.DUMMYFUNCTION("""COMPUTED_VALUE"""),"adbfce")</f>
        <v>adbfce</v>
      </c>
      <c r="CK72" s="6" t="str">
        <f>IFERROR(__xludf.DUMMYFUNCTION("REGEXREPLACE( $BG72, CONCATENATE(""["",CH72,""]""), """")"),"b")</f>
        <v>b</v>
      </c>
      <c r="CL72" s="6" t="str">
        <f>IFERROR(__xludf.DUMMYFUNCTION("REGEXREPLACE( $BG72, CONCATENATE(""["",CI72,""]""), """")"),"d")</f>
        <v>d</v>
      </c>
      <c r="CM72" s="6" t="str">
        <f>IFERROR(__xludf.DUMMYFUNCTION("REGEXREPLACE( $BG72, CONCATENATE(""["",CJ72,""]""), """")"),"")</f>
        <v/>
      </c>
      <c r="CN72" s="12" t="str">
        <f t="shared" si="12"/>
        <v>adbfce</v>
      </c>
      <c r="CO72" s="12" t="str">
        <f>IFERROR(__xludf.DUMMYFUNCTION("CONCATENATE(SORT(TRANSPOSE(SPLIT(REGEXREPLACE(REGEXREPLACE(CN72&amp;"""",""(?s)(.{1})"",""$1""&amp;CHAR(127)),""'"",""''""),CHAR(127))),1,true),""1"")"),"abcdef1")</f>
        <v>abcdef1</v>
      </c>
      <c r="CP72" s="15"/>
    </row>
    <row r="73">
      <c r="A73" s="1" t="s">
        <v>93</v>
      </c>
      <c r="H73" s="6" t="str">
        <f>IFERROR(__xludf.DUMMYFUNCTION("SPLIT(A73,""|"")"),"edcb fbgcd bgefd fgabec dbagfe cb dfcga gabcedf egbcdf fbc ")</f>
        <v>edcb fbgcd bgefd fgabec dbagfe cb dfcga gabcedf egbcdf fbc </v>
      </c>
      <c r="I73" s="6" t="str">
        <f>IFERROR(__xludf.DUMMYFUNCTION("""COMPUTED_VALUE""")," afcbedg bgaefc cb egfdb")</f>
        <v> afcbedg bgaefc cb egfdb</v>
      </c>
      <c r="J73" s="15"/>
      <c r="K73" s="6" t="str">
        <f>IFERROR(__xludf.DUMMYFUNCTION("split(H73,"" "")"),"edcb")</f>
        <v>edcb</v>
      </c>
      <c r="L73" s="6" t="str">
        <f>IFERROR(__xludf.DUMMYFUNCTION("""COMPUTED_VALUE"""),"fbgcd")</f>
        <v>fbgcd</v>
      </c>
      <c r="M73" s="6" t="str">
        <f>IFERROR(__xludf.DUMMYFUNCTION("""COMPUTED_VALUE"""),"bgefd")</f>
        <v>bgefd</v>
      </c>
      <c r="N73" s="6" t="str">
        <f>IFERROR(__xludf.DUMMYFUNCTION("""COMPUTED_VALUE"""),"fgabec")</f>
        <v>fgabec</v>
      </c>
      <c r="O73" s="6" t="str">
        <f>IFERROR(__xludf.DUMMYFUNCTION("""COMPUTED_VALUE"""),"dbagfe")</f>
        <v>dbagfe</v>
      </c>
      <c r="P73" s="6" t="str">
        <f>IFERROR(__xludf.DUMMYFUNCTION("""COMPUTED_VALUE"""),"cb")</f>
        <v>cb</v>
      </c>
      <c r="Q73" s="6" t="str">
        <f>IFERROR(__xludf.DUMMYFUNCTION("""COMPUTED_VALUE"""),"dfcga")</f>
        <v>dfcga</v>
      </c>
      <c r="R73" s="6" t="str">
        <f>IFERROR(__xludf.DUMMYFUNCTION("""COMPUTED_VALUE"""),"gabcedf")</f>
        <v>gabcedf</v>
      </c>
      <c r="S73" s="6" t="str">
        <f>IFERROR(__xludf.DUMMYFUNCTION("""COMPUTED_VALUE"""),"egbcdf")</f>
        <v>egbcdf</v>
      </c>
      <c r="T73" s="6" t="str">
        <f>IFERROR(__xludf.DUMMYFUNCTION("""COMPUTED_VALUE"""),"fbc")</f>
        <v>fbc</v>
      </c>
      <c r="U73" s="15"/>
      <c r="V73" s="6" t="str">
        <f>IFERROR(__xludf.DUMMYFUNCTION("split(I73,"" "")"),"afcbedg")</f>
        <v>afcbedg</v>
      </c>
      <c r="W73" s="6" t="str">
        <f>IFERROR(__xludf.DUMMYFUNCTION("""COMPUTED_VALUE"""),"bgaefc")</f>
        <v>bgaefc</v>
      </c>
      <c r="X73" s="6" t="str">
        <f>IFERROR(__xludf.DUMMYFUNCTION("""COMPUTED_VALUE"""),"cb")</f>
        <v>cb</v>
      </c>
      <c r="Y73" s="6" t="str">
        <f>IFERROR(__xludf.DUMMYFUNCTION("""COMPUTED_VALUE"""),"egfdb")</f>
        <v>egfdb</v>
      </c>
      <c r="Z73" s="6" t="str">
        <f>IFERROR(__xludf.DUMMYFUNCTION("CONCATENATE(SORT(TRANSPOSE(SPLIT(REGEXREPLACE(REGEXREPLACE(V73&amp;"""",""(?s)(.{1})"",""$1""&amp;CHAR(127)),""'"",""''""),CHAR(127))),1,true))"),"abcdefg")</f>
        <v>abcdefg</v>
      </c>
      <c r="AA73" s="6" t="str">
        <f>IFERROR(__xludf.DUMMYFUNCTION("CONCATENATE(SORT(TRANSPOSE(SPLIT(REGEXREPLACE(REGEXREPLACE(W73&amp;"""",""(?s)(.{1})"",""$1""&amp;CHAR(127)),""'"",""''""),CHAR(127))),1,true))"),"abcefg")</f>
        <v>abcefg</v>
      </c>
      <c r="AB73" s="6" t="str">
        <f>IFERROR(__xludf.DUMMYFUNCTION("CONCATENATE(SORT(TRANSPOSE(SPLIT(REGEXREPLACE(REGEXREPLACE(X73&amp;"""",""(?s)(.{1})"",""$1""&amp;CHAR(127)),""'"",""''""),CHAR(127))),1,true))"),"bc")</f>
        <v>bc</v>
      </c>
      <c r="AC73" s="6" t="str">
        <f>IFERROR(__xludf.DUMMYFUNCTION("CONCATENATE(SORT(TRANSPOSE(SPLIT(REGEXREPLACE(REGEXREPLACE(Y73&amp;"""",""(?s)(.{1})"",""$1""&amp;CHAR(127)),""'"",""''""),CHAR(127))),1,true))"),"bdefg")</f>
        <v>bdefg</v>
      </c>
      <c r="AD73" s="6">
        <f t="shared" ref="AD73:AG73" si="83">INDEX($AO$1:$CP$1,1,MATCH(CONCATENATE(Z73,"1"),$AO73:$CP73,0)+1)</f>
        <v>8</v>
      </c>
      <c r="AE73" s="6">
        <f t="shared" si="83"/>
        <v>0</v>
      </c>
      <c r="AF73" s="6">
        <f t="shared" si="83"/>
        <v>1</v>
      </c>
      <c r="AG73" s="6">
        <f t="shared" si="83"/>
        <v>5</v>
      </c>
      <c r="AH73" s="6">
        <f t="shared" si="3"/>
        <v>8015</v>
      </c>
      <c r="AI73" s="16"/>
      <c r="AJ73" s="9" t="str">
        <f>IFERROR(__xludf.DUMMYFUNCTION("REGEXREPLACE(AR73,CONCATENATE(""["",BY73,""]""),"""")"),"c")</f>
        <v>c</v>
      </c>
      <c r="AK73" s="10" t="str">
        <f>IFERROR(__xludf.DUMMYFUNCTION("FILTER($K73:$T73,len($K73:$T73)=6,NOT($K73:$T73=BY73))"),"fgabec")</f>
        <v>fgabec</v>
      </c>
      <c r="AL73" s="6" t="str">
        <f>IFERROR(__xludf.DUMMYFUNCTION("""COMPUTED_VALUE"""),"egbcdf")</f>
        <v>egbcdf</v>
      </c>
      <c r="AM73" s="6" t="str">
        <f>IFERROR(__xludf.DUMMYFUNCTION("REGEXREPLACE( $BG73, CONCATENATE(""["",AK73,""]""), """")"),"d")</f>
        <v>d</v>
      </c>
      <c r="AN73" s="6" t="str">
        <f>IFERROR(__xludf.DUMMYFUNCTION("REGEXREPLACE( $BG73, CONCATENATE(""["",AL73,""]""), """")"),"")</f>
        <v/>
      </c>
      <c r="AO73" s="11" t="str">
        <f t="shared" si="4"/>
        <v>fgabec</v>
      </c>
      <c r="AP73" s="12" t="str">
        <f>IFERROR(__xludf.DUMMYFUNCTION("CONCATENATE(SORT(TRANSPOSE(SPLIT(REGEXREPLACE(REGEXREPLACE(AO73&amp;"""",""(?s)(.{1})"",""$1""&amp;CHAR(127)),""'"",""''""),CHAR(127))),1,true),""1"")"),"abcefg1")</f>
        <v>abcefg1</v>
      </c>
      <c r="AQ73" s="16"/>
      <c r="AR73" s="12" t="str">
        <f t="shared" si="5"/>
        <v>cb</v>
      </c>
      <c r="AS73" s="12" t="str">
        <f>IFERROR(__xludf.DUMMYFUNCTION("CONCATENATE(SORT(TRANSPOSE(SPLIT(REGEXREPLACE(REGEXREPLACE(AR73&amp;"""",""(?s)(.{1})"",""$1""&amp;CHAR(127)),""'"",""''""),CHAR(127))),1,true),""1"")"),"bc1")</f>
        <v>bc1</v>
      </c>
      <c r="AT73" s="16"/>
      <c r="AU73" s="13" t="str">
        <f>IFERROR(__xludf.DUMMYFUNCTION("FILTER($K73:$T73,len($K73:$T73)=5,NOT($K73:$T73=BD73),NOT($K73:$T73=BP73))"),"dfcga")</f>
        <v>dfcga</v>
      </c>
      <c r="AV73" s="12" t="str">
        <f>IFERROR(__xludf.DUMMYFUNCTION("CONCATENATE(SORT(TRANSPOSE(SPLIT(REGEXREPLACE(REGEXREPLACE(AU73&amp;"""",""(?s)(.{1})"",""$1""&amp;CHAR(127)),""'"",""''""),CHAR(127))),1,true),""1"")"),"acdfg1")</f>
        <v>acdfg1</v>
      </c>
      <c r="AW73" s="16"/>
      <c r="AX73" s="10" t="str">
        <f>IFERROR(__xludf.DUMMYFUNCTION("FILTER($K73:$T73,len($K73:$T73)=5)"),"fbgcd")</f>
        <v>fbgcd</v>
      </c>
      <c r="AY73" s="6" t="str">
        <f>IFERROR(__xludf.DUMMYFUNCTION("""COMPUTED_VALUE"""),"bgefd")</f>
        <v>bgefd</v>
      </c>
      <c r="AZ73" s="6" t="str">
        <f>IFERROR(__xludf.DUMMYFUNCTION("""COMPUTED_VALUE"""),"dfcga")</f>
        <v>dfcga</v>
      </c>
      <c r="BA73" s="6" t="str">
        <f>IFERROR(__xludf.DUMMYFUNCTION("REGEXREPLACE( $AR73, CONCATENATE(""["",AX73,""]""), """")"),"")</f>
        <v/>
      </c>
      <c r="BB73" s="6" t="str">
        <f>IFERROR(__xludf.DUMMYFUNCTION("REGEXREPLACE( $AR73, CONCATENATE(""["",AY73,""]""), """")"),"c")</f>
        <v>c</v>
      </c>
      <c r="BC73" s="6" t="str">
        <f>IFERROR(__xludf.DUMMYFUNCTION("REGEXREPLACE( $AR73, CONCATENATE(""["",AZ73,""]""), """")"),"b")</f>
        <v>b</v>
      </c>
      <c r="BD73" s="11" t="str">
        <f t="shared" si="6"/>
        <v>fbgcd</v>
      </c>
      <c r="BE73" s="12" t="str">
        <f>IFERROR(__xludf.DUMMYFUNCTION("CONCATENATE(SORT(TRANSPOSE(SPLIT(REGEXREPLACE(REGEXREPLACE(BD73&amp;"""",""(?s)(.{1})"",""$1""&amp;CHAR(127)),""'"",""''""),CHAR(127))),1,true),""1"")"),"bcdfg1")</f>
        <v>bcdfg1</v>
      </c>
      <c r="BF73" s="16"/>
      <c r="BG73" s="12" t="str">
        <f t="shared" si="7"/>
        <v>edcb</v>
      </c>
      <c r="BH73" s="12" t="str">
        <f>IFERROR(__xludf.DUMMYFUNCTION("CONCATENATE(SORT(TRANSPOSE(SPLIT(REGEXREPLACE(REGEXREPLACE(BG73&amp;"""",""(?s)(.{1})"",""$1""&amp;CHAR(127)),""'"",""''""),CHAR(127))),1,true),""1"")"),"bcde1")</f>
        <v>bcde1</v>
      </c>
      <c r="BI73" s="16"/>
      <c r="BJ73" s="10" t="str">
        <f>IFERROR(__xludf.DUMMYFUNCTION("FILTER($K73:$T73,len($K73:$T73)=5)"),"fbgcd")</f>
        <v>fbgcd</v>
      </c>
      <c r="BK73" s="6" t="str">
        <f>IFERROR(__xludf.DUMMYFUNCTION("""COMPUTED_VALUE"""),"bgefd")</f>
        <v>bgefd</v>
      </c>
      <c r="BL73" s="6" t="str">
        <f>IFERROR(__xludf.DUMMYFUNCTION("""COMPUTED_VALUE"""),"dfcga")</f>
        <v>dfcga</v>
      </c>
      <c r="BM73" s="14" t="str">
        <f>IFERROR(__xludf.DUMMYFUNCTION("REGEXREPLACE( $BY73, CONCATENATE(""["",BJ73,""]""), """")"),"ae")</f>
        <v>ae</v>
      </c>
      <c r="BN73" s="14" t="str">
        <f>IFERROR(__xludf.DUMMYFUNCTION("REGEXREPLACE( $BY73, CONCATENATE(""["",BK73,""]""), """")"),"a")</f>
        <v>a</v>
      </c>
      <c r="BO73" s="14" t="str">
        <f>IFERROR(__xludf.DUMMYFUNCTION("REGEXREPLACE( $BY73, CONCATENATE(""["",BL73,""]""), """")"),"be")</f>
        <v>be</v>
      </c>
      <c r="BP73" s="11" t="str">
        <f t="shared" si="8"/>
        <v>bgefd</v>
      </c>
      <c r="BQ73" s="12" t="str">
        <f>IFERROR(__xludf.DUMMYFUNCTION("CONCATENATE(SORT(TRANSPOSE(SPLIT(REGEXREPLACE(REGEXREPLACE(BP73&amp;"""",""(?s)(.{1})"",""$1""&amp;CHAR(127)),""'"",""''""),CHAR(127))),1,true),""1"")"),"bdefg1")</f>
        <v>bdefg1</v>
      </c>
      <c r="BR73" s="16"/>
      <c r="BS73" s="10" t="str">
        <f>IFERROR(__xludf.DUMMYFUNCTION("FILTER(K73:T73,len(K73:T73)=6)"),"fgabec")</f>
        <v>fgabec</v>
      </c>
      <c r="BT73" s="6" t="str">
        <f>IFERROR(__xludf.DUMMYFUNCTION("""COMPUTED_VALUE"""),"dbagfe")</f>
        <v>dbagfe</v>
      </c>
      <c r="BU73" s="6" t="str">
        <f>IFERROR(__xludf.DUMMYFUNCTION("""COMPUTED_VALUE"""),"egbcdf")</f>
        <v>egbcdf</v>
      </c>
      <c r="BV73" s="6" t="str">
        <f>IFERROR(__xludf.DUMMYFUNCTION("REGEXREPLACE( $AR73, CONCATENATE(""["",BS73,""]""), """")"),"")</f>
        <v/>
      </c>
      <c r="BW73" s="6" t="str">
        <f>IFERROR(__xludf.DUMMYFUNCTION("REGEXREPLACE( $AR73, CONCATENATE(""["",BT73,""]""), """")"),"c")</f>
        <v>c</v>
      </c>
      <c r="BX73" s="6" t="str">
        <f>IFERROR(__xludf.DUMMYFUNCTION("REGEXREPLACE( $AR73, CONCATENATE(""["",BU73,""]""), """")"),"")</f>
        <v/>
      </c>
      <c r="BY73" s="12" t="str">
        <f t="shared" si="9"/>
        <v>dbagfe</v>
      </c>
      <c r="BZ73" s="12" t="str">
        <f>IFERROR(__xludf.DUMMYFUNCTION("CONCATENATE(SORT(TRANSPOSE(SPLIT(REGEXREPLACE(REGEXREPLACE(BY73&amp;"""",""(?s)(.{1})"",""$1""&amp;CHAR(127)),""'"",""''""),CHAR(127))),1,true),""1"")"),"abdefg1")</f>
        <v>abdefg1</v>
      </c>
      <c r="CA73" s="16"/>
      <c r="CB73" s="12" t="str">
        <f t="shared" si="10"/>
        <v>fbc</v>
      </c>
      <c r="CC73" s="12" t="str">
        <f>IFERROR(__xludf.DUMMYFUNCTION("CONCATENATE(SORT(TRANSPOSE(SPLIT(REGEXREPLACE(REGEXREPLACE(CB73&amp;"""",""(?s)(.{1})"",""$1""&amp;CHAR(127)),""'"",""''""),CHAR(127))),1,true),""1"")"),"bcf1")</f>
        <v>bcf1</v>
      </c>
      <c r="CD73" s="16"/>
      <c r="CE73" s="12" t="str">
        <f t="shared" si="11"/>
        <v>gabcedf</v>
      </c>
      <c r="CF73" s="12" t="str">
        <f>IFERROR(__xludf.DUMMYFUNCTION("CONCATENATE(SORT(TRANSPOSE(SPLIT(REGEXREPLACE(REGEXREPLACE(CE73&amp;"""",""(?s)(.{1})"",""$1""&amp;CHAR(127)),""'"",""''""),CHAR(127))),1,true),""1"")"),"abcdefg1")</f>
        <v>abcdefg1</v>
      </c>
      <c r="CG73" s="16"/>
      <c r="CH73" s="10" t="str">
        <f>IFERROR(__xludf.DUMMYFUNCTION("FILTER(K73:T73,len(K73:T73)=6)"),"fgabec")</f>
        <v>fgabec</v>
      </c>
      <c r="CI73" s="6" t="str">
        <f>IFERROR(__xludf.DUMMYFUNCTION("""COMPUTED_VALUE"""),"dbagfe")</f>
        <v>dbagfe</v>
      </c>
      <c r="CJ73" s="6" t="str">
        <f>IFERROR(__xludf.DUMMYFUNCTION("""COMPUTED_VALUE"""),"egbcdf")</f>
        <v>egbcdf</v>
      </c>
      <c r="CK73" s="6" t="str">
        <f>IFERROR(__xludf.DUMMYFUNCTION("REGEXREPLACE( $BG73, CONCATENATE(""["",CH73,""]""), """")"),"d")</f>
        <v>d</v>
      </c>
      <c r="CL73" s="6" t="str">
        <f>IFERROR(__xludf.DUMMYFUNCTION("REGEXREPLACE( $BG73, CONCATENATE(""["",CI73,""]""), """")"),"c")</f>
        <v>c</v>
      </c>
      <c r="CM73" s="6" t="str">
        <f>IFERROR(__xludf.DUMMYFUNCTION("REGEXREPLACE( $BG73, CONCATENATE(""["",CJ73,""]""), """")"),"")</f>
        <v/>
      </c>
      <c r="CN73" s="12" t="str">
        <f t="shared" si="12"/>
        <v>egbcdf</v>
      </c>
      <c r="CO73" s="12" t="str">
        <f>IFERROR(__xludf.DUMMYFUNCTION("CONCATENATE(SORT(TRANSPOSE(SPLIT(REGEXREPLACE(REGEXREPLACE(CN73&amp;"""",""(?s)(.{1})"",""$1""&amp;CHAR(127)),""'"",""''""),CHAR(127))),1,true),""1"")"),"bcdefg1")</f>
        <v>bcdefg1</v>
      </c>
      <c r="CP73" s="15"/>
    </row>
    <row r="74">
      <c r="A74" s="1" t="s">
        <v>94</v>
      </c>
      <c r="H74" s="6" t="str">
        <f>IFERROR(__xludf.DUMMYFUNCTION("SPLIT(A74,""|"")"),"baefcg ad fagec acedfg agdf efadcb fagedcb gdcea dac gbced ")</f>
        <v>baefcg ad fagec acedfg agdf efadcb fagedcb gdcea dac gbced </v>
      </c>
      <c r="I74" s="6" t="str">
        <f>IFERROR(__xludf.DUMMYFUNCTION("""COMPUTED_VALUE""")," cbegfda gfdcae fadecb dac")</f>
        <v> cbegfda gfdcae fadecb dac</v>
      </c>
      <c r="J74" s="15"/>
      <c r="K74" s="6" t="str">
        <f>IFERROR(__xludf.DUMMYFUNCTION("split(H74,"" "")"),"baefcg")</f>
        <v>baefcg</v>
      </c>
      <c r="L74" s="6" t="str">
        <f>IFERROR(__xludf.DUMMYFUNCTION("""COMPUTED_VALUE"""),"ad")</f>
        <v>ad</v>
      </c>
      <c r="M74" s="6" t="str">
        <f>IFERROR(__xludf.DUMMYFUNCTION("""COMPUTED_VALUE"""),"fagec")</f>
        <v>fagec</v>
      </c>
      <c r="N74" s="6" t="str">
        <f>IFERROR(__xludf.DUMMYFUNCTION("""COMPUTED_VALUE"""),"acedfg")</f>
        <v>acedfg</v>
      </c>
      <c r="O74" s="6" t="str">
        <f>IFERROR(__xludf.DUMMYFUNCTION("""COMPUTED_VALUE"""),"agdf")</f>
        <v>agdf</v>
      </c>
      <c r="P74" s="6" t="str">
        <f>IFERROR(__xludf.DUMMYFUNCTION("""COMPUTED_VALUE"""),"efadcb")</f>
        <v>efadcb</v>
      </c>
      <c r="Q74" s="6" t="str">
        <f>IFERROR(__xludf.DUMMYFUNCTION("""COMPUTED_VALUE"""),"fagedcb")</f>
        <v>fagedcb</v>
      </c>
      <c r="R74" s="6" t="str">
        <f>IFERROR(__xludf.DUMMYFUNCTION("""COMPUTED_VALUE"""),"gdcea")</f>
        <v>gdcea</v>
      </c>
      <c r="S74" s="6" t="str">
        <f>IFERROR(__xludf.DUMMYFUNCTION("""COMPUTED_VALUE"""),"dac")</f>
        <v>dac</v>
      </c>
      <c r="T74" s="6" t="str">
        <f>IFERROR(__xludf.DUMMYFUNCTION("""COMPUTED_VALUE"""),"gbced")</f>
        <v>gbced</v>
      </c>
      <c r="U74" s="15"/>
      <c r="V74" s="6" t="str">
        <f>IFERROR(__xludf.DUMMYFUNCTION("split(I74,"" "")"),"cbegfda")</f>
        <v>cbegfda</v>
      </c>
      <c r="W74" s="6" t="str">
        <f>IFERROR(__xludf.DUMMYFUNCTION("""COMPUTED_VALUE"""),"gfdcae")</f>
        <v>gfdcae</v>
      </c>
      <c r="X74" s="6" t="str">
        <f>IFERROR(__xludf.DUMMYFUNCTION("""COMPUTED_VALUE"""),"fadecb")</f>
        <v>fadecb</v>
      </c>
      <c r="Y74" s="6" t="str">
        <f>IFERROR(__xludf.DUMMYFUNCTION("""COMPUTED_VALUE"""),"dac")</f>
        <v>dac</v>
      </c>
      <c r="Z74" s="6" t="str">
        <f>IFERROR(__xludf.DUMMYFUNCTION("CONCATENATE(SORT(TRANSPOSE(SPLIT(REGEXREPLACE(REGEXREPLACE(V74&amp;"""",""(?s)(.{1})"",""$1""&amp;CHAR(127)),""'"",""''""),CHAR(127))),1,true))"),"abcdefg")</f>
        <v>abcdefg</v>
      </c>
      <c r="AA74" s="6" t="str">
        <f>IFERROR(__xludf.DUMMYFUNCTION("CONCATENATE(SORT(TRANSPOSE(SPLIT(REGEXREPLACE(REGEXREPLACE(W74&amp;"""",""(?s)(.{1})"",""$1""&amp;CHAR(127)),""'"",""''""),CHAR(127))),1,true))"),"acdefg")</f>
        <v>acdefg</v>
      </c>
      <c r="AB74" s="6" t="str">
        <f>IFERROR(__xludf.DUMMYFUNCTION("CONCATENATE(SORT(TRANSPOSE(SPLIT(REGEXREPLACE(REGEXREPLACE(X74&amp;"""",""(?s)(.{1})"",""$1""&amp;CHAR(127)),""'"",""''""),CHAR(127))),1,true))"),"abcdef")</f>
        <v>abcdef</v>
      </c>
      <c r="AC74" s="6" t="str">
        <f>IFERROR(__xludf.DUMMYFUNCTION("CONCATENATE(SORT(TRANSPOSE(SPLIT(REGEXREPLACE(REGEXREPLACE(Y74&amp;"""",""(?s)(.{1})"",""$1""&amp;CHAR(127)),""'"",""''""),CHAR(127))),1,true))"),"acd")</f>
        <v>acd</v>
      </c>
      <c r="AD74" s="6">
        <f t="shared" ref="AD74:AG74" si="84">INDEX($AO$1:$CP$1,1,MATCH(CONCATENATE(Z74,"1"),$AO74:$CP74,0)+1)</f>
        <v>8</v>
      </c>
      <c r="AE74" s="6">
        <f t="shared" si="84"/>
        <v>9</v>
      </c>
      <c r="AF74" s="6">
        <f t="shared" si="84"/>
        <v>0</v>
      </c>
      <c r="AG74" s="6">
        <f t="shared" si="84"/>
        <v>7</v>
      </c>
      <c r="AH74" s="6">
        <f t="shared" si="3"/>
        <v>8907</v>
      </c>
      <c r="AI74" s="16"/>
      <c r="AJ74" s="9" t="str">
        <f>IFERROR(__xludf.DUMMYFUNCTION("REGEXREPLACE(AR74,CONCATENATE(""["",BY74,""]""),"""")"),"d")</f>
        <v>d</v>
      </c>
      <c r="AK74" s="10" t="str">
        <f>IFERROR(__xludf.DUMMYFUNCTION("FILTER($K74:$T74,len($K74:$T74)=6,NOT($K74:$T74=BY74))"),"acedfg")</f>
        <v>acedfg</v>
      </c>
      <c r="AL74" s="6" t="str">
        <f>IFERROR(__xludf.DUMMYFUNCTION("""COMPUTED_VALUE"""),"efadcb")</f>
        <v>efadcb</v>
      </c>
      <c r="AM74" s="6" t="str">
        <f>IFERROR(__xludf.DUMMYFUNCTION("REGEXREPLACE( $BG74, CONCATENATE(""["",AK74,""]""), """")"),"")</f>
        <v/>
      </c>
      <c r="AN74" s="6" t="str">
        <f>IFERROR(__xludf.DUMMYFUNCTION("REGEXREPLACE( $BG74, CONCATENATE(""["",AL74,""]""), """")"),"g")</f>
        <v>g</v>
      </c>
      <c r="AO74" s="11" t="str">
        <f t="shared" si="4"/>
        <v>efadcb</v>
      </c>
      <c r="AP74" s="12" t="str">
        <f>IFERROR(__xludf.DUMMYFUNCTION("CONCATENATE(SORT(TRANSPOSE(SPLIT(REGEXREPLACE(REGEXREPLACE(AO74&amp;"""",""(?s)(.{1})"",""$1""&amp;CHAR(127)),""'"",""''""),CHAR(127))),1,true),""1"")"),"abcdef1")</f>
        <v>abcdef1</v>
      </c>
      <c r="AQ74" s="16"/>
      <c r="AR74" s="12" t="str">
        <f t="shared" si="5"/>
        <v>ad</v>
      </c>
      <c r="AS74" s="12" t="str">
        <f>IFERROR(__xludf.DUMMYFUNCTION("CONCATENATE(SORT(TRANSPOSE(SPLIT(REGEXREPLACE(REGEXREPLACE(AR74&amp;"""",""(?s)(.{1})"",""$1""&amp;CHAR(127)),""'"",""''""),CHAR(127))),1,true),""1"")"),"ad1")</f>
        <v>ad1</v>
      </c>
      <c r="AT74" s="16"/>
      <c r="AU74" s="13" t="str">
        <f>IFERROR(__xludf.DUMMYFUNCTION("FILTER($K74:$T74,len($K74:$T74)=5,NOT($K74:$T74=BD74),NOT($K74:$T74=BP74))"),"gbced")</f>
        <v>gbced</v>
      </c>
      <c r="AV74" s="12" t="str">
        <f>IFERROR(__xludf.DUMMYFUNCTION("CONCATENATE(SORT(TRANSPOSE(SPLIT(REGEXREPLACE(REGEXREPLACE(AU74&amp;"""",""(?s)(.{1})"",""$1""&amp;CHAR(127)),""'"",""''""),CHAR(127))),1,true),""1"")"),"bcdeg1")</f>
        <v>bcdeg1</v>
      </c>
      <c r="AW74" s="16"/>
      <c r="AX74" s="10" t="str">
        <f>IFERROR(__xludf.DUMMYFUNCTION("FILTER($K74:$T74,len($K74:$T74)=5)"),"fagec")</f>
        <v>fagec</v>
      </c>
      <c r="AY74" s="6" t="str">
        <f>IFERROR(__xludf.DUMMYFUNCTION("""COMPUTED_VALUE"""),"gdcea")</f>
        <v>gdcea</v>
      </c>
      <c r="AZ74" s="6" t="str">
        <f>IFERROR(__xludf.DUMMYFUNCTION("""COMPUTED_VALUE"""),"gbced")</f>
        <v>gbced</v>
      </c>
      <c r="BA74" s="6" t="str">
        <f>IFERROR(__xludf.DUMMYFUNCTION("REGEXREPLACE( $AR74, CONCATENATE(""["",AX74,""]""), """")"),"d")</f>
        <v>d</v>
      </c>
      <c r="BB74" s="6" t="str">
        <f>IFERROR(__xludf.DUMMYFUNCTION("REGEXREPLACE( $AR74, CONCATENATE(""["",AY74,""]""), """")"),"")</f>
        <v/>
      </c>
      <c r="BC74" s="6" t="str">
        <f>IFERROR(__xludf.DUMMYFUNCTION("REGEXREPLACE( $AR74, CONCATENATE(""["",AZ74,""]""), """")"),"a")</f>
        <v>a</v>
      </c>
      <c r="BD74" s="11" t="str">
        <f t="shared" si="6"/>
        <v>gdcea</v>
      </c>
      <c r="BE74" s="12" t="str">
        <f>IFERROR(__xludf.DUMMYFUNCTION("CONCATENATE(SORT(TRANSPOSE(SPLIT(REGEXREPLACE(REGEXREPLACE(BD74&amp;"""",""(?s)(.{1})"",""$1""&amp;CHAR(127)),""'"",""''""),CHAR(127))),1,true),""1"")"),"acdeg1")</f>
        <v>acdeg1</v>
      </c>
      <c r="BF74" s="16"/>
      <c r="BG74" s="12" t="str">
        <f t="shared" si="7"/>
        <v>agdf</v>
      </c>
      <c r="BH74" s="12" t="str">
        <f>IFERROR(__xludf.DUMMYFUNCTION("CONCATENATE(SORT(TRANSPOSE(SPLIT(REGEXREPLACE(REGEXREPLACE(BG74&amp;"""",""(?s)(.{1})"",""$1""&amp;CHAR(127)),""'"",""''""),CHAR(127))),1,true),""1"")"),"adfg1")</f>
        <v>adfg1</v>
      </c>
      <c r="BI74" s="16"/>
      <c r="BJ74" s="10" t="str">
        <f>IFERROR(__xludf.DUMMYFUNCTION("FILTER($K74:$T74,len($K74:$T74)=5)"),"fagec")</f>
        <v>fagec</v>
      </c>
      <c r="BK74" s="6" t="str">
        <f>IFERROR(__xludf.DUMMYFUNCTION("""COMPUTED_VALUE"""),"gdcea")</f>
        <v>gdcea</v>
      </c>
      <c r="BL74" s="6" t="str">
        <f>IFERROR(__xludf.DUMMYFUNCTION("""COMPUTED_VALUE"""),"gbced")</f>
        <v>gbced</v>
      </c>
      <c r="BM74" s="14" t="str">
        <f>IFERROR(__xludf.DUMMYFUNCTION("REGEXREPLACE( $BY74, CONCATENATE(""["",BJ74,""]""), """")"),"b")</f>
        <v>b</v>
      </c>
      <c r="BN74" s="14" t="str">
        <f>IFERROR(__xludf.DUMMYFUNCTION("REGEXREPLACE( $BY74, CONCATENATE(""["",BK74,""]""), """")"),"bf")</f>
        <v>bf</v>
      </c>
      <c r="BO74" s="14" t="str">
        <f>IFERROR(__xludf.DUMMYFUNCTION("REGEXREPLACE( $BY74, CONCATENATE(""["",BL74,""]""), """")"),"af")</f>
        <v>af</v>
      </c>
      <c r="BP74" s="11" t="str">
        <f t="shared" si="8"/>
        <v>fagec</v>
      </c>
      <c r="BQ74" s="12" t="str">
        <f>IFERROR(__xludf.DUMMYFUNCTION("CONCATENATE(SORT(TRANSPOSE(SPLIT(REGEXREPLACE(REGEXREPLACE(BP74&amp;"""",""(?s)(.{1})"",""$1""&amp;CHAR(127)),""'"",""''""),CHAR(127))),1,true),""1"")"),"acefg1")</f>
        <v>acefg1</v>
      </c>
      <c r="BR74" s="16"/>
      <c r="BS74" s="10" t="str">
        <f>IFERROR(__xludf.DUMMYFUNCTION("FILTER(K74:T74,len(K74:T74)=6)"),"baefcg")</f>
        <v>baefcg</v>
      </c>
      <c r="BT74" s="6" t="str">
        <f>IFERROR(__xludf.DUMMYFUNCTION("""COMPUTED_VALUE"""),"acedfg")</f>
        <v>acedfg</v>
      </c>
      <c r="BU74" s="6" t="str">
        <f>IFERROR(__xludf.DUMMYFUNCTION("""COMPUTED_VALUE"""),"efadcb")</f>
        <v>efadcb</v>
      </c>
      <c r="BV74" s="6" t="str">
        <f>IFERROR(__xludf.DUMMYFUNCTION("REGEXREPLACE( $AR74, CONCATENATE(""["",BS74,""]""), """")"),"d")</f>
        <v>d</v>
      </c>
      <c r="BW74" s="6" t="str">
        <f>IFERROR(__xludf.DUMMYFUNCTION("REGEXREPLACE( $AR74, CONCATENATE(""["",BT74,""]""), """")"),"")</f>
        <v/>
      </c>
      <c r="BX74" s="6" t="str">
        <f>IFERROR(__xludf.DUMMYFUNCTION("REGEXREPLACE( $AR74, CONCATENATE(""["",BU74,""]""), """")"),"")</f>
        <v/>
      </c>
      <c r="BY74" s="12" t="str">
        <f t="shared" si="9"/>
        <v>baefcg</v>
      </c>
      <c r="BZ74" s="12" t="str">
        <f>IFERROR(__xludf.DUMMYFUNCTION("CONCATENATE(SORT(TRANSPOSE(SPLIT(REGEXREPLACE(REGEXREPLACE(BY74&amp;"""",""(?s)(.{1})"",""$1""&amp;CHAR(127)),""'"",""''""),CHAR(127))),1,true),""1"")"),"abcefg1")</f>
        <v>abcefg1</v>
      </c>
      <c r="CA74" s="16"/>
      <c r="CB74" s="12" t="str">
        <f t="shared" si="10"/>
        <v>dac</v>
      </c>
      <c r="CC74" s="12" t="str">
        <f>IFERROR(__xludf.DUMMYFUNCTION("CONCATENATE(SORT(TRANSPOSE(SPLIT(REGEXREPLACE(REGEXREPLACE(CB74&amp;"""",""(?s)(.{1})"",""$1""&amp;CHAR(127)),""'"",""''""),CHAR(127))),1,true),""1"")"),"acd1")</f>
        <v>acd1</v>
      </c>
      <c r="CD74" s="16"/>
      <c r="CE74" s="12" t="str">
        <f t="shared" si="11"/>
        <v>fagedcb</v>
      </c>
      <c r="CF74" s="12" t="str">
        <f>IFERROR(__xludf.DUMMYFUNCTION("CONCATENATE(SORT(TRANSPOSE(SPLIT(REGEXREPLACE(REGEXREPLACE(CE74&amp;"""",""(?s)(.{1})"",""$1""&amp;CHAR(127)),""'"",""''""),CHAR(127))),1,true),""1"")"),"abcdefg1")</f>
        <v>abcdefg1</v>
      </c>
      <c r="CG74" s="16"/>
      <c r="CH74" s="10" t="str">
        <f>IFERROR(__xludf.DUMMYFUNCTION("FILTER(K74:T74,len(K74:T74)=6)"),"baefcg")</f>
        <v>baefcg</v>
      </c>
      <c r="CI74" s="6" t="str">
        <f>IFERROR(__xludf.DUMMYFUNCTION("""COMPUTED_VALUE"""),"acedfg")</f>
        <v>acedfg</v>
      </c>
      <c r="CJ74" s="6" t="str">
        <f>IFERROR(__xludf.DUMMYFUNCTION("""COMPUTED_VALUE"""),"efadcb")</f>
        <v>efadcb</v>
      </c>
      <c r="CK74" s="6" t="str">
        <f>IFERROR(__xludf.DUMMYFUNCTION("REGEXREPLACE( $BG74, CONCATENATE(""["",CH74,""]""), """")"),"d")</f>
        <v>d</v>
      </c>
      <c r="CL74" s="6" t="str">
        <f>IFERROR(__xludf.DUMMYFUNCTION("REGEXREPLACE( $BG74, CONCATENATE(""["",CI74,""]""), """")"),"")</f>
        <v/>
      </c>
      <c r="CM74" s="6" t="str">
        <f>IFERROR(__xludf.DUMMYFUNCTION("REGEXREPLACE( $BG74, CONCATENATE(""["",CJ74,""]""), """")"),"g")</f>
        <v>g</v>
      </c>
      <c r="CN74" s="12" t="str">
        <f t="shared" si="12"/>
        <v>acedfg</v>
      </c>
      <c r="CO74" s="12" t="str">
        <f>IFERROR(__xludf.DUMMYFUNCTION("CONCATENATE(SORT(TRANSPOSE(SPLIT(REGEXREPLACE(REGEXREPLACE(CN74&amp;"""",""(?s)(.{1})"",""$1""&amp;CHAR(127)),""'"",""''""),CHAR(127))),1,true),""1"")"),"acdefg1")</f>
        <v>acdefg1</v>
      </c>
      <c r="CP74" s="15"/>
    </row>
    <row r="75">
      <c r="A75" s="1" t="s">
        <v>95</v>
      </c>
      <c r="H75" s="6" t="str">
        <f>IFERROR(__xludf.DUMMYFUNCTION("SPLIT(A75,""|"")"),"gedfca acbdgef egdac gafbe acegdb aefgc cdfe cadbfg fc fca ")</f>
        <v>gedfca acbdgef egdac gafbe acegdb aefgc cdfe cadbfg fc fca </v>
      </c>
      <c r="I75" s="6" t="str">
        <f>IFERROR(__xludf.DUMMYFUNCTION("""COMPUTED_VALUE""")," caf cbgfdae cfabgd cfed")</f>
        <v> caf cbgfdae cfabgd cfed</v>
      </c>
      <c r="J75" s="15"/>
      <c r="K75" s="6" t="str">
        <f>IFERROR(__xludf.DUMMYFUNCTION("split(H75,"" "")"),"gedfca")</f>
        <v>gedfca</v>
      </c>
      <c r="L75" s="6" t="str">
        <f>IFERROR(__xludf.DUMMYFUNCTION("""COMPUTED_VALUE"""),"acbdgef")</f>
        <v>acbdgef</v>
      </c>
      <c r="M75" s="6" t="str">
        <f>IFERROR(__xludf.DUMMYFUNCTION("""COMPUTED_VALUE"""),"egdac")</f>
        <v>egdac</v>
      </c>
      <c r="N75" s="6" t="str">
        <f>IFERROR(__xludf.DUMMYFUNCTION("""COMPUTED_VALUE"""),"gafbe")</f>
        <v>gafbe</v>
      </c>
      <c r="O75" s="6" t="str">
        <f>IFERROR(__xludf.DUMMYFUNCTION("""COMPUTED_VALUE"""),"acegdb")</f>
        <v>acegdb</v>
      </c>
      <c r="P75" s="6" t="str">
        <f>IFERROR(__xludf.DUMMYFUNCTION("""COMPUTED_VALUE"""),"aefgc")</f>
        <v>aefgc</v>
      </c>
      <c r="Q75" s="6" t="str">
        <f>IFERROR(__xludf.DUMMYFUNCTION("""COMPUTED_VALUE"""),"cdfe")</f>
        <v>cdfe</v>
      </c>
      <c r="R75" s="6" t="str">
        <f>IFERROR(__xludf.DUMMYFUNCTION("""COMPUTED_VALUE"""),"cadbfg")</f>
        <v>cadbfg</v>
      </c>
      <c r="S75" s="6" t="str">
        <f>IFERROR(__xludf.DUMMYFUNCTION("""COMPUTED_VALUE"""),"fc")</f>
        <v>fc</v>
      </c>
      <c r="T75" s="6" t="str">
        <f>IFERROR(__xludf.DUMMYFUNCTION("""COMPUTED_VALUE"""),"fca")</f>
        <v>fca</v>
      </c>
      <c r="U75" s="15"/>
      <c r="V75" s="6" t="str">
        <f>IFERROR(__xludf.DUMMYFUNCTION("split(I75,"" "")"),"caf")</f>
        <v>caf</v>
      </c>
      <c r="W75" s="6" t="str">
        <f>IFERROR(__xludf.DUMMYFUNCTION("""COMPUTED_VALUE"""),"cbgfdae")</f>
        <v>cbgfdae</v>
      </c>
      <c r="X75" s="6" t="str">
        <f>IFERROR(__xludf.DUMMYFUNCTION("""COMPUTED_VALUE"""),"cfabgd")</f>
        <v>cfabgd</v>
      </c>
      <c r="Y75" s="6" t="str">
        <f>IFERROR(__xludf.DUMMYFUNCTION("""COMPUTED_VALUE"""),"cfed")</f>
        <v>cfed</v>
      </c>
      <c r="Z75" s="6" t="str">
        <f>IFERROR(__xludf.DUMMYFUNCTION("CONCATENATE(SORT(TRANSPOSE(SPLIT(REGEXREPLACE(REGEXREPLACE(V75&amp;"""",""(?s)(.{1})"",""$1""&amp;CHAR(127)),""'"",""''""),CHAR(127))),1,true))"),"acf")</f>
        <v>acf</v>
      </c>
      <c r="AA75" s="6" t="str">
        <f>IFERROR(__xludf.DUMMYFUNCTION("CONCATENATE(SORT(TRANSPOSE(SPLIT(REGEXREPLACE(REGEXREPLACE(W75&amp;"""",""(?s)(.{1})"",""$1""&amp;CHAR(127)),""'"",""''""),CHAR(127))),1,true))"),"abcdefg")</f>
        <v>abcdefg</v>
      </c>
      <c r="AB75" s="6" t="str">
        <f>IFERROR(__xludf.DUMMYFUNCTION("CONCATENATE(SORT(TRANSPOSE(SPLIT(REGEXREPLACE(REGEXREPLACE(X75&amp;"""",""(?s)(.{1})"",""$1""&amp;CHAR(127)),""'"",""''""),CHAR(127))),1,true))"),"abcdfg")</f>
        <v>abcdfg</v>
      </c>
      <c r="AC75" s="6" t="str">
        <f>IFERROR(__xludf.DUMMYFUNCTION("CONCATENATE(SORT(TRANSPOSE(SPLIT(REGEXREPLACE(REGEXREPLACE(Y75&amp;"""",""(?s)(.{1})"",""$1""&amp;CHAR(127)),""'"",""''""),CHAR(127))),1,true))"),"cdef")</f>
        <v>cdef</v>
      </c>
      <c r="AD75" s="6">
        <f t="shared" ref="AD75:AG75" si="85">INDEX($AO$1:$CP$1,1,MATCH(CONCATENATE(Z75,"1"),$AO75:$CP75,0)+1)</f>
        <v>7</v>
      </c>
      <c r="AE75" s="6">
        <f t="shared" si="85"/>
        <v>8</v>
      </c>
      <c r="AF75" s="6">
        <f t="shared" si="85"/>
        <v>0</v>
      </c>
      <c r="AG75" s="6">
        <f t="shared" si="85"/>
        <v>4</v>
      </c>
      <c r="AH75" s="6">
        <f t="shared" si="3"/>
        <v>7804</v>
      </c>
      <c r="AI75" s="16"/>
      <c r="AJ75" s="9" t="str">
        <f>IFERROR(__xludf.DUMMYFUNCTION("REGEXREPLACE(AR75,CONCATENATE(""["",BY75,""]""),"""")"),"f")</f>
        <v>f</v>
      </c>
      <c r="AK75" s="10" t="str">
        <f>IFERROR(__xludf.DUMMYFUNCTION("FILTER($K75:$T75,len($K75:$T75)=6,NOT($K75:$T75=BY75))"),"gedfca")</f>
        <v>gedfca</v>
      </c>
      <c r="AL75" s="6" t="str">
        <f>IFERROR(__xludf.DUMMYFUNCTION("""COMPUTED_VALUE"""),"cadbfg")</f>
        <v>cadbfg</v>
      </c>
      <c r="AM75" s="6" t="str">
        <f>IFERROR(__xludf.DUMMYFUNCTION("REGEXREPLACE( $BG75, CONCATENATE(""["",AK75,""]""), """")"),"")</f>
        <v/>
      </c>
      <c r="AN75" s="6" t="str">
        <f>IFERROR(__xludf.DUMMYFUNCTION("REGEXREPLACE( $BG75, CONCATENATE(""["",AL75,""]""), """")"),"e")</f>
        <v>e</v>
      </c>
      <c r="AO75" s="11" t="str">
        <f t="shared" si="4"/>
        <v>cadbfg</v>
      </c>
      <c r="AP75" s="12" t="str">
        <f>IFERROR(__xludf.DUMMYFUNCTION("CONCATENATE(SORT(TRANSPOSE(SPLIT(REGEXREPLACE(REGEXREPLACE(AO75&amp;"""",""(?s)(.{1})"",""$1""&amp;CHAR(127)),""'"",""''""),CHAR(127))),1,true),""1"")"),"abcdfg1")</f>
        <v>abcdfg1</v>
      </c>
      <c r="AQ75" s="16"/>
      <c r="AR75" s="12" t="str">
        <f t="shared" si="5"/>
        <v>fc</v>
      </c>
      <c r="AS75" s="12" t="str">
        <f>IFERROR(__xludf.DUMMYFUNCTION("CONCATENATE(SORT(TRANSPOSE(SPLIT(REGEXREPLACE(REGEXREPLACE(AR75&amp;"""",""(?s)(.{1})"",""$1""&amp;CHAR(127)),""'"",""''""),CHAR(127))),1,true),""1"")"),"cf1")</f>
        <v>cf1</v>
      </c>
      <c r="AT75" s="16"/>
      <c r="AU75" s="13" t="str">
        <f>IFERROR(__xludf.DUMMYFUNCTION("FILTER($K75:$T75,len($K75:$T75)=5,NOT($K75:$T75=BD75),NOT($K75:$T75=BP75))"),"gafbe")</f>
        <v>gafbe</v>
      </c>
      <c r="AV75" s="12" t="str">
        <f>IFERROR(__xludf.DUMMYFUNCTION("CONCATENATE(SORT(TRANSPOSE(SPLIT(REGEXREPLACE(REGEXREPLACE(AU75&amp;"""",""(?s)(.{1})"",""$1""&amp;CHAR(127)),""'"",""''""),CHAR(127))),1,true),""1"")"),"abefg1")</f>
        <v>abefg1</v>
      </c>
      <c r="AW75" s="16"/>
      <c r="AX75" s="10" t="str">
        <f>IFERROR(__xludf.DUMMYFUNCTION("FILTER($K75:$T75,len($K75:$T75)=5)"),"egdac")</f>
        <v>egdac</v>
      </c>
      <c r="AY75" s="6" t="str">
        <f>IFERROR(__xludf.DUMMYFUNCTION("""COMPUTED_VALUE"""),"gafbe")</f>
        <v>gafbe</v>
      </c>
      <c r="AZ75" s="6" t="str">
        <f>IFERROR(__xludf.DUMMYFUNCTION("""COMPUTED_VALUE"""),"aefgc")</f>
        <v>aefgc</v>
      </c>
      <c r="BA75" s="6" t="str">
        <f>IFERROR(__xludf.DUMMYFUNCTION("REGEXREPLACE( $AR75, CONCATENATE(""["",AX75,""]""), """")"),"f")</f>
        <v>f</v>
      </c>
      <c r="BB75" s="6" t="str">
        <f>IFERROR(__xludf.DUMMYFUNCTION("REGEXREPLACE( $AR75, CONCATENATE(""["",AY75,""]""), """")"),"c")</f>
        <v>c</v>
      </c>
      <c r="BC75" s="6" t="str">
        <f>IFERROR(__xludf.DUMMYFUNCTION("REGEXREPLACE( $AR75, CONCATENATE(""["",AZ75,""]""), """")"),"")</f>
        <v/>
      </c>
      <c r="BD75" s="11" t="str">
        <f t="shared" si="6"/>
        <v>aefgc</v>
      </c>
      <c r="BE75" s="12" t="str">
        <f>IFERROR(__xludf.DUMMYFUNCTION("CONCATENATE(SORT(TRANSPOSE(SPLIT(REGEXREPLACE(REGEXREPLACE(BD75&amp;"""",""(?s)(.{1})"",""$1""&amp;CHAR(127)),""'"",""''""),CHAR(127))),1,true),""1"")"),"acefg1")</f>
        <v>acefg1</v>
      </c>
      <c r="BF75" s="16"/>
      <c r="BG75" s="12" t="str">
        <f t="shared" si="7"/>
        <v>cdfe</v>
      </c>
      <c r="BH75" s="12" t="str">
        <f>IFERROR(__xludf.DUMMYFUNCTION("CONCATENATE(SORT(TRANSPOSE(SPLIT(REGEXREPLACE(REGEXREPLACE(BG75&amp;"""",""(?s)(.{1})"",""$1""&amp;CHAR(127)),""'"",""''""),CHAR(127))),1,true),""1"")"),"cdef1")</f>
        <v>cdef1</v>
      </c>
      <c r="BI75" s="16"/>
      <c r="BJ75" s="10" t="str">
        <f>IFERROR(__xludf.DUMMYFUNCTION("FILTER($K75:$T75,len($K75:$T75)=5)"),"egdac")</f>
        <v>egdac</v>
      </c>
      <c r="BK75" s="6" t="str">
        <f>IFERROR(__xludf.DUMMYFUNCTION("""COMPUTED_VALUE"""),"gafbe")</f>
        <v>gafbe</v>
      </c>
      <c r="BL75" s="6" t="str">
        <f>IFERROR(__xludf.DUMMYFUNCTION("""COMPUTED_VALUE"""),"aefgc")</f>
        <v>aefgc</v>
      </c>
      <c r="BM75" s="14" t="str">
        <f>IFERROR(__xludf.DUMMYFUNCTION("REGEXREPLACE( $BY75, CONCATENATE(""["",BJ75,""]""), """")"),"b")</f>
        <v>b</v>
      </c>
      <c r="BN75" s="14" t="str">
        <f>IFERROR(__xludf.DUMMYFUNCTION("REGEXREPLACE( $BY75, CONCATENATE(""["",BK75,""]""), """")"),"cd")</f>
        <v>cd</v>
      </c>
      <c r="BO75" s="14" t="str">
        <f>IFERROR(__xludf.DUMMYFUNCTION("REGEXREPLACE( $BY75, CONCATENATE(""["",BL75,""]""), """")"),"db")</f>
        <v>db</v>
      </c>
      <c r="BP75" s="11" t="str">
        <f t="shared" si="8"/>
        <v>egdac</v>
      </c>
      <c r="BQ75" s="12" t="str">
        <f>IFERROR(__xludf.DUMMYFUNCTION("CONCATENATE(SORT(TRANSPOSE(SPLIT(REGEXREPLACE(REGEXREPLACE(BP75&amp;"""",""(?s)(.{1})"",""$1""&amp;CHAR(127)),""'"",""''""),CHAR(127))),1,true),""1"")"),"acdeg1")</f>
        <v>acdeg1</v>
      </c>
      <c r="BR75" s="16"/>
      <c r="BS75" s="10" t="str">
        <f>IFERROR(__xludf.DUMMYFUNCTION("FILTER(K75:T75,len(K75:T75)=6)"),"gedfca")</f>
        <v>gedfca</v>
      </c>
      <c r="BT75" s="6" t="str">
        <f>IFERROR(__xludf.DUMMYFUNCTION("""COMPUTED_VALUE"""),"acegdb")</f>
        <v>acegdb</v>
      </c>
      <c r="BU75" s="6" t="str">
        <f>IFERROR(__xludf.DUMMYFUNCTION("""COMPUTED_VALUE"""),"cadbfg")</f>
        <v>cadbfg</v>
      </c>
      <c r="BV75" s="6" t="str">
        <f>IFERROR(__xludf.DUMMYFUNCTION("REGEXREPLACE( $AR75, CONCATENATE(""["",BS75,""]""), """")"),"")</f>
        <v/>
      </c>
      <c r="BW75" s="6" t="str">
        <f>IFERROR(__xludf.DUMMYFUNCTION("REGEXREPLACE( $AR75, CONCATENATE(""["",BT75,""]""), """")"),"f")</f>
        <v>f</v>
      </c>
      <c r="BX75" s="6" t="str">
        <f>IFERROR(__xludf.DUMMYFUNCTION("REGEXREPLACE( $AR75, CONCATENATE(""["",BU75,""]""), """")"),"")</f>
        <v/>
      </c>
      <c r="BY75" s="12" t="str">
        <f t="shared" si="9"/>
        <v>acegdb</v>
      </c>
      <c r="BZ75" s="12" t="str">
        <f>IFERROR(__xludf.DUMMYFUNCTION("CONCATENATE(SORT(TRANSPOSE(SPLIT(REGEXREPLACE(REGEXREPLACE(BY75&amp;"""",""(?s)(.{1})"",""$1""&amp;CHAR(127)),""'"",""''""),CHAR(127))),1,true),""1"")"),"abcdeg1")</f>
        <v>abcdeg1</v>
      </c>
      <c r="CA75" s="16"/>
      <c r="CB75" s="12" t="str">
        <f t="shared" si="10"/>
        <v>fca</v>
      </c>
      <c r="CC75" s="12" t="str">
        <f>IFERROR(__xludf.DUMMYFUNCTION("CONCATENATE(SORT(TRANSPOSE(SPLIT(REGEXREPLACE(REGEXREPLACE(CB75&amp;"""",""(?s)(.{1})"",""$1""&amp;CHAR(127)),""'"",""''""),CHAR(127))),1,true),""1"")"),"acf1")</f>
        <v>acf1</v>
      </c>
      <c r="CD75" s="16"/>
      <c r="CE75" s="12" t="str">
        <f t="shared" si="11"/>
        <v>acbdgef</v>
      </c>
      <c r="CF75" s="12" t="str">
        <f>IFERROR(__xludf.DUMMYFUNCTION("CONCATENATE(SORT(TRANSPOSE(SPLIT(REGEXREPLACE(REGEXREPLACE(CE75&amp;"""",""(?s)(.{1})"",""$1""&amp;CHAR(127)),""'"",""''""),CHAR(127))),1,true),""1"")"),"abcdefg1")</f>
        <v>abcdefg1</v>
      </c>
      <c r="CG75" s="16"/>
      <c r="CH75" s="10" t="str">
        <f>IFERROR(__xludf.DUMMYFUNCTION("FILTER(K75:T75,len(K75:T75)=6)"),"gedfca")</f>
        <v>gedfca</v>
      </c>
      <c r="CI75" s="6" t="str">
        <f>IFERROR(__xludf.DUMMYFUNCTION("""COMPUTED_VALUE"""),"acegdb")</f>
        <v>acegdb</v>
      </c>
      <c r="CJ75" s="6" t="str">
        <f>IFERROR(__xludf.DUMMYFUNCTION("""COMPUTED_VALUE"""),"cadbfg")</f>
        <v>cadbfg</v>
      </c>
      <c r="CK75" s="6" t="str">
        <f>IFERROR(__xludf.DUMMYFUNCTION("REGEXREPLACE( $BG75, CONCATENATE(""["",CH75,""]""), """")"),"")</f>
        <v/>
      </c>
      <c r="CL75" s="6" t="str">
        <f>IFERROR(__xludf.DUMMYFUNCTION("REGEXREPLACE( $BG75, CONCATENATE(""["",CI75,""]""), """")"),"f")</f>
        <v>f</v>
      </c>
      <c r="CM75" s="6" t="str">
        <f>IFERROR(__xludf.DUMMYFUNCTION("REGEXREPLACE( $BG75, CONCATENATE(""["",CJ75,""]""), """")"),"e")</f>
        <v>e</v>
      </c>
      <c r="CN75" s="12" t="str">
        <f t="shared" si="12"/>
        <v>gedfca</v>
      </c>
      <c r="CO75" s="12" t="str">
        <f>IFERROR(__xludf.DUMMYFUNCTION("CONCATENATE(SORT(TRANSPOSE(SPLIT(REGEXREPLACE(REGEXREPLACE(CN75&amp;"""",""(?s)(.{1})"",""$1""&amp;CHAR(127)),""'"",""''""),CHAR(127))),1,true),""1"")"),"acdefg1")</f>
        <v>acdefg1</v>
      </c>
      <c r="CP75" s="15"/>
    </row>
    <row r="76">
      <c r="A76" s="1" t="s">
        <v>96</v>
      </c>
      <c r="H76" s="6" t="str">
        <f>IFERROR(__xludf.DUMMYFUNCTION("SPLIT(A76,""|"")"),"agdfc ebdgac eafdgc degca af cdegbaf efca dgfcb bdfage fga ")</f>
        <v>agdfc ebdgac eafdgc degca af cdegbaf efca dgfcb bdfage fga </v>
      </c>
      <c r="I76" s="6" t="str">
        <f>IFERROR(__xludf.DUMMYFUNCTION("""COMPUTED_VALUE""")," cegad gaf befadg dafgc")</f>
        <v> cegad gaf befadg dafgc</v>
      </c>
      <c r="J76" s="15"/>
      <c r="K76" s="6" t="str">
        <f>IFERROR(__xludf.DUMMYFUNCTION("split(H76,"" "")"),"agdfc")</f>
        <v>agdfc</v>
      </c>
      <c r="L76" s="6" t="str">
        <f>IFERROR(__xludf.DUMMYFUNCTION("""COMPUTED_VALUE"""),"ebdgac")</f>
        <v>ebdgac</v>
      </c>
      <c r="M76" s="6" t="str">
        <f>IFERROR(__xludf.DUMMYFUNCTION("""COMPUTED_VALUE"""),"eafdgc")</f>
        <v>eafdgc</v>
      </c>
      <c r="N76" s="6" t="str">
        <f>IFERROR(__xludf.DUMMYFUNCTION("""COMPUTED_VALUE"""),"degca")</f>
        <v>degca</v>
      </c>
      <c r="O76" s="6" t="str">
        <f>IFERROR(__xludf.DUMMYFUNCTION("""COMPUTED_VALUE"""),"af")</f>
        <v>af</v>
      </c>
      <c r="P76" s="6" t="str">
        <f>IFERROR(__xludf.DUMMYFUNCTION("""COMPUTED_VALUE"""),"cdegbaf")</f>
        <v>cdegbaf</v>
      </c>
      <c r="Q76" s="6" t="str">
        <f>IFERROR(__xludf.DUMMYFUNCTION("""COMPUTED_VALUE"""),"efca")</f>
        <v>efca</v>
      </c>
      <c r="R76" s="6" t="str">
        <f>IFERROR(__xludf.DUMMYFUNCTION("""COMPUTED_VALUE"""),"dgfcb")</f>
        <v>dgfcb</v>
      </c>
      <c r="S76" s="6" t="str">
        <f>IFERROR(__xludf.DUMMYFUNCTION("""COMPUTED_VALUE"""),"bdfage")</f>
        <v>bdfage</v>
      </c>
      <c r="T76" s="6" t="str">
        <f>IFERROR(__xludf.DUMMYFUNCTION("""COMPUTED_VALUE"""),"fga")</f>
        <v>fga</v>
      </c>
      <c r="U76" s="15"/>
      <c r="V76" s="6" t="str">
        <f>IFERROR(__xludf.DUMMYFUNCTION("split(I76,"" "")"),"cegad")</f>
        <v>cegad</v>
      </c>
      <c r="W76" s="6" t="str">
        <f>IFERROR(__xludf.DUMMYFUNCTION("""COMPUTED_VALUE"""),"gaf")</f>
        <v>gaf</v>
      </c>
      <c r="X76" s="6" t="str">
        <f>IFERROR(__xludf.DUMMYFUNCTION("""COMPUTED_VALUE"""),"befadg")</f>
        <v>befadg</v>
      </c>
      <c r="Y76" s="6" t="str">
        <f>IFERROR(__xludf.DUMMYFUNCTION("""COMPUTED_VALUE"""),"dafgc")</f>
        <v>dafgc</v>
      </c>
      <c r="Z76" s="6" t="str">
        <f>IFERROR(__xludf.DUMMYFUNCTION("CONCATENATE(SORT(TRANSPOSE(SPLIT(REGEXREPLACE(REGEXREPLACE(V76&amp;"""",""(?s)(.{1})"",""$1""&amp;CHAR(127)),""'"",""''""),CHAR(127))),1,true))"),"acdeg")</f>
        <v>acdeg</v>
      </c>
      <c r="AA76" s="6" t="str">
        <f>IFERROR(__xludf.DUMMYFUNCTION("CONCATENATE(SORT(TRANSPOSE(SPLIT(REGEXREPLACE(REGEXREPLACE(W76&amp;"""",""(?s)(.{1})"",""$1""&amp;CHAR(127)),""'"",""''""),CHAR(127))),1,true))"),"afg")</f>
        <v>afg</v>
      </c>
      <c r="AB76" s="6" t="str">
        <f>IFERROR(__xludf.DUMMYFUNCTION("CONCATENATE(SORT(TRANSPOSE(SPLIT(REGEXREPLACE(REGEXREPLACE(X76&amp;"""",""(?s)(.{1})"",""$1""&amp;CHAR(127)),""'"",""''""),CHAR(127))),1,true))"),"abdefg")</f>
        <v>abdefg</v>
      </c>
      <c r="AC76" s="6" t="str">
        <f>IFERROR(__xludf.DUMMYFUNCTION("CONCATENATE(SORT(TRANSPOSE(SPLIT(REGEXREPLACE(REGEXREPLACE(Y76&amp;"""",""(?s)(.{1})"",""$1""&amp;CHAR(127)),""'"",""''""),CHAR(127))),1,true))"),"acdfg")</f>
        <v>acdfg</v>
      </c>
      <c r="AD76" s="6">
        <f t="shared" ref="AD76:AG76" si="86">INDEX($AO$1:$CP$1,1,MATCH(CONCATENATE(Z76,"1"),$AO76:$CP76,0)+1)</f>
        <v>5</v>
      </c>
      <c r="AE76" s="6">
        <f t="shared" si="86"/>
        <v>7</v>
      </c>
      <c r="AF76" s="6">
        <f t="shared" si="86"/>
        <v>0</v>
      </c>
      <c r="AG76" s="6">
        <f t="shared" si="86"/>
        <v>3</v>
      </c>
      <c r="AH76" s="6">
        <f t="shared" si="3"/>
        <v>5703</v>
      </c>
      <c r="AI76" s="16"/>
      <c r="AJ76" s="9" t="str">
        <f>IFERROR(__xludf.DUMMYFUNCTION("REGEXREPLACE(AR76,CONCATENATE(""["",BY76,""]""),"""")"),"f")</f>
        <v>f</v>
      </c>
      <c r="AK76" s="10" t="str">
        <f>IFERROR(__xludf.DUMMYFUNCTION("FILTER($K76:$T76,len($K76:$T76)=6,NOT($K76:$T76=BY76))"),"eafdgc")</f>
        <v>eafdgc</v>
      </c>
      <c r="AL76" s="6" t="str">
        <f>IFERROR(__xludf.DUMMYFUNCTION("""COMPUTED_VALUE"""),"bdfage")</f>
        <v>bdfage</v>
      </c>
      <c r="AM76" s="6" t="str">
        <f>IFERROR(__xludf.DUMMYFUNCTION("REGEXREPLACE( $BG76, CONCATENATE(""["",AK76,""]""), """")"),"")</f>
        <v/>
      </c>
      <c r="AN76" s="6" t="str">
        <f>IFERROR(__xludf.DUMMYFUNCTION("REGEXREPLACE( $BG76, CONCATENATE(""["",AL76,""]""), """")"),"c")</f>
        <v>c</v>
      </c>
      <c r="AO76" s="11" t="str">
        <f t="shared" si="4"/>
        <v>bdfage</v>
      </c>
      <c r="AP76" s="12" t="str">
        <f>IFERROR(__xludf.DUMMYFUNCTION("CONCATENATE(SORT(TRANSPOSE(SPLIT(REGEXREPLACE(REGEXREPLACE(AO76&amp;"""",""(?s)(.{1})"",""$1""&amp;CHAR(127)),""'"",""''""),CHAR(127))),1,true),""1"")"),"abdefg1")</f>
        <v>abdefg1</v>
      </c>
      <c r="AQ76" s="16"/>
      <c r="AR76" s="12" t="str">
        <f t="shared" si="5"/>
        <v>af</v>
      </c>
      <c r="AS76" s="12" t="str">
        <f>IFERROR(__xludf.DUMMYFUNCTION("CONCATENATE(SORT(TRANSPOSE(SPLIT(REGEXREPLACE(REGEXREPLACE(AR76&amp;"""",""(?s)(.{1})"",""$1""&amp;CHAR(127)),""'"",""''""),CHAR(127))),1,true),""1"")"),"af1")</f>
        <v>af1</v>
      </c>
      <c r="AT76" s="16"/>
      <c r="AU76" s="13" t="str">
        <f>IFERROR(__xludf.DUMMYFUNCTION("FILTER($K76:$T76,len($K76:$T76)=5,NOT($K76:$T76=BD76),NOT($K76:$T76=BP76))"),"dgfcb")</f>
        <v>dgfcb</v>
      </c>
      <c r="AV76" s="12" t="str">
        <f>IFERROR(__xludf.DUMMYFUNCTION("CONCATENATE(SORT(TRANSPOSE(SPLIT(REGEXREPLACE(REGEXREPLACE(AU76&amp;"""",""(?s)(.{1})"",""$1""&amp;CHAR(127)),""'"",""''""),CHAR(127))),1,true),""1"")"),"bcdfg1")</f>
        <v>bcdfg1</v>
      </c>
      <c r="AW76" s="16"/>
      <c r="AX76" s="10" t="str">
        <f>IFERROR(__xludf.DUMMYFUNCTION("FILTER($K76:$T76,len($K76:$T76)=5)"),"agdfc")</f>
        <v>agdfc</v>
      </c>
      <c r="AY76" s="6" t="str">
        <f>IFERROR(__xludf.DUMMYFUNCTION("""COMPUTED_VALUE"""),"degca")</f>
        <v>degca</v>
      </c>
      <c r="AZ76" s="6" t="str">
        <f>IFERROR(__xludf.DUMMYFUNCTION("""COMPUTED_VALUE"""),"dgfcb")</f>
        <v>dgfcb</v>
      </c>
      <c r="BA76" s="6" t="str">
        <f>IFERROR(__xludf.DUMMYFUNCTION("REGEXREPLACE( $AR76, CONCATENATE(""["",AX76,""]""), """")"),"")</f>
        <v/>
      </c>
      <c r="BB76" s="6" t="str">
        <f>IFERROR(__xludf.DUMMYFUNCTION("REGEXREPLACE( $AR76, CONCATENATE(""["",AY76,""]""), """")"),"f")</f>
        <v>f</v>
      </c>
      <c r="BC76" s="6" t="str">
        <f>IFERROR(__xludf.DUMMYFUNCTION("REGEXREPLACE( $AR76, CONCATENATE(""["",AZ76,""]""), """")"),"a")</f>
        <v>a</v>
      </c>
      <c r="BD76" s="11" t="str">
        <f t="shared" si="6"/>
        <v>agdfc</v>
      </c>
      <c r="BE76" s="12" t="str">
        <f>IFERROR(__xludf.DUMMYFUNCTION("CONCATENATE(SORT(TRANSPOSE(SPLIT(REGEXREPLACE(REGEXREPLACE(BD76&amp;"""",""(?s)(.{1})"",""$1""&amp;CHAR(127)),""'"",""''""),CHAR(127))),1,true),""1"")"),"acdfg1")</f>
        <v>acdfg1</v>
      </c>
      <c r="BF76" s="16"/>
      <c r="BG76" s="12" t="str">
        <f t="shared" si="7"/>
        <v>efca</v>
      </c>
      <c r="BH76" s="12" t="str">
        <f>IFERROR(__xludf.DUMMYFUNCTION("CONCATENATE(SORT(TRANSPOSE(SPLIT(REGEXREPLACE(REGEXREPLACE(BG76&amp;"""",""(?s)(.{1})"",""$1""&amp;CHAR(127)),""'"",""''""),CHAR(127))),1,true),""1"")"),"acef1")</f>
        <v>acef1</v>
      </c>
      <c r="BI76" s="16"/>
      <c r="BJ76" s="10" t="str">
        <f>IFERROR(__xludf.DUMMYFUNCTION("FILTER($K76:$T76,len($K76:$T76)=5)"),"agdfc")</f>
        <v>agdfc</v>
      </c>
      <c r="BK76" s="6" t="str">
        <f>IFERROR(__xludf.DUMMYFUNCTION("""COMPUTED_VALUE"""),"degca")</f>
        <v>degca</v>
      </c>
      <c r="BL76" s="6" t="str">
        <f>IFERROR(__xludf.DUMMYFUNCTION("""COMPUTED_VALUE"""),"dgfcb")</f>
        <v>dgfcb</v>
      </c>
      <c r="BM76" s="14" t="str">
        <f>IFERROR(__xludf.DUMMYFUNCTION("REGEXREPLACE( $BY76, CONCATENATE(""["",BJ76,""]""), """")"),"eb")</f>
        <v>eb</v>
      </c>
      <c r="BN76" s="14" t="str">
        <f>IFERROR(__xludf.DUMMYFUNCTION("REGEXREPLACE( $BY76, CONCATENATE(""["",BK76,""]""), """")"),"b")</f>
        <v>b</v>
      </c>
      <c r="BO76" s="14" t="str">
        <f>IFERROR(__xludf.DUMMYFUNCTION("REGEXREPLACE( $BY76, CONCATENATE(""["",BL76,""]""), """")"),"ea")</f>
        <v>ea</v>
      </c>
      <c r="BP76" s="11" t="str">
        <f t="shared" si="8"/>
        <v>degca</v>
      </c>
      <c r="BQ76" s="12" t="str">
        <f>IFERROR(__xludf.DUMMYFUNCTION("CONCATENATE(SORT(TRANSPOSE(SPLIT(REGEXREPLACE(REGEXREPLACE(BP76&amp;"""",""(?s)(.{1})"",""$1""&amp;CHAR(127)),""'"",""''""),CHAR(127))),1,true),""1"")"),"acdeg1")</f>
        <v>acdeg1</v>
      </c>
      <c r="BR76" s="16"/>
      <c r="BS76" s="10" t="str">
        <f>IFERROR(__xludf.DUMMYFUNCTION("FILTER(K76:T76,len(K76:T76)=6)"),"ebdgac")</f>
        <v>ebdgac</v>
      </c>
      <c r="BT76" s="6" t="str">
        <f>IFERROR(__xludf.DUMMYFUNCTION("""COMPUTED_VALUE"""),"eafdgc")</f>
        <v>eafdgc</v>
      </c>
      <c r="BU76" s="6" t="str">
        <f>IFERROR(__xludf.DUMMYFUNCTION("""COMPUTED_VALUE"""),"bdfage")</f>
        <v>bdfage</v>
      </c>
      <c r="BV76" s="6" t="str">
        <f>IFERROR(__xludf.DUMMYFUNCTION("REGEXREPLACE( $AR76, CONCATENATE(""["",BS76,""]""), """")"),"f")</f>
        <v>f</v>
      </c>
      <c r="BW76" s="6" t="str">
        <f>IFERROR(__xludf.DUMMYFUNCTION("REGEXREPLACE( $AR76, CONCATENATE(""["",BT76,""]""), """")"),"")</f>
        <v/>
      </c>
      <c r="BX76" s="6" t="str">
        <f>IFERROR(__xludf.DUMMYFUNCTION("REGEXREPLACE( $AR76, CONCATENATE(""["",BU76,""]""), """")"),"")</f>
        <v/>
      </c>
      <c r="BY76" s="12" t="str">
        <f t="shared" si="9"/>
        <v>ebdgac</v>
      </c>
      <c r="BZ76" s="12" t="str">
        <f>IFERROR(__xludf.DUMMYFUNCTION("CONCATENATE(SORT(TRANSPOSE(SPLIT(REGEXREPLACE(REGEXREPLACE(BY76&amp;"""",""(?s)(.{1})"",""$1""&amp;CHAR(127)),""'"",""''""),CHAR(127))),1,true),""1"")"),"abcdeg1")</f>
        <v>abcdeg1</v>
      </c>
      <c r="CA76" s="16"/>
      <c r="CB76" s="12" t="str">
        <f t="shared" si="10"/>
        <v>fga</v>
      </c>
      <c r="CC76" s="12" t="str">
        <f>IFERROR(__xludf.DUMMYFUNCTION("CONCATENATE(SORT(TRANSPOSE(SPLIT(REGEXREPLACE(REGEXREPLACE(CB76&amp;"""",""(?s)(.{1})"",""$1""&amp;CHAR(127)),""'"",""''""),CHAR(127))),1,true),""1"")"),"afg1")</f>
        <v>afg1</v>
      </c>
      <c r="CD76" s="16"/>
      <c r="CE76" s="12" t="str">
        <f t="shared" si="11"/>
        <v>cdegbaf</v>
      </c>
      <c r="CF76" s="12" t="str">
        <f>IFERROR(__xludf.DUMMYFUNCTION("CONCATENATE(SORT(TRANSPOSE(SPLIT(REGEXREPLACE(REGEXREPLACE(CE76&amp;"""",""(?s)(.{1})"",""$1""&amp;CHAR(127)),""'"",""''""),CHAR(127))),1,true),""1"")"),"abcdefg1")</f>
        <v>abcdefg1</v>
      </c>
      <c r="CG76" s="16"/>
      <c r="CH76" s="10" t="str">
        <f>IFERROR(__xludf.DUMMYFUNCTION("FILTER(K76:T76,len(K76:T76)=6)"),"ebdgac")</f>
        <v>ebdgac</v>
      </c>
      <c r="CI76" s="6" t="str">
        <f>IFERROR(__xludf.DUMMYFUNCTION("""COMPUTED_VALUE"""),"eafdgc")</f>
        <v>eafdgc</v>
      </c>
      <c r="CJ76" s="6" t="str">
        <f>IFERROR(__xludf.DUMMYFUNCTION("""COMPUTED_VALUE"""),"bdfage")</f>
        <v>bdfage</v>
      </c>
      <c r="CK76" s="6" t="str">
        <f>IFERROR(__xludf.DUMMYFUNCTION("REGEXREPLACE( $BG76, CONCATENATE(""["",CH76,""]""), """")"),"f")</f>
        <v>f</v>
      </c>
      <c r="CL76" s="6" t="str">
        <f>IFERROR(__xludf.DUMMYFUNCTION("REGEXREPLACE( $BG76, CONCATENATE(""["",CI76,""]""), """")"),"")</f>
        <v/>
      </c>
      <c r="CM76" s="6" t="str">
        <f>IFERROR(__xludf.DUMMYFUNCTION("REGEXREPLACE( $BG76, CONCATENATE(""["",CJ76,""]""), """")"),"c")</f>
        <v>c</v>
      </c>
      <c r="CN76" s="12" t="str">
        <f t="shared" si="12"/>
        <v>eafdgc</v>
      </c>
      <c r="CO76" s="12" t="str">
        <f>IFERROR(__xludf.DUMMYFUNCTION("CONCATENATE(SORT(TRANSPOSE(SPLIT(REGEXREPLACE(REGEXREPLACE(CN76&amp;"""",""(?s)(.{1})"",""$1""&amp;CHAR(127)),""'"",""''""),CHAR(127))),1,true),""1"")"),"acdefg1")</f>
        <v>acdefg1</v>
      </c>
      <c r="CP76" s="15"/>
    </row>
    <row r="77">
      <c r="A77" s="1" t="s">
        <v>97</v>
      </c>
      <c r="H77" s="6" t="str">
        <f>IFERROR(__xludf.DUMMYFUNCTION("SPLIT(A77,""|"")"),"cbadef dabfge caedb feac adgcfb ea bacfd eda deafbcg gbedc ")</f>
        <v>cbadef dabfge caedb feac adgcfb ea bacfd eda deafbcg gbedc </v>
      </c>
      <c r="I77" s="6" t="str">
        <f>IFERROR(__xludf.DUMMYFUNCTION("""COMPUTED_VALUE""")," ea gacbedf efac acef")</f>
        <v> ea gacbedf efac acef</v>
      </c>
      <c r="J77" s="15"/>
      <c r="K77" s="6" t="str">
        <f>IFERROR(__xludf.DUMMYFUNCTION("split(H77,"" "")"),"cbadef")</f>
        <v>cbadef</v>
      </c>
      <c r="L77" s="6" t="str">
        <f>IFERROR(__xludf.DUMMYFUNCTION("""COMPUTED_VALUE"""),"dabfge")</f>
        <v>dabfge</v>
      </c>
      <c r="M77" s="6" t="str">
        <f>IFERROR(__xludf.DUMMYFUNCTION("""COMPUTED_VALUE"""),"caedb")</f>
        <v>caedb</v>
      </c>
      <c r="N77" s="6" t="str">
        <f>IFERROR(__xludf.DUMMYFUNCTION("""COMPUTED_VALUE"""),"feac")</f>
        <v>feac</v>
      </c>
      <c r="O77" s="6" t="str">
        <f>IFERROR(__xludf.DUMMYFUNCTION("""COMPUTED_VALUE"""),"adgcfb")</f>
        <v>adgcfb</v>
      </c>
      <c r="P77" s="6" t="str">
        <f>IFERROR(__xludf.DUMMYFUNCTION("""COMPUTED_VALUE"""),"ea")</f>
        <v>ea</v>
      </c>
      <c r="Q77" s="6" t="str">
        <f>IFERROR(__xludf.DUMMYFUNCTION("""COMPUTED_VALUE"""),"bacfd")</f>
        <v>bacfd</v>
      </c>
      <c r="R77" s="6" t="str">
        <f>IFERROR(__xludf.DUMMYFUNCTION("""COMPUTED_VALUE"""),"eda")</f>
        <v>eda</v>
      </c>
      <c r="S77" s="6" t="str">
        <f>IFERROR(__xludf.DUMMYFUNCTION("""COMPUTED_VALUE"""),"deafbcg")</f>
        <v>deafbcg</v>
      </c>
      <c r="T77" s="6" t="str">
        <f>IFERROR(__xludf.DUMMYFUNCTION("""COMPUTED_VALUE"""),"gbedc")</f>
        <v>gbedc</v>
      </c>
      <c r="U77" s="15"/>
      <c r="V77" s="6" t="str">
        <f>IFERROR(__xludf.DUMMYFUNCTION("split(I77,"" "")"),"ea")</f>
        <v>ea</v>
      </c>
      <c r="W77" s="6" t="str">
        <f>IFERROR(__xludf.DUMMYFUNCTION("""COMPUTED_VALUE"""),"gacbedf")</f>
        <v>gacbedf</v>
      </c>
      <c r="X77" s="6" t="str">
        <f>IFERROR(__xludf.DUMMYFUNCTION("""COMPUTED_VALUE"""),"efac")</f>
        <v>efac</v>
      </c>
      <c r="Y77" s="6" t="str">
        <f>IFERROR(__xludf.DUMMYFUNCTION("""COMPUTED_VALUE"""),"acef")</f>
        <v>acef</v>
      </c>
      <c r="Z77" s="6" t="str">
        <f>IFERROR(__xludf.DUMMYFUNCTION("CONCATENATE(SORT(TRANSPOSE(SPLIT(REGEXREPLACE(REGEXREPLACE(V77&amp;"""",""(?s)(.{1})"",""$1""&amp;CHAR(127)),""'"",""''""),CHAR(127))),1,true))"),"ae")</f>
        <v>ae</v>
      </c>
      <c r="AA77" s="6" t="str">
        <f>IFERROR(__xludf.DUMMYFUNCTION("CONCATENATE(SORT(TRANSPOSE(SPLIT(REGEXREPLACE(REGEXREPLACE(W77&amp;"""",""(?s)(.{1})"",""$1""&amp;CHAR(127)),""'"",""''""),CHAR(127))),1,true))"),"abcdefg")</f>
        <v>abcdefg</v>
      </c>
      <c r="AB77" s="6" t="str">
        <f>IFERROR(__xludf.DUMMYFUNCTION("CONCATENATE(SORT(TRANSPOSE(SPLIT(REGEXREPLACE(REGEXREPLACE(X77&amp;"""",""(?s)(.{1})"",""$1""&amp;CHAR(127)),""'"",""''""),CHAR(127))),1,true))"),"acef")</f>
        <v>acef</v>
      </c>
      <c r="AC77" s="6" t="str">
        <f>IFERROR(__xludf.DUMMYFUNCTION("CONCATENATE(SORT(TRANSPOSE(SPLIT(REGEXREPLACE(REGEXREPLACE(Y77&amp;"""",""(?s)(.{1})"",""$1""&amp;CHAR(127)),""'"",""''""),CHAR(127))),1,true))"),"acef")</f>
        <v>acef</v>
      </c>
      <c r="AD77" s="6">
        <f t="shared" ref="AD77:AG77" si="87">INDEX($AO$1:$CP$1,1,MATCH(CONCATENATE(Z77,"1"),$AO77:$CP77,0)+1)</f>
        <v>1</v>
      </c>
      <c r="AE77" s="6">
        <f t="shared" si="87"/>
        <v>8</v>
      </c>
      <c r="AF77" s="6">
        <f t="shared" si="87"/>
        <v>4</v>
      </c>
      <c r="AG77" s="6">
        <f t="shared" si="87"/>
        <v>4</v>
      </c>
      <c r="AH77" s="6">
        <f t="shared" si="3"/>
        <v>1844</v>
      </c>
      <c r="AI77" s="16"/>
      <c r="AJ77" s="9" t="str">
        <f>IFERROR(__xludf.DUMMYFUNCTION("REGEXREPLACE(AR77,CONCATENATE(""["",BY77,""]""),"""")"),"e")</f>
        <v>e</v>
      </c>
      <c r="AK77" s="10" t="str">
        <f>IFERROR(__xludf.DUMMYFUNCTION("FILTER($K77:$T77,len($K77:$T77)=6,NOT($K77:$T77=BY77))"),"cbadef")</f>
        <v>cbadef</v>
      </c>
      <c r="AL77" s="6" t="str">
        <f>IFERROR(__xludf.DUMMYFUNCTION("""COMPUTED_VALUE"""),"dabfge")</f>
        <v>dabfge</v>
      </c>
      <c r="AM77" s="6" t="str">
        <f>IFERROR(__xludf.DUMMYFUNCTION("REGEXREPLACE( $BG77, CONCATENATE(""["",AK77,""]""), """")"),"")</f>
        <v/>
      </c>
      <c r="AN77" s="6" t="str">
        <f>IFERROR(__xludf.DUMMYFUNCTION("REGEXREPLACE( $BG77, CONCATENATE(""["",AL77,""]""), """")"),"c")</f>
        <v>c</v>
      </c>
      <c r="AO77" s="11" t="str">
        <f t="shared" si="4"/>
        <v>dabfge</v>
      </c>
      <c r="AP77" s="12" t="str">
        <f>IFERROR(__xludf.DUMMYFUNCTION("CONCATENATE(SORT(TRANSPOSE(SPLIT(REGEXREPLACE(REGEXREPLACE(AO77&amp;"""",""(?s)(.{1})"",""$1""&amp;CHAR(127)),""'"",""''""),CHAR(127))),1,true),""1"")"),"abdefg1")</f>
        <v>abdefg1</v>
      </c>
      <c r="AQ77" s="16"/>
      <c r="AR77" s="12" t="str">
        <f t="shared" si="5"/>
        <v>ea</v>
      </c>
      <c r="AS77" s="12" t="str">
        <f>IFERROR(__xludf.DUMMYFUNCTION("CONCATENATE(SORT(TRANSPOSE(SPLIT(REGEXREPLACE(REGEXREPLACE(AR77&amp;"""",""(?s)(.{1})"",""$1""&amp;CHAR(127)),""'"",""''""),CHAR(127))),1,true),""1"")"),"ae1")</f>
        <v>ae1</v>
      </c>
      <c r="AT77" s="16"/>
      <c r="AU77" s="13" t="str">
        <f>IFERROR(__xludf.DUMMYFUNCTION("FILTER($K77:$T77,len($K77:$T77)=5,NOT($K77:$T77=BD77),NOT($K77:$T77=BP77))"),"gbedc")</f>
        <v>gbedc</v>
      </c>
      <c r="AV77" s="12" t="str">
        <f>IFERROR(__xludf.DUMMYFUNCTION("CONCATENATE(SORT(TRANSPOSE(SPLIT(REGEXREPLACE(REGEXREPLACE(AU77&amp;"""",""(?s)(.{1})"",""$1""&amp;CHAR(127)),""'"",""''""),CHAR(127))),1,true),""1"")"),"bcdeg1")</f>
        <v>bcdeg1</v>
      </c>
      <c r="AW77" s="16"/>
      <c r="AX77" s="10" t="str">
        <f>IFERROR(__xludf.DUMMYFUNCTION("FILTER($K77:$T77,len($K77:$T77)=5)"),"caedb")</f>
        <v>caedb</v>
      </c>
      <c r="AY77" s="6" t="str">
        <f>IFERROR(__xludf.DUMMYFUNCTION("""COMPUTED_VALUE"""),"bacfd")</f>
        <v>bacfd</v>
      </c>
      <c r="AZ77" s="6" t="str">
        <f>IFERROR(__xludf.DUMMYFUNCTION("""COMPUTED_VALUE"""),"gbedc")</f>
        <v>gbedc</v>
      </c>
      <c r="BA77" s="6" t="str">
        <f>IFERROR(__xludf.DUMMYFUNCTION("REGEXREPLACE( $AR77, CONCATENATE(""["",AX77,""]""), """")"),"")</f>
        <v/>
      </c>
      <c r="BB77" s="6" t="str">
        <f>IFERROR(__xludf.DUMMYFUNCTION("REGEXREPLACE( $AR77, CONCATENATE(""["",AY77,""]""), """")"),"e")</f>
        <v>e</v>
      </c>
      <c r="BC77" s="6" t="str">
        <f>IFERROR(__xludf.DUMMYFUNCTION("REGEXREPLACE( $AR77, CONCATENATE(""["",AZ77,""]""), """")"),"a")</f>
        <v>a</v>
      </c>
      <c r="BD77" s="11" t="str">
        <f t="shared" si="6"/>
        <v>caedb</v>
      </c>
      <c r="BE77" s="12" t="str">
        <f>IFERROR(__xludf.DUMMYFUNCTION("CONCATENATE(SORT(TRANSPOSE(SPLIT(REGEXREPLACE(REGEXREPLACE(BD77&amp;"""",""(?s)(.{1})"",""$1""&amp;CHAR(127)),""'"",""''""),CHAR(127))),1,true),""1"")"),"abcde1")</f>
        <v>abcde1</v>
      </c>
      <c r="BF77" s="16"/>
      <c r="BG77" s="12" t="str">
        <f t="shared" si="7"/>
        <v>feac</v>
      </c>
      <c r="BH77" s="12" t="str">
        <f>IFERROR(__xludf.DUMMYFUNCTION("CONCATENATE(SORT(TRANSPOSE(SPLIT(REGEXREPLACE(REGEXREPLACE(BG77&amp;"""",""(?s)(.{1})"",""$1""&amp;CHAR(127)),""'"",""''""),CHAR(127))),1,true),""1"")"),"acef1")</f>
        <v>acef1</v>
      </c>
      <c r="BI77" s="16"/>
      <c r="BJ77" s="10" t="str">
        <f>IFERROR(__xludf.DUMMYFUNCTION("FILTER($K77:$T77,len($K77:$T77)=5)"),"caedb")</f>
        <v>caedb</v>
      </c>
      <c r="BK77" s="6" t="str">
        <f>IFERROR(__xludf.DUMMYFUNCTION("""COMPUTED_VALUE"""),"bacfd")</f>
        <v>bacfd</v>
      </c>
      <c r="BL77" s="6" t="str">
        <f>IFERROR(__xludf.DUMMYFUNCTION("""COMPUTED_VALUE"""),"gbedc")</f>
        <v>gbedc</v>
      </c>
      <c r="BM77" s="14" t="str">
        <f>IFERROR(__xludf.DUMMYFUNCTION("REGEXREPLACE( $BY77, CONCATENATE(""["",BJ77,""]""), """")"),"gf")</f>
        <v>gf</v>
      </c>
      <c r="BN77" s="14" t="str">
        <f>IFERROR(__xludf.DUMMYFUNCTION("REGEXREPLACE( $BY77, CONCATENATE(""["",BK77,""]""), """")"),"g")</f>
        <v>g</v>
      </c>
      <c r="BO77" s="14" t="str">
        <f>IFERROR(__xludf.DUMMYFUNCTION("REGEXREPLACE( $BY77, CONCATENATE(""["",BL77,""]""), """")"),"af")</f>
        <v>af</v>
      </c>
      <c r="BP77" s="11" t="str">
        <f t="shared" si="8"/>
        <v>bacfd</v>
      </c>
      <c r="BQ77" s="12" t="str">
        <f>IFERROR(__xludf.DUMMYFUNCTION("CONCATENATE(SORT(TRANSPOSE(SPLIT(REGEXREPLACE(REGEXREPLACE(BP77&amp;"""",""(?s)(.{1})"",""$1""&amp;CHAR(127)),""'"",""''""),CHAR(127))),1,true),""1"")"),"abcdf1")</f>
        <v>abcdf1</v>
      </c>
      <c r="BR77" s="16"/>
      <c r="BS77" s="10" t="str">
        <f>IFERROR(__xludf.DUMMYFUNCTION("FILTER(K77:T77,len(K77:T77)=6)"),"cbadef")</f>
        <v>cbadef</v>
      </c>
      <c r="BT77" s="6" t="str">
        <f>IFERROR(__xludf.DUMMYFUNCTION("""COMPUTED_VALUE"""),"dabfge")</f>
        <v>dabfge</v>
      </c>
      <c r="BU77" s="6" t="str">
        <f>IFERROR(__xludf.DUMMYFUNCTION("""COMPUTED_VALUE"""),"adgcfb")</f>
        <v>adgcfb</v>
      </c>
      <c r="BV77" s="6" t="str">
        <f>IFERROR(__xludf.DUMMYFUNCTION("REGEXREPLACE( $AR77, CONCATENATE(""["",BS77,""]""), """")"),"")</f>
        <v/>
      </c>
      <c r="BW77" s="6" t="str">
        <f>IFERROR(__xludf.DUMMYFUNCTION("REGEXREPLACE( $AR77, CONCATENATE(""["",BT77,""]""), """")"),"")</f>
        <v/>
      </c>
      <c r="BX77" s="6" t="str">
        <f>IFERROR(__xludf.DUMMYFUNCTION("REGEXREPLACE( $AR77, CONCATENATE(""["",BU77,""]""), """")"),"e")</f>
        <v>e</v>
      </c>
      <c r="BY77" s="12" t="str">
        <f t="shared" si="9"/>
        <v>adgcfb</v>
      </c>
      <c r="BZ77" s="12" t="str">
        <f>IFERROR(__xludf.DUMMYFUNCTION("CONCATENATE(SORT(TRANSPOSE(SPLIT(REGEXREPLACE(REGEXREPLACE(BY77&amp;"""",""(?s)(.{1})"",""$1""&amp;CHAR(127)),""'"",""''""),CHAR(127))),1,true),""1"")"),"abcdfg1")</f>
        <v>abcdfg1</v>
      </c>
      <c r="CA77" s="16"/>
      <c r="CB77" s="12" t="str">
        <f t="shared" si="10"/>
        <v>eda</v>
      </c>
      <c r="CC77" s="12" t="str">
        <f>IFERROR(__xludf.DUMMYFUNCTION("CONCATENATE(SORT(TRANSPOSE(SPLIT(REGEXREPLACE(REGEXREPLACE(CB77&amp;"""",""(?s)(.{1})"",""$1""&amp;CHAR(127)),""'"",""''""),CHAR(127))),1,true),""1"")"),"ade1")</f>
        <v>ade1</v>
      </c>
      <c r="CD77" s="16"/>
      <c r="CE77" s="12" t="str">
        <f t="shared" si="11"/>
        <v>deafbcg</v>
      </c>
      <c r="CF77" s="12" t="str">
        <f>IFERROR(__xludf.DUMMYFUNCTION("CONCATENATE(SORT(TRANSPOSE(SPLIT(REGEXREPLACE(REGEXREPLACE(CE77&amp;"""",""(?s)(.{1})"",""$1""&amp;CHAR(127)),""'"",""''""),CHAR(127))),1,true),""1"")"),"abcdefg1")</f>
        <v>abcdefg1</v>
      </c>
      <c r="CG77" s="16"/>
      <c r="CH77" s="10" t="str">
        <f>IFERROR(__xludf.DUMMYFUNCTION("FILTER(K77:T77,len(K77:T77)=6)"),"cbadef")</f>
        <v>cbadef</v>
      </c>
      <c r="CI77" s="6" t="str">
        <f>IFERROR(__xludf.DUMMYFUNCTION("""COMPUTED_VALUE"""),"dabfge")</f>
        <v>dabfge</v>
      </c>
      <c r="CJ77" s="6" t="str">
        <f>IFERROR(__xludf.DUMMYFUNCTION("""COMPUTED_VALUE"""),"adgcfb")</f>
        <v>adgcfb</v>
      </c>
      <c r="CK77" s="6" t="str">
        <f>IFERROR(__xludf.DUMMYFUNCTION("REGEXREPLACE( $BG77, CONCATENATE(""["",CH77,""]""), """")"),"")</f>
        <v/>
      </c>
      <c r="CL77" s="6" t="str">
        <f>IFERROR(__xludf.DUMMYFUNCTION("REGEXREPLACE( $BG77, CONCATENATE(""["",CI77,""]""), """")"),"c")</f>
        <v>c</v>
      </c>
      <c r="CM77" s="6" t="str">
        <f>IFERROR(__xludf.DUMMYFUNCTION("REGEXREPLACE( $BG77, CONCATENATE(""["",CJ77,""]""), """")"),"e")</f>
        <v>e</v>
      </c>
      <c r="CN77" s="12" t="str">
        <f t="shared" si="12"/>
        <v>cbadef</v>
      </c>
      <c r="CO77" s="12" t="str">
        <f>IFERROR(__xludf.DUMMYFUNCTION("CONCATENATE(SORT(TRANSPOSE(SPLIT(REGEXREPLACE(REGEXREPLACE(CN77&amp;"""",""(?s)(.{1})"",""$1""&amp;CHAR(127)),""'"",""''""),CHAR(127))),1,true),""1"")"),"abcdef1")</f>
        <v>abcdef1</v>
      </c>
      <c r="CP77" s="15"/>
    </row>
    <row r="78">
      <c r="A78" s="1" t="s">
        <v>98</v>
      </c>
      <c r="H78" s="6" t="str">
        <f>IFERROR(__xludf.DUMMYFUNCTION("SPLIT(A78,""|"")"),"eb gfadbe dcefa gfdbc edcgfb cgfdba deb bcge dgbfaec bdcfe ")</f>
        <v>eb gfadbe dcefa gfdbc edcgfb cgfdba deb bcge dgbfaec bdcfe </v>
      </c>
      <c r="I78" s="6" t="str">
        <f>IFERROR(__xludf.DUMMYFUNCTION("""COMPUTED_VALUE""")," fgbcd egcb ebcgfd bgafdce")</f>
        <v> fgbcd egcb ebcgfd bgafdce</v>
      </c>
      <c r="J78" s="15"/>
      <c r="K78" s="6" t="str">
        <f>IFERROR(__xludf.DUMMYFUNCTION("split(H78,"" "")"),"eb")</f>
        <v>eb</v>
      </c>
      <c r="L78" s="6" t="str">
        <f>IFERROR(__xludf.DUMMYFUNCTION("""COMPUTED_VALUE"""),"gfadbe")</f>
        <v>gfadbe</v>
      </c>
      <c r="M78" s="6" t="str">
        <f>IFERROR(__xludf.DUMMYFUNCTION("""COMPUTED_VALUE"""),"dcefa")</f>
        <v>dcefa</v>
      </c>
      <c r="N78" s="6" t="str">
        <f>IFERROR(__xludf.DUMMYFUNCTION("""COMPUTED_VALUE"""),"gfdbc")</f>
        <v>gfdbc</v>
      </c>
      <c r="O78" s="6" t="str">
        <f>IFERROR(__xludf.DUMMYFUNCTION("""COMPUTED_VALUE"""),"edcgfb")</f>
        <v>edcgfb</v>
      </c>
      <c r="P78" s="6" t="str">
        <f>IFERROR(__xludf.DUMMYFUNCTION("""COMPUTED_VALUE"""),"cgfdba")</f>
        <v>cgfdba</v>
      </c>
      <c r="Q78" s="6" t="str">
        <f>IFERROR(__xludf.DUMMYFUNCTION("""COMPUTED_VALUE"""),"deb")</f>
        <v>deb</v>
      </c>
      <c r="R78" s="6" t="str">
        <f>IFERROR(__xludf.DUMMYFUNCTION("""COMPUTED_VALUE"""),"bcge")</f>
        <v>bcge</v>
      </c>
      <c r="S78" s="6" t="str">
        <f>IFERROR(__xludf.DUMMYFUNCTION("""COMPUTED_VALUE"""),"dgbfaec")</f>
        <v>dgbfaec</v>
      </c>
      <c r="T78" s="6" t="str">
        <f>IFERROR(__xludf.DUMMYFUNCTION("""COMPUTED_VALUE"""),"bdcfe")</f>
        <v>bdcfe</v>
      </c>
      <c r="U78" s="15"/>
      <c r="V78" s="6" t="str">
        <f>IFERROR(__xludf.DUMMYFUNCTION("split(I78,"" "")"),"fgbcd")</f>
        <v>fgbcd</v>
      </c>
      <c r="W78" s="6" t="str">
        <f>IFERROR(__xludf.DUMMYFUNCTION("""COMPUTED_VALUE"""),"egcb")</f>
        <v>egcb</v>
      </c>
      <c r="X78" s="6" t="str">
        <f>IFERROR(__xludf.DUMMYFUNCTION("""COMPUTED_VALUE"""),"ebcgfd")</f>
        <v>ebcgfd</v>
      </c>
      <c r="Y78" s="6" t="str">
        <f>IFERROR(__xludf.DUMMYFUNCTION("""COMPUTED_VALUE"""),"bgafdce")</f>
        <v>bgafdce</v>
      </c>
      <c r="Z78" s="6" t="str">
        <f>IFERROR(__xludf.DUMMYFUNCTION("CONCATENATE(SORT(TRANSPOSE(SPLIT(REGEXREPLACE(REGEXREPLACE(V78&amp;"""",""(?s)(.{1})"",""$1""&amp;CHAR(127)),""'"",""''""),CHAR(127))),1,true))"),"bcdfg")</f>
        <v>bcdfg</v>
      </c>
      <c r="AA78" s="6" t="str">
        <f>IFERROR(__xludf.DUMMYFUNCTION("CONCATENATE(SORT(TRANSPOSE(SPLIT(REGEXREPLACE(REGEXREPLACE(W78&amp;"""",""(?s)(.{1})"",""$1""&amp;CHAR(127)),""'"",""''""),CHAR(127))),1,true))"),"bceg")</f>
        <v>bceg</v>
      </c>
      <c r="AB78" s="6" t="str">
        <f>IFERROR(__xludf.DUMMYFUNCTION("CONCATENATE(SORT(TRANSPOSE(SPLIT(REGEXREPLACE(REGEXREPLACE(X78&amp;"""",""(?s)(.{1})"",""$1""&amp;CHAR(127)),""'"",""''""),CHAR(127))),1,true))"),"bcdefg")</f>
        <v>bcdefg</v>
      </c>
      <c r="AC78" s="6" t="str">
        <f>IFERROR(__xludf.DUMMYFUNCTION("CONCATENATE(SORT(TRANSPOSE(SPLIT(REGEXREPLACE(REGEXREPLACE(Y78&amp;"""",""(?s)(.{1})"",""$1""&amp;CHAR(127)),""'"",""''""),CHAR(127))),1,true))"),"abcdefg")</f>
        <v>abcdefg</v>
      </c>
      <c r="AD78" s="6">
        <f t="shared" ref="AD78:AG78" si="88">INDEX($AO$1:$CP$1,1,MATCH(CONCATENATE(Z78,"1"),$AO78:$CP78,0)+1)</f>
        <v>5</v>
      </c>
      <c r="AE78" s="6">
        <f t="shared" si="88"/>
        <v>4</v>
      </c>
      <c r="AF78" s="6">
        <f t="shared" si="88"/>
        <v>9</v>
      </c>
      <c r="AG78" s="6">
        <f t="shared" si="88"/>
        <v>8</v>
      </c>
      <c r="AH78" s="6">
        <f t="shared" si="3"/>
        <v>5498</v>
      </c>
      <c r="AI78" s="16"/>
      <c r="AJ78" s="9" t="str">
        <f>IFERROR(__xludf.DUMMYFUNCTION("REGEXREPLACE(AR78,CONCATENATE(""["",BY78,""]""),"""")"),"e")</f>
        <v>e</v>
      </c>
      <c r="AK78" s="10" t="str">
        <f>IFERROR(__xludf.DUMMYFUNCTION("FILTER($K78:$T78,len($K78:$T78)=6,NOT($K78:$T78=BY78))"),"gfadbe")</f>
        <v>gfadbe</v>
      </c>
      <c r="AL78" s="6" t="str">
        <f>IFERROR(__xludf.DUMMYFUNCTION("""COMPUTED_VALUE"""),"edcgfb")</f>
        <v>edcgfb</v>
      </c>
      <c r="AM78" s="6" t="str">
        <f>IFERROR(__xludf.DUMMYFUNCTION("REGEXREPLACE( $BG78, CONCATENATE(""["",AK78,""]""), """")"),"c")</f>
        <v>c</v>
      </c>
      <c r="AN78" s="6" t="str">
        <f>IFERROR(__xludf.DUMMYFUNCTION("REGEXREPLACE( $BG78, CONCATENATE(""["",AL78,""]""), """")"),"")</f>
        <v/>
      </c>
      <c r="AO78" s="11" t="str">
        <f t="shared" si="4"/>
        <v>gfadbe</v>
      </c>
      <c r="AP78" s="12" t="str">
        <f>IFERROR(__xludf.DUMMYFUNCTION("CONCATENATE(SORT(TRANSPOSE(SPLIT(REGEXREPLACE(REGEXREPLACE(AO78&amp;"""",""(?s)(.{1})"",""$1""&amp;CHAR(127)),""'"",""''""),CHAR(127))),1,true),""1"")"),"abdefg1")</f>
        <v>abdefg1</v>
      </c>
      <c r="AQ78" s="16"/>
      <c r="AR78" s="12" t="str">
        <f t="shared" si="5"/>
        <v>eb</v>
      </c>
      <c r="AS78" s="12" t="str">
        <f>IFERROR(__xludf.DUMMYFUNCTION("CONCATENATE(SORT(TRANSPOSE(SPLIT(REGEXREPLACE(REGEXREPLACE(AR78&amp;"""",""(?s)(.{1})"",""$1""&amp;CHAR(127)),""'"",""''""),CHAR(127))),1,true),""1"")"),"be1")</f>
        <v>be1</v>
      </c>
      <c r="AT78" s="16"/>
      <c r="AU78" s="13" t="str">
        <f>IFERROR(__xludf.DUMMYFUNCTION("FILTER($K78:$T78,len($K78:$T78)=5,NOT($K78:$T78=BD78),NOT($K78:$T78=BP78))"),"dcefa")</f>
        <v>dcefa</v>
      </c>
      <c r="AV78" s="12" t="str">
        <f>IFERROR(__xludf.DUMMYFUNCTION("CONCATENATE(SORT(TRANSPOSE(SPLIT(REGEXREPLACE(REGEXREPLACE(AU78&amp;"""",""(?s)(.{1})"",""$1""&amp;CHAR(127)),""'"",""''""),CHAR(127))),1,true),""1"")"),"acdef1")</f>
        <v>acdef1</v>
      </c>
      <c r="AW78" s="16"/>
      <c r="AX78" s="10" t="str">
        <f>IFERROR(__xludf.DUMMYFUNCTION("FILTER($K78:$T78,len($K78:$T78)=5)"),"dcefa")</f>
        <v>dcefa</v>
      </c>
      <c r="AY78" s="6" t="str">
        <f>IFERROR(__xludf.DUMMYFUNCTION("""COMPUTED_VALUE"""),"gfdbc")</f>
        <v>gfdbc</v>
      </c>
      <c r="AZ78" s="6" t="str">
        <f>IFERROR(__xludf.DUMMYFUNCTION("""COMPUTED_VALUE"""),"bdcfe")</f>
        <v>bdcfe</v>
      </c>
      <c r="BA78" s="6" t="str">
        <f>IFERROR(__xludf.DUMMYFUNCTION("REGEXREPLACE( $AR78, CONCATENATE(""["",AX78,""]""), """")"),"b")</f>
        <v>b</v>
      </c>
      <c r="BB78" s="6" t="str">
        <f>IFERROR(__xludf.DUMMYFUNCTION("REGEXREPLACE( $AR78, CONCATENATE(""["",AY78,""]""), """")"),"e")</f>
        <v>e</v>
      </c>
      <c r="BC78" s="6" t="str">
        <f>IFERROR(__xludf.DUMMYFUNCTION("REGEXREPLACE( $AR78, CONCATENATE(""["",AZ78,""]""), """")"),"")</f>
        <v/>
      </c>
      <c r="BD78" s="11" t="str">
        <f t="shared" si="6"/>
        <v>bdcfe</v>
      </c>
      <c r="BE78" s="12" t="str">
        <f>IFERROR(__xludf.DUMMYFUNCTION("CONCATENATE(SORT(TRANSPOSE(SPLIT(REGEXREPLACE(REGEXREPLACE(BD78&amp;"""",""(?s)(.{1})"",""$1""&amp;CHAR(127)),""'"",""''""),CHAR(127))),1,true),""1"")"),"bcdef1")</f>
        <v>bcdef1</v>
      </c>
      <c r="BF78" s="16"/>
      <c r="BG78" s="12" t="str">
        <f t="shared" si="7"/>
        <v>bcge</v>
      </c>
      <c r="BH78" s="12" t="str">
        <f>IFERROR(__xludf.DUMMYFUNCTION("CONCATENATE(SORT(TRANSPOSE(SPLIT(REGEXREPLACE(REGEXREPLACE(BG78&amp;"""",""(?s)(.{1})"",""$1""&amp;CHAR(127)),""'"",""''""),CHAR(127))),1,true),""1"")"),"bceg1")</f>
        <v>bceg1</v>
      </c>
      <c r="BI78" s="16"/>
      <c r="BJ78" s="10" t="str">
        <f>IFERROR(__xludf.DUMMYFUNCTION("FILTER($K78:$T78,len($K78:$T78)=5)"),"dcefa")</f>
        <v>dcefa</v>
      </c>
      <c r="BK78" s="6" t="str">
        <f>IFERROR(__xludf.DUMMYFUNCTION("""COMPUTED_VALUE"""),"gfdbc")</f>
        <v>gfdbc</v>
      </c>
      <c r="BL78" s="6" t="str">
        <f>IFERROR(__xludf.DUMMYFUNCTION("""COMPUTED_VALUE"""),"bdcfe")</f>
        <v>bdcfe</v>
      </c>
      <c r="BM78" s="14" t="str">
        <f>IFERROR(__xludf.DUMMYFUNCTION("REGEXREPLACE( $BY78, CONCATENATE(""["",BJ78,""]""), """")"),"gb")</f>
        <v>gb</v>
      </c>
      <c r="BN78" s="14" t="str">
        <f>IFERROR(__xludf.DUMMYFUNCTION("REGEXREPLACE( $BY78, CONCATENATE(""["",BK78,""]""), """")"),"a")</f>
        <v>a</v>
      </c>
      <c r="BO78" s="14" t="str">
        <f>IFERROR(__xludf.DUMMYFUNCTION("REGEXREPLACE( $BY78, CONCATENATE(""["",BL78,""]""), """")"),"ga")</f>
        <v>ga</v>
      </c>
      <c r="BP78" s="11" t="str">
        <f t="shared" si="8"/>
        <v>gfdbc</v>
      </c>
      <c r="BQ78" s="12" t="str">
        <f>IFERROR(__xludf.DUMMYFUNCTION("CONCATENATE(SORT(TRANSPOSE(SPLIT(REGEXREPLACE(REGEXREPLACE(BP78&amp;"""",""(?s)(.{1})"",""$1""&amp;CHAR(127)),""'"",""''""),CHAR(127))),1,true),""1"")"),"bcdfg1")</f>
        <v>bcdfg1</v>
      </c>
      <c r="BR78" s="16"/>
      <c r="BS78" s="10" t="str">
        <f>IFERROR(__xludf.DUMMYFUNCTION("FILTER(K78:T78,len(K78:T78)=6)"),"gfadbe")</f>
        <v>gfadbe</v>
      </c>
      <c r="BT78" s="6" t="str">
        <f>IFERROR(__xludf.DUMMYFUNCTION("""COMPUTED_VALUE"""),"edcgfb")</f>
        <v>edcgfb</v>
      </c>
      <c r="BU78" s="6" t="str">
        <f>IFERROR(__xludf.DUMMYFUNCTION("""COMPUTED_VALUE"""),"cgfdba")</f>
        <v>cgfdba</v>
      </c>
      <c r="BV78" s="6" t="str">
        <f>IFERROR(__xludf.DUMMYFUNCTION("REGEXREPLACE( $AR78, CONCATENATE(""["",BS78,""]""), """")"),"")</f>
        <v/>
      </c>
      <c r="BW78" s="6" t="str">
        <f>IFERROR(__xludf.DUMMYFUNCTION("REGEXREPLACE( $AR78, CONCATENATE(""["",BT78,""]""), """")"),"")</f>
        <v/>
      </c>
      <c r="BX78" s="6" t="str">
        <f>IFERROR(__xludf.DUMMYFUNCTION("REGEXREPLACE( $AR78, CONCATENATE(""["",BU78,""]""), """")"),"e")</f>
        <v>e</v>
      </c>
      <c r="BY78" s="12" t="str">
        <f t="shared" si="9"/>
        <v>cgfdba</v>
      </c>
      <c r="BZ78" s="12" t="str">
        <f>IFERROR(__xludf.DUMMYFUNCTION("CONCATENATE(SORT(TRANSPOSE(SPLIT(REGEXREPLACE(REGEXREPLACE(BY78&amp;"""",""(?s)(.{1})"",""$1""&amp;CHAR(127)),""'"",""''""),CHAR(127))),1,true),""1"")"),"abcdfg1")</f>
        <v>abcdfg1</v>
      </c>
      <c r="CA78" s="16"/>
      <c r="CB78" s="12" t="str">
        <f t="shared" si="10"/>
        <v>deb</v>
      </c>
      <c r="CC78" s="12" t="str">
        <f>IFERROR(__xludf.DUMMYFUNCTION("CONCATENATE(SORT(TRANSPOSE(SPLIT(REGEXREPLACE(REGEXREPLACE(CB78&amp;"""",""(?s)(.{1})"",""$1""&amp;CHAR(127)),""'"",""''""),CHAR(127))),1,true),""1"")"),"bde1")</f>
        <v>bde1</v>
      </c>
      <c r="CD78" s="16"/>
      <c r="CE78" s="12" t="str">
        <f t="shared" si="11"/>
        <v>dgbfaec</v>
      </c>
      <c r="CF78" s="12" t="str">
        <f>IFERROR(__xludf.DUMMYFUNCTION("CONCATENATE(SORT(TRANSPOSE(SPLIT(REGEXREPLACE(REGEXREPLACE(CE78&amp;"""",""(?s)(.{1})"",""$1""&amp;CHAR(127)),""'"",""''""),CHAR(127))),1,true),""1"")"),"abcdefg1")</f>
        <v>abcdefg1</v>
      </c>
      <c r="CG78" s="16"/>
      <c r="CH78" s="10" t="str">
        <f>IFERROR(__xludf.DUMMYFUNCTION("FILTER(K78:T78,len(K78:T78)=6)"),"gfadbe")</f>
        <v>gfadbe</v>
      </c>
      <c r="CI78" s="6" t="str">
        <f>IFERROR(__xludf.DUMMYFUNCTION("""COMPUTED_VALUE"""),"edcgfb")</f>
        <v>edcgfb</v>
      </c>
      <c r="CJ78" s="6" t="str">
        <f>IFERROR(__xludf.DUMMYFUNCTION("""COMPUTED_VALUE"""),"cgfdba")</f>
        <v>cgfdba</v>
      </c>
      <c r="CK78" s="6" t="str">
        <f>IFERROR(__xludf.DUMMYFUNCTION("REGEXREPLACE( $BG78, CONCATENATE(""["",CH78,""]""), """")"),"c")</f>
        <v>c</v>
      </c>
      <c r="CL78" s="6" t="str">
        <f>IFERROR(__xludf.DUMMYFUNCTION("REGEXREPLACE( $BG78, CONCATENATE(""["",CI78,""]""), """")"),"")</f>
        <v/>
      </c>
      <c r="CM78" s="6" t="str">
        <f>IFERROR(__xludf.DUMMYFUNCTION("REGEXREPLACE( $BG78, CONCATENATE(""["",CJ78,""]""), """")"),"e")</f>
        <v>e</v>
      </c>
      <c r="CN78" s="12" t="str">
        <f t="shared" si="12"/>
        <v>edcgfb</v>
      </c>
      <c r="CO78" s="12" t="str">
        <f>IFERROR(__xludf.DUMMYFUNCTION("CONCATENATE(SORT(TRANSPOSE(SPLIT(REGEXREPLACE(REGEXREPLACE(CN78&amp;"""",""(?s)(.{1})"",""$1""&amp;CHAR(127)),""'"",""''""),CHAR(127))),1,true),""1"")"),"bcdefg1")</f>
        <v>bcdefg1</v>
      </c>
      <c r="CP78" s="15"/>
    </row>
    <row r="79">
      <c r="A79" s="1" t="s">
        <v>99</v>
      </c>
      <c r="H79" s="6" t="str">
        <f>IFERROR(__xludf.DUMMYFUNCTION("SPLIT(A79,""|"")"),"adcbf bfaed cd fdec gcbfa acd agcebfd cegadb afbdge dceafb ")</f>
        <v>adcbf bfaed cd fdec gcbfa acd agcebfd cegadb afbdge dceafb </v>
      </c>
      <c r="I79" s="6" t="str">
        <f>IFERROR(__xludf.DUMMYFUNCTION("""COMPUTED_VALUE""")," dacfbe dac afcbd bdfca")</f>
        <v> dacfbe dac afcbd bdfca</v>
      </c>
      <c r="J79" s="15"/>
      <c r="K79" s="6" t="str">
        <f>IFERROR(__xludf.DUMMYFUNCTION("split(H79,"" "")"),"adcbf")</f>
        <v>adcbf</v>
      </c>
      <c r="L79" s="6" t="str">
        <f>IFERROR(__xludf.DUMMYFUNCTION("""COMPUTED_VALUE"""),"bfaed")</f>
        <v>bfaed</v>
      </c>
      <c r="M79" s="6" t="str">
        <f>IFERROR(__xludf.DUMMYFUNCTION("""COMPUTED_VALUE"""),"cd")</f>
        <v>cd</v>
      </c>
      <c r="N79" s="6" t="str">
        <f>IFERROR(__xludf.DUMMYFUNCTION("""COMPUTED_VALUE"""),"fdec")</f>
        <v>fdec</v>
      </c>
      <c r="O79" s="6" t="str">
        <f>IFERROR(__xludf.DUMMYFUNCTION("""COMPUTED_VALUE"""),"gcbfa")</f>
        <v>gcbfa</v>
      </c>
      <c r="P79" s="6" t="str">
        <f>IFERROR(__xludf.DUMMYFUNCTION("""COMPUTED_VALUE"""),"acd")</f>
        <v>acd</v>
      </c>
      <c r="Q79" s="6" t="str">
        <f>IFERROR(__xludf.DUMMYFUNCTION("""COMPUTED_VALUE"""),"agcebfd")</f>
        <v>agcebfd</v>
      </c>
      <c r="R79" s="6" t="str">
        <f>IFERROR(__xludf.DUMMYFUNCTION("""COMPUTED_VALUE"""),"cegadb")</f>
        <v>cegadb</v>
      </c>
      <c r="S79" s="6" t="str">
        <f>IFERROR(__xludf.DUMMYFUNCTION("""COMPUTED_VALUE"""),"afbdge")</f>
        <v>afbdge</v>
      </c>
      <c r="T79" s="6" t="str">
        <f>IFERROR(__xludf.DUMMYFUNCTION("""COMPUTED_VALUE"""),"dceafb")</f>
        <v>dceafb</v>
      </c>
      <c r="U79" s="15"/>
      <c r="V79" s="6" t="str">
        <f>IFERROR(__xludf.DUMMYFUNCTION("split(I79,"" "")"),"dacfbe")</f>
        <v>dacfbe</v>
      </c>
      <c r="W79" s="6" t="str">
        <f>IFERROR(__xludf.DUMMYFUNCTION("""COMPUTED_VALUE"""),"dac")</f>
        <v>dac</v>
      </c>
      <c r="X79" s="6" t="str">
        <f>IFERROR(__xludf.DUMMYFUNCTION("""COMPUTED_VALUE"""),"afcbd")</f>
        <v>afcbd</v>
      </c>
      <c r="Y79" s="6" t="str">
        <f>IFERROR(__xludf.DUMMYFUNCTION("""COMPUTED_VALUE"""),"bdfca")</f>
        <v>bdfca</v>
      </c>
      <c r="Z79" s="6" t="str">
        <f>IFERROR(__xludf.DUMMYFUNCTION("CONCATENATE(SORT(TRANSPOSE(SPLIT(REGEXREPLACE(REGEXREPLACE(V79&amp;"""",""(?s)(.{1})"",""$1""&amp;CHAR(127)),""'"",""''""),CHAR(127))),1,true))"),"abcdef")</f>
        <v>abcdef</v>
      </c>
      <c r="AA79" s="6" t="str">
        <f>IFERROR(__xludf.DUMMYFUNCTION("CONCATENATE(SORT(TRANSPOSE(SPLIT(REGEXREPLACE(REGEXREPLACE(W79&amp;"""",""(?s)(.{1})"",""$1""&amp;CHAR(127)),""'"",""''""),CHAR(127))),1,true))"),"acd")</f>
        <v>acd</v>
      </c>
      <c r="AB79" s="6" t="str">
        <f>IFERROR(__xludf.DUMMYFUNCTION("CONCATENATE(SORT(TRANSPOSE(SPLIT(REGEXREPLACE(REGEXREPLACE(X79&amp;"""",""(?s)(.{1})"",""$1""&amp;CHAR(127)),""'"",""''""),CHAR(127))),1,true))"),"abcdf")</f>
        <v>abcdf</v>
      </c>
      <c r="AC79" s="6" t="str">
        <f>IFERROR(__xludf.DUMMYFUNCTION("CONCATENATE(SORT(TRANSPOSE(SPLIT(REGEXREPLACE(REGEXREPLACE(Y79&amp;"""",""(?s)(.{1})"",""$1""&amp;CHAR(127)),""'"",""''""),CHAR(127))),1,true))"),"abcdf")</f>
        <v>abcdf</v>
      </c>
      <c r="AD79" s="6">
        <f t="shared" ref="AD79:AG79" si="89">INDEX($AO$1:$CP$1,1,MATCH(CONCATENATE(Z79,"1"),$AO79:$CP79,0)+1)</f>
        <v>9</v>
      </c>
      <c r="AE79" s="6">
        <f t="shared" si="89"/>
        <v>7</v>
      </c>
      <c r="AF79" s="6">
        <f t="shared" si="89"/>
        <v>3</v>
      </c>
      <c r="AG79" s="6">
        <f t="shared" si="89"/>
        <v>3</v>
      </c>
      <c r="AH79" s="6">
        <f t="shared" si="3"/>
        <v>9733</v>
      </c>
      <c r="AI79" s="16"/>
      <c r="AJ79" s="9" t="str">
        <f>IFERROR(__xludf.DUMMYFUNCTION("REGEXREPLACE(AR79,CONCATENATE(""["",BY79,""]""),"""")"),"c")</f>
        <v>c</v>
      </c>
      <c r="AK79" s="10" t="str">
        <f>IFERROR(__xludf.DUMMYFUNCTION("FILTER($K79:$T79,len($K79:$T79)=6,NOT($K79:$T79=BY79))"),"cegadb")</f>
        <v>cegadb</v>
      </c>
      <c r="AL79" s="6" t="str">
        <f>IFERROR(__xludf.DUMMYFUNCTION("""COMPUTED_VALUE"""),"dceafb")</f>
        <v>dceafb</v>
      </c>
      <c r="AM79" s="6" t="str">
        <f>IFERROR(__xludf.DUMMYFUNCTION("REGEXREPLACE( $BG79, CONCATENATE(""["",AK79,""]""), """")"),"f")</f>
        <v>f</v>
      </c>
      <c r="AN79" s="6" t="str">
        <f>IFERROR(__xludf.DUMMYFUNCTION("REGEXREPLACE( $BG79, CONCATENATE(""["",AL79,""]""), """")"),"")</f>
        <v/>
      </c>
      <c r="AO79" s="11" t="str">
        <f t="shared" si="4"/>
        <v>cegadb</v>
      </c>
      <c r="AP79" s="12" t="str">
        <f>IFERROR(__xludf.DUMMYFUNCTION("CONCATENATE(SORT(TRANSPOSE(SPLIT(REGEXREPLACE(REGEXREPLACE(AO79&amp;"""",""(?s)(.{1})"",""$1""&amp;CHAR(127)),""'"",""''""),CHAR(127))),1,true),""1"")"),"abcdeg1")</f>
        <v>abcdeg1</v>
      </c>
      <c r="AQ79" s="16"/>
      <c r="AR79" s="12" t="str">
        <f t="shared" si="5"/>
        <v>cd</v>
      </c>
      <c r="AS79" s="12" t="str">
        <f>IFERROR(__xludf.DUMMYFUNCTION("CONCATENATE(SORT(TRANSPOSE(SPLIT(REGEXREPLACE(REGEXREPLACE(AR79&amp;"""",""(?s)(.{1})"",""$1""&amp;CHAR(127)),""'"",""''""),CHAR(127))),1,true),""1"")"),"cd1")</f>
        <v>cd1</v>
      </c>
      <c r="AT79" s="16"/>
      <c r="AU79" s="13" t="str">
        <f>IFERROR(__xludf.DUMMYFUNCTION("FILTER($K79:$T79,len($K79:$T79)=5,NOT($K79:$T79=BD79),NOT($K79:$T79=BP79))"),"gcbfa")</f>
        <v>gcbfa</v>
      </c>
      <c r="AV79" s="12" t="str">
        <f>IFERROR(__xludf.DUMMYFUNCTION("CONCATENATE(SORT(TRANSPOSE(SPLIT(REGEXREPLACE(REGEXREPLACE(AU79&amp;"""",""(?s)(.{1})"",""$1""&amp;CHAR(127)),""'"",""''""),CHAR(127))),1,true),""1"")"),"abcfg1")</f>
        <v>abcfg1</v>
      </c>
      <c r="AW79" s="16"/>
      <c r="AX79" s="10" t="str">
        <f>IFERROR(__xludf.DUMMYFUNCTION("FILTER($K79:$T79,len($K79:$T79)=5)"),"adcbf")</f>
        <v>adcbf</v>
      </c>
      <c r="AY79" s="6" t="str">
        <f>IFERROR(__xludf.DUMMYFUNCTION("""COMPUTED_VALUE"""),"bfaed")</f>
        <v>bfaed</v>
      </c>
      <c r="AZ79" s="6" t="str">
        <f>IFERROR(__xludf.DUMMYFUNCTION("""COMPUTED_VALUE"""),"gcbfa")</f>
        <v>gcbfa</v>
      </c>
      <c r="BA79" s="6" t="str">
        <f>IFERROR(__xludf.DUMMYFUNCTION("REGEXREPLACE( $AR79, CONCATENATE(""["",AX79,""]""), """")"),"")</f>
        <v/>
      </c>
      <c r="BB79" s="6" t="str">
        <f>IFERROR(__xludf.DUMMYFUNCTION("REGEXREPLACE( $AR79, CONCATENATE(""["",AY79,""]""), """")"),"c")</f>
        <v>c</v>
      </c>
      <c r="BC79" s="6" t="str">
        <f>IFERROR(__xludf.DUMMYFUNCTION("REGEXREPLACE( $AR79, CONCATENATE(""["",AZ79,""]""), """")"),"d")</f>
        <v>d</v>
      </c>
      <c r="BD79" s="11" t="str">
        <f t="shared" si="6"/>
        <v>adcbf</v>
      </c>
      <c r="BE79" s="12" t="str">
        <f>IFERROR(__xludf.DUMMYFUNCTION("CONCATENATE(SORT(TRANSPOSE(SPLIT(REGEXREPLACE(REGEXREPLACE(BD79&amp;"""",""(?s)(.{1})"",""$1""&amp;CHAR(127)),""'"",""''""),CHAR(127))),1,true),""1"")"),"abcdf1")</f>
        <v>abcdf1</v>
      </c>
      <c r="BF79" s="16"/>
      <c r="BG79" s="12" t="str">
        <f t="shared" si="7"/>
        <v>fdec</v>
      </c>
      <c r="BH79" s="12" t="str">
        <f>IFERROR(__xludf.DUMMYFUNCTION("CONCATENATE(SORT(TRANSPOSE(SPLIT(REGEXREPLACE(REGEXREPLACE(BG79&amp;"""",""(?s)(.{1})"",""$1""&amp;CHAR(127)),""'"",""''""),CHAR(127))),1,true),""1"")"),"cdef1")</f>
        <v>cdef1</v>
      </c>
      <c r="BI79" s="16"/>
      <c r="BJ79" s="10" t="str">
        <f>IFERROR(__xludf.DUMMYFUNCTION("FILTER($K79:$T79,len($K79:$T79)=5)"),"adcbf")</f>
        <v>adcbf</v>
      </c>
      <c r="BK79" s="6" t="str">
        <f>IFERROR(__xludf.DUMMYFUNCTION("""COMPUTED_VALUE"""),"bfaed")</f>
        <v>bfaed</v>
      </c>
      <c r="BL79" s="6" t="str">
        <f>IFERROR(__xludf.DUMMYFUNCTION("""COMPUTED_VALUE"""),"gcbfa")</f>
        <v>gcbfa</v>
      </c>
      <c r="BM79" s="14" t="str">
        <f>IFERROR(__xludf.DUMMYFUNCTION("REGEXREPLACE( $BY79, CONCATENATE(""["",BJ79,""]""), """")"),"ge")</f>
        <v>ge</v>
      </c>
      <c r="BN79" s="14" t="str">
        <f>IFERROR(__xludf.DUMMYFUNCTION("REGEXREPLACE( $BY79, CONCATENATE(""["",BK79,""]""), """")"),"g")</f>
        <v>g</v>
      </c>
      <c r="BO79" s="14" t="str">
        <f>IFERROR(__xludf.DUMMYFUNCTION("REGEXREPLACE( $BY79, CONCATENATE(""["",BL79,""]""), """")"),"de")</f>
        <v>de</v>
      </c>
      <c r="BP79" s="11" t="str">
        <f t="shared" si="8"/>
        <v>bfaed</v>
      </c>
      <c r="BQ79" s="12" t="str">
        <f>IFERROR(__xludf.DUMMYFUNCTION("CONCATENATE(SORT(TRANSPOSE(SPLIT(REGEXREPLACE(REGEXREPLACE(BP79&amp;"""",""(?s)(.{1})"",""$1""&amp;CHAR(127)),""'"",""''""),CHAR(127))),1,true),""1"")"),"abdef1")</f>
        <v>abdef1</v>
      </c>
      <c r="BR79" s="16"/>
      <c r="BS79" s="10" t="str">
        <f>IFERROR(__xludf.DUMMYFUNCTION("FILTER(K79:T79,len(K79:T79)=6)"),"cegadb")</f>
        <v>cegadb</v>
      </c>
      <c r="BT79" s="6" t="str">
        <f>IFERROR(__xludf.DUMMYFUNCTION("""COMPUTED_VALUE"""),"afbdge")</f>
        <v>afbdge</v>
      </c>
      <c r="BU79" s="6" t="str">
        <f>IFERROR(__xludf.DUMMYFUNCTION("""COMPUTED_VALUE"""),"dceafb")</f>
        <v>dceafb</v>
      </c>
      <c r="BV79" s="6" t="str">
        <f>IFERROR(__xludf.DUMMYFUNCTION("REGEXREPLACE( $AR79, CONCATENATE(""["",BS79,""]""), """")"),"")</f>
        <v/>
      </c>
      <c r="BW79" s="6" t="str">
        <f>IFERROR(__xludf.DUMMYFUNCTION("REGEXREPLACE( $AR79, CONCATENATE(""["",BT79,""]""), """")"),"c")</f>
        <v>c</v>
      </c>
      <c r="BX79" s="6" t="str">
        <f>IFERROR(__xludf.DUMMYFUNCTION("REGEXREPLACE( $AR79, CONCATENATE(""["",BU79,""]""), """")"),"")</f>
        <v/>
      </c>
      <c r="BY79" s="12" t="str">
        <f t="shared" si="9"/>
        <v>afbdge</v>
      </c>
      <c r="BZ79" s="12" t="str">
        <f>IFERROR(__xludf.DUMMYFUNCTION("CONCATENATE(SORT(TRANSPOSE(SPLIT(REGEXREPLACE(REGEXREPLACE(BY79&amp;"""",""(?s)(.{1})"",""$1""&amp;CHAR(127)),""'"",""''""),CHAR(127))),1,true),""1"")"),"abdefg1")</f>
        <v>abdefg1</v>
      </c>
      <c r="CA79" s="16"/>
      <c r="CB79" s="12" t="str">
        <f t="shared" si="10"/>
        <v>acd</v>
      </c>
      <c r="CC79" s="12" t="str">
        <f>IFERROR(__xludf.DUMMYFUNCTION("CONCATENATE(SORT(TRANSPOSE(SPLIT(REGEXREPLACE(REGEXREPLACE(CB79&amp;"""",""(?s)(.{1})"",""$1""&amp;CHAR(127)),""'"",""''""),CHAR(127))),1,true),""1"")"),"acd1")</f>
        <v>acd1</v>
      </c>
      <c r="CD79" s="16"/>
      <c r="CE79" s="12" t="str">
        <f t="shared" si="11"/>
        <v>agcebfd</v>
      </c>
      <c r="CF79" s="12" t="str">
        <f>IFERROR(__xludf.DUMMYFUNCTION("CONCATENATE(SORT(TRANSPOSE(SPLIT(REGEXREPLACE(REGEXREPLACE(CE79&amp;"""",""(?s)(.{1})"",""$1""&amp;CHAR(127)),""'"",""''""),CHAR(127))),1,true),""1"")"),"abcdefg1")</f>
        <v>abcdefg1</v>
      </c>
      <c r="CG79" s="16"/>
      <c r="CH79" s="10" t="str">
        <f>IFERROR(__xludf.DUMMYFUNCTION("FILTER(K79:T79,len(K79:T79)=6)"),"cegadb")</f>
        <v>cegadb</v>
      </c>
      <c r="CI79" s="6" t="str">
        <f>IFERROR(__xludf.DUMMYFUNCTION("""COMPUTED_VALUE"""),"afbdge")</f>
        <v>afbdge</v>
      </c>
      <c r="CJ79" s="6" t="str">
        <f>IFERROR(__xludf.DUMMYFUNCTION("""COMPUTED_VALUE"""),"dceafb")</f>
        <v>dceafb</v>
      </c>
      <c r="CK79" s="6" t="str">
        <f>IFERROR(__xludf.DUMMYFUNCTION("REGEXREPLACE( $BG79, CONCATENATE(""["",CH79,""]""), """")"),"f")</f>
        <v>f</v>
      </c>
      <c r="CL79" s="6" t="str">
        <f>IFERROR(__xludf.DUMMYFUNCTION("REGEXREPLACE( $BG79, CONCATENATE(""["",CI79,""]""), """")"),"c")</f>
        <v>c</v>
      </c>
      <c r="CM79" s="6" t="str">
        <f>IFERROR(__xludf.DUMMYFUNCTION("REGEXREPLACE( $BG79, CONCATENATE(""["",CJ79,""]""), """")"),"")</f>
        <v/>
      </c>
      <c r="CN79" s="12" t="str">
        <f t="shared" si="12"/>
        <v>dceafb</v>
      </c>
      <c r="CO79" s="12" t="str">
        <f>IFERROR(__xludf.DUMMYFUNCTION("CONCATENATE(SORT(TRANSPOSE(SPLIT(REGEXREPLACE(REGEXREPLACE(CN79&amp;"""",""(?s)(.{1})"",""$1""&amp;CHAR(127)),""'"",""''""),CHAR(127))),1,true),""1"")"),"abcdef1")</f>
        <v>abcdef1</v>
      </c>
      <c r="CP79" s="15"/>
    </row>
    <row r="80">
      <c r="A80" s="1" t="s">
        <v>100</v>
      </c>
      <c r="H80" s="6" t="str">
        <f>IFERROR(__xludf.DUMMYFUNCTION("SPLIT(A80,""|"")"),"dba gdcfbe ba gafb gfdbaec gdcba aedgc afcebd gcbfd dfcbag ")</f>
        <v>dba gdcfbe ba gafb gfdbaec gdcba aedgc afcebd gcbfd dfcbag </v>
      </c>
      <c r="I80" s="6" t="str">
        <f>IFERROR(__xludf.DUMMYFUNCTION("""COMPUTED_VALUE""")," ecgbadf faebcgd decag adb")</f>
        <v> ecgbadf faebcgd decag adb</v>
      </c>
      <c r="J80" s="15"/>
      <c r="K80" s="6" t="str">
        <f>IFERROR(__xludf.DUMMYFUNCTION("split(H80,"" "")"),"dba")</f>
        <v>dba</v>
      </c>
      <c r="L80" s="6" t="str">
        <f>IFERROR(__xludf.DUMMYFUNCTION("""COMPUTED_VALUE"""),"gdcfbe")</f>
        <v>gdcfbe</v>
      </c>
      <c r="M80" s="6" t="str">
        <f>IFERROR(__xludf.DUMMYFUNCTION("""COMPUTED_VALUE"""),"ba")</f>
        <v>ba</v>
      </c>
      <c r="N80" s="6" t="str">
        <f>IFERROR(__xludf.DUMMYFUNCTION("""COMPUTED_VALUE"""),"gafb")</f>
        <v>gafb</v>
      </c>
      <c r="O80" s="6" t="str">
        <f>IFERROR(__xludf.DUMMYFUNCTION("""COMPUTED_VALUE"""),"gfdbaec")</f>
        <v>gfdbaec</v>
      </c>
      <c r="P80" s="6" t="str">
        <f>IFERROR(__xludf.DUMMYFUNCTION("""COMPUTED_VALUE"""),"gdcba")</f>
        <v>gdcba</v>
      </c>
      <c r="Q80" s="6" t="str">
        <f>IFERROR(__xludf.DUMMYFUNCTION("""COMPUTED_VALUE"""),"aedgc")</f>
        <v>aedgc</v>
      </c>
      <c r="R80" s="6" t="str">
        <f>IFERROR(__xludf.DUMMYFUNCTION("""COMPUTED_VALUE"""),"afcebd")</f>
        <v>afcebd</v>
      </c>
      <c r="S80" s="6" t="str">
        <f>IFERROR(__xludf.DUMMYFUNCTION("""COMPUTED_VALUE"""),"gcbfd")</f>
        <v>gcbfd</v>
      </c>
      <c r="T80" s="6" t="str">
        <f>IFERROR(__xludf.DUMMYFUNCTION("""COMPUTED_VALUE"""),"dfcbag")</f>
        <v>dfcbag</v>
      </c>
      <c r="U80" s="15"/>
      <c r="V80" s="6" t="str">
        <f>IFERROR(__xludf.DUMMYFUNCTION("split(I80,"" "")"),"ecgbadf")</f>
        <v>ecgbadf</v>
      </c>
      <c r="W80" s="6" t="str">
        <f>IFERROR(__xludf.DUMMYFUNCTION("""COMPUTED_VALUE"""),"faebcgd")</f>
        <v>faebcgd</v>
      </c>
      <c r="X80" s="6" t="str">
        <f>IFERROR(__xludf.DUMMYFUNCTION("""COMPUTED_VALUE"""),"decag")</f>
        <v>decag</v>
      </c>
      <c r="Y80" s="6" t="str">
        <f>IFERROR(__xludf.DUMMYFUNCTION("""COMPUTED_VALUE"""),"adb")</f>
        <v>adb</v>
      </c>
      <c r="Z80" s="6" t="str">
        <f>IFERROR(__xludf.DUMMYFUNCTION("CONCATENATE(SORT(TRANSPOSE(SPLIT(REGEXREPLACE(REGEXREPLACE(V80&amp;"""",""(?s)(.{1})"",""$1""&amp;CHAR(127)),""'"",""''""),CHAR(127))),1,true))"),"abcdefg")</f>
        <v>abcdefg</v>
      </c>
      <c r="AA80" s="6" t="str">
        <f>IFERROR(__xludf.DUMMYFUNCTION("CONCATENATE(SORT(TRANSPOSE(SPLIT(REGEXREPLACE(REGEXREPLACE(W80&amp;"""",""(?s)(.{1})"",""$1""&amp;CHAR(127)),""'"",""''""),CHAR(127))),1,true))"),"abcdefg")</f>
        <v>abcdefg</v>
      </c>
      <c r="AB80" s="6" t="str">
        <f>IFERROR(__xludf.DUMMYFUNCTION("CONCATENATE(SORT(TRANSPOSE(SPLIT(REGEXREPLACE(REGEXREPLACE(X80&amp;"""",""(?s)(.{1})"",""$1""&amp;CHAR(127)),""'"",""''""),CHAR(127))),1,true))"),"acdeg")</f>
        <v>acdeg</v>
      </c>
      <c r="AC80" s="6" t="str">
        <f>IFERROR(__xludf.DUMMYFUNCTION("CONCATENATE(SORT(TRANSPOSE(SPLIT(REGEXREPLACE(REGEXREPLACE(Y80&amp;"""",""(?s)(.{1})"",""$1""&amp;CHAR(127)),""'"",""''""),CHAR(127))),1,true))"),"abd")</f>
        <v>abd</v>
      </c>
      <c r="AD80" s="6">
        <f t="shared" ref="AD80:AG80" si="90">INDEX($AO$1:$CP$1,1,MATCH(CONCATENATE(Z80,"1"),$AO80:$CP80,0)+1)</f>
        <v>8</v>
      </c>
      <c r="AE80" s="6">
        <f t="shared" si="90"/>
        <v>8</v>
      </c>
      <c r="AF80" s="6">
        <f t="shared" si="90"/>
        <v>2</v>
      </c>
      <c r="AG80" s="6">
        <f t="shared" si="90"/>
        <v>7</v>
      </c>
      <c r="AH80" s="6">
        <f t="shared" si="3"/>
        <v>8827</v>
      </c>
      <c r="AI80" s="16"/>
      <c r="AJ80" s="9" t="str">
        <f>IFERROR(__xludf.DUMMYFUNCTION("REGEXREPLACE(AR80,CONCATENATE(""["",BY80,""]""),"""")"),"a")</f>
        <v>a</v>
      </c>
      <c r="AK80" s="10" t="str">
        <f>IFERROR(__xludf.DUMMYFUNCTION("FILTER($K80:$T80,len($K80:$T80)=6,NOT($K80:$T80=BY80))"),"afcebd")</f>
        <v>afcebd</v>
      </c>
      <c r="AL80" s="6" t="str">
        <f>IFERROR(__xludf.DUMMYFUNCTION("""COMPUTED_VALUE"""),"dfcbag")</f>
        <v>dfcbag</v>
      </c>
      <c r="AM80" s="6" t="str">
        <f>IFERROR(__xludf.DUMMYFUNCTION("REGEXREPLACE( $BG80, CONCATENATE(""["",AK80,""]""), """")"),"g")</f>
        <v>g</v>
      </c>
      <c r="AN80" s="6" t="str">
        <f>IFERROR(__xludf.DUMMYFUNCTION("REGEXREPLACE( $BG80, CONCATENATE(""["",AL80,""]""), """")"),"")</f>
        <v/>
      </c>
      <c r="AO80" s="11" t="str">
        <f t="shared" si="4"/>
        <v>afcebd</v>
      </c>
      <c r="AP80" s="12" t="str">
        <f>IFERROR(__xludf.DUMMYFUNCTION("CONCATENATE(SORT(TRANSPOSE(SPLIT(REGEXREPLACE(REGEXREPLACE(AO80&amp;"""",""(?s)(.{1})"",""$1""&amp;CHAR(127)),""'"",""''""),CHAR(127))),1,true),""1"")"),"abcdef1")</f>
        <v>abcdef1</v>
      </c>
      <c r="AQ80" s="16"/>
      <c r="AR80" s="12" t="str">
        <f t="shared" si="5"/>
        <v>ba</v>
      </c>
      <c r="AS80" s="12" t="str">
        <f>IFERROR(__xludf.DUMMYFUNCTION("CONCATENATE(SORT(TRANSPOSE(SPLIT(REGEXREPLACE(REGEXREPLACE(AR80&amp;"""",""(?s)(.{1})"",""$1""&amp;CHAR(127)),""'"",""''""),CHAR(127))),1,true),""1"")"),"ab1")</f>
        <v>ab1</v>
      </c>
      <c r="AT80" s="16"/>
      <c r="AU80" s="13" t="str">
        <f>IFERROR(__xludf.DUMMYFUNCTION("FILTER($K80:$T80,len($K80:$T80)=5,NOT($K80:$T80=BD80),NOT($K80:$T80=BP80))"),"aedgc")</f>
        <v>aedgc</v>
      </c>
      <c r="AV80" s="12" t="str">
        <f>IFERROR(__xludf.DUMMYFUNCTION("CONCATENATE(SORT(TRANSPOSE(SPLIT(REGEXREPLACE(REGEXREPLACE(AU80&amp;"""",""(?s)(.{1})"",""$1""&amp;CHAR(127)),""'"",""''""),CHAR(127))),1,true),""1"")"),"acdeg1")</f>
        <v>acdeg1</v>
      </c>
      <c r="AW80" s="16"/>
      <c r="AX80" s="10" t="str">
        <f>IFERROR(__xludf.DUMMYFUNCTION("FILTER($K80:$T80,len($K80:$T80)=5)"),"gdcba")</f>
        <v>gdcba</v>
      </c>
      <c r="AY80" s="6" t="str">
        <f>IFERROR(__xludf.DUMMYFUNCTION("""COMPUTED_VALUE"""),"aedgc")</f>
        <v>aedgc</v>
      </c>
      <c r="AZ80" s="6" t="str">
        <f>IFERROR(__xludf.DUMMYFUNCTION("""COMPUTED_VALUE"""),"gcbfd")</f>
        <v>gcbfd</v>
      </c>
      <c r="BA80" s="6" t="str">
        <f>IFERROR(__xludf.DUMMYFUNCTION("REGEXREPLACE( $AR80, CONCATENATE(""["",AX80,""]""), """")"),"")</f>
        <v/>
      </c>
      <c r="BB80" s="6" t="str">
        <f>IFERROR(__xludf.DUMMYFUNCTION("REGEXREPLACE( $AR80, CONCATENATE(""["",AY80,""]""), """")"),"b")</f>
        <v>b</v>
      </c>
      <c r="BC80" s="6" t="str">
        <f>IFERROR(__xludf.DUMMYFUNCTION("REGEXREPLACE( $AR80, CONCATENATE(""["",AZ80,""]""), """")"),"a")</f>
        <v>a</v>
      </c>
      <c r="BD80" s="11" t="str">
        <f t="shared" si="6"/>
        <v>gdcba</v>
      </c>
      <c r="BE80" s="12" t="str">
        <f>IFERROR(__xludf.DUMMYFUNCTION("CONCATENATE(SORT(TRANSPOSE(SPLIT(REGEXREPLACE(REGEXREPLACE(BD80&amp;"""",""(?s)(.{1})"",""$1""&amp;CHAR(127)),""'"",""''""),CHAR(127))),1,true),""1"")"),"abcdg1")</f>
        <v>abcdg1</v>
      </c>
      <c r="BF80" s="16"/>
      <c r="BG80" s="12" t="str">
        <f t="shared" si="7"/>
        <v>gafb</v>
      </c>
      <c r="BH80" s="12" t="str">
        <f>IFERROR(__xludf.DUMMYFUNCTION("CONCATENATE(SORT(TRANSPOSE(SPLIT(REGEXREPLACE(REGEXREPLACE(BG80&amp;"""",""(?s)(.{1})"",""$1""&amp;CHAR(127)),""'"",""''""),CHAR(127))),1,true),""1"")"),"abfg1")</f>
        <v>abfg1</v>
      </c>
      <c r="BI80" s="16"/>
      <c r="BJ80" s="10" t="str">
        <f>IFERROR(__xludf.DUMMYFUNCTION("FILTER($K80:$T80,len($K80:$T80)=5)"),"gdcba")</f>
        <v>gdcba</v>
      </c>
      <c r="BK80" s="6" t="str">
        <f>IFERROR(__xludf.DUMMYFUNCTION("""COMPUTED_VALUE"""),"aedgc")</f>
        <v>aedgc</v>
      </c>
      <c r="BL80" s="6" t="str">
        <f>IFERROR(__xludf.DUMMYFUNCTION("""COMPUTED_VALUE"""),"gcbfd")</f>
        <v>gcbfd</v>
      </c>
      <c r="BM80" s="14" t="str">
        <f>IFERROR(__xludf.DUMMYFUNCTION("REGEXREPLACE( $BY80, CONCATENATE(""["",BJ80,""]""), """")"),"fe")</f>
        <v>fe</v>
      </c>
      <c r="BN80" s="14" t="str">
        <f>IFERROR(__xludf.DUMMYFUNCTION("REGEXREPLACE( $BY80, CONCATENATE(""["",BK80,""]""), """")"),"fb")</f>
        <v>fb</v>
      </c>
      <c r="BO80" s="14" t="str">
        <f>IFERROR(__xludf.DUMMYFUNCTION("REGEXREPLACE( $BY80, CONCATENATE(""["",BL80,""]""), """")"),"e")</f>
        <v>e</v>
      </c>
      <c r="BP80" s="11" t="str">
        <f t="shared" si="8"/>
        <v>gcbfd</v>
      </c>
      <c r="BQ80" s="12" t="str">
        <f>IFERROR(__xludf.DUMMYFUNCTION("CONCATENATE(SORT(TRANSPOSE(SPLIT(REGEXREPLACE(REGEXREPLACE(BP80&amp;"""",""(?s)(.{1})"",""$1""&amp;CHAR(127)),""'"",""''""),CHAR(127))),1,true),""1"")"),"bcdfg1")</f>
        <v>bcdfg1</v>
      </c>
      <c r="BR80" s="16"/>
      <c r="BS80" s="10" t="str">
        <f>IFERROR(__xludf.DUMMYFUNCTION("FILTER(K80:T80,len(K80:T80)=6)"),"gdcfbe")</f>
        <v>gdcfbe</v>
      </c>
      <c r="BT80" s="6" t="str">
        <f>IFERROR(__xludf.DUMMYFUNCTION("""COMPUTED_VALUE"""),"afcebd")</f>
        <v>afcebd</v>
      </c>
      <c r="BU80" s="6" t="str">
        <f>IFERROR(__xludf.DUMMYFUNCTION("""COMPUTED_VALUE"""),"dfcbag")</f>
        <v>dfcbag</v>
      </c>
      <c r="BV80" s="6" t="str">
        <f>IFERROR(__xludf.DUMMYFUNCTION("REGEXREPLACE( $AR80, CONCATENATE(""["",BS80,""]""), """")"),"a")</f>
        <v>a</v>
      </c>
      <c r="BW80" s="6" t="str">
        <f>IFERROR(__xludf.DUMMYFUNCTION("REGEXREPLACE( $AR80, CONCATENATE(""["",BT80,""]""), """")"),"")</f>
        <v/>
      </c>
      <c r="BX80" s="6" t="str">
        <f>IFERROR(__xludf.DUMMYFUNCTION("REGEXREPLACE( $AR80, CONCATENATE(""["",BU80,""]""), """")"),"")</f>
        <v/>
      </c>
      <c r="BY80" s="12" t="str">
        <f t="shared" si="9"/>
        <v>gdcfbe</v>
      </c>
      <c r="BZ80" s="12" t="str">
        <f>IFERROR(__xludf.DUMMYFUNCTION("CONCATENATE(SORT(TRANSPOSE(SPLIT(REGEXREPLACE(REGEXREPLACE(BY80&amp;"""",""(?s)(.{1})"",""$1""&amp;CHAR(127)),""'"",""''""),CHAR(127))),1,true),""1"")"),"bcdefg1")</f>
        <v>bcdefg1</v>
      </c>
      <c r="CA80" s="16"/>
      <c r="CB80" s="12" t="str">
        <f t="shared" si="10"/>
        <v>dba</v>
      </c>
      <c r="CC80" s="12" t="str">
        <f>IFERROR(__xludf.DUMMYFUNCTION("CONCATENATE(SORT(TRANSPOSE(SPLIT(REGEXREPLACE(REGEXREPLACE(CB80&amp;"""",""(?s)(.{1})"",""$1""&amp;CHAR(127)),""'"",""''""),CHAR(127))),1,true),""1"")"),"abd1")</f>
        <v>abd1</v>
      </c>
      <c r="CD80" s="16"/>
      <c r="CE80" s="12" t="str">
        <f t="shared" si="11"/>
        <v>gfdbaec</v>
      </c>
      <c r="CF80" s="12" t="str">
        <f>IFERROR(__xludf.DUMMYFUNCTION("CONCATENATE(SORT(TRANSPOSE(SPLIT(REGEXREPLACE(REGEXREPLACE(CE80&amp;"""",""(?s)(.{1})"",""$1""&amp;CHAR(127)),""'"",""''""),CHAR(127))),1,true),""1"")"),"abcdefg1")</f>
        <v>abcdefg1</v>
      </c>
      <c r="CG80" s="16"/>
      <c r="CH80" s="10" t="str">
        <f>IFERROR(__xludf.DUMMYFUNCTION("FILTER(K80:T80,len(K80:T80)=6)"),"gdcfbe")</f>
        <v>gdcfbe</v>
      </c>
      <c r="CI80" s="6" t="str">
        <f>IFERROR(__xludf.DUMMYFUNCTION("""COMPUTED_VALUE"""),"afcebd")</f>
        <v>afcebd</v>
      </c>
      <c r="CJ80" s="6" t="str">
        <f>IFERROR(__xludf.DUMMYFUNCTION("""COMPUTED_VALUE"""),"dfcbag")</f>
        <v>dfcbag</v>
      </c>
      <c r="CK80" s="6" t="str">
        <f>IFERROR(__xludf.DUMMYFUNCTION("REGEXREPLACE( $BG80, CONCATENATE(""["",CH80,""]""), """")"),"a")</f>
        <v>a</v>
      </c>
      <c r="CL80" s="6" t="str">
        <f>IFERROR(__xludf.DUMMYFUNCTION("REGEXREPLACE( $BG80, CONCATENATE(""["",CI80,""]""), """")"),"g")</f>
        <v>g</v>
      </c>
      <c r="CM80" s="6" t="str">
        <f>IFERROR(__xludf.DUMMYFUNCTION("REGEXREPLACE( $BG80, CONCATENATE(""["",CJ80,""]""), """")"),"")</f>
        <v/>
      </c>
      <c r="CN80" s="12" t="str">
        <f t="shared" si="12"/>
        <v>dfcbag</v>
      </c>
      <c r="CO80" s="12" t="str">
        <f>IFERROR(__xludf.DUMMYFUNCTION("CONCATENATE(SORT(TRANSPOSE(SPLIT(REGEXREPLACE(REGEXREPLACE(CN80&amp;"""",""(?s)(.{1})"",""$1""&amp;CHAR(127)),""'"",""''""),CHAR(127))),1,true),""1"")"),"abcdfg1")</f>
        <v>abcdfg1</v>
      </c>
      <c r="CP80" s="15"/>
    </row>
    <row r="81">
      <c r="A81" s="1" t="s">
        <v>101</v>
      </c>
      <c r="H81" s="6" t="str">
        <f>IFERROR(__xludf.DUMMYFUNCTION("SPLIT(A81,""|"")"),"adfgbc eabdgc gebf efdca eg bcfeag fdbceag cafbg gec fagce ")</f>
        <v>adfgbc eabdgc gebf efdca eg bcfeag fdbceag cafbg gec fagce </v>
      </c>
      <c r="I81" s="6" t="str">
        <f>IFERROR(__xludf.DUMMYFUNCTION("""COMPUTED_VALUE""")," gabcde cge abfgc fbacge")</f>
        <v> gabcde cge abfgc fbacge</v>
      </c>
      <c r="J81" s="15"/>
      <c r="K81" s="6" t="str">
        <f>IFERROR(__xludf.DUMMYFUNCTION("split(H81,"" "")"),"adfgbc")</f>
        <v>adfgbc</v>
      </c>
      <c r="L81" s="6" t="str">
        <f>IFERROR(__xludf.DUMMYFUNCTION("""COMPUTED_VALUE"""),"eabdgc")</f>
        <v>eabdgc</v>
      </c>
      <c r="M81" s="6" t="str">
        <f>IFERROR(__xludf.DUMMYFUNCTION("""COMPUTED_VALUE"""),"gebf")</f>
        <v>gebf</v>
      </c>
      <c r="N81" s="6" t="str">
        <f>IFERROR(__xludf.DUMMYFUNCTION("""COMPUTED_VALUE"""),"efdca")</f>
        <v>efdca</v>
      </c>
      <c r="O81" s="6" t="str">
        <f>IFERROR(__xludf.DUMMYFUNCTION("""COMPUTED_VALUE"""),"eg")</f>
        <v>eg</v>
      </c>
      <c r="P81" s="6" t="str">
        <f>IFERROR(__xludf.DUMMYFUNCTION("""COMPUTED_VALUE"""),"bcfeag")</f>
        <v>bcfeag</v>
      </c>
      <c r="Q81" s="6" t="str">
        <f>IFERROR(__xludf.DUMMYFUNCTION("""COMPUTED_VALUE"""),"fdbceag")</f>
        <v>fdbceag</v>
      </c>
      <c r="R81" s="6" t="str">
        <f>IFERROR(__xludf.DUMMYFUNCTION("""COMPUTED_VALUE"""),"cafbg")</f>
        <v>cafbg</v>
      </c>
      <c r="S81" s="6" t="str">
        <f>IFERROR(__xludf.DUMMYFUNCTION("""COMPUTED_VALUE"""),"gec")</f>
        <v>gec</v>
      </c>
      <c r="T81" s="6" t="str">
        <f>IFERROR(__xludf.DUMMYFUNCTION("""COMPUTED_VALUE"""),"fagce")</f>
        <v>fagce</v>
      </c>
      <c r="U81" s="15"/>
      <c r="V81" s="6" t="str">
        <f>IFERROR(__xludf.DUMMYFUNCTION("split(I81,"" "")"),"gabcde")</f>
        <v>gabcde</v>
      </c>
      <c r="W81" s="6" t="str">
        <f>IFERROR(__xludf.DUMMYFUNCTION("""COMPUTED_VALUE"""),"cge")</f>
        <v>cge</v>
      </c>
      <c r="X81" s="6" t="str">
        <f>IFERROR(__xludf.DUMMYFUNCTION("""COMPUTED_VALUE"""),"abfgc")</f>
        <v>abfgc</v>
      </c>
      <c r="Y81" s="6" t="str">
        <f>IFERROR(__xludf.DUMMYFUNCTION("""COMPUTED_VALUE"""),"fbacge")</f>
        <v>fbacge</v>
      </c>
      <c r="Z81" s="6" t="str">
        <f>IFERROR(__xludf.DUMMYFUNCTION("CONCATENATE(SORT(TRANSPOSE(SPLIT(REGEXREPLACE(REGEXREPLACE(V81&amp;"""",""(?s)(.{1})"",""$1""&amp;CHAR(127)),""'"",""''""),CHAR(127))),1,true))"),"abcdeg")</f>
        <v>abcdeg</v>
      </c>
      <c r="AA81" s="6" t="str">
        <f>IFERROR(__xludf.DUMMYFUNCTION("CONCATENATE(SORT(TRANSPOSE(SPLIT(REGEXREPLACE(REGEXREPLACE(W81&amp;"""",""(?s)(.{1})"",""$1""&amp;CHAR(127)),""'"",""''""),CHAR(127))),1,true))"),"ceg")</f>
        <v>ceg</v>
      </c>
      <c r="AB81" s="6" t="str">
        <f>IFERROR(__xludf.DUMMYFUNCTION("CONCATENATE(SORT(TRANSPOSE(SPLIT(REGEXREPLACE(REGEXREPLACE(X81&amp;"""",""(?s)(.{1})"",""$1""&amp;CHAR(127)),""'"",""''""),CHAR(127))),1,true))"),"abcfg")</f>
        <v>abcfg</v>
      </c>
      <c r="AC81" s="6" t="str">
        <f>IFERROR(__xludf.DUMMYFUNCTION("CONCATENATE(SORT(TRANSPOSE(SPLIT(REGEXREPLACE(REGEXREPLACE(Y81&amp;"""",""(?s)(.{1})"",""$1""&amp;CHAR(127)),""'"",""''""),CHAR(127))),1,true))"),"abcefg")</f>
        <v>abcefg</v>
      </c>
      <c r="AD81" s="6">
        <f t="shared" ref="AD81:AG81" si="91">INDEX($AO$1:$CP$1,1,MATCH(CONCATENATE(Z81,"1"),$AO81:$CP81,0)+1)</f>
        <v>0</v>
      </c>
      <c r="AE81" s="6">
        <f t="shared" si="91"/>
        <v>7</v>
      </c>
      <c r="AF81" s="6">
        <f t="shared" si="91"/>
        <v>5</v>
      </c>
      <c r="AG81" s="6">
        <f t="shared" si="91"/>
        <v>9</v>
      </c>
      <c r="AH81" s="6">
        <f t="shared" si="3"/>
        <v>759</v>
      </c>
      <c r="AI81" s="16"/>
      <c r="AJ81" s="9" t="str">
        <f>IFERROR(__xludf.DUMMYFUNCTION("REGEXREPLACE(AR81,CONCATENATE(""["",BY81,""]""),"""")"),"e")</f>
        <v>e</v>
      </c>
      <c r="AK81" s="10" t="str">
        <f>IFERROR(__xludf.DUMMYFUNCTION("FILTER($K81:$T81,len($K81:$T81)=6,NOT($K81:$T81=BY81))"),"eabdgc")</f>
        <v>eabdgc</v>
      </c>
      <c r="AL81" s="6" t="str">
        <f>IFERROR(__xludf.DUMMYFUNCTION("""COMPUTED_VALUE"""),"bcfeag")</f>
        <v>bcfeag</v>
      </c>
      <c r="AM81" s="6" t="str">
        <f>IFERROR(__xludf.DUMMYFUNCTION("REGEXREPLACE( $BG81, CONCATENATE(""["",AK81,""]""), """")"),"f")</f>
        <v>f</v>
      </c>
      <c r="AN81" s="6" t="str">
        <f>IFERROR(__xludf.DUMMYFUNCTION("REGEXREPLACE( $BG81, CONCATENATE(""["",AL81,""]""), """")"),"")</f>
        <v/>
      </c>
      <c r="AO81" s="11" t="str">
        <f t="shared" si="4"/>
        <v>eabdgc</v>
      </c>
      <c r="AP81" s="12" t="str">
        <f>IFERROR(__xludf.DUMMYFUNCTION("CONCATENATE(SORT(TRANSPOSE(SPLIT(REGEXREPLACE(REGEXREPLACE(AO81&amp;"""",""(?s)(.{1})"",""$1""&amp;CHAR(127)),""'"",""''""),CHAR(127))),1,true),""1"")"),"abcdeg1")</f>
        <v>abcdeg1</v>
      </c>
      <c r="AQ81" s="16"/>
      <c r="AR81" s="12" t="str">
        <f t="shared" si="5"/>
        <v>eg</v>
      </c>
      <c r="AS81" s="12" t="str">
        <f>IFERROR(__xludf.DUMMYFUNCTION("CONCATENATE(SORT(TRANSPOSE(SPLIT(REGEXREPLACE(REGEXREPLACE(AR81&amp;"""",""(?s)(.{1})"",""$1""&amp;CHAR(127)),""'"",""''""),CHAR(127))),1,true),""1"")"),"eg1")</f>
        <v>eg1</v>
      </c>
      <c r="AT81" s="16"/>
      <c r="AU81" s="13" t="str">
        <f>IFERROR(__xludf.DUMMYFUNCTION("FILTER($K81:$T81,len($K81:$T81)=5,NOT($K81:$T81=BD81),NOT($K81:$T81=BP81))"),"efdca")</f>
        <v>efdca</v>
      </c>
      <c r="AV81" s="12" t="str">
        <f>IFERROR(__xludf.DUMMYFUNCTION("CONCATENATE(SORT(TRANSPOSE(SPLIT(REGEXREPLACE(REGEXREPLACE(AU81&amp;"""",""(?s)(.{1})"",""$1""&amp;CHAR(127)),""'"",""''""),CHAR(127))),1,true),""1"")"),"acdef1")</f>
        <v>acdef1</v>
      </c>
      <c r="AW81" s="16"/>
      <c r="AX81" s="10" t="str">
        <f>IFERROR(__xludf.DUMMYFUNCTION("FILTER($K81:$T81,len($K81:$T81)=5)"),"efdca")</f>
        <v>efdca</v>
      </c>
      <c r="AY81" s="6" t="str">
        <f>IFERROR(__xludf.DUMMYFUNCTION("""COMPUTED_VALUE"""),"cafbg")</f>
        <v>cafbg</v>
      </c>
      <c r="AZ81" s="6" t="str">
        <f>IFERROR(__xludf.DUMMYFUNCTION("""COMPUTED_VALUE"""),"fagce")</f>
        <v>fagce</v>
      </c>
      <c r="BA81" s="6" t="str">
        <f>IFERROR(__xludf.DUMMYFUNCTION("REGEXREPLACE( $AR81, CONCATENATE(""["",AX81,""]""), """")"),"g")</f>
        <v>g</v>
      </c>
      <c r="BB81" s="6" t="str">
        <f>IFERROR(__xludf.DUMMYFUNCTION("REGEXREPLACE( $AR81, CONCATENATE(""["",AY81,""]""), """")"),"e")</f>
        <v>e</v>
      </c>
      <c r="BC81" s="6" t="str">
        <f>IFERROR(__xludf.DUMMYFUNCTION("REGEXREPLACE( $AR81, CONCATENATE(""["",AZ81,""]""), """")"),"")</f>
        <v/>
      </c>
      <c r="BD81" s="11" t="str">
        <f t="shared" si="6"/>
        <v>fagce</v>
      </c>
      <c r="BE81" s="12" t="str">
        <f>IFERROR(__xludf.DUMMYFUNCTION("CONCATENATE(SORT(TRANSPOSE(SPLIT(REGEXREPLACE(REGEXREPLACE(BD81&amp;"""",""(?s)(.{1})"",""$1""&amp;CHAR(127)),""'"",""''""),CHAR(127))),1,true),""1"")"),"acefg1")</f>
        <v>acefg1</v>
      </c>
      <c r="BF81" s="16"/>
      <c r="BG81" s="12" t="str">
        <f t="shared" si="7"/>
        <v>gebf</v>
      </c>
      <c r="BH81" s="12" t="str">
        <f>IFERROR(__xludf.DUMMYFUNCTION("CONCATENATE(SORT(TRANSPOSE(SPLIT(REGEXREPLACE(REGEXREPLACE(BG81&amp;"""",""(?s)(.{1})"",""$1""&amp;CHAR(127)),""'"",""''""),CHAR(127))),1,true),""1"")"),"befg1")</f>
        <v>befg1</v>
      </c>
      <c r="BI81" s="16"/>
      <c r="BJ81" s="10" t="str">
        <f>IFERROR(__xludf.DUMMYFUNCTION("FILTER($K81:$T81,len($K81:$T81)=5)"),"efdca")</f>
        <v>efdca</v>
      </c>
      <c r="BK81" s="6" t="str">
        <f>IFERROR(__xludf.DUMMYFUNCTION("""COMPUTED_VALUE"""),"cafbg")</f>
        <v>cafbg</v>
      </c>
      <c r="BL81" s="6" t="str">
        <f>IFERROR(__xludf.DUMMYFUNCTION("""COMPUTED_VALUE"""),"fagce")</f>
        <v>fagce</v>
      </c>
      <c r="BM81" s="14" t="str">
        <f>IFERROR(__xludf.DUMMYFUNCTION("REGEXREPLACE( $BY81, CONCATENATE(""["",BJ81,""]""), """")"),"gb")</f>
        <v>gb</v>
      </c>
      <c r="BN81" s="14" t="str">
        <f>IFERROR(__xludf.DUMMYFUNCTION("REGEXREPLACE( $BY81, CONCATENATE(""["",BK81,""]""), """")"),"d")</f>
        <v>d</v>
      </c>
      <c r="BO81" s="14" t="str">
        <f>IFERROR(__xludf.DUMMYFUNCTION("REGEXREPLACE( $BY81, CONCATENATE(""["",BL81,""]""), """")"),"db")</f>
        <v>db</v>
      </c>
      <c r="BP81" s="11" t="str">
        <f t="shared" si="8"/>
        <v>cafbg</v>
      </c>
      <c r="BQ81" s="12" t="str">
        <f>IFERROR(__xludf.DUMMYFUNCTION("CONCATENATE(SORT(TRANSPOSE(SPLIT(REGEXREPLACE(REGEXREPLACE(BP81&amp;"""",""(?s)(.{1})"",""$1""&amp;CHAR(127)),""'"",""''""),CHAR(127))),1,true),""1"")"),"abcfg1")</f>
        <v>abcfg1</v>
      </c>
      <c r="BR81" s="16"/>
      <c r="BS81" s="10" t="str">
        <f>IFERROR(__xludf.DUMMYFUNCTION("FILTER(K81:T81,len(K81:T81)=6)"),"adfgbc")</f>
        <v>adfgbc</v>
      </c>
      <c r="BT81" s="6" t="str">
        <f>IFERROR(__xludf.DUMMYFUNCTION("""COMPUTED_VALUE"""),"eabdgc")</f>
        <v>eabdgc</v>
      </c>
      <c r="BU81" s="6" t="str">
        <f>IFERROR(__xludf.DUMMYFUNCTION("""COMPUTED_VALUE"""),"bcfeag")</f>
        <v>bcfeag</v>
      </c>
      <c r="BV81" s="6" t="str">
        <f>IFERROR(__xludf.DUMMYFUNCTION("REGEXREPLACE( $AR81, CONCATENATE(""["",BS81,""]""), """")"),"e")</f>
        <v>e</v>
      </c>
      <c r="BW81" s="6" t="str">
        <f>IFERROR(__xludf.DUMMYFUNCTION("REGEXREPLACE( $AR81, CONCATENATE(""["",BT81,""]""), """")"),"")</f>
        <v/>
      </c>
      <c r="BX81" s="6" t="str">
        <f>IFERROR(__xludf.DUMMYFUNCTION("REGEXREPLACE( $AR81, CONCATENATE(""["",BU81,""]""), """")"),"")</f>
        <v/>
      </c>
      <c r="BY81" s="12" t="str">
        <f t="shared" si="9"/>
        <v>adfgbc</v>
      </c>
      <c r="BZ81" s="12" t="str">
        <f>IFERROR(__xludf.DUMMYFUNCTION("CONCATENATE(SORT(TRANSPOSE(SPLIT(REGEXREPLACE(REGEXREPLACE(BY81&amp;"""",""(?s)(.{1})"",""$1""&amp;CHAR(127)),""'"",""''""),CHAR(127))),1,true),""1"")"),"abcdfg1")</f>
        <v>abcdfg1</v>
      </c>
      <c r="CA81" s="16"/>
      <c r="CB81" s="12" t="str">
        <f t="shared" si="10"/>
        <v>gec</v>
      </c>
      <c r="CC81" s="12" t="str">
        <f>IFERROR(__xludf.DUMMYFUNCTION("CONCATENATE(SORT(TRANSPOSE(SPLIT(REGEXREPLACE(REGEXREPLACE(CB81&amp;"""",""(?s)(.{1})"",""$1""&amp;CHAR(127)),""'"",""''""),CHAR(127))),1,true),""1"")"),"ceg1")</f>
        <v>ceg1</v>
      </c>
      <c r="CD81" s="16"/>
      <c r="CE81" s="12" t="str">
        <f t="shared" si="11"/>
        <v>fdbceag</v>
      </c>
      <c r="CF81" s="12" t="str">
        <f>IFERROR(__xludf.DUMMYFUNCTION("CONCATENATE(SORT(TRANSPOSE(SPLIT(REGEXREPLACE(REGEXREPLACE(CE81&amp;"""",""(?s)(.{1})"",""$1""&amp;CHAR(127)),""'"",""''""),CHAR(127))),1,true),""1"")"),"abcdefg1")</f>
        <v>abcdefg1</v>
      </c>
      <c r="CG81" s="16"/>
      <c r="CH81" s="10" t="str">
        <f>IFERROR(__xludf.DUMMYFUNCTION("FILTER(K81:T81,len(K81:T81)=6)"),"adfgbc")</f>
        <v>adfgbc</v>
      </c>
      <c r="CI81" s="6" t="str">
        <f>IFERROR(__xludf.DUMMYFUNCTION("""COMPUTED_VALUE"""),"eabdgc")</f>
        <v>eabdgc</v>
      </c>
      <c r="CJ81" s="6" t="str">
        <f>IFERROR(__xludf.DUMMYFUNCTION("""COMPUTED_VALUE"""),"bcfeag")</f>
        <v>bcfeag</v>
      </c>
      <c r="CK81" s="6" t="str">
        <f>IFERROR(__xludf.DUMMYFUNCTION("REGEXREPLACE( $BG81, CONCATENATE(""["",CH81,""]""), """")"),"e")</f>
        <v>e</v>
      </c>
      <c r="CL81" s="6" t="str">
        <f>IFERROR(__xludf.DUMMYFUNCTION("REGEXREPLACE( $BG81, CONCATENATE(""["",CI81,""]""), """")"),"f")</f>
        <v>f</v>
      </c>
      <c r="CM81" s="6" t="str">
        <f>IFERROR(__xludf.DUMMYFUNCTION("REGEXREPLACE( $BG81, CONCATENATE(""["",CJ81,""]""), """")"),"")</f>
        <v/>
      </c>
      <c r="CN81" s="12" t="str">
        <f t="shared" si="12"/>
        <v>bcfeag</v>
      </c>
      <c r="CO81" s="12" t="str">
        <f>IFERROR(__xludf.DUMMYFUNCTION("CONCATENATE(SORT(TRANSPOSE(SPLIT(REGEXREPLACE(REGEXREPLACE(CN81&amp;"""",""(?s)(.{1})"",""$1""&amp;CHAR(127)),""'"",""''""),CHAR(127))),1,true),""1"")"),"abcefg1")</f>
        <v>abcefg1</v>
      </c>
      <c r="CP81" s="15"/>
    </row>
    <row r="82">
      <c r="A82" s="1" t="s">
        <v>102</v>
      </c>
      <c r="H82" s="6" t="str">
        <f>IFERROR(__xludf.DUMMYFUNCTION("SPLIT(A82,""|"")"),"gb fbeagd dfacb egbf aecfgd degfa ecgbfda adecbg bga gdabf ")</f>
        <v>gb fbeagd dfacb egbf aecfgd degfa ecgbfda adecbg bga gdabf </v>
      </c>
      <c r="I82" s="6" t="str">
        <f>IFERROR(__xludf.DUMMYFUNCTION("""COMPUTED_VALUE""")," efdgba dcfab ebdcga dfbga")</f>
        <v> efdgba dcfab ebdcga dfbga</v>
      </c>
      <c r="J82" s="15"/>
      <c r="K82" s="6" t="str">
        <f>IFERROR(__xludf.DUMMYFUNCTION("split(H82,"" "")"),"gb")</f>
        <v>gb</v>
      </c>
      <c r="L82" s="6" t="str">
        <f>IFERROR(__xludf.DUMMYFUNCTION("""COMPUTED_VALUE"""),"fbeagd")</f>
        <v>fbeagd</v>
      </c>
      <c r="M82" s="6" t="str">
        <f>IFERROR(__xludf.DUMMYFUNCTION("""COMPUTED_VALUE"""),"dfacb")</f>
        <v>dfacb</v>
      </c>
      <c r="N82" s="6" t="str">
        <f>IFERROR(__xludf.DUMMYFUNCTION("""COMPUTED_VALUE"""),"egbf")</f>
        <v>egbf</v>
      </c>
      <c r="O82" s="6" t="str">
        <f>IFERROR(__xludf.DUMMYFUNCTION("""COMPUTED_VALUE"""),"aecfgd")</f>
        <v>aecfgd</v>
      </c>
      <c r="P82" s="6" t="str">
        <f>IFERROR(__xludf.DUMMYFUNCTION("""COMPUTED_VALUE"""),"degfa")</f>
        <v>degfa</v>
      </c>
      <c r="Q82" s="6" t="str">
        <f>IFERROR(__xludf.DUMMYFUNCTION("""COMPUTED_VALUE"""),"ecgbfda")</f>
        <v>ecgbfda</v>
      </c>
      <c r="R82" s="6" t="str">
        <f>IFERROR(__xludf.DUMMYFUNCTION("""COMPUTED_VALUE"""),"adecbg")</f>
        <v>adecbg</v>
      </c>
      <c r="S82" s="6" t="str">
        <f>IFERROR(__xludf.DUMMYFUNCTION("""COMPUTED_VALUE"""),"bga")</f>
        <v>bga</v>
      </c>
      <c r="T82" s="6" t="str">
        <f>IFERROR(__xludf.DUMMYFUNCTION("""COMPUTED_VALUE"""),"gdabf")</f>
        <v>gdabf</v>
      </c>
      <c r="U82" s="15"/>
      <c r="V82" s="6" t="str">
        <f>IFERROR(__xludf.DUMMYFUNCTION("split(I82,"" "")"),"efdgba")</f>
        <v>efdgba</v>
      </c>
      <c r="W82" s="6" t="str">
        <f>IFERROR(__xludf.DUMMYFUNCTION("""COMPUTED_VALUE"""),"dcfab")</f>
        <v>dcfab</v>
      </c>
      <c r="X82" s="6" t="str">
        <f>IFERROR(__xludf.DUMMYFUNCTION("""COMPUTED_VALUE"""),"ebdcga")</f>
        <v>ebdcga</v>
      </c>
      <c r="Y82" s="6" t="str">
        <f>IFERROR(__xludf.DUMMYFUNCTION("""COMPUTED_VALUE"""),"dfbga")</f>
        <v>dfbga</v>
      </c>
      <c r="Z82" s="6" t="str">
        <f>IFERROR(__xludf.DUMMYFUNCTION("CONCATENATE(SORT(TRANSPOSE(SPLIT(REGEXREPLACE(REGEXREPLACE(V82&amp;"""",""(?s)(.{1})"",""$1""&amp;CHAR(127)),""'"",""''""),CHAR(127))),1,true))"),"abdefg")</f>
        <v>abdefg</v>
      </c>
      <c r="AA82" s="6" t="str">
        <f>IFERROR(__xludf.DUMMYFUNCTION("CONCATENATE(SORT(TRANSPOSE(SPLIT(REGEXREPLACE(REGEXREPLACE(W82&amp;"""",""(?s)(.{1})"",""$1""&amp;CHAR(127)),""'"",""''""),CHAR(127))),1,true))"),"abcdf")</f>
        <v>abcdf</v>
      </c>
      <c r="AB82" s="6" t="str">
        <f>IFERROR(__xludf.DUMMYFUNCTION("CONCATENATE(SORT(TRANSPOSE(SPLIT(REGEXREPLACE(REGEXREPLACE(X82&amp;"""",""(?s)(.{1})"",""$1""&amp;CHAR(127)),""'"",""''""),CHAR(127))),1,true))"),"abcdeg")</f>
        <v>abcdeg</v>
      </c>
      <c r="AC82" s="6" t="str">
        <f>IFERROR(__xludf.DUMMYFUNCTION("CONCATENATE(SORT(TRANSPOSE(SPLIT(REGEXREPLACE(REGEXREPLACE(Y82&amp;"""",""(?s)(.{1})"",""$1""&amp;CHAR(127)),""'"",""''""),CHAR(127))),1,true))"),"abdfg")</f>
        <v>abdfg</v>
      </c>
      <c r="AD82" s="6">
        <f t="shared" ref="AD82:AG82" si="92">INDEX($AO$1:$CP$1,1,MATCH(CONCATENATE(Z82,"1"),$AO82:$CP82,0)+1)</f>
        <v>9</v>
      </c>
      <c r="AE82" s="6">
        <f t="shared" si="92"/>
        <v>2</v>
      </c>
      <c r="AF82" s="6">
        <f t="shared" si="92"/>
        <v>0</v>
      </c>
      <c r="AG82" s="6">
        <f t="shared" si="92"/>
        <v>3</v>
      </c>
      <c r="AH82" s="6">
        <f t="shared" si="3"/>
        <v>9203</v>
      </c>
      <c r="AI82" s="16"/>
      <c r="AJ82" s="9" t="str">
        <f>IFERROR(__xludf.DUMMYFUNCTION("REGEXREPLACE(AR82,CONCATENATE(""["",BY82,""]""),"""")"),"b")</f>
        <v>b</v>
      </c>
      <c r="AK82" s="10" t="str">
        <f>IFERROR(__xludf.DUMMYFUNCTION("FILTER($K82:$T82,len($K82:$T82)=6,NOT($K82:$T82=BY82))"),"fbeagd")</f>
        <v>fbeagd</v>
      </c>
      <c r="AL82" s="6" t="str">
        <f>IFERROR(__xludf.DUMMYFUNCTION("""COMPUTED_VALUE"""),"adecbg")</f>
        <v>adecbg</v>
      </c>
      <c r="AM82" s="6" t="str">
        <f>IFERROR(__xludf.DUMMYFUNCTION("REGEXREPLACE( $BG82, CONCATENATE(""["",AK82,""]""), """")"),"")</f>
        <v/>
      </c>
      <c r="AN82" s="6" t="str">
        <f>IFERROR(__xludf.DUMMYFUNCTION("REGEXREPLACE( $BG82, CONCATENATE(""["",AL82,""]""), """")"),"f")</f>
        <v>f</v>
      </c>
      <c r="AO82" s="11" t="str">
        <f t="shared" si="4"/>
        <v>adecbg</v>
      </c>
      <c r="AP82" s="12" t="str">
        <f>IFERROR(__xludf.DUMMYFUNCTION("CONCATENATE(SORT(TRANSPOSE(SPLIT(REGEXREPLACE(REGEXREPLACE(AO82&amp;"""",""(?s)(.{1})"",""$1""&amp;CHAR(127)),""'"",""''""),CHAR(127))),1,true),""1"")"),"abcdeg1")</f>
        <v>abcdeg1</v>
      </c>
      <c r="AQ82" s="16"/>
      <c r="AR82" s="12" t="str">
        <f t="shared" si="5"/>
        <v>gb</v>
      </c>
      <c r="AS82" s="12" t="str">
        <f>IFERROR(__xludf.DUMMYFUNCTION("CONCATENATE(SORT(TRANSPOSE(SPLIT(REGEXREPLACE(REGEXREPLACE(AR82&amp;"""",""(?s)(.{1})"",""$1""&amp;CHAR(127)),""'"",""''""),CHAR(127))),1,true),""1"")"),"bg1")</f>
        <v>bg1</v>
      </c>
      <c r="AT82" s="16"/>
      <c r="AU82" s="13" t="str">
        <f>IFERROR(__xludf.DUMMYFUNCTION("FILTER($K82:$T82,len($K82:$T82)=5,NOT($K82:$T82=BD82),NOT($K82:$T82=BP82))"),"dfacb")</f>
        <v>dfacb</v>
      </c>
      <c r="AV82" s="12" t="str">
        <f>IFERROR(__xludf.DUMMYFUNCTION("CONCATENATE(SORT(TRANSPOSE(SPLIT(REGEXREPLACE(REGEXREPLACE(AU82&amp;"""",""(?s)(.{1})"",""$1""&amp;CHAR(127)),""'"",""''""),CHAR(127))),1,true),""1"")"),"abcdf1")</f>
        <v>abcdf1</v>
      </c>
      <c r="AW82" s="16"/>
      <c r="AX82" s="10" t="str">
        <f>IFERROR(__xludf.DUMMYFUNCTION("FILTER($K82:$T82,len($K82:$T82)=5)"),"dfacb")</f>
        <v>dfacb</v>
      </c>
      <c r="AY82" s="6" t="str">
        <f>IFERROR(__xludf.DUMMYFUNCTION("""COMPUTED_VALUE"""),"degfa")</f>
        <v>degfa</v>
      </c>
      <c r="AZ82" s="6" t="str">
        <f>IFERROR(__xludf.DUMMYFUNCTION("""COMPUTED_VALUE"""),"gdabf")</f>
        <v>gdabf</v>
      </c>
      <c r="BA82" s="6" t="str">
        <f>IFERROR(__xludf.DUMMYFUNCTION("REGEXREPLACE( $AR82, CONCATENATE(""["",AX82,""]""), """")"),"g")</f>
        <v>g</v>
      </c>
      <c r="BB82" s="6" t="str">
        <f>IFERROR(__xludf.DUMMYFUNCTION("REGEXREPLACE( $AR82, CONCATENATE(""["",AY82,""]""), """")"),"b")</f>
        <v>b</v>
      </c>
      <c r="BC82" s="6" t="str">
        <f>IFERROR(__xludf.DUMMYFUNCTION("REGEXREPLACE( $AR82, CONCATENATE(""["",AZ82,""]""), """")"),"")</f>
        <v/>
      </c>
      <c r="BD82" s="11" t="str">
        <f t="shared" si="6"/>
        <v>gdabf</v>
      </c>
      <c r="BE82" s="12" t="str">
        <f>IFERROR(__xludf.DUMMYFUNCTION("CONCATENATE(SORT(TRANSPOSE(SPLIT(REGEXREPLACE(REGEXREPLACE(BD82&amp;"""",""(?s)(.{1})"",""$1""&amp;CHAR(127)),""'"",""''""),CHAR(127))),1,true),""1"")"),"abdfg1")</f>
        <v>abdfg1</v>
      </c>
      <c r="BF82" s="16"/>
      <c r="BG82" s="12" t="str">
        <f t="shared" si="7"/>
        <v>egbf</v>
      </c>
      <c r="BH82" s="12" t="str">
        <f>IFERROR(__xludf.DUMMYFUNCTION("CONCATENATE(SORT(TRANSPOSE(SPLIT(REGEXREPLACE(REGEXREPLACE(BG82&amp;"""",""(?s)(.{1})"",""$1""&amp;CHAR(127)),""'"",""''""),CHAR(127))),1,true),""1"")"),"befg1")</f>
        <v>befg1</v>
      </c>
      <c r="BI82" s="16"/>
      <c r="BJ82" s="10" t="str">
        <f>IFERROR(__xludf.DUMMYFUNCTION("FILTER($K82:$T82,len($K82:$T82)=5)"),"dfacb")</f>
        <v>dfacb</v>
      </c>
      <c r="BK82" s="6" t="str">
        <f>IFERROR(__xludf.DUMMYFUNCTION("""COMPUTED_VALUE"""),"degfa")</f>
        <v>degfa</v>
      </c>
      <c r="BL82" s="6" t="str">
        <f>IFERROR(__xludf.DUMMYFUNCTION("""COMPUTED_VALUE"""),"gdabf")</f>
        <v>gdabf</v>
      </c>
      <c r="BM82" s="14" t="str">
        <f>IFERROR(__xludf.DUMMYFUNCTION("REGEXREPLACE( $BY82, CONCATENATE(""["",BJ82,""]""), """")"),"eg")</f>
        <v>eg</v>
      </c>
      <c r="BN82" s="14" t="str">
        <f>IFERROR(__xludf.DUMMYFUNCTION("REGEXREPLACE( $BY82, CONCATENATE(""["",BK82,""]""), """")"),"c")</f>
        <v>c</v>
      </c>
      <c r="BO82" s="14" t="str">
        <f>IFERROR(__xludf.DUMMYFUNCTION("REGEXREPLACE( $BY82, CONCATENATE(""["",BL82,""]""), """")"),"ec")</f>
        <v>ec</v>
      </c>
      <c r="BP82" s="11" t="str">
        <f t="shared" si="8"/>
        <v>degfa</v>
      </c>
      <c r="BQ82" s="12" t="str">
        <f>IFERROR(__xludf.DUMMYFUNCTION("CONCATENATE(SORT(TRANSPOSE(SPLIT(REGEXREPLACE(REGEXREPLACE(BP82&amp;"""",""(?s)(.{1})"",""$1""&amp;CHAR(127)),""'"",""''""),CHAR(127))),1,true),""1"")"),"adefg1")</f>
        <v>adefg1</v>
      </c>
      <c r="BR82" s="16"/>
      <c r="BS82" s="10" t="str">
        <f>IFERROR(__xludf.DUMMYFUNCTION("FILTER(K82:T82,len(K82:T82)=6)"),"fbeagd")</f>
        <v>fbeagd</v>
      </c>
      <c r="BT82" s="6" t="str">
        <f>IFERROR(__xludf.DUMMYFUNCTION("""COMPUTED_VALUE"""),"aecfgd")</f>
        <v>aecfgd</v>
      </c>
      <c r="BU82" s="6" t="str">
        <f>IFERROR(__xludf.DUMMYFUNCTION("""COMPUTED_VALUE"""),"adecbg")</f>
        <v>adecbg</v>
      </c>
      <c r="BV82" s="6" t="str">
        <f>IFERROR(__xludf.DUMMYFUNCTION("REGEXREPLACE( $AR82, CONCATENATE(""["",BS82,""]""), """")"),"")</f>
        <v/>
      </c>
      <c r="BW82" s="6" t="str">
        <f>IFERROR(__xludf.DUMMYFUNCTION("REGEXREPLACE( $AR82, CONCATENATE(""["",BT82,""]""), """")"),"b")</f>
        <v>b</v>
      </c>
      <c r="BX82" s="6" t="str">
        <f>IFERROR(__xludf.DUMMYFUNCTION("REGEXREPLACE( $AR82, CONCATENATE(""["",BU82,""]""), """")"),"")</f>
        <v/>
      </c>
      <c r="BY82" s="12" t="str">
        <f t="shared" si="9"/>
        <v>aecfgd</v>
      </c>
      <c r="BZ82" s="12" t="str">
        <f>IFERROR(__xludf.DUMMYFUNCTION("CONCATENATE(SORT(TRANSPOSE(SPLIT(REGEXREPLACE(REGEXREPLACE(BY82&amp;"""",""(?s)(.{1})"",""$1""&amp;CHAR(127)),""'"",""''""),CHAR(127))),1,true),""1"")"),"acdefg1")</f>
        <v>acdefg1</v>
      </c>
      <c r="CA82" s="16"/>
      <c r="CB82" s="12" t="str">
        <f t="shared" si="10"/>
        <v>bga</v>
      </c>
      <c r="CC82" s="12" t="str">
        <f>IFERROR(__xludf.DUMMYFUNCTION("CONCATENATE(SORT(TRANSPOSE(SPLIT(REGEXREPLACE(REGEXREPLACE(CB82&amp;"""",""(?s)(.{1})"",""$1""&amp;CHAR(127)),""'"",""''""),CHAR(127))),1,true),""1"")"),"abg1")</f>
        <v>abg1</v>
      </c>
      <c r="CD82" s="16"/>
      <c r="CE82" s="12" t="str">
        <f t="shared" si="11"/>
        <v>ecgbfda</v>
      </c>
      <c r="CF82" s="12" t="str">
        <f>IFERROR(__xludf.DUMMYFUNCTION("CONCATENATE(SORT(TRANSPOSE(SPLIT(REGEXREPLACE(REGEXREPLACE(CE82&amp;"""",""(?s)(.{1})"",""$1""&amp;CHAR(127)),""'"",""''""),CHAR(127))),1,true),""1"")"),"abcdefg1")</f>
        <v>abcdefg1</v>
      </c>
      <c r="CG82" s="16"/>
      <c r="CH82" s="10" t="str">
        <f>IFERROR(__xludf.DUMMYFUNCTION("FILTER(K82:T82,len(K82:T82)=6)"),"fbeagd")</f>
        <v>fbeagd</v>
      </c>
      <c r="CI82" s="6" t="str">
        <f>IFERROR(__xludf.DUMMYFUNCTION("""COMPUTED_VALUE"""),"aecfgd")</f>
        <v>aecfgd</v>
      </c>
      <c r="CJ82" s="6" t="str">
        <f>IFERROR(__xludf.DUMMYFUNCTION("""COMPUTED_VALUE"""),"adecbg")</f>
        <v>adecbg</v>
      </c>
      <c r="CK82" s="6" t="str">
        <f>IFERROR(__xludf.DUMMYFUNCTION("REGEXREPLACE( $BG82, CONCATENATE(""["",CH82,""]""), """")"),"")</f>
        <v/>
      </c>
      <c r="CL82" s="6" t="str">
        <f>IFERROR(__xludf.DUMMYFUNCTION("REGEXREPLACE( $BG82, CONCATENATE(""["",CI82,""]""), """")"),"b")</f>
        <v>b</v>
      </c>
      <c r="CM82" s="6" t="str">
        <f>IFERROR(__xludf.DUMMYFUNCTION("REGEXREPLACE( $BG82, CONCATENATE(""["",CJ82,""]""), """")"),"f")</f>
        <v>f</v>
      </c>
      <c r="CN82" s="12" t="str">
        <f t="shared" si="12"/>
        <v>fbeagd</v>
      </c>
      <c r="CO82" s="12" t="str">
        <f>IFERROR(__xludf.DUMMYFUNCTION("CONCATENATE(SORT(TRANSPOSE(SPLIT(REGEXREPLACE(REGEXREPLACE(CN82&amp;"""",""(?s)(.{1})"",""$1""&amp;CHAR(127)),""'"",""''""),CHAR(127))),1,true),""1"")"),"abdefg1")</f>
        <v>abdefg1</v>
      </c>
      <c r="CP82" s="15"/>
    </row>
    <row r="83">
      <c r="A83" s="1" t="s">
        <v>103</v>
      </c>
      <c r="H83" s="6" t="str">
        <f>IFERROR(__xludf.DUMMYFUNCTION("SPLIT(A83,""|"")"),"agfde efdgcb aefbcdg dgbfe dcafbg adbe dbafeg fda da cgfea ")</f>
        <v>agfde efdgcb aefbcdg dgbfe dcafbg adbe dbafeg fda da cgfea </v>
      </c>
      <c r="I83" s="6" t="str">
        <f>IFERROR(__xludf.DUMMYFUNCTION("""COMPUTED_VALUE""")," dfa geafc ad afd")</f>
        <v> dfa geafc ad afd</v>
      </c>
      <c r="J83" s="15"/>
      <c r="K83" s="6" t="str">
        <f>IFERROR(__xludf.DUMMYFUNCTION("split(H83,"" "")"),"agfde")</f>
        <v>agfde</v>
      </c>
      <c r="L83" s="6" t="str">
        <f>IFERROR(__xludf.DUMMYFUNCTION("""COMPUTED_VALUE"""),"efdgcb")</f>
        <v>efdgcb</v>
      </c>
      <c r="M83" s="6" t="str">
        <f>IFERROR(__xludf.DUMMYFUNCTION("""COMPUTED_VALUE"""),"aefbcdg")</f>
        <v>aefbcdg</v>
      </c>
      <c r="N83" s="6" t="str">
        <f>IFERROR(__xludf.DUMMYFUNCTION("""COMPUTED_VALUE"""),"dgbfe")</f>
        <v>dgbfe</v>
      </c>
      <c r="O83" s="6" t="str">
        <f>IFERROR(__xludf.DUMMYFUNCTION("""COMPUTED_VALUE"""),"dcafbg")</f>
        <v>dcafbg</v>
      </c>
      <c r="P83" s="6" t="str">
        <f>IFERROR(__xludf.DUMMYFUNCTION("""COMPUTED_VALUE"""),"adbe")</f>
        <v>adbe</v>
      </c>
      <c r="Q83" s="6" t="str">
        <f>IFERROR(__xludf.DUMMYFUNCTION("""COMPUTED_VALUE"""),"dbafeg")</f>
        <v>dbafeg</v>
      </c>
      <c r="R83" s="6" t="str">
        <f>IFERROR(__xludf.DUMMYFUNCTION("""COMPUTED_VALUE"""),"fda")</f>
        <v>fda</v>
      </c>
      <c r="S83" s="6" t="str">
        <f>IFERROR(__xludf.DUMMYFUNCTION("""COMPUTED_VALUE"""),"da")</f>
        <v>da</v>
      </c>
      <c r="T83" s="6" t="str">
        <f>IFERROR(__xludf.DUMMYFUNCTION("""COMPUTED_VALUE"""),"cgfea")</f>
        <v>cgfea</v>
      </c>
      <c r="U83" s="15"/>
      <c r="V83" s="6" t="str">
        <f>IFERROR(__xludf.DUMMYFUNCTION("split(I83,"" "")"),"dfa")</f>
        <v>dfa</v>
      </c>
      <c r="W83" s="6" t="str">
        <f>IFERROR(__xludf.DUMMYFUNCTION("""COMPUTED_VALUE"""),"geafc")</f>
        <v>geafc</v>
      </c>
      <c r="X83" s="6" t="str">
        <f>IFERROR(__xludf.DUMMYFUNCTION("""COMPUTED_VALUE"""),"ad")</f>
        <v>ad</v>
      </c>
      <c r="Y83" s="6" t="str">
        <f>IFERROR(__xludf.DUMMYFUNCTION("""COMPUTED_VALUE"""),"afd")</f>
        <v>afd</v>
      </c>
      <c r="Z83" s="6" t="str">
        <f>IFERROR(__xludf.DUMMYFUNCTION("CONCATENATE(SORT(TRANSPOSE(SPLIT(REGEXREPLACE(REGEXREPLACE(V83&amp;"""",""(?s)(.{1})"",""$1""&amp;CHAR(127)),""'"",""''""),CHAR(127))),1,true))"),"adf")</f>
        <v>adf</v>
      </c>
      <c r="AA83" s="6" t="str">
        <f>IFERROR(__xludf.DUMMYFUNCTION("CONCATENATE(SORT(TRANSPOSE(SPLIT(REGEXREPLACE(REGEXREPLACE(W83&amp;"""",""(?s)(.{1})"",""$1""&amp;CHAR(127)),""'"",""''""),CHAR(127))),1,true))"),"acefg")</f>
        <v>acefg</v>
      </c>
      <c r="AB83" s="6" t="str">
        <f>IFERROR(__xludf.DUMMYFUNCTION("CONCATENATE(SORT(TRANSPOSE(SPLIT(REGEXREPLACE(REGEXREPLACE(X83&amp;"""",""(?s)(.{1})"",""$1""&amp;CHAR(127)),""'"",""''""),CHAR(127))),1,true))"),"ad")</f>
        <v>ad</v>
      </c>
      <c r="AC83" s="6" t="str">
        <f>IFERROR(__xludf.DUMMYFUNCTION("CONCATENATE(SORT(TRANSPOSE(SPLIT(REGEXREPLACE(REGEXREPLACE(Y83&amp;"""",""(?s)(.{1})"",""$1""&amp;CHAR(127)),""'"",""''""),CHAR(127))),1,true))"),"adf")</f>
        <v>adf</v>
      </c>
      <c r="AD83" s="6">
        <f t="shared" ref="AD83:AG83" si="93">INDEX($AO$1:$CP$1,1,MATCH(CONCATENATE(Z83,"1"),$AO83:$CP83,0)+1)</f>
        <v>7</v>
      </c>
      <c r="AE83" s="6">
        <f t="shared" si="93"/>
        <v>2</v>
      </c>
      <c r="AF83" s="6">
        <f t="shared" si="93"/>
        <v>1</v>
      </c>
      <c r="AG83" s="6">
        <f t="shared" si="93"/>
        <v>7</v>
      </c>
      <c r="AH83" s="6">
        <f t="shared" si="3"/>
        <v>7217</v>
      </c>
      <c r="AI83" s="16"/>
      <c r="AJ83" s="9" t="str">
        <f>IFERROR(__xludf.DUMMYFUNCTION("REGEXREPLACE(AR83,CONCATENATE(""["",BY83,""]""),"""")"),"a")</f>
        <v>a</v>
      </c>
      <c r="AK83" s="10" t="str">
        <f>IFERROR(__xludf.DUMMYFUNCTION("FILTER($K83:$T83,len($K83:$T83)=6,NOT($K83:$T83=BY83))"),"dcafbg")</f>
        <v>dcafbg</v>
      </c>
      <c r="AL83" s="6" t="str">
        <f>IFERROR(__xludf.DUMMYFUNCTION("""COMPUTED_VALUE"""),"dbafeg")</f>
        <v>dbafeg</v>
      </c>
      <c r="AM83" s="6" t="str">
        <f>IFERROR(__xludf.DUMMYFUNCTION("REGEXREPLACE( $BG83, CONCATENATE(""["",AK83,""]""), """")"),"e")</f>
        <v>e</v>
      </c>
      <c r="AN83" s="6" t="str">
        <f>IFERROR(__xludf.DUMMYFUNCTION("REGEXREPLACE( $BG83, CONCATENATE(""["",AL83,""]""), """")"),"")</f>
        <v/>
      </c>
      <c r="AO83" s="11" t="str">
        <f t="shared" si="4"/>
        <v>dcafbg</v>
      </c>
      <c r="AP83" s="12" t="str">
        <f>IFERROR(__xludf.DUMMYFUNCTION("CONCATENATE(SORT(TRANSPOSE(SPLIT(REGEXREPLACE(REGEXREPLACE(AO83&amp;"""",""(?s)(.{1})"",""$1""&amp;CHAR(127)),""'"",""''""),CHAR(127))),1,true),""1"")"),"abcdfg1")</f>
        <v>abcdfg1</v>
      </c>
      <c r="AQ83" s="16"/>
      <c r="AR83" s="12" t="str">
        <f t="shared" si="5"/>
        <v>da</v>
      </c>
      <c r="AS83" s="12" t="str">
        <f>IFERROR(__xludf.DUMMYFUNCTION("CONCATENATE(SORT(TRANSPOSE(SPLIT(REGEXREPLACE(REGEXREPLACE(AR83&amp;"""",""(?s)(.{1})"",""$1""&amp;CHAR(127)),""'"",""''""),CHAR(127))),1,true),""1"")"),"ad1")</f>
        <v>ad1</v>
      </c>
      <c r="AT83" s="16"/>
      <c r="AU83" s="13" t="str">
        <f>IFERROR(__xludf.DUMMYFUNCTION("FILTER($K83:$T83,len($K83:$T83)=5,NOT($K83:$T83=BD83),NOT($K83:$T83=BP83))"),"cgfea")</f>
        <v>cgfea</v>
      </c>
      <c r="AV83" s="12" t="str">
        <f>IFERROR(__xludf.DUMMYFUNCTION("CONCATENATE(SORT(TRANSPOSE(SPLIT(REGEXREPLACE(REGEXREPLACE(AU83&amp;"""",""(?s)(.{1})"",""$1""&amp;CHAR(127)),""'"",""''""),CHAR(127))),1,true),""1"")"),"acefg1")</f>
        <v>acefg1</v>
      </c>
      <c r="AW83" s="16"/>
      <c r="AX83" s="10" t="str">
        <f>IFERROR(__xludf.DUMMYFUNCTION("FILTER($K83:$T83,len($K83:$T83)=5)"),"agfde")</f>
        <v>agfde</v>
      </c>
      <c r="AY83" s="6" t="str">
        <f>IFERROR(__xludf.DUMMYFUNCTION("""COMPUTED_VALUE"""),"dgbfe")</f>
        <v>dgbfe</v>
      </c>
      <c r="AZ83" s="6" t="str">
        <f>IFERROR(__xludf.DUMMYFUNCTION("""COMPUTED_VALUE"""),"cgfea")</f>
        <v>cgfea</v>
      </c>
      <c r="BA83" s="6" t="str">
        <f>IFERROR(__xludf.DUMMYFUNCTION("REGEXREPLACE( $AR83, CONCATENATE(""["",AX83,""]""), """")"),"")</f>
        <v/>
      </c>
      <c r="BB83" s="6" t="str">
        <f>IFERROR(__xludf.DUMMYFUNCTION("REGEXREPLACE( $AR83, CONCATENATE(""["",AY83,""]""), """")"),"a")</f>
        <v>a</v>
      </c>
      <c r="BC83" s="6" t="str">
        <f>IFERROR(__xludf.DUMMYFUNCTION("REGEXREPLACE( $AR83, CONCATENATE(""["",AZ83,""]""), """")"),"d")</f>
        <v>d</v>
      </c>
      <c r="BD83" s="11" t="str">
        <f t="shared" si="6"/>
        <v>agfde</v>
      </c>
      <c r="BE83" s="12" t="str">
        <f>IFERROR(__xludf.DUMMYFUNCTION("CONCATENATE(SORT(TRANSPOSE(SPLIT(REGEXREPLACE(REGEXREPLACE(BD83&amp;"""",""(?s)(.{1})"",""$1""&amp;CHAR(127)),""'"",""''""),CHAR(127))),1,true),""1"")"),"adefg1")</f>
        <v>adefg1</v>
      </c>
      <c r="BF83" s="16"/>
      <c r="BG83" s="12" t="str">
        <f t="shared" si="7"/>
        <v>adbe</v>
      </c>
      <c r="BH83" s="12" t="str">
        <f>IFERROR(__xludf.DUMMYFUNCTION("CONCATENATE(SORT(TRANSPOSE(SPLIT(REGEXREPLACE(REGEXREPLACE(BG83&amp;"""",""(?s)(.{1})"",""$1""&amp;CHAR(127)),""'"",""''""),CHAR(127))),1,true),""1"")"),"abde1")</f>
        <v>abde1</v>
      </c>
      <c r="BI83" s="16"/>
      <c r="BJ83" s="10" t="str">
        <f>IFERROR(__xludf.DUMMYFUNCTION("FILTER($K83:$T83,len($K83:$T83)=5)"),"agfde")</f>
        <v>agfde</v>
      </c>
      <c r="BK83" s="6" t="str">
        <f>IFERROR(__xludf.DUMMYFUNCTION("""COMPUTED_VALUE"""),"dgbfe")</f>
        <v>dgbfe</v>
      </c>
      <c r="BL83" s="6" t="str">
        <f>IFERROR(__xludf.DUMMYFUNCTION("""COMPUTED_VALUE"""),"cgfea")</f>
        <v>cgfea</v>
      </c>
      <c r="BM83" s="14" t="str">
        <f>IFERROR(__xludf.DUMMYFUNCTION("REGEXREPLACE( $BY83, CONCATENATE(""["",BJ83,""]""), """")"),"cb")</f>
        <v>cb</v>
      </c>
      <c r="BN83" s="14" t="str">
        <f>IFERROR(__xludf.DUMMYFUNCTION("REGEXREPLACE( $BY83, CONCATENATE(""["",BK83,""]""), """")"),"c")</f>
        <v>c</v>
      </c>
      <c r="BO83" s="14" t="str">
        <f>IFERROR(__xludf.DUMMYFUNCTION("REGEXREPLACE( $BY83, CONCATENATE(""["",BL83,""]""), """")"),"db")</f>
        <v>db</v>
      </c>
      <c r="BP83" s="11" t="str">
        <f t="shared" si="8"/>
        <v>dgbfe</v>
      </c>
      <c r="BQ83" s="12" t="str">
        <f>IFERROR(__xludf.DUMMYFUNCTION("CONCATENATE(SORT(TRANSPOSE(SPLIT(REGEXREPLACE(REGEXREPLACE(BP83&amp;"""",""(?s)(.{1})"",""$1""&amp;CHAR(127)),""'"",""''""),CHAR(127))),1,true),""1"")"),"bdefg1")</f>
        <v>bdefg1</v>
      </c>
      <c r="BR83" s="16"/>
      <c r="BS83" s="10" t="str">
        <f>IFERROR(__xludf.DUMMYFUNCTION("FILTER(K83:T83,len(K83:T83)=6)"),"efdgcb")</f>
        <v>efdgcb</v>
      </c>
      <c r="BT83" s="6" t="str">
        <f>IFERROR(__xludf.DUMMYFUNCTION("""COMPUTED_VALUE"""),"dcafbg")</f>
        <v>dcafbg</v>
      </c>
      <c r="BU83" s="6" t="str">
        <f>IFERROR(__xludf.DUMMYFUNCTION("""COMPUTED_VALUE"""),"dbafeg")</f>
        <v>dbafeg</v>
      </c>
      <c r="BV83" s="6" t="str">
        <f>IFERROR(__xludf.DUMMYFUNCTION("REGEXREPLACE( $AR83, CONCATENATE(""["",BS83,""]""), """")"),"a")</f>
        <v>a</v>
      </c>
      <c r="BW83" s="6" t="str">
        <f>IFERROR(__xludf.DUMMYFUNCTION("REGEXREPLACE( $AR83, CONCATENATE(""["",BT83,""]""), """")"),"")</f>
        <v/>
      </c>
      <c r="BX83" s="6" t="str">
        <f>IFERROR(__xludf.DUMMYFUNCTION("REGEXREPLACE( $AR83, CONCATENATE(""["",BU83,""]""), """")"),"")</f>
        <v/>
      </c>
      <c r="BY83" s="12" t="str">
        <f t="shared" si="9"/>
        <v>efdgcb</v>
      </c>
      <c r="BZ83" s="12" t="str">
        <f>IFERROR(__xludf.DUMMYFUNCTION("CONCATENATE(SORT(TRANSPOSE(SPLIT(REGEXREPLACE(REGEXREPLACE(BY83&amp;"""",""(?s)(.{1})"",""$1""&amp;CHAR(127)),""'"",""''""),CHAR(127))),1,true),""1"")"),"bcdefg1")</f>
        <v>bcdefg1</v>
      </c>
      <c r="CA83" s="16"/>
      <c r="CB83" s="12" t="str">
        <f t="shared" si="10"/>
        <v>fda</v>
      </c>
      <c r="CC83" s="12" t="str">
        <f>IFERROR(__xludf.DUMMYFUNCTION("CONCATENATE(SORT(TRANSPOSE(SPLIT(REGEXREPLACE(REGEXREPLACE(CB83&amp;"""",""(?s)(.{1})"",""$1""&amp;CHAR(127)),""'"",""''""),CHAR(127))),1,true),""1"")"),"adf1")</f>
        <v>adf1</v>
      </c>
      <c r="CD83" s="16"/>
      <c r="CE83" s="12" t="str">
        <f t="shared" si="11"/>
        <v>aefbcdg</v>
      </c>
      <c r="CF83" s="12" t="str">
        <f>IFERROR(__xludf.DUMMYFUNCTION("CONCATENATE(SORT(TRANSPOSE(SPLIT(REGEXREPLACE(REGEXREPLACE(CE83&amp;"""",""(?s)(.{1})"",""$1""&amp;CHAR(127)),""'"",""''""),CHAR(127))),1,true),""1"")"),"abcdefg1")</f>
        <v>abcdefg1</v>
      </c>
      <c r="CG83" s="16"/>
      <c r="CH83" s="10" t="str">
        <f>IFERROR(__xludf.DUMMYFUNCTION("FILTER(K83:T83,len(K83:T83)=6)"),"efdgcb")</f>
        <v>efdgcb</v>
      </c>
      <c r="CI83" s="6" t="str">
        <f>IFERROR(__xludf.DUMMYFUNCTION("""COMPUTED_VALUE"""),"dcafbg")</f>
        <v>dcafbg</v>
      </c>
      <c r="CJ83" s="6" t="str">
        <f>IFERROR(__xludf.DUMMYFUNCTION("""COMPUTED_VALUE"""),"dbafeg")</f>
        <v>dbafeg</v>
      </c>
      <c r="CK83" s="6" t="str">
        <f>IFERROR(__xludf.DUMMYFUNCTION("REGEXREPLACE( $BG83, CONCATENATE(""["",CH83,""]""), """")"),"a")</f>
        <v>a</v>
      </c>
      <c r="CL83" s="6" t="str">
        <f>IFERROR(__xludf.DUMMYFUNCTION("REGEXREPLACE( $BG83, CONCATENATE(""["",CI83,""]""), """")"),"e")</f>
        <v>e</v>
      </c>
      <c r="CM83" s="6" t="str">
        <f>IFERROR(__xludf.DUMMYFUNCTION("REGEXREPLACE( $BG83, CONCATENATE(""["",CJ83,""]""), """")"),"")</f>
        <v/>
      </c>
      <c r="CN83" s="12" t="str">
        <f t="shared" si="12"/>
        <v>dbafeg</v>
      </c>
      <c r="CO83" s="12" t="str">
        <f>IFERROR(__xludf.DUMMYFUNCTION("CONCATENATE(SORT(TRANSPOSE(SPLIT(REGEXREPLACE(REGEXREPLACE(CN83&amp;"""",""(?s)(.{1})"",""$1""&amp;CHAR(127)),""'"",""''""),CHAR(127))),1,true),""1"")"),"abdefg1")</f>
        <v>abdefg1</v>
      </c>
      <c r="CP83" s="15"/>
    </row>
    <row r="84">
      <c r="A84" s="1" t="s">
        <v>104</v>
      </c>
      <c r="H84" s="6" t="str">
        <f>IFERROR(__xludf.DUMMYFUNCTION("SPLIT(A84,""|"")"),"ab bfa bgfed agfdcb abdfg efcdab dgeafc bacg badcefg facgd ")</f>
        <v>ab bfa bgfed agfdcb abdfg efcdab dgeafc bacg badcefg facgd </v>
      </c>
      <c r="I84" s="6" t="str">
        <f>IFERROR(__xludf.DUMMYFUNCTION("""COMPUTED_VALUE""")," edfgca gdcabfe baf acgb")</f>
        <v> edfgca gdcabfe baf acgb</v>
      </c>
      <c r="J84" s="15"/>
      <c r="K84" s="6" t="str">
        <f>IFERROR(__xludf.DUMMYFUNCTION("split(H84,"" "")"),"ab")</f>
        <v>ab</v>
      </c>
      <c r="L84" s="6" t="str">
        <f>IFERROR(__xludf.DUMMYFUNCTION("""COMPUTED_VALUE"""),"bfa")</f>
        <v>bfa</v>
      </c>
      <c r="M84" s="6" t="str">
        <f>IFERROR(__xludf.DUMMYFUNCTION("""COMPUTED_VALUE"""),"bgfed")</f>
        <v>bgfed</v>
      </c>
      <c r="N84" s="6" t="str">
        <f>IFERROR(__xludf.DUMMYFUNCTION("""COMPUTED_VALUE"""),"agfdcb")</f>
        <v>agfdcb</v>
      </c>
      <c r="O84" s="6" t="str">
        <f>IFERROR(__xludf.DUMMYFUNCTION("""COMPUTED_VALUE"""),"abdfg")</f>
        <v>abdfg</v>
      </c>
      <c r="P84" s="6" t="str">
        <f>IFERROR(__xludf.DUMMYFUNCTION("""COMPUTED_VALUE"""),"efcdab")</f>
        <v>efcdab</v>
      </c>
      <c r="Q84" s="6" t="str">
        <f>IFERROR(__xludf.DUMMYFUNCTION("""COMPUTED_VALUE"""),"dgeafc")</f>
        <v>dgeafc</v>
      </c>
      <c r="R84" s="6" t="str">
        <f>IFERROR(__xludf.DUMMYFUNCTION("""COMPUTED_VALUE"""),"bacg")</f>
        <v>bacg</v>
      </c>
      <c r="S84" s="6" t="str">
        <f>IFERROR(__xludf.DUMMYFUNCTION("""COMPUTED_VALUE"""),"badcefg")</f>
        <v>badcefg</v>
      </c>
      <c r="T84" s="6" t="str">
        <f>IFERROR(__xludf.DUMMYFUNCTION("""COMPUTED_VALUE"""),"facgd")</f>
        <v>facgd</v>
      </c>
      <c r="U84" s="15"/>
      <c r="V84" s="6" t="str">
        <f>IFERROR(__xludf.DUMMYFUNCTION("split(I84,"" "")"),"edfgca")</f>
        <v>edfgca</v>
      </c>
      <c r="W84" s="6" t="str">
        <f>IFERROR(__xludf.DUMMYFUNCTION("""COMPUTED_VALUE"""),"gdcabfe")</f>
        <v>gdcabfe</v>
      </c>
      <c r="X84" s="6" t="str">
        <f>IFERROR(__xludf.DUMMYFUNCTION("""COMPUTED_VALUE"""),"baf")</f>
        <v>baf</v>
      </c>
      <c r="Y84" s="6" t="str">
        <f>IFERROR(__xludf.DUMMYFUNCTION("""COMPUTED_VALUE"""),"acgb")</f>
        <v>acgb</v>
      </c>
      <c r="Z84" s="6" t="str">
        <f>IFERROR(__xludf.DUMMYFUNCTION("CONCATENATE(SORT(TRANSPOSE(SPLIT(REGEXREPLACE(REGEXREPLACE(V84&amp;"""",""(?s)(.{1})"",""$1""&amp;CHAR(127)),""'"",""''""),CHAR(127))),1,true))"),"acdefg")</f>
        <v>acdefg</v>
      </c>
      <c r="AA84" s="6" t="str">
        <f>IFERROR(__xludf.DUMMYFUNCTION("CONCATENATE(SORT(TRANSPOSE(SPLIT(REGEXREPLACE(REGEXREPLACE(W84&amp;"""",""(?s)(.{1})"",""$1""&amp;CHAR(127)),""'"",""''""),CHAR(127))),1,true))"),"abcdefg")</f>
        <v>abcdefg</v>
      </c>
      <c r="AB84" s="6" t="str">
        <f>IFERROR(__xludf.DUMMYFUNCTION("CONCATENATE(SORT(TRANSPOSE(SPLIT(REGEXREPLACE(REGEXREPLACE(X84&amp;"""",""(?s)(.{1})"",""$1""&amp;CHAR(127)),""'"",""''""),CHAR(127))),1,true))"),"abf")</f>
        <v>abf</v>
      </c>
      <c r="AC84" s="6" t="str">
        <f>IFERROR(__xludf.DUMMYFUNCTION("CONCATENATE(SORT(TRANSPOSE(SPLIT(REGEXREPLACE(REGEXREPLACE(Y84&amp;"""",""(?s)(.{1})"",""$1""&amp;CHAR(127)),""'"",""''""),CHAR(127))),1,true))"),"abcg")</f>
        <v>abcg</v>
      </c>
      <c r="AD84" s="6">
        <f t="shared" ref="AD84:AG84" si="94">INDEX($AO$1:$CP$1,1,MATCH(CONCATENATE(Z84,"1"),$AO84:$CP84,0)+1)</f>
        <v>6</v>
      </c>
      <c r="AE84" s="6">
        <f t="shared" si="94"/>
        <v>8</v>
      </c>
      <c r="AF84" s="6">
        <f t="shared" si="94"/>
        <v>7</v>
      </c>
      <c r="AG84" s="6">
        <f t="shared" si="94"/>
        <v>4</v>
      </c>
      <c r="AH84" s="6">
        <f t="shared" si="3"/>
        <v>6874</v>
      </c>
      <c r="AI84" s="16"/>
      <c r="AJ84" s="9" t="str">
        <f>IFERROR(__xludf.DUMMYFUNCTION("REGEXREPLACE(AR84,CONCATENATE(""["",BY84,""]""),"""")"),"b")</f>
        <v>b</v>
      </c>
      <c r="AK84" s="10" t="str">
        <f>IFERROR(__xludf.DUMMYFUNCTION("FILTER($K84:$T84,len($K84:$T84)=6,NOT($K84:$T84=BY84))"),"agfdcb")</f>
        <v>agfdcb</v>
      </c>
      <c r="AL84" s="6" t="str">
        <f>IFERROR(__xludf.DUMMYFUNCTION("""COMPUTED_VALUE"""),"efcdab")</f>
        <v>efcdab</v>
      </c>
      <c r="AM84" s="6" t="str">
        <f>IFERROR(__xludf.DUMMYFUNCTION("REGEXREPLACE( $BG84, CONCATENATE(""["",AK84,""]""), """")"),"")</f>
        <v/>
      </c>
      <c r="AN84" s="6" t="str">
        <f>IFERROR(__xludf.DUMMYFUNCTION("REGEXREPLACE( $BG84, CONCATENATE(""["",AL84,""]""), """")"),"g")</f>
        <v>g</v>
      </c>
      <c r="AO84" s="11" t="str">
        <f t="shared" si="4"/>
        <v>efcdab</v>
      </c>
      <c r="AP84" s="12" t="str">
        <f>IFERROR(__xludf.DUMMYFUNCTION("CONCATENATE(SORT(TRANSPOSE(SPLIT(REGEXREPLACE(REGEXREPLACE(AO84&amp;"""",""(?s)(.{1})"",""$1""&amp;CHAR(127)),""'"",""''""),CHAR(127))),1,true),""1"")"),"abcdef1")</f>
        <v>abcdef1</v>
      </c>
      <c r="AQ84" s="16"/>
      <c r="AR84" s="12" t="str">
        <f t="shared" si="5"/>
        <v>ab</v>
      </c>
      <c r="AS84" s="12" t="str">
        <f>IFERROR(__xludf.DUMMYFUNCTION("CONCATENATE(SORT(TRANSPOSE(SPLIT(REGEXREPLACE(REGEXREPLACE(AR84&amp;"""",""(?s)(.{1})"",""$1""&amp;CHAR(127)),""'"",""''""),CHAR(127))),1,true),""1"")"),"ab1")</f>
        <v>ab1</v>
      </c>
      <c r="AT84" s="16"/>
      <c r="AU84" s="13" t="str">
        <f>IFERROR(__xludf.DUMMYFUNCTION("FILTER($K84:$T84,len($K84:$T84)=5,NOT($K84:$T84=BD84),NOT($K84:$T84=BP84))"),"bgfed")</f>
        <v>bgfed</v>
      </c>
      <c r="AV84" s="12" t="str">
        <f>IFERROR(__xludf.DUMMYFUNCTION("CONCATENATE(SORT(TRANSPOSE(SPLIT(REGEXREPLACE(REGEXREPLACE(AU84&amp;"""",""(?s)(.{1})"",""$1""&amp;CHAR(127)),""'"",""''""),CHAR(127))),1,true),""1"")"),"bdefg1")</f>
        <v>bdefg1</v>
      </c>
      <c r="AW84" s="16"/>
      <c r="AX84" s="10" t="str">
        <f>IFERROR(__xludf.DUMMYFUNCTION("FILTER($K84:$T84,len($K84:$T84)=5)"),"bgfed")</f>
        <v>bgfed</v>
      </c>
      <c r="AY84" s="6" t="str">
        <f>IFERROR(__xludf.DUMMYFUNCTION("""COMPUTED_VALUE"""),"abdfg")</f>
        <v>abdfg</v>
      </c>
      <c r="AZ84" s="6" t="str">
        <f>IFERROR(__xludf.DUMMYFUNCTION("""COMPUTED_VALUE"""),"facgd")</f>
        <v>facgd</v>
      </c>
      <c r="BA84" s="6" t="str">
        <f>IFERROR(__xludf.DUMMYFUNCTION("REGEXREPLACE( $AR84, CONCATENATE(""["",AX84,""]""), """")"),"a")</f>
        <v>a</v>
      </c>
      <c r="BB84" s="6" t="str">
        <f>IFERROR(__xludf.DUMMYFUNCTION("REGEXREPLACE( $AR84, CONCATENATE(""["",AY84,""]""), """")"),"")</f>
        <v/>
      </c>
      <c r="BC84" s="6" t="str">
        <f>IFERROR(__xludf.DUMMYFUNCTION("REGEXREPLACE( $AR84, CONCATENATE(""["",AZ84,""]""), """")"),"b")</f>
        <v>b</v>
      </c>
      <c r="BD84" s="11" t="str">
        <f t="shared" si="6"/>
        <v>abdfg</v>
      </c>
      <c r="BE84" s="12" t="str">
        <f>IFERROR(__xludf.DUMMYFUNCTION("CONCATENATE(SORT(TRANSPOSE(SPLIT(REGEXREPLACE(REGEXREPLACE(BD84&amp;"""",""(?s)(.{1})"",""$1""&amp;CHAR(127)),""'"",""''""),CHAR(127))),1,true),""1"")"),"abdfg1")</f>
        <v>abdfg1</v>
      </c>
      <c r="BF84" s="16"/>
      <c r="BG84" s="12" t="str">
        <f t="shared" si="7"/>
        <v>bacg</v>
      </c>
      <c r="BH84" s="12" t="str">
        <f>IFERROR(__xludf.DUMMYFUNCTION("CONCATENATE(SORT(TRANSPOSE(SPLIT(REGEXREPLACE(REGEXREPLACE(BG84&amp;"""",""(?s)(.{1})"",""$1""&amp;CHAR(127)),""'"",""''""),CHAR(127))),1,true),""1"")"),"abcg1")</f>
        <v>abcg1</v>
      </c>
      <c r="BI84" s="16"/>
      <c r="BJ84" s="10" t="str">
        <f>IFERROR(__xludf.DUMMYFUNCTION("FILTER($K84:$T84,len($K84:$T84)=5)"),"bgfed")</f>
        <v>bgfed</v>
      </c>
      <c r="BK84" s="6" t="str">
        <f>IFERROR(__xludf.DUMMYFUNCTION("""COMPUTED_VALUE"""),"abdfg")</f>
        <v>abdfg</v>
      </c>
      <c r="BL84" s="6" t="str">
        <f>IFERROR(__xludf.DUMMYFUNCTION("""COMPUTED_VALUE"""),"facgd")</f>
        <v>facgd</v>
      </c>
      <c r="BM84" s="14" t="str">
        <f>IFERROR(__xludf.DUMMYFUNCTION("REGEXREPLACE( $BY84, CONCATENATE(""["",BJ84,""]""), """")"),"ac")</f>
        <v>ac</v>
      </c>
      <c r="BN84" s="14" t="str">
        <f>IFERROR(__xludf.DUMMYFUNCTION("REGEXREPLACE( $BY84, CONCATENATE(""["",BK84,""]""), """")"),"ec")</f>
        <v>ec</v>
      </c>
      <c r="BO84" s="14" t="str">
        <f>IFERROR(__xludf.DUMMYFUNCTION("REGEXREPLACE( $BY84, CONCATENATE(""["",BL84,""]""), """")"),"e")</f>
        <v>e</v>
      </c>
      <c r="BP84" s="11" t="str">
        <f t="shared" si="8"/>
        <v>facgd</v>
      </c>
      <c r="BQ84" s="12" t="str">
        <f>IFERROR(__xludf.DUMMYFUNCTION("CONCATENATE(SORT(TRANSPOSE(SPLIT(REGEXREPLACE(REGEXREPLACE(BP84&amp;"""",""(?s)(.{1})"",""$1""&amp;CHAR(127)),""'"",""''""),CHAR(127))),1,true),""1"")"),"acdfg1")</f>
        <v>acdfg1</v>
      </c>
      <c r="BR84" s="16"/>
      <c r="BS84" s="10" t="str">
        <f>IFERROR(__xludf.DUMMYFUNCTION("FILTER(K84:T84,len(K84:T84)=6)"),"agfdcb")</f>
        <v>agfdcb</v>
      </c>
      <c r="BT84" s="6" t="str">
        <f>IFERROR(__xludf.DUMMYFUNCTION("""COMPUTED_VALUE"""),"efcdab")</f>
        <v>efcdab</v>
      </c>
      <c r="BU84" s="6" t="str">
        <f>IFERROR(__xludf.DUMMYFUNCTION("""COMPUTED_VALUE"""),"dgeafc")</f>
        <v>dgeafc</v>
      </c>
      <c r="BV84" s="6" t="str">
        <f>IFERROR(__xludf.DUMMYFUNCTION("REGEXREPLACE( $AR84, CONCATENATE(""["",BS84,""]""), """")"),"")</f>
        <v/>
      </c>
      <c r="BW84" s="6" t="str">
        <f>IFERROR(__xludf.DUMMYFUNCTION("REGEXREPLACE( $AR84, CONCATENATE(""["",BT84,""]""), """")"),"")</f>
        <v/>
      </c>
      <c r="BX84" s="6" t="str">
        <f>IFERROR(__xludf.DUMMYFUNCTION("REGEXREPLACE( $AR84, CONCATENATE(""["",BU84,""]""), """")"),"b")</f>
        <v>b</v>
      </c>
      <c r="BY84" s="12" t="str">
        <f t="shared" si="9"/>
        <v>dgeafc</v>
      </c>
      <c r="BZ84" s="12" t="str">
        <f>IFERROR(__xludf.DUMMYFUNCTION("CONCATENATE(SORT(TRANSPOSE(SPLIT(REGEXREPLACE(REGEXREPLACE(BY84&amp;"""",""(?s)(.{1})"",""$1""&amp;CHAR(127)),""'"",""''""),CHAR(127))),1,true),""1"")"),"acdefg1")</f>
        <v>acdefg1</v>
      </c>
      <c r="CA84" s="16"/>
      <c r="CB84" s="12" t="str">
        <f t="shared" si="10"/>
        <v>bfa</v>
      </c>
      <c r="CC84" s="12" t="str">
        <f>IFERROR(__xludf.DUMMYFUNCTION("CONCATENATE(SORT(TRANSPOSE(SPLIT(REGEXREPLACE(REGEXREPLACE(CB84&amp;"""",""(?s)(.{1})"",""$1""&amp;CHAR(127)),""'"",""''""),CHAR(127))),1,true),""1"")"),"abf1")</f>
        <v>abf1</v>
      </c>
      <c r="CD84" s="16"/>
      <c r="CE84" s="12" t="str">
        <f t="shared" si="11"/>
        <v>badcefg</v>
      </c>
      <c r="CF84" s="12" t="str">
        <f>IFERROR(__xludf.DUMMYFUNCTION("CONCATENATE(SORT(TRANSPOSE(SPLIT(REGEXREPLACE(REGEXREPLACE(CE84&amp;"""",""(?s)(.{1})"",""$1""&amp;CHAR(127)),""'"",""''""),CHAR(127))),1,true),""1"")"),"abcdefg1")</f>
        <v>abcdefg1</v>
      </c>
      <c r="CG84" s="16"/>
      <c r="CH84" s="10" t="str">
        <f>IFERROR(__xludf.DUMMYFUNCTION("FILTER(K84:T84,len(K84:T84)=6)"),"agfdcb")</f>
        <v>agfdcb</v>
      </c>
      <c r="CI84" s="6" t="str">
        <f>IFERROR(__xludf.DUMMYFUNCTION("""COMPUTED_VALUE"""),"efcdab")</f>
        <v>efcdab</v>
      </c>
      <c r="CJ84" s="6" t="str">
        <f>IFERROR(__xludf.DUMMYFUNCTION("""COMPUTED_VALUE"""),"dgeafc")</f>
        <v>dgeafc</v>
      </c>
      <c r="CK84" s="6" t="str">
        <f>IFERROR(__xludf.DUMMYFUNCTION("REGEXREPLACE( $BG84, CONCATENATE(""["",CH84,""]""), """")"),"")</f>
        <v/>
      </c>
      <c r="CL84" s="6" t="str">
        <f>IFERROR(__xludf.DUMMYFUNCTION("REGEXREPLACE( $BG84, CONCATENATE(""["",CI84,""]""), """")"),"g")</f>
        <v>g</v>
      </c>
      <c r="CM84" s="6" t="str">
        <f>IFERROR(__xludf.DUMMYFUNCTION("REGEXREPLACE( $BG84, CONCATENATE(""["",CJ84,""]""), """")"),"b")</f>
        <v>b</v>
      </c>
      <c r="CN84" s="12" t="str">
        <f t="shared" si="12"/>
        <v>agfdcb</v>
      </c>
      <c r="CO84" s="12" t="str">
        <f>IFERROR(__xludf.DUMMYFUNCTION("CONCATENATE(SORT(TRANSPOSE(SPLIT(REGEXREPLACE(REGEXREPLACE(CN84&amp;"""",""(?s)(.{1})"",""$1""&amp;CHAR(127)),""'"",""''""),CHAR(127))),1,true),""1"")"),"abcdfg1")</f>
        <v>abcdfg1</v>
      </c>
      <c r="CP84" s="15"/>
    </row>
    <row r="85">
      <c r="A85" s="1" t="s">
        <v>105</v>
      </c>
      <c r="H85" s="6" t="str">
        <f>IFERROR(__xludf.DUMMYFUNCTION("SPLIT(A85,""|"")"),"agfec befc begdac bcagf eagdfc gdbfa cgeafb cfebgad bc gcb ")</f>
        <v>agfec befc begdac bcagf eagdfc gdbfa cgeafb cfebgad bc gcb </v>
      </c>
      <c r="I85" s="6" t="str">
        <f>IFERROR(__xludf.DUMMYFUNCTION("""COMPUTED_VALUE""")," fbce cebf fabecg abcgf")</f>
        <v> fbce cebf fabecg abcgf</v>
      </c>
      <c r="J85" s="15"/>
      <c r="K85" s="6" t="str">
        <f>IFERROR(__xludf.DUMMYFUNCTION("split(H85,"" "")"),"agfec")</f>
        <v>agfec</v>
      </c>
      <c r="L85" s="6" t="str">
        <f>IFERROR(__xludf.DUMMYFUNCTION("""COMPUTED_VALUE"""),"befc")</f>
        <v>befc</v>
      </c>
      <c r="M85" s="6" t="str">
        <f>IFERROR(__xludf.DUMMYFUNCTION("""COMPUTED_VALUE"""),"begdac")</f>
        <v>begdac</v>
      </c>
      <c r="N85" s="6" t="str">
        <f>IFERROR(__xludf.DUMMYFUNCTION("""COMPUTED_VALUE"""),"bcagf")</f>
        <v>bcagf</v>
      </c>
      <c r="O85" s="6" t="str">
        <f>IFERROR(__xludf.DUMMYFUNCTION("""COMPUTED_VALUE"""),"eagdfc")</f>
        <v>eagdfc</v>
      </c>
      <c r="P85" s="6" t="str">
        <f>IFERROR(__xludf.DUMMYFUNCTION("""COMPUTED_VALUE"""),"gdbfa")</f>
        <v>gdbfa</v>
      </c>
      <c r="Q85" s="6" t="str">
        <f>IFERROR(__xludf.DUMMYFUNCTION("""COMPUTED_VALUE"""),"cgeafb")</f>
        <v>cgeafb</v>
      </c>
      <c r="R85" s="6" t="str">
        <f>IFERROR(__xludf.DUMMYFUNCTION("""COMPUTED_VALUE"""),"cfebgad")</f>
        <v>cfebgad</v>
      </c>
      <c r="S85" s="6" t="str">
        <f>IFERROR(__xludf.DUMMYFUNCTION("""COMPUTED_VALUE"""),"bc")</f>
        <v>bc</v>
      </c>
      <c r="T85" s="6" t="str">
        <f>IFERROR(__xludf.DUMMYFUNCTION("""COMPUTED_VALUE"""),"gcb")</f>
        <v>gcb</v>
      </c>
      <c r="U85" s="15"/>
      <c r="V85" s="6" t="str">
        <f>IFERROR(__xludf.DUMMYFUNCTION("split(I85,"" "")"),"fbce")</f>
        <v>fbce</v>
      </c>
      <c r="W85" s="6" t="str">
        <f>IFERROR(__xludf.DUMMYFUNCTION("""COMPUTED_VALUE"""),"cebf")</f>
        <v>cebf</v>
      </c>
      <c r="X85" s="6" t="str">
        <f>IFERROR(__xludf.DUMMYFUNCTION("""COMPUTED_VALUE"""),"fabecg")</f>
        <v>fabecg</v>
      </c>
      <c r="Y85" s="6" t="str">
        <f>IFERROR(__xludf.DUMMYFUNCTION("""COMPUTED_VALUE"""),"abcgf")</f>
        <v>abcgf</v>
      </c>
      <c r="Z85" s="6" t="str">
        <f>IFERROR(__xludf.DUMMYFUNCTION("CONCATENATE(SORT(TRANSPOSE(SPLIT(REGEXREPLACE(REGEXREPLACE(V85&amp;"""",""(?s)(.{1})"",""$1""&amp;CHAR(127)),""'"",""''""),CHAR(127))),1,true))"),"bcef")</f>
        <v>bcef</v>
      </c>
      <c r="AA85" s="6" t="str">
        <f>IFERROR(__xludf.DUMMYFUNCTION("CONCATENATE(SORT(TRANSPOSE(SPLIT(REGEXREPLACE(REGEXREPLACE(W85&amp;"""",""(?s)(.{1})"",""$1""&amp;CHAR(127)),""'"",""''""),CHAR(127))),1,true))"),"bcef")</f>
        <v>bcef</v>
      </c>
      <c r="AB85" s="6" t="str">
        <f>IFERROR(__xludf.DUMMYFUNCTION("CONCATENATE(SORT(TRANSPOSE(SPLIT(REGEXREPLACE(REGEXREPLACE(X85&amp;"""",""(?s)(.{1})"",""$1""&amp;CHAR(127)),""'"",""''""),CHAR(127))),1,true))"),"abcefg")</f>
        <v>abcefg</v>
      </c>
      <c r="AC85" s="6" t="str">
        <f>IFERROR(__xludf.DUMMYFUNCTION("CONCATENATE(SORT(TRANSPOSE(SPLIT(REGEXREPLACE(REGEXREPLACE(Y85&amp;"""",""(?s)(.{1})"",""$1""&amp;CHAR(127)),""'"",""''""),CHAR(127))),1,true))"),"abcfg")</f>
        <v>abcfg</v>
      </c>
      <c r="AD85" s="6">
        <f t="shared" ref="AD85:AG85" si="95">INDEX($AO$1:$CP$1,1,MATCH(CONCATENATE(Z85,"1"),$AO85:$CP85,0)+1)</f>
        <v>4</v>
      </c>
      <c r="AE85" s="6">
        <f t="shared" si="95"/>
        <v>4</v>
      </c>
      <c r="AF85" s="6">
        <f t="shared" si="95"/>
        <v>9</v>
      </c>
      <c r="AG85" s="6">
        <f t="shared" si="95"/>
        <v>3</v>
      </c>
      <c r="AH85" s="6">
        <f t="shared" si="3"/>
        <v>4493</v>
      </c>
      <c r="AI85" s="16"/>
      <c r="AJ85" s="9" t="str">
        <f>IFERROR(__xludf.DUMMYFUNCTION("REGEXREPLACE(AR85,CONCATENATE(""["",BY85,""]""),"""")"),"b")</f>
        <v>b</v>
      </c>
      <c r="AK85" s="10" t="str">
        <f>IFERROR(__xludf.DUMMYFUNCTION("FILTER($K85:$T85,len($K85:$T85)=6,NOT($K85:$T85=BY85))"),"begdac")</f>
        <v>begdac</v>
      </c>
      <c r="AL85" s="6" t="str">
        <f>IFERROR(__xludf.DUMMYFUNCTION("""COMPUTED_VALUE"""),"cgeafb")</f>
        <v>cgeafb</v>
      </c>
      <c r="AM85" s="6" t="str">
        <f>IFERROR(__xludf.DUMMYFUNCTION("REGEXREPLACE( $BG85, CONCATENATE(""["",AK85,""]""), """")"),"f")</f>
        <v>f</v>
      </c>
      <c r="AN85" s="6" t="str">
        <f>IFERROR(__xludf.DUMMYFUNCTION("REGEXREPLACE( $BG85, CONCATENATE(""["",AL85,""]""), """")"),"")</f>
        <v/>
      </c>
      <c r="AO85" s="11" t="str">
        <f t="shared" si="4"/>
        <v>begdac</v>
      </c>
      <c r="AP85" s="12" t="str">
        <f>IFERROR(__xludf.DUMMYFUNCTION("CONCATENATE(SORT(TRANSPOSE(SPLIT(REGEXREPLACE(REGEXREPLACE(AO85&amp;"""",""(?s)(.{1})"",""$1""&amp;CHAR(127)),""'"",""''""),CHAR(127))),1,true),""1"")"),"abcdeg1")</f>
        <v>abcdeg1</v>
      </c>
      <c r="AQ85" s="16"/>
      <c r="AR85" s="12" t="str">
        <f t="shared" si="5"/>
        <v>bc</v>
      </c>
      <c r="AS85" s="12" t="str">
        <f>IFERROR(__xludf.DUMMYFUNCTION("CONCATENATE(SORT(TRANSPOSE(SPLIT(REGEXREPLACE(REGEXREPLACE(AR85&amp;"""",""(?s)(.{1})"",""$1""&amp;CHAR(127)),""'"",""''""),CHAR(127))),1,true),""1"")"),"bc1")</f>
        <v>bc1</v>
      </c>
      <c r="AT85" s="16"/>
      <c r="AU85" s="13" t="str">
        <f>IFERROR(__xludf.DUMMYFUNCTION("FILTER($K85:$T85,len($K85:$T85)=5,NOT($K85:$T85=BD85),NOT($K85:$T85=BP85))"),"gdbfa")</f>
        <v>gdbfa</v>
      </c>
      <c r="AV85" s="12" t="str">
        <f>IFERROR(__xludf.DUMMYFUNCTION("CONCATENATE(SORT(TRANSPOSE(SPLIT(REGEXREPLACE(REGEXREPLACE(AU85&amp;"""",""(?s)(.{1})"",""$1""&amp;CHAR(127)),""'"",""''""),CHAR(127))),1,true),""1"")"),"abdfg1")</f>
        <v>abdfg1</v>
      </c>
      <c r="AW85" s="16"/>
      <c r="AX85" s="10" t="str">
        <f>IFERROR(__xludf.DUMMYFUNCTION("FILTER($K85:$T85,len($K85:$T85)=5)"),"agfec")</f>
        <v>agfec</v>
      </c>
      <c r="AY85" s="6" t="str">
        <f>IFERROR(__xludf.DUMMYFUNCTION("""COMPUTED_VALUE"""),"bcagf")</f>
        <v>bcagf</v>
      </c>
      <c r="AZ85" s="6" t="str">
        <f>IFERROR(__xludf.DUMMYFUNCTION("""COMPUTED_VALUE"""),"gdbfa")</f>
        <v>gdbfa</v>
      </c>
      <c r="BA85" s="6" t="str">
        <f>IFERROR(__xludf.DUMMYFUNCTION("REGEXREPLACE( $AR85, CONCATENATE(""["",AX85,""]""), """")"),"b")</f>
        <v>b</v>
      </c>
      <c r="BB85" s="6" t="str">
        <f>IFERROR(__xludf.DUMMYFUNCTION("REGEXREPLACE( $AR85, CONCATENATE(""["",AY85,""]""), """")"),"")</f>
        <v/>
      </c>
      <c r="BC85" s="6" t="str">
        <f>IFERROR(__xludf.DUMMYFUNCTION("REGEXREPLACE( $AR85, CONCATENATE(""["",AZ85,""]""), """")"),"c")</f>
        <v>c</v>
      </c>
      <c r="BD85" s="11" t="str">
        <f t="shared" si="6"/>
        <v>bcagf</v>
      </c>
      <c r="BE85" s="12" t="str">
        <f>IFERROR(__xludf.DUMMYFUNCTION("CONCATENATE(SORT(TRANSPOSE(SPLIT(REGEXREPLACE(REGEXREPLACE(BD85&amp;"""",""(?s)(.{1})"",""$1""&amp;CHAR(127)),""'"",""''""),CHAR(127))),1,true),""1"")"),"abcfg1")</f>
        <v>abcfg1</v>
      </c>
      <c r="BF85" s="16"/>
      <c r="BG85" s="12" t="str">
        <f t="shared" si="7"/>
        <v>befc</v>
      </c>
      <c r="BH85" s="12" t="str">
        <f>IFERROR(__xludf.DUMMYFUNCTION("CONCATENATE(SORT(TRANSPOSE(SPLIT(REGEXREPLACE(REGEXREPLACE(BG85&amp;"""",""(?s)(.{1})"",""$1""&amp;CHAR(127)),""'"",""''""),CHAR(127))),1,true),""1"")"),"bcef1")</f>
        <v>bcef1</v>
      </c>
      <c r="BI85" s="16"/>
      <c r="BJ85" s="10" t="str">
        <f>IFERROR(__xludf.DUMMYFUNCTION("FILTER($K85:$T85,len($K85:$T85)=5)"),"agfec")</f>
        <v>agfec</v>
      </c>
      <c r="BK85" s="6" t="str">
        <f>IFERROR(__xludf.DUMMYFUNCTION("""COMPUTED_VALUE"""),"bcagf")</f>
        <v>bcagf</v>
      </c>
      <c r="BL85" s="6" t="str">
        <f>IFERROR(__xludf.DUMMYFUNCTION("""COMPUTED_VALUE"""),"gdbfa")</f>
        <v>gdbfa</v>
      </c>
      <c r="BM85" s="14" t="str">
        <f>IFERROR(__xludf.DUMMYFUNCTION("REGEXREPLACE( $BY85, CONCATENATE(""["",BJ85,""]""), """")"),"d")</f>
        <v>d</v>
      </c>
      <c r="BN85" s="14" t="str">
        <f>IFERROR(__xludf.DUMMYFUNCTION("REGEXREPLACE( $BY85, CONCATENATE(""["",BK85,""]""), """")"),"ed")</f>
        <v>ed</v>
      </c>
      <c r="BO85" s="14" t="str">
        <f>IFERROR(__xludf.DUMMYFUNCTION("REGEXREPLACE( $BY85, CONCATENATE(""["",BL85,""]""), """")"),"ec")</f>
        <v>ec</v>
      </c>
      <c r="BP85" s="11" t="str">
        <f t="shared" si="8"/>
        <v>agfec</v>
      </c>
      <c r="BQ85" s="12" t="str">
        <f>IFERROR(__xludf.DUMMYFUNCTION("CONCATENATE(SORT(TRANSPOSE(SPLIT(REGEXREPLACE(REGEXREPLACE(BP85&amp;"""",""(?s)(.{1})"",""$1""&amp;CHAR(127)),""'"",""''""),CHAR(127))),1,true),""1"")"),"acefg1")</f>
        <v>acefg1</v>
      </c>
      <c r="BR85" s="16"/>
      <c r="BS85" s="10" t="str">
        <f>IFERROR(__xludf.DUMMYFUNCTION("FILTER(K85:T85,len(K85:T85)=6)"),"begdac")</f>
        <v>begdac</v>
      </c>
      <c r="BT85" s="6" t="str">
        <f>IFERROR(__xludf.DUMMYFUNCTION("""COMPUTED_VALUE"""),"eagdfc")</f>
        <v>eagdfc</v>
      </c>
      <c r="BU85" s="6" t="str">
        <f>IFERROR(__xludf.DUMMYFUNCTION("""COMPUTED_VALUE"""),"cgeafb")</f>
        <v>cgeafb</v>
      </c>
      <c r="BV85" s="6" t="str">
        <f>IFERROR(__xludf.DUMMYFUNCTION("REGEXREPLACE( $AR85, CONCATENATE(""["",BS85,""]""), """")"),"")</f>
        <v/>
      </c>
      <c r="BW85" s="6" t="str">
        <f>IFERROR(__xludf.DUMMYFUNCTION("REGEXREPLACE( $AR85, CONCATENATE(""["",BT85,""]""), """")"),"b")</f>
        <v>b</v>
      </c>
      <c r="BX85" s="6" t="str">
        <f>IFERROR(__xludf.DUMMYFUNCTION("REGEXREPLACE( $AR85, CONCATENATE(""["",BU85,""]""), """")"),"")</f>
        <v/>
      </c>
      <c r="BY85" s="12" t="str">
        <f t="shared" si="9"/>
        <v>eagdfc</v>
      </c>
      <c r="BZ85" s="12" t="str">
        <f>IFERROR(__xludf.DUMMYFUNCTION("CONCATENATE(SORT(TRANSPOSE(SPLIT(REGEXREPLACE(REGEXREPLACE(BY85&amp;"""",""(?s)(.{1})"",""$1""&amp;CHAR(127)),""'"",""''""),CHAR(127))),1,true),""1"")"),"acdefg1")</f>
        <v>acdefg1</v>
      </c>
      <c r="CA85" s="16"/>
      <c r="CB85" s="12" t="str">
        <f t="shared" si="10"/>
        <v>gcb</v>
      </c>
      <c r="CC85" s="12" t="str">
        <f>IFERROR(__xludf.DUMMYFUNCTION("CONCATENATE(SORT(TRANSPOSE(SPLIT(REGEXREPLACE(REGEXREPLACE(CB85&amp;"""",""(?s)(.{1})"",""$1""&amp;CHAR(127)),""'"",""''""),CHAR(127))),1,true),""1"")"),"bcg1")</f>
        <v>bcg1</v>
      </c>
      <c r="CD85" s="16"/>
      <c r="CE85" s="12" t="str">
        <f t="shared" si="11"/>
        <v>cfebgad</v>
      </c>
      <c r="CF85" s="12" t="str">
        <f>IFERROR(__xludf.DUMMYFUNCTION("CONCATENATE(SORT(TRANSPOSE(SPLIT(REGEXREPLACE(REGEXREPLACE(CE85&amp;"""",""(?s)(.{1})"",""$1""&amp;CHAR(127)),""'"",""''""),CHAR(127))),1,true),""1"")"),"abcdefg1")</f>
        <v>abcdefg1</v>
      </c>
      <c r="CG85" s="16"/>
      <c r="CH85" s="10" t="str">
        <f>IFERROR(__xludf.DUMMYFUNCTION("FILTER(K85:T85,len(K85:T85)=6)"),"begdac")</f>
        <v>begdac</v>
      </c>
      <c r="CI85" s="6" t="str">
        <f>IFERROR(__xludf.DUMMYFUNCTION("""COMPUTED_VALUE"""),"eagdfc")</f>
        <v>eagdfc</v>
      </c>
      <c r="CJ85" s="6" t="str">
        <f>IFERROR(__xludf.DUMMYFUNCTION("""COMPUTED_VALUE"""),"cgeafb")</f>
        <v>cgeafb</v>
      </c>
      <c r="CK85" s="6" t="str">
        <f>IFERROR(__xludf.DUMMYFUNCTION("REGEXREPLACE( $BG85, CONCATENATE(""["",CH85,""]""), """")"),"f")</f>
        <v>f</v>
      </c>
      <c r="CL85" s="6" t="str">
        <f>IFERROR(__xludf.DUMMYFUNCTION("REGEXREPLACE( $BG85, CONCATENATE(""["",CI85,""]""), """")"),"b")</f>
        <v>b</v>
      </c>
      <c r="CM85" s="6" t="str">
        <f>IFERROR(__xludf.DUMMYFUNCTION("REGEXREPLACE( $BG85, CONCATENATE(""["",CJ85,""]""), """")"),"")</f>
        <v/>
      </c>
      <c r="CN85" s="12" t="str">
        <f t="shared" si="12"/>
        <v>cgeafb</v>
      </c>
      <c r="CO85" s="12" t="str">
        <f>IFERROR(__xludf.DUMMYFUNCTION("CONCATENATE(SORT(TRANSPOSE(SPLIT(REGEXREPLACE(REGEXREPLACE(CN85&amp;"""",""(?s)(.{1})"",""$1""&amp;CHAR(127)),""'"",""''""),CHAR(127))),1,true),""1"")"),"abcefg1")</f>
        <v>abcefg1</v>
      </c>
      <c r="CP85" s="15"/>
    </row>
    <row r="86">
      <c r="A86" s="1" t="s">
        <v>106</v>
      </c>
      <c r="H86" s="6" t="str">
        <f>IFERROR(__xludf.DUMMYFUNCTION("SPLIT(A86,""|"")"),"gecadf dgbfca gfabedc aedfgb cdgba badfg cg cdg bedca bcfg ")</f>
        <v>gecadf dgbfca gfabedc aedfgb cdgba badfg cg cdg bedca bcfg </v>
      </c>
      <c r="I86" s="6" t="str">
        <f>IFERROR(__xludf.DUMMYFUNCTION("""COMPUTED_VALUE""")," cg gc fcdagbe bdfag")</f>
        <v> cg gc fcdagbe bdfag</v>
      </c>
      <c r="J86" s="15"/>
      <c r="K86" s="6" t="str">
        <f>IFERROR(__xludf.DUMMYFUNCTION("split(H86,"" "")"),"gecadf")</f>
        <v>gecadf</v>
      </c>
      <c r="L86" s="6" t="str">
        <f>IFERROR(__xludf.DUMMYFUNCTION("""COMPUTED_VALUE"""),"dgbfca")</f>
        <v>dgbfca</v>
      </c>
      <c r="M86" s="6" t="str">
        <f>IFERROR(__xludf.DUMMYFUNCTION("""COMPUTED_VALUE"""),"gfabedc")</f>
        <v>gfabedc</v>
      </c>
      <c r="N86" s="6" t="str">
        <f>IFERROR(__xludf.DUMMYFUNCTION("""COMPUTED_VALUE"""),"aedfgb")</f>
        <v>aedfgb</v>
      </c>
      <c r="O86" s="6" t="str">
        <f>IFERROR(__xludf.DUMMYFUNCTION("""COMPUTED_VALUE"""),"cdgba")</f>
        <v>cdgba</v>
      </c>
      <c r="P86" s="6" t="str">
        <f>IFERROR(__xludf.DUMMYFUNCTION("""COMPUTED_VALUE"""),"badfg")</f>
        <v>badfg</v>
      </c>
      <c r="Q86" s="6" t="str">
        <f>IFERROR(__xludf.DUMMYFUNCTION("""COMPUTED_VALUE"""),"cg")</f>
        <v>cg</v>
      </c>
      <c r="R86" s="6" t="str">
        <f>IFERROR(__xludf.DUMMYFUNCTION("""COMPUTED_VALUE"""),"cdg")</f>
        <v>cdg</v>
      </c>
      <c r="S86" s="6" t="str">
        <f>IFERROR(__xludf.DUMMYFUNCTION("""COMPUTED_VALUE"""),"bedca")</f>
        <v>bedca</v>
      </c>
      <c r="T86" s="6" t="str">
        <f>IFERROR(__xludf.DUMMYFUNCTION("""COMPUTED_VALUE"""),"bcfg")</f>
        <v>bcfg</v>
      </c>
      <c r="U86" s="15"/>
      <c r="V86" s="6" t="str">
        <f>IFERROR(__xludf.DUMMYFUNCTION("split(I86,"" "")"),"cg")</f>
        <v>cg</v>
      </c>
      <c r="W86" s="6" t="str">
        <f>IFERROR(__xludf.DUMMYFUNCTION("""COMPUTED_VALUE"""),"gc")</f>
        <v>gc</v>
      </c>
      <c r="X86" s="6" t="str">
        <f>IFERROR(__xludf.DUMMYFUNCTION("""COMPUTED_VALUE"""),"fcdagbe")</f>
        <v>fcdagbe</v>
      </c>
      <c r="Y86" s="6" t="str">
        <f>IFERROR(__xludf.DUMMYFUNCTION("""COMPUTED_VALUE"""),"bdfag")</f>
        <v>bdfag</v>
      </c>
      <c r="Z86" s="6" t="str">
        <f>IFERROR(__xludf.DUMMYFUNCTION("CONCATENATE(SORT(TRANSPOSE(SPLIT(REGEXREPLACE(REGEXREPLACE(V86&amp;"""",""(?s)(.{1})"",""$1""&amp;CHAR(127)),""'"",""''""),CHAR(127))),1,true))"),"cg")</f>
        <v>cg</v>
      </c>
      <c r="AA86" s="6" t="str">
        <f>IFERROR(__xludf.DUMMYFUNCTION("CONCATENATE(SORT(TRANSPOSE(SPLIT(REGEXREPLACE(REGEXREPLACE(W86&amp;"""",""(?s)(.{1})"",""$1""&amp;CHAR(127)),""'"",""''""),CHAR(127))),1,true))"),"cg")</f>
        <v>cg</v>
      </c>
      <c r="AB86" s="6" t="str">
        <f>IFERROR(__xludf.DUMMYFUNCTION("CONCATENATE(SORT(TRANSPOSE(SPLIT(REGEXREPLACE(REGEXREPLACE(X86&amp;"""",""(?s)(.{1})"",""$1""&amp;CHAR(127)),""'"",""''""),CHAR(127))),1,true))"),"abcdefg")</f>
        <v>abcdefg</v>
      </c>
      <c r="AC86" s="6" t="str">
        <f>IFERROR(__xludf.DUMMYFUNCTION("CONCATENATE(SORT(TRANSPOSE(SPLIT(REGEXREPLACE(REGEXREPLACE(Y86&amp;"""",""(?s)(.{1})"",""$1""&amp;CHAR(127)),""'"",""''""),CHAR(127))),1,true))"),"abdfg")</f>
        <v>abdfg</v>
      </c>
      <c r="AD86" s="6">
        <f t="shared" ref="AD86:AG86" si="96">INDEX($AO$1:$CP$1,1,MATCH(CONCATENATE(Z86,"1"),$AO86:$CP86,0)+1)</f>
        <v>1</v>
      </c>
      <c r="AE86" s="6">
        <f t="shared" si="96"/>
        <v>1</v>
      </c>
      <c r="AF86" s="6">
        <f t="shared" si="96"/>
        <v>8</v>
      </c>
      <c r="AG86" s="6">
        <f t="shared" si="96"/>
        <v>5</v>
      </c>
      <c r="AH86" s="6">
        <f t="shared" si="3"/>
        <v>1185</v>
      </c>
      <c r="AI86" s="16"/>
      <c r="AJ86" s="9" t="str">
        <f>IFERROR(__xludf.DUMMYFUNCTION("REGEXREPLACE(AR86,CONCATENATE(""["",BY86,""]""),"""")"),"c")</f>
        <v>c</v>
      </c>
      <c r="AK86" s="10" t="str">
        <f>IFERROR(__xludf.DUMMYFUNCTION("FILTER($K86:$T86,len($K86:$T86)=6,NOT($K86:$T86=BY86))"),"gecadf")</f>
        <v>gecadf</v>
      </c>
      <c r="AL86" s="6" t="str">
        <f>IFERROR(__xludf.DUMMYFUNCTION("""COMPUTED_VALUE"""),"dgbfca")</f>
        <v>dgbfca</v>
      </c>
      <c r="AM86" s="6" t="str">
        <f>IFERROR(__xludf.DUMMYFUNCTION("REGEXREPLACE( $BG86, CONCATENATE(""["",AK86,""]""), """")"),"b")</f>
        <v>b</v>
      </c>
      <c r="AN86" s="6" t="str">
        <f>IFERROR(__xludf.DUMMYFUNCTION("REGEXREPLACE( $BG86, CONCATENATE(""["",AL86,""]""), """")"),"")</f>
        <v/>
      </c>
      <c r="AO86" s="11" t="str">
        <f t="shared" si="4"/>
        <v>gecadf</v>
      </c>
      <c r="AP86" s="12" t="str">
        <f>IFERROR(__xludf.DUMMYFUNCTION("CONCATENATE(SORT(TRANSPOSE(SPLIT(REGEXREPLACE(REGEXREPLACE(AO86&amp;"""",""(?s)(.{1})"",""$1""&amp;CHAR(127)),""'"",""''""),CHAR(127))),1,true),""1"")"),"acdefg1")</f>
        <v>acdefg1</v>
      </c>
      <c r="AQ86" s="16"/>
      <c r="AR86" s="12" t="str">
        <f t="shared" si="5"/>
        <v>cg</v>
      </c>
      <c r="AS86" s="12" t="str">
        <f>IFERROR(__xludf.DUMMYFUNCTION("CONCATENATE(SORT(TRANSPOSE(SPLIT(REGEXREPLACE(REGEXREPLACE(AR86&amp;"""",""(?s)(.{1})"",""$1""&amp;CHAR(127)),""'"",""''""),CHAR(127))),1,true),""1"")"),"cg1")</f>
        <v>cg1</v>
      </c>
      <c r="AT86" s="16"/>
      <c r="AU86" s="13" t="str">
        <f>IFERROR(__xludf.DUMMYFUNCTION("FILTER($K86:$T86,len($K86:$T86)=5,NOT($K86:$T86=BD86),NOT($K86:$T86=BP86))"),"bedca")</f>
        <v>bedca</v>
      </c>
      <c r="AV86" s="12" t="str">
        <f>IFERROR(__xludf.DUMMYFUNCTION("CONCATENATE(SORT(TRANSPOSE(SPLIT(REGEXREPLACE(REGEXREPLACE(AU86&amp;"""",""(?s)(.{1})"",""$1""&amp;CHAR(127)),""'"",""''""),CHAR(127))),1,true),""1"")"),"abcde1")</f>
        <v>abcde1</v>
      </c>
      <c r="AW86" s="16"/>
      <c r="AX86" s="10" t="str">
        <f>IFERROR(__xludf.DUMMYFUNCTION("FILTER($K86:$T86,len($K86:$T86)=5)"),"cdgba")</f>
        <v>cdgba</v>
      </c>
      <c r="AY86" s="6" t="str">
        <f>IFERROR(__xludf.DUMMYFUNCTION("""COMPUTED_VALUE"""),"badfg")</f>
        <v>badfg</v>
      </c>
      <c r="AZ86" s="6" t="str">
        <f>IFERROR(__xludf.DUMMYFUNCTION("""COMPUTED_VALUE"""),"bedca")</f>
        <v>bedca</v>
      </c>
      <c r="BA86" s="6" t="str">
        <f>IFERROR(__xludf.DUMMYFUNCTION("REGEXREPLACE( $AR86, CONCATENATE(""["",AX86,""]""), """")"),"")</f>
        <v/>
      </c>
      <c r="BB86" s="6" t="str">
        <f>IFERROR(__xludf.DUMMYFUNCTION("REGEXREPLACE( $AR86, CONCATENATE(""["",AY86,""]""), """")"),"c")</f>
        <v>c</v>
      </c>
      <c r="BC86" s="6" t="str">
        <f>IFERROR(__xludf.DUMMYFUNCTION("REGEXREPLACE( $AR86, CONCATENATE(""["",AZ86,""]""), """")"),"g")</f>
        <v>g</v>
      </c>
      <c r="BD86" s="11" t="str">
        <f t="shared" si="6"/>
        <v>cdgba</v>
      </c>
      <c r="BE86" s="12" t="str">
        <f>IFERROR(__xludf.DUMMYFUNCTION("CONCATENATE(SORT(TRANSPOSE(SPLIT(REGEXREPLACE(REGEXREPLACE(BD86&amp;"""",""(?s)(.{1})"",""$1""&amp;CHAR(127)),""'"",""''""),CHAR(127))),1,true),""1"")"),"abcdg1")</f>
        <v>abcdg1</v>
      </c>
      <c r="BF86" s="16"/>
      <c r="BG86" s="12" t="str">
        <f t="shared" si="7"/>
        <v>bcfg</v>
      </c>
      <c r="BH86" s="12" t="str">
        <f>IFERROR(__xludf.DUMMYFUNCTION("CONCATENATE(SORT(TRANSPOSE(SPLIT(REGEXREPLACE(REGEXREPLACE(BG86&amp;"""",""(?s)(.{1})"",""$1""&amp;CHAR(127)),""'"",""''""),CHAR(127))),1,true),""1"")"),"bcfg1")</f>
        <v>bcfg1</v>
      </c>
      <c r="BI86" s="16"/>
      <c r="BJ86" s="10" t="str">
        <f>IFERROR(__xludf.DUMMYFUNCTION("FILTER($K86:$T86,len($K86:$T86)=5)"),"cdgba")</f>
        <v>cdgba</v>
      </c>
      <c r="BK86" s="6" t="str">
        <f>IFERROR(__xludf.DUMMYFUNCTION("""COMPUTED_VALUE"""),"badfg")</f>
        <v>badfg</v>
      </c>
      <c r="BL86" s="6" t="str">
        <f>IFERROR(__xludf.DUMMYFUNCTION("""COMPUTED_VALUE"""),"bedca")</f>
        <v>bedca</v>
      </c>
      <c r="BM86" s="14" t="str">
        <f>IFERROR(__xludf.DUMMYFUNCTION("REGEXREPLACE( $BY86, CONCATENATE(""["",BJ86,""]""), """")"),"ef")</f>
        <v>ef</v>
      </c>
      <c r="BN86" s="14" t="str">
        <f>IFERROR(__xludf.DUMMYFUNCTION("REGEXREPLACE( $BY86, CONCATENATE(""["",BK86,""]""), """")"),"e")</f>
        <v>e</v>
      </c>
      <c r="BO86" s="14" t="str">
        <f>IFERROR(__xludf.DUMMYFUNCTION("REGEXREPLACE( $BY86, CONCATENATE(""["",BL86,""]""), """")"),"fg")</f>
        <v>fg</v>
      </c>
      <c r="BP86" s="11" t="str">
        <f t="shared" si="8"/>
        <v>badfg</v>
      </c>
      <c r="BQ86" s="12" t="str">
        <f>IFERROR(__xludf.DUMMYFUNCTION("CONCATENATE(SORT(TRANSPOSE(SPLIT(REGEXREPLACE(REGEXREPLACE(BP86&amp;"""",""(?s)(.{1})"",""$1""&amp;CHAR(127)),""'"",""''""),CHAR(127))),1,true),""1"")"),"abdfg1")</f>
        <v>abdfg1</v>
      </c>
      <c r="BR86" s="16"/>
      <c r="BS86" s="10" t="str">
        <f>IFERROR(__xludf.DUMMYFUNCTION("FILTER(K86:T86,len(K86:T86)=6)"),"gecadf")</f>
        <v>gecadf</v>
      </c>
      <c r="BT86" s="6" t="str">
        <f>IFERROR(__xludf.DUMMYFUNCTION("""COMPUTED_VALUE"""),"dgbfca")</f>
        <v>dgbfca</v>
      </c>
      <c r="BU86" s="6" t="str">
        <f>IFERROR(__xludf.DUMMYFUNCTION("""COMPUTED_VALUE"""),"aedfgb")</f>
        <v>aedfgb</v>
      </c>
      <c r="BV86" s="6" t="str">
        <f>IFERROR(__xludf.DUMMYFUNCTION("REGEXREPLACE( $AR86, CONCATENATE(""["",BS86,""]""), """")"),"")</f>
        <v/>
      </c>
      <c r="BW86" s="6" t="str">
        <f>IFERROR(__xludf.DUMMYFUNCTION("REGEXREPLACE( $AR86, CONCATENATE(""["",BT86,""]""), """")"),"")</f>
        <v/>
      </c>
      <c r="BX86" s="6" t="str">
        <f>IFERROR(__xludf.DUMMYFUNCTION("REGEXREPLACE( $AR86, CONCATENATE(""["",BU86,""]""), """")"),"c")</f>
        <v>c</v>
      </c>
      <c r="BY86" s="12" t="str">
        <f t="shared" si="9"/>
        <v>aedfgb</v>
      </c>
      <c r="BZ86" s="12" t="str">
        <f>IFERROR(__xludf.DUMMYFUNCTION("CONCATENATE(SORT(TRANSPOSE(SPLIT(REGEXREPLACE(REGEXREPLACE(BY86&amp;"""",""(?s)(.{1})"",""$1""&amp;CHAR(127)),""'"",""''""),CHAR(127))),1,true),""1"")"),"abdefg1")</f>
        <v>abdefg1</v>
      </c>
      <c r="CA86" s="16"/>
      <c r="CB86" s="12" t="str">
        <f t="shared" si="10"/>
        <v>cdg</v>
      </c>
      <c r="CC86" s="12" t="str">
        <f>IFERROR(__xludf.DUMMYFUNCTION("CONCATENATE(SORT(TRANSPOSE(SPLIT(REGEXREPLACE(REGEXREPLACE(CB86&amp;"""",""(?s)(.{1})"",""$1""&amp;CHAR(127)),""'"",""''""),CHAR(127))),1,true),""1"")"),"cdg1")</f>
        <v>cdg1</v>
      </c>
      <c r="CD86" s="16"/>
      <c r="CE86" s="12" t="str">
        <f t="shared" si="11"/>
        <v>gfabedc</v>
      </c>
      <c r="CF86" s="12" t="str">
        <f>IFERROR(__xludf.DUMMYFUNCTION("CONCATENATE(SORT(TRANSPOSE(SPLIT(REGEXREPLACE(REGEXREPLACE(CE86&amp;"""",""(?s)(.{1})"",""$1""&amp;CHAR(127)),""'"",""''""),CHAR(127))),1,true),""1"")"),"abcdefg1")</f>
        <v>abcdefg1</v>
      </c>
      <c r="CG86" s="16"/>
      <c r="CH86" s="10" t="str">
        <f>IFERROR(__xludf.DUMMYFUNCTION("FILTER(K86:T86,len(K86:T86)=6)"),"gecadf")</f>
        <v>gecadf</v>
      </c>
      <c r="CI86" s="6" t="str">
        <f>IFERROR(__xludf.DUMMYFUNCTION("""COMPUTED_VALUE"""),"dgbfca")</f>
        <v>dgbfca</v>
      </c>
      <c r="CJ86" s="6" t="str">
        <f>IFERROR(__xludf.DUMMYFUNCTION("""COMPUTED_VALUE"""),"aedfgb")</f>
        <v>aedfgb</v>
      </c>
      <c r="CK86" s="6" t="str">
        <f>IFERROR(__xludf.DUMMYFUNCTION("REGEXREPLACE( $BG86, CONCATENATE(""["",CH86,""]""), """")"),"b")</f>
        <v>b</v>
      </c>
      <c r="CL86" s="6" t="str">
        <f>IFERROR(__xludf.DUMMYFUNCTION("REGEXREPLACE( $BG86, CONCATENATE(""["",CI86,""]""), """")"),"")</f>
        <v/>
      </c>
      <c r="CM86" s="6" t="str">
        <f>IFERROR(__xludf.DUMMYFUNCTION("REGEXREPLACE( $BG86, CONCATENATE(""["",CJ86,""]""), """")"),"c")</f>
        <v>c</v>
      </c>
      <c r="CN86" s="12" t="str">
        <f t="shared" si="12"/>
        <v>dgbfca</v>
      </c>
      <c r="CO86" s="12" t="str">
        <f>IFERROR(__xludf.DUMMYFUNCTION("CONCATENATE(SORT(TRANSPOSE(SPLIT(REGEXREPLACE(REGEXREPLACE(CN86&amp;"""",""(?s)(.{1})"",""$1""&amp;CHAR(127)),""'"",""''""),CHAR(127))),1,true),""1"")"),"abcdfg1")</f>
        <v>abcdfg1</v>
      </c>
      <c r="CP86" s="15"/>
    </row>
    <row r="87">
      <c r="A87" s="1" t="s">
        <v>107</v>
      </c>
      <c r="H87" s="6" t="str">
        <f>IFERROR(__xludf.DUMMYFUNCTION("SPLIT(A87,""|"")"),"cag acbdeg fdabegc gcfdbe bgaf ga cagfbe cfeag bfgec feadc ")</f>
        <v>cag acbdeg fdabegc gcfdbe bgaf ga cagfbe cfeag bfgec feadc </v>
      </c>
      <c r="I87" s="6" t="str">
        <f>IFERROR(__xludf.DUMMYFUNCTION("""COMPUTED_VALUE""")," gbfaec fgab gfcae cgebaf")</f>
        <v> gbfaec fgab gfcae cgebaf</v>
      </c>
      <c r="J87" s="15"/>
      <c r="K87" s="6" t="str">
        <f>IFERROR(__xludf.DUMMYFUNCTION("split(H87,"" "")"),"cag")</f>
        <v>cag</v>
      </c>
      <c r="L87" s="6" t="str">
        <f>IFERROR(__xludf.DUMMYFUNCTION("""COMPUTED_VALUE"""),"acbdeg")</f>
        <v>acbdeg</v>
      </c>
      <c r="M87" s="6" t="str">
        <f>IFERROR(__xludf.DUMMYFUNCTION("""COMPUTED_VALUE"""),"fdabegc")</f>
        <v>fdabegc</v>
      </c>
      <c r="N87" s="6" t="str">
        <f>IFERROR(__xludf.DUMMYFUNCTION("""COMPUTED_VALUE"""),"gcfdbe")</f>
        <v>gcfdbe</v>
      </c>
      <c r="O87" s="6" t="str">
        <f>IFERROR(__xludf.DUMMYFUNCTION("""COMPUTED_VALUE"""),"bgaf")</f>
        <v>bgaf</v>
      </c>
      <c r="P87" s="6" t="str">
        <f>IFERROR(__xludf.DUMMYFUNCTION("""COMPUTED_VALUE"""),"ga")</f>
        <v>ga</v>
      </c>
      <c r="Q87" s="6" t="str">
        <f>IFERROR(__xludf.DUMMYFUNCTION("""COMPUTED_VALUE"""),"cagfbe")</f>
        <v>cagfbe</v>
      </c>
      <c r="R87" s="6" t="str">
        <f>IFERROR(__xludf.DUMMYFUNCTION("""COMPUTED_VALUE"""),"cfeag")</f>
        <v>cfeag</v>
      </c>
      <c r="S87" s="6" t="str">
        <f>IFERROR(__xludf.DUMMYFUNCTION("""COMPUTED_VALUE"""),"bfgec")</f>
        <v>bfgec</v>
      </c>
      <c r="T87" s="6" t="str">
        <f>IFERROR(__xludf.DUMMYFUNCTION("""COMPUTED_VALUE"""),"feadc")</f>
        <v>feadc</v>
      </c>
      <c r="U87" s="15"/>
      <c r="V87" s="6" t="str">
        <f>IFERROR(__xludf.DUMMYFUNCTION("split(I87,"" "")"),"gbfaec")</f>
        <v>gbfaec</v>
      </c>
      <c r="W87" s="6" t="str">
        <f>IFERROR(__xludf.DUMMYFUNCTION("""COMPUTED_VALUE"""),"fgab")</f>
        <v>fgab</v>
      </c>
      <c r="X87" s="6" t="str">
        <f>IFERROR(__xludf.DUMMYFUNCTION("""COMPUTED_VALUE"""),"gfcae")</f>
        <v>gfcae</v>
      </c>
      <c r="Y87" s="6" t="str">
        <f>IFERROR(__xludf.DUMMYFUNCTION("""COMPUTED_VALUE"""),"cgebaf")</f>
        <v>cgebaf</v>
      </c>
      <c r="Z87" s="6" t="str">
        <f>IFERROR(__xludf.DUMMYFUNCTION("CONCATENATE(SORT(TRANSPOSE(SPLIT(REGEXREPLACE(REGEXREPLACE(V87&amp;"""",""(?s)(.{1})"",""$1""&amp;CHAR(127)),""'"",""''""),CHAR(127))),1,true))"),"abcefg")</f>
        <v>abcefg</v>
      </c>
      <c r="AA87" s="6" t="str">
        <f>IFERROR(__xludf.DUMMYFUNCTION("CONCATENATE(SORT(TRANSPOSE(SPLIT(REGEXREPLACE(REGEXREPLACE(W87&amp;"""",""(?s)(.{1})"",""$1""&amp;CHAR(127)),""'"",""''""),CHAR(127))),1,true))"),"abfg")</f>
        <v>abfg</v>
      </c>
      <c r="AB87" s="6" t="str">
        <f>IFERROR(__xludf.DUMMYFUNCTION("CONCATENATE(SORT(TRANSPOSE(SPLIT(REGEXREPLACE(REGEXREPLACE(X87&amp;"""",""(?s)(.{1})"",""$1""&amp;CHAR(127)),""'"",""''""),CHAR(127))),1,true))"),"acefg")</f>
        <v>acefg</v>
      </c>
      <c r="AC87" s="6" t="str">
        <f>IFERROR(__xludf.DUMMYFUNCTION("CONCATENATE(SORT(TRANSPOSE(SPLIT(REGEXREPLACE(REGEXREPLACE(Y87&amp;"""",""(?s)(.{1})"",""$1""&amp;CHAR(127)),""'"",""''""),CHAR(127))),1,true))"),"abcefg")</f>
        <v>abcefg</v>
      </c>
      <c r="AD87" s="6">
        <f t="shared" ref="AD87:AG87" si="97">INDEX($AO$1:$CP$1,1,MATCH(CONCATENATE(Z87,"1"),$AO87:$CP87,0)+1)</f>
        <v>9</v>
      </c>
      <c r="AE87" s="6">
        <f t="shared" si="97"/>
        <v>4</v>
      </c>
      <c r="AF87" s="6">
        <f t="shared" si="97"/>
        <v>3</v>
      </c>
      <c r="AG87" s="6">
        <f t="shared" si="97"/>
        <v>9</v>
      </c>
      <c r="AH87" s="6">
        <f t="shared" si="3"/>
        <v>9439</v>
      </c>
      <c r="AI87" s="16"/>
      <c r="AJ87" s="9" t="str">
        <f>IFERROR(__xludf.DUMMYFUNCTION("REGEXREPLACE(AR87,CONCATENATE(""["",BY87,""]""),"""")"),"a")</f>
        <v>a</v>
      </c>
      <c r="AK87" s="10" t="str">
        <f>IFERROR(__xludf.DUMMYFUNCTION("FILTER($K87:$T87,len($K87:$T87)=6,NOT($K87:$T87=BY87))"),"acbdeg")</f>
        <v>acbdeg</v>
      </c>
      <c r="AL87" s="6" t="str">
        <f>IFERROR(__xludf.DUMMYFUNCTION("""COMPUTED_VALUE"""),"cagfbe")</f>
        <v>cagfbe</v>
      </c>
      <c r="AM87" s="6" t="str">
        <f>IFERROR(__xludf.DUMMYFUNCTION("REGEXREPLACE( $BG87, CONCATENATE(""["",AK87,""]""), """")"),"f")</f>
        <v>f</v>
      </c>
      <c r="AN87" s="6" t="str">
        <f>IFERROR(__xludf.DUMMYFUNCTION("REGEXREPLACE( $BG87, CONCATENATE(""["",AL87,""]""), """")"),"")</f>
        <v/>
      </c>
      <c r="AO87" s="11" t="str">
        <f t="shared" si="4"/>
        <v>acbdeg</v>
      </c>
      <c r="AP87" s="12" t="str">
        <f>IFERROR(__xludf.DUMMYFUNCTION("CONCATENATE(SORT(TRANSPOSE(SPLIT(REGEXREPLACE(REGEXREPLACE(AO87&amp;"""",""(?s)(.{1})"",""$1""&amp;CHAR(127)),""'"",""''""),CHAR(127))),1,true),""1"")"),"abcdeg1")</f>
        <v>abcdeg1</v>
      </c>
      <c r="AQ87" s="16"/>
      <c r="AR87" s="12" t="str">
        <f t="shared" si="5"/>
        <v>ga</v>
      </c>
      <c r="AS87" s="12" t="str">
        <f>IFERROR(__xludf.DUMMYFUNCTION("CONCATENATE(SORT(TRANSPOSE(SPLIT(REGEXREPLACE(REGEXREPLACE(AR87&amp;"""",""(?s)(.{1})"",""$1""&amp;CHAR(127)),""'"",""''""),CHAR(127))),1,true),""1"")"),"ag1")</f>
        <v>ag1</v>
      </c>
      <c r="AT87" s="16"/>
      <c r="AU87" s="13" t="str">
        <f>IFERROR(__xludf.DUMMYFUNCTION("FILTER($K87:$T87,len($K87:$T87)=5,NOT($K87:$T87=BD87),NOT($K87:$T87=BP87))"),"feadc")</f>
        <v>feadc</v>
      </c>
      <c r="AV87" s="12" t="str">
        <f>IFERROR(__xludf.DUMMYFUNCTION("CONCATENATE(SORT(TRANSPOSE(SPLIT(REGEXREPLACE(REGEXREPLACE(AU87&amp;"""",""(?s)(.{1})"",""$1""&amp;CHAR(127)),""'"",""''""),CHAR(127))),1,true),""1"")"),"acdef1")</f>
        <v>acdef1</v>
      </c>
      <c r="AW87" s="16"/>
      <c r="AX87" s="10" t="str">
        <f>IFERROR(__xludf.DUMMYFUNCTION("FILTER($K87:$T87,len($K87:$T87)=5)"),"cfeag")</f>
        <v>cfeag</v>
      </c>
      <c r="AY87" s="6" t="str">
        <f>IFERROR(__xludf.DUMMYFUNCTION("""COMPUTED_VALUE"""),"bfgec")</f>
        <v>bfgec</v>
      </c>
      <c r="AZ87" s="6" t="str">
        <f>IFERROR(__xludf.DUMMYFUNCTION("""COMPUTED_VALUE"""),"feadc")</f>
        <v>feadc</v>
      </c>
      <c r="BA87" s="6" t="str">
        <f>IFERROR(__xludf.DUMMYFUNCTION("REGEXREPLACE( $AR87, CONCATENATE(""["",AX87,""]""), """")"),"")</f>
        <v/>
      </c>
      <c r="BB87" s="6" t="str">
        <f>IFERROR(__xludf.DUMMYFUNCTION("REGEXREPLACE( $AR87, CONCATENATE(""["",AY87,""]""), """")"),"a")</f>
        <v>a</v>
      </c>
      <c r="BC87" s="6" t="str">
        <f>IFERROR(__xludf.DUMMYFUNCTION("REGEXREPLACE( $AR87, CONCATENATE(""["",AZ87,""]""), """")"),"g")</f>
        <v>g</v>
      </c>
      <c r="BD87" s="11" t="str">
        <f t="shared" si="6"/>
        <v>cfeag</v>
      </c>
      <c r="BE87" s="12" t="str">
        <f>IFERROR(__xludf.DUMMYFUNCTION("CONCATENATE(SORT(TRANSPOSE(SPLIT(REGEXREPLACE(REGEXREPLACE(BD87&amp;"""",""(?s)(.{1})"",""$1""&amp;CHAR(127)),""'"",""''""),CHAR(127))),1,true),""1"")"),"acefg1")</f>
        <v>acefg1</v>
      </c>
      <c r="BF87" s="16"/>
      <c r="BG87" s="12" t="str">
        <f t="shared" si="7"/>
        <v>bgaf</v>
      </c>
      <c r="BH87" s="12" t="str">
        <f>IFERROR(__xludf.DUMMYFUNCTION("CONCATENATE(SORT(TRANSPOSE(SPLIT(REGEXREPLACE(REGEXREPLACE(BG87&amp;"""",""(?s)(.{1})"",""$1""&amp;CHAR(127)),""'"",""''""),CHAR(127))),1,true),""1"")"),"abfg1")</f>
        <v>abfg1</v>
      </c>
      <c r="BI87" s="16"/>
      <c r="BJ87" s="10" t="str">
        <f>IFERROR(__xludf.DUMMYFUNCTION("FILTER($K87:$T87,len($K87:$T87)=5)"),"cfeag")</f>
        <v>cfeag</v>
      </c>
      <c r="BK87" s="6" t="str">
        <f>IFERROR(__xludf.DUMMYFUNCTION("""COMPUTED_VALUE"""),"bfgec")</f>
        <v>bfgec</v>
      </c>
      <c r="BL87" s="6" t="str">
        <f>IFERROR(__xludf.DUMMYFUNCTION("""COMPUTED_VALUE"""),"feadc")</f>
        <v>feadc</v>
      </c>
      <c r="BM87" s="14" t="str">
        <f>IFERROR(__xludf.DUMMYFUNCTION("REGEXREPLACE( $BY87, CONCATENATE(""["",BJ87,""]""), """")"),"db")</f>
        <v>db</v>
      </c>
      <c r="BN87" s="14" t="str">
        <f>IFERROR(__xludf.DUMMYFUNCTION("REGEXREPLACE( $BY87, CONCATENATE(""["",BK87,""]""), """")"),"d")</f>
        <v>d</v>
      </c>
      <c r="BO87" s="14" t="str">
        <f>IFERROR(__xludf.DUMMYFUNCTION("REGEXREPLACE( $BY87, CONCATENATE(""["",BL87,""]""), """")"),"gb")</f>
        <v>gb</v>
      </c>
      <c r="BP87" s="11" t="str">
        <f t="shared" si="8"/>
        <v>bfgec</v>
      </c>
      <c r="BQ87" s="12" t="str">
        <f>IFERROR(__xludf.DUMMYFUNCTION("CONCATENATE(SORT(TRANSPOSE(SPLIT(REGEXREPLACE(REGEXREPLACE(BP87&amp;"""",""(?s)(.{1})"",""$1""&amp;CHAR(127)),""'"",""''""),CHAR(127))),1,true),""1"")"),"bcefg1")</f>
        <v>bcefg1</v>
      </c>
      <c r="BR87" s="16"/>
      <c r="BS87" s="10" t="str">
        <f>IFERROR(__xludf.DUMMYFUNCTION("FILTER(K87:T87,len(K87:T87)=6)"),"acbdeg")</f>
        <v>acbdeg</v>
      </c>
      <c r="BT87" s="6" t="str">
        <f>IFERROR(__xludf.DUMMYFUNCTION("""COMPUTED_VALUE"""),"gcfdbe")</f>
        <v>gcfdbe</v>
      </c>
      <c r="BU87" s="6" t="str">
        <f>IFERROR(__xludf.DUMMYFUNCTION("""COMPUTED_VALUE"""),"cagfbe")</f>
        <v>cagfbe</v>
      </c>
      <c r="BV87" s="6" t="str">
        <f>IFERROR(__xludf.DUMMYFUNCTION("REGEXREPLACE( $AR87, CONCATENATE(""["",BS87,""]""), """")"),"")</f>
        <v/>
      </c>
      <c r="BW87" s="6" t="str">
        <f>IFERROR(__xludf.DUMMYFUNCTION("REGEXREPLACE( $AR87, CONCATENATE(""["",BT87,""]""), """")"),"a")</f>
        <v>a</v>
      </c>
      <c r="BX87" s="6" t="str">
        <f>IFERROR(__xludf.DUMMYFUNCTION("REGEXREPLACE( $AR87, CONCATENATE(""["",BU87,""]""), """")"),"")</f>
        <v/>
      </c>
      <c r="BY87" s="12" t="str">
        <f t="shared" si="9"/>
        <v>gcfdbe</v>
      </c>
      <c r="BZ87" s="12" t="str">
        <f>IFERROR(__xludf.DUMMYFUNCTION("CONCATENATE(SORT(TRANSPOSE(SPLIT(REGEXREPLACE(REGEXREPLACE(BY87&amp;"""",""(?s)(.{1})"",""$1""&amp;CHAR(127)),""'"",""''""),CHAR(127))),1,true),""1"")"),"bcdefg1")</f>
        <v>bcdefg1</v>
      </c>
      <c r="CA87" s="16"/>
      <c r="CB87" s="12" t="str">
        <f t="shared" si="10"/>
        <v>cag</v>
      </c>
      <c r="CC87" s="12" t="str">
        <f>IFERROR(__xludf.DUMMYFUNCTION("CONCATENATE(SORT(TRANSPOSE(SPLIT(REGEXREPLACE(REGEXREPLACE(CB87&amp;"""",""(?s)(.{1})"",""$1""&amp;CHAR(127)),""'"",""''""),CHAR(127))),1,true),""1"")"),"acg1")</f>
        <v>acg1</v>
      </c>
      <c r="CD87" s="16"/>
      <c r="CE87" s="12" t="str">
        <f t="shared" si="11"/>
        <v>fdabegc</v>
      </c>
      <c r="CF87" s="12" t="str">
        <f>IFERROR(__xludf.DUMMYFUNCTION("CONCATENATE(SORT(TRANSPOSE(SPLIT(REGEXREPLACE(REGEXREPLACE(CE87&amp;"""",""(?s)(.{1})"",""$1""&amp;CHAR(127)),""'"",""''""),CHAR(127))),1,true),""1"")"),"abcdefg1")</f>
        <v>abcdefg1</v>
      </c>
      <c r="CG87" s="16"/>
      <c r="CH87" s="10" t="str">
        <f>IFERROR(__xludf.DUMMYFUNCTION("FILTER(K87:T87,len(K87:T87)=6)"),"acbdeg")</f>
        <v>acbdeg</v>
      </c>
      <c r="CI87" s="6" t="str">
        <f>IFERROR(__xludf.DUMMYFUNCTION("""COMPUTED_VALUE"""),"gcfdbe")</f>
        <v>gcfdbe</v>
      </c>
      <c r="CJ87" s="6" t="str">
        <f>IFERROR(__xludf.DUMMYFUNCTION("""COMPUTED_VALUE"""),"cagfbe")</f>
        <v>cagfbe</v>
      </c>
      <c r="CK87" s="6" t="str">
        <f>IFERROR(__xludf.DUMMYFUNCTION("REGEXREPLACE( $BG87, CONCATENATE(""["",CH87,""]""), """")"),"f")</f>
        <v>f</v>
      </c>
      <c r="CL87" s="6" t="str">
        <f>IFERROR(__xludf.DUMMYFUNCTION("REGEXREPLACE( $BG87, CONCATENATE(""["",CI87,""]""), """")"),"a")</f>
        <v>a</v>
      </c>
      <c r="CM87" s="6" t="str">
        <f>IFERROR(__xludf.DUMMYFUNCTION("REGEXREPLACE( $BG87, CONCATENATE(""["",CJ87,""]""), """")"),"")</f>
        <v/>
      </c>
      <c r="CN87" s="12" t="str">
        <f t="shared" si="12"/>
        <v>cagfbe</v>
      </c>
      <c r="CO87" s="12" t="str">
        <f>IFERROR(__xludf.DUMMYFUNCTION("CONCATENATE(SORT(TRANSPOSE(SPLIT(REGEXREPLACE(REGEXREPLACE(CN87&amp;"""",""(?s)(.{1})"",""$1""&amp;CHAR(127)),""'"",""''""),CHAR(127))),1,true),""1"")"),"abcefg1")</f>
        <v>abcefg1</v>
      </c>
      <c r="CP87" s="15"/>
    </row>
    <row r="88">
      <c r="A88" s="1" t="s">
        <v>108</v>
      </c>
      <c r="H88" s="6" t="str">
        <f>IFERROR(__xludf.DUMMYFUNCTION("SPLIT(A88,""|"")"),"febcga gbfc edabcg gfabdec fecdag bg gcfae efadb abgfe gba ")</f>
        <v>febcga gbfc edabcg gfabdec fecdag bg gcfae efadb abgfe gba </v>
      </c>
      <c r="I88" s="6" t="str">
        <f>IFERROR(__xludf.DUMMYFUNCTION("""COMPUTED_VALUE""")," fabge bgfdeca bag afdbe")</f>
        <v> fabge bgfdeca bag afdbe</v>
      </c>
      <c r="J88" s="15"/>
      <c r="K88" s="6" t="str">
        <f>IFERROR(__xludf.DUMMYFUNCTION("split(H88,"" "")"),"febcga")</f>
        <v>febcga</v>
      </c>
      <c r="L88" s="6" t="str">
        <f>IFERROR(__xludf.DUMMYFUNCTION("""COMPUTED_VALUE"""),"gbfc")</f>
        <v>gbfc</v>
      </c>
      <c r="M88" s="6" t="str">
        <f>IFERROR(__xludf.DUMMYFUNCTION("""COMPUTED_VALUE"""),"edabcg")</f>
        <v>edabcg</v>
      </c>
      <c r="N88" s="6" t="str">
        <f>IFERROR(__xludf.DUMMYFUNCTION("""COMPUTED_VALUE"""),"gfabdec")</f>
        <v>gfabdec</v>
      </c>
      <c r="O88" s="6" t="str">
        <f>IFERROR(__xludf.DUMMYFUNCTION("""COMPUTED_VALUE"""),"fecdag")</f>
        <v>fecdag</v>
      </c>
      <c r="P88" s="6" t="str">
        <f>IFERROR(__xludf.DUMMYFUNCTION("""COMPUTED_VALUE"""),"bg")</f>
        <v>bg</v>
      </c>
      <c r="Q88" s="6" t="str">
        <f>IFERROR(__xludf.DUMMYFUNCTION("""COMPUTED_VALUE"""),"gcfae")</f>
        <v>gcfae</v>
      </c>
      <c r="R88" s="6" t="str">
        <f>IFERROR(__xludf.DUMMYFUNCTION("""COMPUTED_VALUE"""),"efadb")</f>
        <v>efadb</v>
      </c>
      <c r="S88" s="6" t="str">
        <f>IFERROR(__xludf.DUMMYFUNCTION("""COMPUTED_VALUE"""),"abgfe")</f>
        <v>abgfe</v>
      </c>
      <c r="T88" s="6" t="str">
        <f>IFERROR(__xludf.DUMMYFUNCTION("""COMPUTED_VALUE"""),"gba")</f>
        <v>gba</v>
      </c>
      <c r="U88" s="15"/>
      <c r="V88" s="6" t="str">
        <f>IFERROR(__xludf.DUMMYFUNCTION("split(I88,"" "")"),"fabge")</f>
        <v>fabge</v>
      </c>
      <c r="W88" s="6" t="str">
        <f>IFERROR(__xludf.DUMMYFUNCTION("""COMPUTED_VALUE"""),"bgfdeca")</f>
        <v>bgfdeca</v>
      </c>
      <c r="X88" s="6" t="str">
        <f>IFERROR(__xludf.DUMMYFUNCTION("""COMPUTED_VALUE"""),"bag")</f>
        <v>bag</v>
      </c>
      <c r="Y88" s="6" t="str">
        <f>IFERROR(__xludf.DUMMYFUNCTION("""COMPUTED_VALUE"""),"afdbe")</f>
        <v>afdbe</v>
      </c>
      <c r="Z88" s="6" t="str">
        <f>IFERROR(__xludf.DUMMYFUNCTION("CONCATENATE(SORT(TRANSPOSE(SPLIT(REGEXREPLACE(REGEXREPLACE(V88&amp;"""",""(?s)(.{1})"",""$1""&amp;CHAR(127)),""'"",""''""),CHAR(127))),1,true))"),"abefg")</f>
        <v>abefg</v>
      </c>
      <c r="AA88" s="6" t="str">
        <f>IFERROR(__xludf.DUMMYFUNCTION("CONCATENATE(SORT(TRANSPOSE(SPLIT(REGEXREPLACE(REGEXREPLACE(W88&amp;"""",""(?s)(.{1})"",""$1""&amp;CHAR(127)),""'"",""''""),CHAR(127))),1,true))"),"abcdefg")</f>
        <v>abcdefg</v>
      </c>
      <c r="AB88" s="6" t="str">
        <f>IFERROR(__xludf.DUMMYFUNCTION("CONCATENATE(SORT(TRANSPOSE(SPLIT(REGEXREPLACE(REGEXREPLACE(X88&amp;"""",""(?s)(.{1})"",""$1""&amp;CHAR(127)),""'"",""''""),CHAR(127))),1,true))"),"abg")</f>
        <v>abg</v>
      </c>
      <c r="AC88" s="6" t="str">
        <f>IFERROR(__xludf.DUMMYFUNCTION("CONCATENATE(SORT(TRANSPOSE(SPLIT(REGEXREPLACE(REGEXREPLACE(Y88&amp;"""",""(?s)(.{1})"",""$1""&amp;CHAR(127)),""'"",""''""),CHAR(127))),1,true))"),"abdef")</f>
        <v>abdef</v>
      </c>
      <c r="AD88" s="6">
        <f t="shared" ref="AD88:AG88" si="98">INDEX($AO$1:$CP$1,1,MATCH(CONCATENATE(Z88,"1"),$AO88:$CP88,0)+1)</f>
        <v>3</v>
      </c>
      <c r="AE88" s="6">
        <f t="shared" si="98"/>
        <v>8</v>
      </c>
      <c r="AF88" s="6">
        <f t="shared" si="98"/>
        <v>7</v>
      </c>
      <c r="AG88" s="6">
        <f t="shared" si="98"/>
        <v>2</v>
      </c>
      <c r="AH88" s="6">
        <f t="shared" si="3"/>
        <v>3872</v>
      </c>
      <c r="AI88" s="16"/>
      <c r="AJ88" s="9" t="str">
        <f>IFERROR(__xludf.DUMMYFUNCTION("REGEXREPLACE(AR88,CONCATENATE(""["",BY88,""]""),"""")"),"b")</f>
        <v>b</v>
      </c>
      <c r="AK88" s="10" t="str">
        <f>IFERROR(__xludf.DUMMYFUNCTION("FILTER($K88:$T88,len($K88:$T88)=6,NOT($K88:$T88=BY88))"),"febcga")</f>
        <v>febcga</v>
      </c>
      <c r="AL88" s="6" t="str">
        <f>IFERROR(__xludf.DUMMYFUNCTION("""COMPUTED_VALUE"""),"edabcg")</f>
        <v>edabcg</v>
      </c>
      <c r="AM88" s="6" t="str">
        <f>IFERROR(__xludf.DUMMYFUNCTION("REGEXREPLACE( $BG88, CONCATENATE(""["",AK88,""]""), """")"),"")</f>
        <v/>
      </c>
      <c r="AN88" s="6" t="str">
        <f>IFERROR(__xludf.DUMMYFUNCTION("REGEXREPLACE( $BG88, CONCATENATE(""["",AL88,""]""), """")"),"f")</f>
        <v>f</v>
      </c>
      <c r="AO88" s="11" t="str">
        <f t="shared" si="4"/>
        <v>edabcg</v>
      </c>
      <c r="AP88" s="12" t="str">
        <f>IFERROR(__xludf.DUMMYFUNCTION("CONCATENATE(SORT(TRANSPOSE(SPLIT(REGEXREPLACE(REGEXREPLACE(AO88&amp;"""",""(?s)(.{1})"",""$1""&amp;CHAR(127)),""'"",""''""),CHAR(127))),1,true),""1"")"),"abcdeg1")</f>
        <v>abcdeg1</v>
      </c>
      <c r="AQ88" s="16"/>
      <c r="AR88" s="12" t="str">
        <f t="shared" si="5"/>
        <v>bg</v>
      </c>
      <c r="AS88" s="12" t="str">
        <f>IFERROR(__xludf.DUMMYFUNCTION("CONCATENATE(SORT(TRANSPOSE(SPLIT(REGEXREPLACE(REGEXREPLACE(AR88&amp;"""",""(?s)(.{1})"",""$1""&amp;CHAR(127)),""'"",""''""),CHAR(127))),1,true),""1"")"),"bg1")</f>
        <v>bg1</v>
      </c>
      <c r="AT88" s="16"/>
      <c r="AU88" s="13" t="str">
        <f>IFERROR(__xludf.DUMMYFUNCTION("FILTER($K88:$T88,len($K88:$T88)=5,NOT($K88:$T88=BD88),NOT($K88:$T88=BP88))"),"efadb")</f>
        <v>efadb</v>
      </c>
      <c r="AV88" s="12" t="str">
        <f>IFERROR(__xludf.DUMMYFUNCTION("CONCATENATE(SORT(TRANSPOSE(SPLIT(REGEXREPLACE(REGEXREPLACE(AU88&amp;"""",""(?s)(.{1})"",""$1""&amp;CHAR(127)),""'"",""''""),CHAR(127))),1,true),""1"")"),"abdef1")</f>
        <v>abdef1</v>
      </c>
      <c r="AW88" s="16"/>
      <c r="AX88" s="10" t="str">
        <f>IFERROR(__xludf.DUMMYFUNCTION("FILTER($K88:$T88,len($K88:$T88)=5)"),"gcfae")</f>
        <v>gcfae</v>
      </c>
      <c r="AY88" s="6" t="str">
        <f>IFERROR(__xludf.DUMMYFUNCTION("""COMPUTED_VALUE"""),"efadb")</f>
        <v>efadb</v>
      </c>
      <c r="AZ88" s="6" t="str">
        <f>IFERROR(__xludf.DUMMYFUNCTION("""COMPUTED_VALUE"""),"abgfe")</f>
        <v>abgfe</v>
      </c>
      <c r="BA88" s="6" t="str">
        <f>IFERROR(__xludf.DUMMYFUNCTION("REGEXREPLACE( $AR88, CONCATENATE(""["",AX88,""]""), """")"),"b")</f>
        <v>b</v>
      </c>
      <c r="BB88" s="6" t="str">
        <f>IFERROR(__xludf.DUMMYFUNCTION("REGEXREPLACE( $AR88, CONCATENATE(""["",AY88,""]""), """")"),"g")</f>
        <v>g</v>
      </c>
      <c r="BC88" s="6" t="str">
        <f>IFERROR(__xludf.DUMMYFUNCTION("REGEXREPLACE( $AR88, CONCATENATE(""["",AZ88,""]""), """")"),"")</f>
        <v/>
      </c>
      <c r="BD88" s="11" t="str">
        <f t="shared" si="6"/>
        <v>abgfe</v>
      </c>
      <c r="BE88" s="12" t="str">
        <f>IFERROR(__xludf.DUMMYFUNCTION("CONCATENATE(SORT(TRANSPOSE(SPLIT(REGEXREPLACE(REGEXREPLACE(BD88&amp;"""",""(?s)(.{1})"",""$1""&amp;CHAR(127)),""'"",""''""),CHAR(127))),1,true),""1"")"),"abefg1")</f>
        <v>abefg1</v>
      </c>
      <c r="BF88" s="16"/>
      <c r="BG88" s="12" t="str">
        <f t="shared" si="7"/>
        <v>gbfc</v>
      </c>
      <c r="BH88" s="12" t="str">
        <f>IFERROR(__xludf.DUMMYFUNCTION("CONCATENATE(SORT(TRANSPOSE(SPLIT(REGEXREPLACE(REGEXREPLACE(BG88&amp;"""",""(?s)(.{1})"",""$1""&amp;CHAR(127)),""'"",""''""),CHAR(127))),1,true),""1"")"),"bcfg1")</f>
        <v>bcfg1</v>
      </c>
      <c r="BI88" s="16"/>
      <c r="BJ88" s="10" t="str">
        <f>IFERROR(__xludf.DUMMYFUNCTION("FILTER($K88:$T88,len($K88:$T88)=5)"),"gcfae")</f>
        <v>gcfae</v>
      </c>
      <c r="BK88" s="6" t="str">
        <f>IFERROR(__xludf.DUMMYFUNCTION("""COMPUTED_VALUE"""),"efadb")</f>
        <v>efadb</v>
      </c>
      <c r="BL88" s="6" t="str">
        <f>IFERROR(__xludf.DUMMYFUNCTION("""COMPUTED_VALUE"""),"abgfe")</f>
        <v>abgfe</v>
      </c>
      <c r="BM88" s="14" t="str">
        <f>IFERROR(__xludf.DUMMYFUNCTION("REGEXREPLACE( $BY88, CONCATENATE(""["",BJ88,""]""), """")"),"d")</f>
        <v>d</v>
      </c>
      <c r="BN88" s="14" t="str">
        <f>IFERROR(__xludf.DUMMYFUNCTION("REGEXREPLACE( $BY88, CONCATENATE(""["",BK88,""]""), """")"),"cg")</f>
        <v>cg</v>
      </c>
      <c r="BO88" s="14" t="str">
        <f>IFERROR(__xludf.DUMMYFUNCTION("REGEXREPLACE( $BY88, CONCATENATE(""["",BL88,""]""), """")"),"cd")</f>
        <v>cd</v>
      </c>
      <c r="BP88" s="11" t="str">
        <f t="shared" si="8"/>
        <v>gcfae</v>
      </c>
      <c r="BQ88" s="12" t="str">
        <f>IFERROR(__xludf.DUMMYFUNCTION("CONCATENATE(SORT(TRANSPOSE(SPLIT(REGEXREPLACE(REGEXREPLACE(BP88&amp;"""",""(?s)(.{1})"",""$1""&amp;CHAR(127)),""'"",""''""),CHAR(127))),1,true),""1"")"),"acefg1")</f>
        <v>acefg1</v>
      </c>
      <c r="BR88" s="16"/>
      <c r="BS88" s="10" t="str">
        <f>IFERROR(__xludf.DUMMYFUNCTION("FILTER(K88:T88,len(K88:T88)=6)"),"febcga")</f>
        <v>febcga</v>
      </c>
      <c r="BT88" s="6" t="str">
        <f>IFERROR(__xludf.DUMMYFUNCTION("""COMPUTED_VALUE"""),"edabcg")</f>
        <v>edabcg</v>
      </c>
      <c r="BU88" s="6" t="str">
        <f>IFERROR(__xludf.DUMMYFUNCTION("""COMPUTED_VALUE"""),"fecdag")</f>
        <v>fecdag</v>
      </c>
      <c r="BV88" s="6" t="str">
        <f>IFERROR(__xludf.DUMMYFUNCTION("REGEXREPLACE( $AR88, CONCATENATE(""["",BS88,""]""), """")"),"")</f>
        <v/>
      </c>
      <c r="BW88" s="6" t="str">
        <f>IFERROR(__xludf.DUMMYFUNCTION("REGEXREPLACE( $AR88, CONCATENATE(""["",BT88,""]""), """")"),"")</f>
        <v/>
      </c>
      <c r="BX88" s="6" t="str">
        <f>IFERROR(__xludf.DUMMYFUNCTION("REGEXREPLACE( $AR88, CONCATENATE(""["",BU88,""]""), """")"),"b")</f>
        <v>b</v>
      </c>
      <c r="BY88" s="12" t="str">
        <f t="shared" si="9"/>
        <v>fecdag</v>
      </c>
      <c r="BZ88" s="12" t="str">
        <f>IFERROR(__xludf.DUMMYFUNCTION("CONCATENATE(SORT(TRANSPOSE(SPLIT(REGEXREPLACE(REGEXREPLACE(BY88&amp;"""",""(?s)(.{1})"",""$1""&amp;CHAR(127)),""'"",""''""),CHAR(127))),1,true),""1"")"),"acdefg1")</f>
        <v>acdefg1</v>
      </c>
      <c r="CA88" s="16"/>
      <c r="CB88" s="12" t="str">
        <f t="shared" si="10"/>
        <v>gba</v>
      </c>
      <c r="CC88" s="12" t="str">
        <f>IFERROR(__xludf.DUMMYFUNCTION("CONCATENATE(SORT(TRANSPOSE(SPLIT(REGEXREPLACE(REGEXREPLACE(CB88&amp;"""",""(?s)(.{1})"",""$1""&amp;CHAR(127)),""'"",""''""),CHAR(127))),1,true),""1"")"),"abg1")</f>
        <v>abg1</v>
      </c>
      <c r="CD88" s="16"/>
      <c r="CE88" s="12" t="str">
        <f t="shared" si="11"/>
        <v>gfabdec</v>
      </c>
      <c r="CF88" s="12" t="str">
        <f>IFERROR(__xludf.DUMMYFUNCTION("CONCATENATE(SORT(TRANSPOSE(SPLIT(REGEXREPLACE(REGEXREPLACE(CE88&amp;"""",""(?s)(.{1})"",""$1""&amp;CHAR(127)),""'"",""''""),CHAR(127))),1,true),""1"")"),"abcdefg1")</f>
        <v>abcdefg1</v>
      </c>
      <c r="CG88" s="16"/>
      <c r="CH88" s="10" t="str">
        <f>IFERROR(__xludf.DUMMYFUNCTION("FILTER(K88:T88,len(K88:T88)=6)"),"febcga")</f>
        <v>febcga</v>
      </c>
      <c r="CI88" s="6" t="str">
        <f>IFERROR(__xludf.DUMMYFUNCTION("""COMPUTED_VALUE"""),"edabcg")</f>
        <v>edabcg</v>
      </c>
      <c r="CJ88" s="6" t="str">
        <f>IFERROR(__xludf.DUMMYFUNCTION("""COMPUTED_VALUE"""),"fecdag")</f>
        <v>fecdag</v>
      </c>
      <c r="CK88" s="6" t="str">
        <f>IFERROR(__xludf.DUMMYFUNCTION("REGEXREPLACE( $BG88, CONCATENATE(""["",CH88,""]""), """")"),"")</f>
        <v/>
      </c>
      <c r="CL88" s="6" t="str">
        <f>IFERROR(__xludf.DUMMYFUNCTION("REGEXREPLACE( $BG88, CONCATENATE(""["",CI88,""]""), """")"),"f")</f>
        <v>f</v>
      </c>
      <c r="CM88" s="6" t="str">
        <f>IFERROR(__xludf.DUMMYFUNCTION("REGEXREPLACE( $BG88, CONCATENATE(""["",CJ88,""]""), """")"),"b")</f>
        <v>b</v>
      </c>
      <c r="CN88" s="12" t="str">
        <f t="shared" si="12"/>
        <v>febcga</v>
      </c>
      <c r="CO88" s="12" t="str">
        <f>IFERROR(__xludf.DUMMYFUNCTION("CONCATENATE(SORT(TRANSPOSE(SPLIT(REGEXREPLACE(REGEXREPLACE(CN88&amp;"""",""(?s)(.{1})"",""$1""&amp;CHAR(127)),""'"",""''""),CHAR(127))),1,true),""1"")"),"abcefg1")</f>
        <v>abcefg1</v>
      </c>
      <c r="CP88" s="15"/>
    </row>
    <row r="89">
      <c r="A89" s="1" t="s">
        <v>109</v>
      </c>
      <c r="H89" s="6" t="str">
        <f>IFERROR(__xludf.DUMMYFUNCTION("SPLIT(A89,""|"")"),"fcdae gabed dbcea bcgdaf aefdbg gcbe bdc cb aebgcdf acedbg ")</f>
        <v>fcdae gabed dbcea bcgdaf aefdbg gcbe bdc cb aebgcdf acedbg </v>
      </c>
      <c r="I89" s="6" t="str">
        <f>IFERROR(__xludf.DUMMYFUNCTION("""COMPUTED_VALUE""")," dgbafc bdc gdbefa fadce")</f>
        <v> dgbafc bdc gdbefa fadce</v>
      </c>
      <c r="J89" s="15"/>
      <c r="K89" s="6" t="str">
        <f>IFERROR(__xludf.DUMMYFUNCTION("split(H89,"" "")"),"fcdae")</f>
        <v>fcdae</v>
      </c>
      <c r="L89" s="6" t="str">
        <f>IFERROR(__xludf.DUMMYFUNCTION("""COMPUTED_VALUE"""),"gabed")</f>
        <v>gabed</v>
      </c>
      <c r="M89" s="6" t="str">
        <f>IFERROR(__xludf.DUMMYFUNCTION("""COMPUTED_VALUE"""),"dbcea")</f>
        <v>dbcea</v>
      </c>
      <c r="N89" s="6" t="str">
        <f>IFERROR(__xludf.DUMMYFUNCTION("""COMPUTED_VALUE"""),"bcgdaf")</f>
        <v>bcgdaf</v>
      </c>
      <c r="O89" s="6" t="str">
        <f>IFERROR(__xludf.DUMMYFUNCTION("""COMPUTED_VALUE"""),"aefdbg")</f>
        <v>aefdbg</v>
      </c>
      <c r="P89" s="6" t="str">
        <f>IFERROR(__xludf.DUMMYFUNCTION("""COMPUTED_VALUE"""),"gcbe")</f>
        <v>gcbe</v>
      </c>
      <c r="Q89" s="6" t="str">
        <f>IFERROR(__xludf.DUMMYFUNCTION("""COMPUTED_VALUE"""),"bdc")</f>
        <v>bdc</v>
      </c>
      <c r="R89" s="6" t="str">
        <f>IFERROR(__xludf.DUMMYFUNCTION("""COMPUTED_VALUE"""),"cb")</f>
        <v>cb</v>
      </c>
      <c r="S89" s="6" t="str">
        <f>IFERROR(__xludf.DUMMYFUNCTION("""COMPUTED_VALUE"""),"aebgcdf")</f>
        <v>aebgcdf</v>
      </c>
      <c r="T89" s="6" t="str">
        <f>IFERROR(__xludf.DUMMYFUNCTION("""COMPUTED_VALUE"""),"acedbg")</f>
        <v>acedbg</v>
      </c>
      <c r="U89" s="15"/>
      <c r="V89" s="6" t="str">
        <f>IFERROR(__xludf.DUMMYFUNCTION("split(I89,"" "")"),"dgbafc")</f>
        <v>dgbafc</v>
      </c>
      <c r="W89" s="6" t="str">
        <f>IFERROR(__xludf.DUMMYFUNCTION("""COMPUTED_VALUE"""),"bdc")</f>
        <v>bdc</v>
      </c>
      <c r="X89" s="6" t="str">
        <f>IFERROR(__xludf.DUMMYFUNCTION("""COMPUTED_VALUE"""),"gdbefa")</f>
        <v>gdbefa</v>
      </c>
      <c r="Y89" s="6" t="str">
        <f>IFERROR(__xludf.DUMMYFUNCTION("""COMPUTED_VALUE"""),"fadce")</f>
        <v>fadce</v>
      </c>
      <c r="Z89" s="6" t="str">
        <f>IFERROR(__xludf.DUMMYFUNCTION("CONCATENATE(SORT(TRANSPOSE(SPLIT(REGEXREPLACE(REGEXREPLACE(V89&amp;"""",""(?s)(.{1})"",""$1""&amp;CHAR(127)),""'"",""''""),CHAR(127))),1,true))"),"abcdfg")</f>
        <v>abcdfg</v>
      </c>
      <c r="AA89" s="6" t="str">
        <f>IFERROR(__xludf.DUMMYFUNCTION("CONCATENATE(SORT(TRANSPOSE(SPLIT(REGEXREPLACE(REGEXREPLACE(W89&amp;"""",""(?s)(.{1})"",""$1""&amp;CHAR(127)),""'"",""''""),CHAR(127))),1,true))"),"bcd")</f>
        <v>bcd</v>
      </c>
      <c r="AB89" s="6" t="str">
        <f>IFERROR(__xludf.DUMMYFUNCTION("CONCATENATE(SORT(TRANSPOSE(SPLIT(REGEXREPLACE(REGEXREPLACE(X89&amp;"""",""(?s)(.{1})"",""$1""&amp;CHAR(127)),""'"",""''""),CHAR(127))),1,true))"),"abdefg")</f>
        <v>abdefg</v>
      </c>
      <c r="AC89" s="6" t="str">
        <f>IFERROR(__xludf.DUMMYFUNCTION("CONCATENATE(SORT(TRANSPOSE(SPLIT(REGEXREPLACE(REGEXREPLACE(Y89&amp;"""",""(?s)(.{1})"",""$1""&amp;CHAR(127)),""'"",""''""),CHAR(127))),1,true))"),"acdef")</f>
        <v>acdef</v>
      </c>
      <c r="AD89" s="6">
        <f t="shared" ref="AD89:AG89" si="99">INDEX($AO$1:$CP$1,1,MATCH(CONCATENATE(Z89,"1"),$AO89:$CP89,0)+1)</f>
        <v>0</v>
      </c>
      <c r="AE89" s="6">
        <f t="shared" si="99"/>
        <v>7</v>
      </c>
      <c r="AF89" s="6">
        <f t="shared" si="99"/>
        <v>6</v>
      </c>
      <c r="AG89" s="6">
        <f t="shared" si="99"/>
        <v>2</v>
      </c>
      <c r="AH89" s="6">
        <f t="shared" si="3"/>
        <v>762</v>
      </c>
      <c r="AI89" s="16"/>
      <c r="AJ89" s="9" t="str">
        <f>IFERROR(__xludf.DUMMYFUNCTION("REGEXREPLACE(AR89,CONCATENATE(""["",BY89,""]""),"""")"),"c")</f>
        <v>c</v>
      </c>
      <c r="AK89" s="10" t="str">
        <f>IFERROR(__xludf.DUMMYFUNCTION("FILTER($K89:$T89,len($K89:$T89)=6,NOT($K89:$T89=BY89))"),"bcgdaf")</f>
        <v>bcgdaf</v>
      </c>
      <c r="AL89" s="6" t="str">
        <f>IFERROR(__xludf.DUMMYFUNCTION("""COMPUTED_VALUE"""),"acedbg")</f>
        <v>acedbg</v>
      </c>
      <c r="AM89" s="6" t="str">
        <f>IFERROR(__xludf.DUMMYFUNCTION("REGEXREPLACE( $BG89, CONCATENATE(""["",AK89,""]""), """")"),"e")</f>
        <v>e</v>
      </c>
      <c r="AN89" s="6" t="str">
        <f>IFERROR(__xludf.DUMMYFUNCTION("REGEXREPLACE( $BG89, CONCATENATE(""["",AL89,""]""), """")"),"")</f>
        <v/>
      </c>
      <c r="AO89" s="11" t="str">
        <f t="shared" si="4"/>
        <v>bcgdaf</v>
      </c>
      <c r="AP89" s="12" t="str">
        <f>IFERROR(__xludf.DUMMYFUNCTION("CONCATENATE(SORT(TRANSPOSE(SPLIT(REGEXREPLACE(REGEXREPLACE(AO89&amp;"""",""(?s)(.{1})"",""$1""&amp;CHAR(127)),""'"",""''""),CHAR(127))),1,true),""1"")"),"abcdfg1")</f>
        <v>abcdfg1</v>
      </c>
      <c r="AQ89" s="16"/>
      <c r="AR89" s="12" t="str">
        <f t="shared" si="5"/>
        <v>cb</v>
      </c>
      <c r="AS89" s="12" t="str">
        <f>IFERROR(__xludf.DUMMYFUNCTION("CONCATENATE(SORT(TRANSPOSE(SPLIT(REGEXREPLACE(REGEXREPLACE(AR89&amp;"""",""(?s)(.{1})"",""$1""&amp;CHAR(127)),""'"",""''""),CHAR(127))),1,true),""1"")"),"bc1")</f>
        <v>bc1</v>
      </c>
      <c r="AT89" s="16"/>
      <c r="AU89" s="13" t="str">
        <f>IFERROR(__xludf.DUMMYFUNCTION("FILTER($K89:$T89,len($K89:$T89)=5,NOT($K89:$T89=BD89),NOT($K89:$T89=BP89))"),"fcdae")</f>
        <v>fcdae</v>
      </c>
      <c r="AV89" s="12" t="str">
        <f>IFERROR(__xludf.DUMMYFUNCTION("CONCATENATE(SORT(TRANSPOSE(SPLIT(REGEXREPLACE(REGEXREPLACE(AU89&amp;"""",""(?s)(.{1})"",""$1""&amp;CHAR(127)),""'"",""''""),CHAR(127))),1,true),""1"")"),"acdef1")</f>
        <v>acdef1</v>
      </c>
      <c r="AW89" s="16"/>
      <c r="AX89" s="10" t="str">
        <f>IFERROR(__xludf.DUMMYFUNCTION("FILTER($K89:$T89,len($K89:$T89)=5)"),"fcdae")</f>
        <v>fcdae</v>
      </c>
      <c r="AY89" s="6" t="str">
        <f>IFERROR(__xludf.DUMMYFUNCTION("""COMPUTED_VALUE"""),"gabed")</f>
        <v>gabed</v>
      </c>
      <c r="AZ89" s="6" t="str">
        <f>IFERROR(__xludf.DUMMYFUNCTION("""COMPUTED_VALUE"""),"dbcea")</f>
        <v>dbcea</v>
      </c>
      <c r="BA89" s="6" t="str">
        <f>IFERROR(__xludf.DUMMYFUNCTION("REGEXREPLACE( $AR89, CONCATENATE(""["",AX89,""]""), """")"),"b")</f>
        <v>b</v>
      </c>
      <c r="BB89" s="6" t="str">
        <f>IFERROR(__xludf.DUMMYFUNCTION("REGEXREPLACE( $AR89, CONCATENATE(""["",AY89,""]""), """")"),"c")</f>
        <v>c</v>
      </c>
      <c r="BC89" s="6" t="str">
        <f>IFERROR(__xludf.DUMMYFUNCTION("REGEXREPLACE( $AR89, CONCATENATE(""["",AZ89,""]""), """")"),"")</f>
        <v/>
      </c>
      <c r="BD89" s="11" t="str">
        <f t="shared" si="6"/>
        <v>dbcea</v>
      </c>
      <c r="BE89" s="12" t="str">
        <f>IFERROR(__xludf.DUMMYFUNCTION("CONCATENATE(SORT(TRANSPOSE(SPLIT(REGEXREPLACE(REGEXREPLACE(BD89&amp;"""",""(?s)(.{1})"",""$1""&amp;CHAR(127)),""'"",""''""),CHAR(127))),1,true),""1"")"),"abcde1")</f>
        <v>abcde1</v>
      </c>
      <c r="BF89" s="16"/>
      <c r="BG89" s="12" t="str">
        <f t="shared" si="7"/>
        <v>gcbe</v>
      </c>
      <c r="BH89" s="12" t="str">
        <f>IFERROR(__xludf.DUMMYFUNCTION("CONCATENATE(SORT(TRANSPOSE(SPLIT(REGEXREPLACE(REGEXREPLACE(BG89&amp;"""",""(?s)(.{1})"",""$1""&amp;CHAR(127)),""'"",""''""),CHAR(127))),1,true),""1"")"),"bceg1")</f>
        <v>bceg1</v>
      </c>
      <c r="BI89" s="16"/>
      <c r="BJ89" s="10" t="str">
        <f>IFERROR(__xludf.DUMMYFUNCTION("FILTER($K89:$T89,len($K89:$T89)=5)"),"fcdae")</f>
        <v>fcdae</v>
      </c>
      <c r="BK89" s="6" t="str">
        <f>IFERROR(__xludf.DUMMYFUNCTION("""COMPUTED_VALUE"""),"gabed")</f>
        <v>gabed</v>
      </c>
      <c r="BL89" s="6" t="str">
        <f>IFERROR(__xludf.DUMMYFUNCTION("""COMPUTED_VALUE"""),"dbcea")</f>
        <v>dbcea</v>
      </c>
      <c r="BM89" s="14" t="str">
        <f>IFERROR(__xludf.DUMMYFUNCTION("REGEXREPLACE( $BY89, CONCATENATE(""["",BJ89,""]""), """")"),"bg")</f>
        <v>bg</v>
      </c>
      <c r="BN89" s="14" t="str">
        <f>IFERROR(__xludf.DUMMYFUNCTION("REGEXREPLACE( $BY89, CONCATENATE(""["",BK89,""]""), """")"),"f")</f>
        <v>f</v>
      </c>
      <c r="BO89" s="14" t="str">
        <f>IFERROR(__xludf.DUMMYFUNCTION("REGEXREPLACE( $BY89, CONCATENATE(""["",BL89,""]""), """")"),"fg")</f>
        <v>fg</v>
      </c>
      <c r="BP89" s="11" t="str">
        <f t="shared" si="8"/>
        <v>gabed</v>
      </c>
      <c r="BQ89" s="12" t="str">
        <f>IFERROR(__xludf.DUMMYFUNCTION("CONCATENATE(SORT(TRANSPOSE(SPLIT(REGEXREPLACE(REGEXREPLACE(BP89&amp;"""",""(?s)(.{1})"",""$1""&amp;CHAR(127)),""'"",""''""),CHAR(127))),1,true),""1"")"),"abdeg1")</f>
        <v>abdeg1</v>
      </c>
      <c r="BR89" s="16"/>
      <c r="BS89" s="10" t="str">
        <f>IFERROR(__xludf.DUMMYFUNCTION("FILTER(K89:T89,len(K89:T89)=6)"),"bcgdaf")</f>
        <v>bcgdaf</v>
      </c>
      <c r="BT89" s="6" t="str">
        <f>IFERROR(__xludf.DUMMYFUNCTION("""COMPUTED_VALUE"""),"aefdbg")</f>
        <v>aefdbg</v>
      </c>
      <c r="BU89" s="6" t="str">
        <f>IFERROR(__xludf.DUMMYFUNCTION("""COMPUTED_VALUE"""),"acedbg")</f>
        <v>acedbg</v>
      </c>
      <c r="BV89" s="6" t="str">
        <f>IFERROR(__xludf.DUMMYFUNCTION("REGEXREPLACE( $AR89, CONCATENATE(""["",BS89,""]""), """")"),"")</f>
        <v/>
      </c>
      <c r="BW89" s="6" t="str">
        <f>IFERROR(__xludf.DUMMYFUNCTION("REGEXREPLACE( $AR89, CONCATENATE(""["",BT89,""]""), """")"),"c")</f>
        <v>c</v>
      </c>
      <c r="BX89" s="6" t="str">
        <f>IFERROR(__xludf.DUMMYFUNCTION("REGEXREPLACE( $AR89, CONCATENATE(""["",BU89,""]""), """")"),"")</f>
        <v/>
      </c>
      <c r="BY89" s="12" t="str">
        <f t="shared" si="9"/>
        <v>aefdbg</v>
      </c>
      <c r="BZ89" s="12" t="str">
        <f>IFERROR(__xludf.DUMMYFUNCTION("CONCATENATE(SORT(TRANSPOSE(SPLIT(REGEXREPLACE(REGEXREPLACE(BY89&amp;"""",""(?s)(.{1})"",""$1""&amp;CHAR(127)),""'"",""''""),CHAR(127))),1,true),""1"")"),"abdefg1")</f>
        <v>abdefg1</v>
      </c>
      <c r="CA89" s="16"/>
      <c r="CB89" s="12" t="str">
        <f t="shared" si="10"/>
        <v>bdc</v>
      </c>
      <c r="CC89" s="12" t="str">
        <f>IFERROR(__xludf.DUMMYFUNCTION("CONCATENATE(SORT(TRANSPOSE(SPLIT(REGEXREPLACE(REGEXREPLACE(CB89&amp;"""",""(?s)(.{1})"",""$1""&amp;CHAR(127)),""'"",""''""),CHAR(127))),1,true),""1"")"),"bcd1")</f>
        <v>bcd1</v>
      </c>
      <c r="CD89" s="16"/>
      <c r="CE89" s="12" t="str">
        <f t="shared" si="11"/>
        <v>aebgcdf</v>
      </c>
      <c r="CF89" s="12" t="str">
        <f>IFERROR(__xludf.DUMMYFUNCTION("CONCATENATE(SORT(TRANSPOSE(SPLIT(REGEXREPLACE(REGEXREPLACE(CE89&amp;"""",""(?s)(.{1})"",""$1""&amp;CHAR(127)),""'"",""''""),CHAR(127))),1,true),""1"")"),"abcdefg1")</f>
        <v>abcdefg1</v>
      </c>
      <c r="CG89" s="16"/>
      <c r="CH89" s="10" t="str">
        <f>IFERROR(__xludf.DUMMYFUNCTION("FILTER(K89:T89,len(K89:T89)=6)"),"bcgdaf")</f>
        <v>bcgdaf</v>
      </c>
      <c r="CI89" s="6" t="str">
        <f>IFERROR(__xludf.DUMMYFUNCTION("""COMPUTED_VALUE"""),"aefdbg")</f>
        <v>aefdbg</v>
      </c>
      <c r="CJ89" s="6" t="str">
        <f>IFERROR(__xludf.DUMMYFUNCTION("""COMPUTED_VALUE"""),"acedbg")</f>
        <v>acedbg</v>
      </c>
      <c r="CK89" s="6" t="str">
        <f>IFERROR(__xludf.DUMMYFUNCTION("REGEXREPLACE( $BG89, CONCATENATE(""["",CH89,""]""), """")"),"e")</f>
        <v>e</v>
      </c>
      <c r="CL89" s="6" t="str">
        <f>IFERROR(__xludf.DUMMYFUNCTION("REGEXREPLACE( $BG89, CONCATENATE(""["",CI89,""]""), """")"),"c")</f>
        <v>c</v>
      </c>
      <c r="CM89" s="6" t="str">
        <f>IFERROR(__xludf.DUMMYFUNCTION("REGEXREPLACE( $BG89, CONCATENATE(""["",CJ89,""]""), """")"),"")</f>
        <v/>
      </c>
      <c r="CN89" s="12" t="str">
        <f t="shared" si="12"/>
        <v>acedbg</v>
      </c>
      <c r="CO89" s="12" t="str">
        <f>IFERROR(__xludf.DUMMYFUNCTION("CONCATENATE(SORT(TRANSPOSE(SPLIT(REGEXREPLACE(REGEXREPLACE(CN89&amp;"""",""(?s)(.{1})"",""$1""&amp;CHAR(127)),""'"",""''""),CHAR(127))),1,true),""1"")"),"abcdeg1")</f>
        <v>abcdeg1</v>
      </c>
      <c r="CP89" s="15"/>
    </row>
    <row r="90">
      <c r="A90" s="1" t="s">
        <v>110</v>
      </c>
      <c r="H90" s="6" t="str">
        <f>IFERROR(__xludf.DUMMYFUNCTION("SPLIT(A90,""|"")"),"gbecafd cbaeg cefagd aed bdag acedb efdcb cegabd efacbg da ")</f>
        <v>gbecafd cbaeg cefagd aed bdag acedb efdcb cegabd efacbg da </v>
      </c>
      <c r="I90" s="6" t="str">
        <f>IFERROR(__xludf.DUMMYFUNCTION("""COMPUTED_VALUE""")," gbeca dabg da edcfbag")</f>
        <v> gbeca dabg da edcfbag</v>
      </c>
      <c r="J90" s="15"/>
      <c r="K90" s="6" t="str">
        <f>IFERROR(__xludf.DUMMYFUNCTION("split(H90,"" "")"),"gbecafd")</f>
        <v>gbecafd</v>
      </c>
      <c r="L90" s="6" t="str">
        <f>IFERROR(__xludf.DUMMYFUNCTION("""COMPUTED_VALUE"""),"cbaeg")</f>
        <v>cbaeg</v>
      </c>
      <c r="M90" s="6" t="str">
        <f>IFERROR(__xludf.DUMMYFUNCTION("""COMPUTED_VALUE"""),"cefagd")</f>
        <v>cefagd</v>
      </c>
      <c r="N90" s="6" t="str">
        <f>IFERROR(__xludf.DUMMYFUNCTION("""COMPUTED_VALUE"""),"aed")</f>
        <v>aed</v>
      </c>
      <c r="O90" s="6" t="str">
        <f>IFERROR(__xludf.DUMMYFUNCTION("""COMPUTED_VALUE"""),"bdag")</f>
        <v>bdag</v>
      </c>
      <c r="P90" s="6" t="str">
        <f>IFERROR(__xludf.DUMMYFUNCTION("""COMPUTED_VALUE"""),"acedb")</f>
        <v>acedb</v>
      </c>
      <c r="Q90" s="6" t="str">
        <f>IFERROR(__xludf.DUMMYFUNCTION("""COMPUTED_VALUE"""),"efdcb")</f>
        <v>efdcb</v>
      </c>
      <c r="R90" s="6" t="str">
        <f>IFERROR(__xludf.DUMMYFUNCTION("""COMPUTED_VALUE"""),"cegabd")</f>
        <v>cegabd</v>
      </c>
      <c r="S90" s="6" t="str">
        <f>IFERROR(__xludf.DUMMYFUNCTION("""COMPUTED_VALUE"""),"efacbg")</f>
        <v>efacbg</v>
      </c>
      <c r="T90" s="6" t="str">
        <f>IFERROR(__xludf.DUMMYFUNCTION("""COMPUTED_VALUE"""),"da")</f>
        <v>da</v>
      </c>
      <c r="U90" s="15"/>
      <c r="V90" s="6" t="str">
        <f>IFERROR(__xludf.DUMMYFUNCTION("split(I90,"" "")"),"gbeca")</f>
        <v>gbeca</v>
      </c>
      <c r="W90" s="6" t="str">
        <f>IFERROR(__xludf.DUMMYFUNCTION("""COMPUTED_VALUE"""),"dabg")</f>
        <v>dabg</v>
      </c>
      <c r="X90" s="6" t="str">
        <f>IFERROR(__xludf.DUMMYFUNCTION("""COMPUTED_VALUE"""),"da")</f>
        <v>da</v>
      </c>
      <c r="Y90" s="6" t="str">
        <f>IFERROR(__xludf.DUMMYFUNCTION("""COMPUTED_VALUE"""),"edcfbag")</f>
        <v>edcfbag</v>
      </c>
      <c r="Z90" s="6" t="str">
        <f>IFERROR(__xludf.DUMMYFUNCTION("CONCATENATE(SORT(TRANSPOSE(SPLIT(REGEXREPLACE(REGEXREPLACE(V90&amp;"""",""(?s)(.{1})"",""$1""&amp;CHAR(127)),""'"",""''""),CHAR(127))),1,true))"),"abceg")</f>
        <v>abceg</v>
      </c>
      <c r="AA90" s="6" t="str">
        <f>IFERROR(__xludf.DUMMYFUNCTION("CONCATENATE(SORT(TRANSPOSE(SPLIT(REGEXREPLACE(REGEXREPLACE(W90&amp;"""",""(?s)(.{1})"",""$1""&amp;CHAR(127)),""'"",""''""),CHAR(127))),1,true))"),"abdg")</f>
        <v>abdg</v>
      </c>
      <c r="AB90" s="6" t="str">
        <f>IFERROR(__xludf.DUMMYFUNCTION("CONCATENATE(SORT(TRANSPOSE(SPLIT(REGEXREPLACE(REGEXREPLACE(X90&amp;"""",""(?s)(.{1})"",""$1""&amp;CHAR(127)),""'"",""''""),CHAR(127))),1,true))"),"ad")</f>
        <v>ad</v>
      </c>
      <c r="AC90" s="6" t="str">
        <f>IFERROR(__xludf.DUMMYFUNCTION("CONCATENATE(SORT(TRANSPOSE(SPLIT(REGEXREPLACE(REGEXREPLACE(Y90&amp;"""",""(?s)(.{1})"",""$1""&amp;CHAR(127)),""'"",""''""),CHAR(127))),1,true))"),"abcdefg")</f>
        <v>abcdefg</v>
      </c>
      <c r="AD90" s="6">
        <f t="shared" ref="AD90:AG90" si="100">INDEX($AO$1:$CP$1,1,MATCH(CONCATENATE(Z90,"1"),$AO90:$CP90,0)+1)</f>
        <v>5</v>
      </c>
      <c r="AE90" s="6">
        <f t="shared" si="100"/>
        <v>4</v>
      </c>
      <c r="AF90" s="6">
        <f t="shared" si="100"/>
        <v>1</v>
      </c>
      <c r="AG90" s="6">
        <f t="shared" si="100"/>
        <v>8</v>
      </c>
      <c r="AH90" s="6">
        <f t="shared" si="3"/>
        <v>5418</v>
      </c>
      <c r="AI90" s="16"/>
      <c r="AJ90" s="9" t="str">
        <f>IFERROR(__xludf.DUMMYFUNCTION("REGEXREPLACE(AR90,CONCATENATE(""["",BY90,""]""),"""")"),"d")</f>
        <v>d</v>
      </c>
      <c r="AK90" s="10" t="str">
        <f>IFERROR(__xludf.DUMMYFUNCTION("FILTER($K90:$T90,len($K90:$T90)=6,NOT($K90:$T90=BY90))"),"cefagd")</f>
        <v>cefagd</v>
      </c>
      <c r="AL90" s="6" t="str">
        <f>IFERROR(__xludf.DUMMYFUNCTION("""COMPUTED_VALUE"""),"cegabd")</f>
        <v>cegabd</v>
      </c>
      <c r="AM90" s="6" t="str">
        <f>IFERROR(__xludf.DUMMYFUNCTION("REGEXREPLACE( $BG90, CONCATENATE(""["",AK90,""]""), """")"),"b")</f>
        <v>b</v>
      </c>
      <c r="AN90" s="6" t="str">
        <f>IFERROR(__xludf.DUMMYFUNCTION("REGEXREPLACE( $BG90, CONCATENATE(""["",AL90,""]""), """")"),"")</f>
        <v/>
      </c>
      <c r="AO90" s="11" t="str">
        <f t="shared" si="4"/>
        <v>cefagd</v>
      </c>
      <c r="AP90" s="12" t="str">
        <f>IFERROR(__xludf.DUMMYFUNCTION("CONCATENATE(SORT(TRANSPOSE(SPLIT(REGEXREPLACE(REGEXREPLACE(AO90&amp;"""",""(?s)(.{1})"",""$1""&amp;CHAR(127)),""'"",""''""),CHAR(127))),1,true),""1"")"),"acdefg1")</f>
        <v>acdefg1</v>
      </c>
      <c r="AQ90" s="16"/>
      <c r="AR90" s="12" t="str">
        <f t="shared" si="5"/>
        <v>da</v>
      </c>
      <c r="AS90" s="12" t="str">
        <f>IFERROR(__xludf.DUMMYFUNCTION("CONCATENATE(SORT(TRANSPOSE(SPLIT(REGEXREPLACE(REGEXREPLACE(AR90&amp;"""",""(?s)(.{1})"",""$1""&amp;CHAR(127)),""'"",""''""),CHAR(127))),1,true),""1"")"),"ad1")</f>
        <v>ad1</v>
      </c>
      <c r="AT90" s="16"/>
      <c r="AU90" s="13" t="str">
        <f>IFERROR(__xludf.DUMMYFUNCTION("FILTER($K90:$T90,len($K90:$T90)=5,NOT($K90:$T90=BD90),NOT($K90:$T90=BP90))"),"efdcb")</f>
        <v>efdcb</v>
      </c>
      <c r="AV90" s="12" t="str">
        <f>IFERROR(__xludf.DUMMYFUNCTION("CONCATENATE(SORT(TRANSPOSE(SPLIT(REGEXREPLACE(REGEXREPLACE(AU90&amp;"""",""(?s)(.{1})"",""$1""&amp;CHAR(127)),""'"",""''""),CHAR(127))),1,true),""1"")"),"bcdef1")</f>
        <v>bcdef1</v>
      </c>
      <c r="AW90" s="16"/>
      <c r="AX90" s="10" t="str">
        <f>IFERROR(__xludf.DUMMYFUNCTION("FILTER($K90:$T90,len($K90:$T90)=5)"),"cbaeg")</f>
        <v>cbaeg</v>
      </c>
      <c r="AY90" s="6" t="str">
        <f>IFERROR(__xludf.DUMMYFUNCTION("""COMPUTED_VALUE"""),"acedb")</f>
        <v>acedb</v>
      </c>
      <c r="AZ90" s="6" t="str">
        <f>IFERROR(__xludf.DUMMYFUNCTION("""COMPUTED_VALUE"""),"efdcb")</f>
        <v>efdcb</v>
      </c>
      <c r="BA90" s="6" t="str">
        <f>IFERROR(__xludf.DUMMYFUNCTION("REGEXREPLACE( $AR90, CONCATENATE(""["",AX90,""]""), """")"),"d")</f>
        <v>d</v>
      </c>
      <c r="BB90" s="6" t="str">
        <f>IFERROR(__xludf.DUMMYFUNCTION("REGEXREPLACE( $AR90, CONCATENATE(""["",AY90,""]""), """")"),"")</f>
        <v/>
      </c>
      <c r="BC90" s="6" t="str">
        <f>IFERROR(__xludf.DUMMYFUNCTION("REGEXREPLACE( $AR90, CONCATENATE(""["",AZ90,""]""), """")"),"a")</f>
        <v>a</v>
      </c>
      <c r="BD90" s="11" t="str">
        <f t="shared" si="6"/>
        <v>acedb</v>
      </c>
      <c r="BE90" s="12" t="str">
        <f>IFERROR(__xludf.DUMMYFUNCTION("CONCATENATE(SORT(TRANSPOSE(SPLIT(REGEXREPLACE(REGEXREPLACE(BD90&amp;"""",""(?s)(.{1})"",""$1""&amp;CHAR(127)),""'"",""''""),CHAR(127))),1,true),""1"")"),"abcde1")</f>
        <v>abcde1</v>
      </c>
      <c r="BF90" s="16"/>
      <c r="BG90" s="12" t="str">
        <f t="shared" si="7"/>
        <v>bdag</v>
      </c>
      <c r="BH90" s="12" t="str">
        <f>IFERROR(__xludf.DUMMYFUNCTION("CONCATENATE(SORT(TRANSPOSE(SPLIT(REGEXREPLACE(REGEXREPLACE(BG90&amp;"""",""(?s)(.{1})"",""$1""&amp;CHAR(127)),""'"",""''""),CHAR(127))),1,true),""1"")"),"abdg1")</f>
        <v>abdg1</v>
      </c>
      <c r="BI90" s="16"/>
      <c r="BJ90" s="10" t="str">
        <f>IFERROR(__xludf.DUMMYFUNCTION("FILTER($K90:$T90,len($K90:$T90)=5)"),"cbaeg")</f>
        <v>cbaeg</v>
      </c>
      <c r="BK90" s="6" t="str">
        <f>IFERROR(__xludf.DUMMYFUNCTION("""COMPUTED_VALUE"""),"acedb")</f>
        <v>acedb</v>
      </c>
      <c r="BL90" s="6" t="str">
        <f>IFERROR(__xludf.DUMMYFUNCTION("""COMPUTED_VALUE"""),"efdcb")</f>
        <v>efdcb</v>
      </c>
      <c r="BM90" s="14" t="str">
        <f>IFERROR(__xludf.DUMMYFUNCTION("REGEXREPLACE( $BY90, CONCATENATE(""["",BJ90,""]""), """")"),"f")</f>
        <v>f</v>
      </c>
      <c r="BN90" s="14" t="str">
        <f>IFERROR(__xludf.DUMMYFUNCTION("REGEXREPLACE( $BY90, CONCATENATE(""["",BK90,""]""), """")"),"fg")</f>
        <v>fg</v>
      </c>
      <c r="BO90" s="14" t="str">
        <f>IFERROR(__xludf.DUMMYFUNCTION("REGEXREPLACE( $BY90, CONCATENATE(""["",BL90,""]""), """")"),"ag")</f>
        <v>ag</v>
      </c>
      <c r="BP90" s="11" t="str">
        <f t="shared" si="8"/>
        <v>cbaeg</v>
      </c>
      <c r="BQ90" s="12" t="str">
        <f>IFERROR(__xludf.DUMMYFUNCTION("CONCATENATE(SORT(TRANSPOSE(SPLIT(REGEXREPLACE(REGEXREPLACE(BP90&amp;"""",""(?s)(.{1})"",""$1""&amp;CHAR(127)),""'"",""''""),CHAR(127))),1,true),""1"")"),"abceg1")</f>
        <v>abceg1</v>
      </c>
      <c r="BR90" s="16"/>
      <c r="BS90" s="10" t="str">
        <f>IFERROR(__xludf.DUMMYFUNCTION("FILTER(K90:T90,len(K90:T90)=6)"),"cefagd")</f>
        <v>cefagd</v>
      </c>
      <c r="BT90" s="6" t="str">
        <f>IFERROR(__xludf.DUMMYFUNCTION("""COMPUTED_VALUE"""),"cegabd")</f>
        <v>cegabd</v>
      </c>
      <c r="BU90" s="6" t="str">
        <f>IFERROR(__xludf.DUMMYFUNCTION("""COMPUTED_VALUE"""),"efacbg")</f>
        <v>efacbg</v>
      </c>
      <c r="BV90" s="6" t="str">
        <f>IFERROR(__xludf.DUMMYFUNCTION("REGEXREPLACE( $AR90, CONCATENATE(""["",BS90,""]""), """")"),"")</f>
        <v/>
      </c>
      <c r="BW90" s="6" t="str">
        <f>IFERROR(__xludf.DUMMYFUNCTION("REGEXREPLACE( $AR90, CONCATENATE(""["",BT90,""]""), """")"),"")</f>
        <v/>
      </c>
      <c r="BX90" s="6" t="str">
        <f>IFERROR(__xludf.DUMMYFUNCTION("REGEXREPLACE( $AR90, CONCATENATE(""["",BU90,""]""), """")"),"d")</f>
        <v>d</v>
      </c>
      <c r="BY90" s="12" t="str">
        <f t="shared" si="9"/>
        <v>efacbg</v>
      </c>
      <c r="BZ90" s="12" t="str">
        <f>IFERROR(__xludf.DUMMYFUNCTION("CONCATENATE(SORT(TRANSPOSE(SPLIT(REGEXREPLACE(REGEXREPLACE(BY90&amp;"""",""(?s)(.{1})"",""$1""&amp;CHAR(127)),""'"",""''""),CHAR(127))),1,true),""1"")"),"abcefg1")</f>
        <v>abcefg1</v>
      </c>
      <c r="CA90" s="16"/>
      <c r="CB90" s="12" t="str">
        <f t="shared" si="10"/>
        <v>aed</v>
      </c>
      <c r="CC90" s="12" t="str">
        <f>IFERROR(__xludf.DUMMYFUNCTION("CONCATENATE(SORT(TRANSPOSE(SPLIT(REGEXREPLACE(REGEXREPLACE(CB90&amp;"""",""(?s)(.{1})"",""$1""&amp;CHAR(127)),""'"",""''""),CHAR(127))),1,true),""1"")"),"ade1")</f>
        <v>ade1</v>
      </c>
      <c r="CD90" s="16"/>
      <c r="CE90" s="12" t="str">
        <f t="shared" si="11"/>
        <v>gbecafd</v>
      </c>
      <c r="CF90" s="12" t="str">
        <f>IFERROR(__xludf.DUMMYFUNCTION("CONCATENATE(SORT(TRANSPOSE(SPLIT(REGEXREPLACE(REGEXREPLACE(CE90&amp;"""",""(?s)(.{1})"",""$1""&amp;CHAR(127)),""'"",""''""),CHAR(127))),1,true),""1"")"),"abcdefg1")</f>
        <v>abcdefg1</v>
      </c>
      <c r="CG90" s="16"/>
      <c r="CH90" s="10" t="str">
        <f>IFERROR(__xludf.DUMMYFUNCTION("FILTER(K90:T90,len(K90:T90)=6)"),"cefagd")</f>
        <v>cefagd</v>
      </c>
      <c r="CI90" s="6" t="str">
        <f>IFERROR(__xludf.DUMMYFUNCTION("""COMPUTED_VALUE"""),"cegabd")</f>
        <v>cegabd</v>
      </c>
      <c r="CJ90" s="6" t="str">
        <f>IFERROR(__xludf.DUMMYFUNCTION("""COMPUTED_VALUE"""),"efacbg")</f>
        <v>efacbg</v>
      </c>
      <c r="CK90" s="6" t="str">
        <f>IFERROR(__xludf.DUMMYFUNCTION("REGEXREPLACE( $BG90, CONCATENATE(""["",CH90,""]""), """")"),"b")</f>
        <v>b</v>
      </c>
      <c r="CL90" s="6" t="str">
        <f>IFERROR(__xludf.DUMMYFUNCTION("REGEXREPLACE( $BG90, CONCATENATE(""["",CI90,""]""), """")"),"")</f>
        <v/>
      </c>
      <c r="CM90" s="6" t="str">
        <f>IFERROR(__xludf.DUMMYFUNCTION("REGEXREPLACE( $BG90, CONCATENATE(""["",CJ90,""]""), """")"),"d")</f>
        <v>d</v>
      </c>
      <c r="CN90" s="12" t="str">
        <f t="shared" si="12"/>
        <v>cegabd</v>
      </c>
      <c r="CO90" s="12" t="str">
        <f>IFERROR(__xludf.DUMMYFUNCTION("CONCATENATE(SORT(TRANSPOSE(SPLIT(REGEXREPLACE(REGEXREPLACE(CN90&amp;"""",""(?s)(.{1})"",""$1""&amp;CHAR(127)),""'"",""''""),CHAR(127))),1,true),""1"")"),"abcdeg1")</f>
        <v>abcdeg1</v>
      </c>
      <c r="CP90" s="15"/>
    </row>
    <row r="91">
      <c r="A91" s="1" t="s">
        <v>111</v>
      </c>
      <c r="H91" s="6" t="str">
        <f>IFERROR(__xludf.DUMMYFUNCTION("SPLIT(A91,""|"")"),"gfdeab defgbc dfagb bgc afdgcb efabcgd cb acfb agcde bdgac ")</f>
        <v>gfdeab defgbc dfagb bgc afdgcb efabcgd cb acfb agcde bdgac </v>
      </c>
      <c r="I91" s="6" t="str">
        <f>IFERROR(__xludf.DUMMYFUNCTION("""COMPUTED_VALUE""")," bc aefdbcg aecdg bgcaedf")</f>
        <v> bc aefdbcg aecdg bgcaedf</v>
      </c>
      <c r="J91" s="15"/>
      <c r="K91" s="6" t="str">
        <f>IFERROR(__xludf.DUMMYFUNCTION("split(H91,"" "")"),"gfdeab")</f>
        <v>gfdeab</v>
      </c>
      <c r="L91" s="6" t="str">
        <f>IFERROR(__xludf.DUMMYFUNCTION("""COMPUTED_VALUE"""),"defgbc")</f>
        <v>defgbc</v>
      </c>
      <c r="M91" s="6" t="str">
        <f>IFERROR(__xludf.DUMMYFUNCTION("""COMPUTED_VALUE"""),"dfagb")</f>
        <v>dfagb</v>
      </c>
      <c r="N91" s="6" t="str">
        <f>IFERROR(__xludf.DUMMYFUNCTION("""COMPUTED_VALUE"""),"bgc")</f>
        <v>bgc</v>
      </c>
      <c r="O91" s="6" t="str">
        <f>IFERROR(__xludf.DUMMYFUNCTION("""COMPUTED_VALUE"""),"afdgcb")</f>
        <v>afdgcb</v>
      </c>
      <c r="P91" s="6" t="str">
        <f>IFERROR(__xludf.DUMMYFUNCTION("""COMPUTED_VALUE"""),"efabcgd")</f>
        <v>efabcgd</v>
      </c>
      <c r="Q91" s="6" t="str">
        <f>IFERROR(__xludf.DUMMYFUNCTION("""COMPUTED_VALUE"""),"cb")</f>
        <v>cb</v>
      </c>
      <c r="R91" s="6" t="str">
        <f>IFERROR(__xludf.DUMMYFUNCTION("""COMPUTED_VALUE"""),"acfb")</f>
        <v>acfb</v>
      </c>
      <c r="S91" s="6" t="str">
        <f>IFERROR(__xludf.DUMMYFUNCTION("""COMPUTED_VALUE"""),"agcde")</f>
        <v>agcde</v>
      </c>
      <c r="T91" s="6" t="str">
        <f>IFERROR(__xludf.DUMMYFUNCTION("""COMPUTED_VALUE"""),"bdgac")</f>
        <v>bdgac</v>
      </c>
      <c r="U91" s="15"/>
      <c r="V91" s="6" t="str">
        <f>IFERROR(__xludf.DUMMYFUNCTION("split(I91,"" "")"),"bc")</f>
        <v>bc</v>
      </c>
      <c r="W91" s="6" t="str">
        <f>IFERROR(__xludf.DUMMYFUNCTION("""COMPUTED_VALUE"""),"aefdbcg")</f>
        <v>aefdbcg</v>
      </c>
      <c r="X91" s="6" t="str">
        <f>IFERROR(__xludf.DUMMYFUNCTION("""COMPUTED_VALUE"""),"aecdg")</f>
        <v>aecdg</v>
      </c>
      <c r="Y91" s="6" t="str">
        <f>IFERROR(__xludf.DUMMYFUNCTION("""COMPUTED_VALUE"""),"bgcaedf")</f>
        <v>bgcaedf</v>
      </c>
      <c r="Z91" s="6" t="str">
        <f>IFERROR(__xludf.DUMMYFUNCTION("CONCATENATE(SORT(TRANSPOSE(SPLIT(REGEXREPLACE(REGEXREPLACE(V91&amp;"""",""(?s)(.{1})"",""$1""&amp;CHAR(127)),""'"",""''""),CHAR(127))),1,true))"),"bc")</f>
        <v>bc</v>
      </c>
      <c r="AA91" s="6" t="str">
        <f>IFERROR(__xludf.DUMMYFUNCTION("CONCATENATE(SORT(TRANSPOSE(SPLIT(REGEXREPLACE(REGEXREPLACE(W91&amp;"""",""(?s)(.{1})"",""$1""&amp;CHAR(127)),""'"",""''""),CHAR(127))),1,true))"),"abcdefg")</f>
        <v>abcdefg</v>
      </c>
      <c r="AB91" s="6" t="str">
        <f>IFERROR(__xludf.DUMMYFUNCTION("CONCATENATE(SORT(TRANSPOSE(SPLIT(REGEXREPLACE(REGEXREPLACE(X91&amp;"""",""(?s)(.{1})"",""$1""&amp;CHAR(127)),""'"",""''""),CHAR(127))),1,true))"),"acdeg")</f>
        <v>acdeg</v>
      </c>
      <c r="AC91" s="6" t="str">
        <f>IFERROR(__xludf.DUMMYFUNCTION("CONCATENATE(SORT(TRANSPOSE(SPLIT(REGEXREPLACE(REGEXREPLACE(Y91&amp;"""",""(?s)(.{1})"",""$1""&amp;CHAR(127)),""'"",""''""),CHAR(127))),1,true))"),"abcdefg")</f>
        <v>abcdefg</v>
      </c>
      <c r="AD91" s="6">
        <f t="shared" ref="AD91:AG91" si="101">INDEX($AO$1:$CP$1,1,MATCH(CONCATENATE(Z91,"1"),$AO91:$CP91,0)+1)</f>
        <v>1</v>
      </c>
      <c r="AE91" s="6">
        <f t="shared" si="101"/>
        <v>8</v>
      </c>
      <c r="AF91" s="6">
        <f t="shared" si="101"/>
        <v>2</v>
      </c>
      <c r="AG91" s="6">
        <f t="shared" si="101"/>
        <v>8</v>
      </c>
      <c r="AH91" s="6">
        <f t="shared" si="3"/>
        <v>1828</v>
      </c>
      <c r="AI91" s="16"/>
      <c r="AJ91" s="9" t="str">
        <f>IFERROR(__xludf.DUMMYFUNCTION("REGEXREPLACE(AR91,CONCATENATE(""["",BY91,""]""),"""")"),"c")</f>
        <v>c</v>
      </c>
      <c r="AK91" s="10" t="str">
        <f>IFERROR(__xludf.DUMMYFUNCTION("FILTER($K91:$T91,len($K91:$T91)=6,NOT($K91:$T91=BY91))"),"defgbc")</f>
        <v>defgbc</v>
      </c>
      <c r="AL91" s="6" t="str">
        <f>IFERROR(__xludf.DUMMYFUNCTION("""COMPUTED_VALUE"""),"afdgcb")</f>
        <v>afdgcb</v>
      </c>
      <c r="AM91" s="6" t="str">
        <f>IFERROR(__xludf.DUMMYFUNCTION("REGEXREPLACE( $BG91, CONCATENATE(""["",AK91,""]""), """")"),"a")</f>
        <v>a</v>
      </c>
      <c r="AN91" s="6" t="str">
        <f>IFERROR(__xludf.DUMMYFUNCTION("REGEXREPLACE( $BG91, CONCATENATE(""["",AL91,""]""), """")"),"")</f>
        <v/>
      </c>
      <c r="AO91" s="11" t="str">
        <f t="shared" si="4"/>
        <v>defgbc</v>
      </c>
      <c r="AP91" s="12" t="str">
        <f>IFERROR(__xludf.DUMMYFUNCTION("CONCATENATE(SORT(TRANSPOSE(SPLIT(REGEXREPLACE(REGEXREPLACE(AO91&amp;"""",""(?s)(.{1})"",""$1""&amp;CHAR(127)),""'"",""''""),CHAR(127))),1,true),""1"")"),"bcdefg1")</f>
        <v>bcdefg1</v>
      </c>
      <c r="AQ91" s="16"/>
      <c r="AR91" s="12" t="str">
        <f t="shared" si="5"/>
        <v>cb</v>
      </c>
      <c r="AS91" s="12" t="str">
        <f>IFERROR(__xludf.DUMMYFUNCTION("CONCATENATE(SORT(TRANSPOSE(SPLIT(REGEXREPLACE(REGEXREPLACE(AR91&amp;"""",""(?s)(.{1})"",""$1""&amp;CHAR(127)),""'"",""''""),CHAR(127))),1,true),""1"")"),"bc1")</f>
        <v>bc1</v>
      </c>
      <c r="AT91" s="16"/>
      <c r="AU91" s="13" t="str">
        <f>IFERROR(__xludf.DUMMYFUNCTION("FILTER($K91:$T91,len($K91:$T91)=5,NOT($K91:$T91=BD91),NOT($K91:$T91=BP91))"),"agcde")</f>
        <v>agcde</v>
      </c>
      <c r="AV91" s="12" t="str">
        <f>IFERROR(__xludf.DUMMYFUNCTION("CONCATENATE(SORT(TRANSPOSE(SPLIT(REGEXREPLACE(REGEXREPLACE(AU91&amp;"""",""(?s)(.{1})"",""$1""&amp;CHAR(127)),""'"",""''""),CHAR(127))),1,true),""1"")"),"acdeg1")</f>
        <v>acdeg1</v>
      </c>
      <c r="AW91" s="16"/>
      <c r="AX91" s="10" t="str">
        <f>IFERROR(__xludf.DUMMYFUNCTION("FILTER($K91:$T91,len($K91:$T91)=5)"),"dfagb")</f>
        <v>dfagb</v>
      </c>
      <c r="AY91" s="6" t="str">
        <f>IFERROR(__xludf.DUMMYFUNCTION("""COMPUTED_VALUE"""),"agcde")</f>
        <v>agcde</v>
      </c>
      <c r="AZ91" s="6" t="str">
        <f>IFERROR(__xludf.DUMMYFUNCTION("""COMPUTED_VALUE"""),"bdgac")</f>
        <v>bdgac</v>
      </c>
      <c r="BA91" s="6" t="str">
        <f>IFERROR(__xludf.DUMMYFUNCTION("REGEXREPLACE( $AR91, CONCATENATE(""["",AX91,""]""), """")"),"c")</f>
        <v>c</v>
      </c>
      <c r="BB91" s="6" t="str">
        <f>IFERROR(__xludf.DUMMYFUNCTION("REGEXREPLACE( $AR91, CONCATENATE(""["",AY91,""]""), """")"),"b")</f>
        <v>b</v>
      </c>
      <c r="BC91" s="6" t="str">
        <f>IFERROR(__xludf.DUMMYFUNCTION("REGEXREPLACE( $AR91, CONCATENATE(""["",AZ91,""]""), """")"),"")</f>
        <v/>
      </c>
      <c r="BD91" s="11" t="str">
        <f t="shared" si="6"/>
        <v>bdgac</v>
      </c>
      <c r="BE91" s="12" t="str">
        <f>IFERROR(__xludf.DUMMYFUNCTION("CONCATENATE(SORT(TRANSPOSE(SPLIT(REGEXREPLACE(REGEXREPLACE(BD91&amp;"""",""(?s)(.{1})"",""$1""&amp;CHAR(127)),""'"",""''""),CHAR(127))),1,true),""1"")"),"abcdg1")</f>
        <v>abcdg1</v>
      </c>
      <c r="BF91" s="16"/>
      <c r="BG91" s="12" t="str">
        <f t="shared" si="7"/>
        <v>acfb</v>
      </c>
      <c r="BH91" s="12" t="str">
        <f>IFERROR(__xludf.DUMMYFUNCTION("CONCATENATE(SORT(TRANSPOSE(SPLIT(REGEXREPLACE(REGEXREPLACE(BG91&amp;"""",""(?s)(.{1})"",""$1""&amp;CHAR(127)),""'"",""''""),CHAR(127))),1,true),""1"")"),"abcf1")</f>
        <v>abcf1</v>
      </c>
      <c r="BI91" s="16"/>
      <c r="BJ91" s="10" t="str">
        <f>IFERROR(__xludf.DUMMYFUNCTION("FILTER($K91:$T91,len($K91:$T91)=5)"),"dfagb")</f>
        <v>dfagb</v>
      </c>
      <c r="BK91" s="6" t="str">
        <f>IFERROR(__xludf.DUMMYFUNCTION("""COMPUTED_VALUE"""),"agcde")</f>
        <v>agcde</v>
      </c>
      <c r="BL91" s="6" t="str">
        <f>IFERROR(__xludf.DUMMYFUNCTION("""COMPUTED_VALUE"""),"bdgac")</f>
        <v>bdgac</v>
      </c>
      <c r="BM91" s="14" t="str">
        <f>IFERROR(__xludf.DUMMYFUNCTION("REGEXREPLACE( $BY91, CONCATENATE(""["",BJ91,""]""), """")"),"e")</f>
        <v>e</v>
      </c>
      <c r="BN91" s="14" t="str">
        <f>IFERROR(__xludf.DUMMYFUNCTION("REGEXREPLACE( $BY91, CONCATENATE(""["",BK91,""]""), """")"),"fb")</f>
        <v>fb</v>
      </c>
      <c r="BO91" s="14" t="str">
        <f>IFERROR(__xludf.DUMMYFUNCTION("REGEXREPLACE( $BY91, CONCATENATE(""["",BL91,""]""), """")"),"fe")</f>
        <v>fe</v>
      </c>
      <c r="BP91" s="11" t="str">
        <f t="shared" si="8"/>
        <v>dfagb</v>
      </c>
      <c r="BQ91" s="12" t="str">
        <f>IFERROR(__xludf.DUMMYFUNCTION("CONCATENATE(SORT(TRANSPOSE(SPLIT(REGEXREPLACE(REGEXREPLACE(BP91&amp;"""",""(?s)(.{1})"",""$1""&amp;CHAR(127)),""'"",""''""),CHAR(127))),1,true),""1"")"),"abdfg1")</f>
        <v>abdfg1</v>
      </c>
      <c r="BR91" s="16"/>
      <c r="BS91" s="10" t="str">
        <f>IFERROR(__xludf.DUMMYFUNCTION("FILTER(K91:T91,len(K91:T91)=6)"),"gfdeab")</f>
        <v>gfdeab</v>
      </c>
      <c r="BT91" s="6" t="str">
        <f>IFERROR(__xludf.DUMMYFUNCTION("""COMPUTED_VALUE"""),"defgbc")</f>
        <v>defgbc</v>
      </c>
      <c r="BU91" s="6" t="str">
        <f>IFERROR(__xludf.DUMMYFUNCTION("""COMPUTED_VALUE"""),"afdgcb")</f>
        <v>afdgcb</v>
      </c>
      <c r="BV91" s="6" t="str">
        <f>IFERROR(__xludf.DUMMYFUNCTION("REGEXREPLACE( $AR91, CONCATENATE(""["",BS91,""]""), """")"),"c")</f>
        <v>c</v>
      </c>
      <c r="BW91" s="6" t="str">
        <f>IFERROR(__xludf.DUMMYFUNCTION("REGEXREPLACE( $AR91, CONCATENATE(""["",BT91,""]""), """")"),"")</f>
        <v/>
      </c>
      <c r="BX91" s="6" t="str">
        <f>IFERROR(__xludf.DUMMYFUNCTION("REGEXREPLACE( $AR91, CONCATENATE(""["",BU91,""]""), """")"),"")</f>
        <v/>
      </c>
      <c r="BY91" s="12" t="str">
        <f t="shared" si="9"/>
        <v>gfdeab</v>
      </c>
      <c r="BZ91" s="12" t="str">
        <f>IFERROR(__xludf.DUMMYFUNCTION("CONCATENATE(SORT(TRANSPOSE(SPLIT(REGEXREPLACE(REGEXREPLACE(BY91&amp;"""",""(?s)(.{1})"",""$1""&amp;CHAR(127)),""'"",""''""),CHAR(127))),1,true),""1"")"),"abdefg1")</f>
        <v>abdefg1</v>
      </c>
      <c r="CA91" s="16"/>
      <c r="CB91" s="12" t="str">
        <f t="shared" si="10"/>
        <v>bgc</v>
      </c>
      <c r="CC91" s="12" t="str">
        <f>IFERROR(__xludf.DUMMYFUNCTION("CONCATENATE(SORT(TRANSPOSE(SPLIT(REGEXREPLACE(REGEXREPLACE(CB91&amp;"""",""(?s)(.{1})"",""$1""&amp;CHAR(127)),""'"",""''""),CHAR(127))),1,true),""1"")"),"bcg1")</f>
        <v>bcg1</v>
      </c>
      <c r="CD91" s="16"/>
      <c r="CE91" s="12" t="str">
        <f t="shared" si="11"/>
        <v>efabcgd</v>
      </c>
      <c r="CF91" s="12" t="str">
        <f>IFERROR(__xludf.DUMMYFUNCTION("CONCATENATE(SORT(TRANSPOSE(SPLIT(REGEXREPLACE(REGEXREPLACE(CE91&amp;"""",""(?s)(.{1})"",""$1""&amp;CHAR(127)),""'"",""''""),CHAR(127))),1,true),""1"")"),"abcdefg1")</f>
        <v>abcdefg1</v>
      </c>
      <c r="CG91" s="16"/>
      <c r="CH91" s="10" t="str">
        <f>IFERROR(__xludf.DUMMYFUNCTION("FILTER(K91:T91,len(K91:T91)=6)"),"gfdeab")</f>
        <v>gfdeab</v>
      </c>
      <c r="CI91" s="6" t="str">
        <f>IFERROR(__xludf.DUMMYFUNCTION("""COMPUTED_VALUE"""),"defgbc")</f>
        <v>defgbc</v>
      </c>
      <c r="CJ91" s="6" t="str">
        <f>IFERROR(__xludf.DUMMYFUNCTION("""COMPUTED_VALUE"""),"afdgcb")</f>
        <v>afdgcb</v>
      </c>
      <c r="CK91" s="6" t="str">
        <f>IFERROR(__xludf.DUMMYFUNCTION("REGEXREPLACE( $BG91, CONCATENATE(""["",CH91,""]""), """")"),"c")</f>
        <v>c</v>
      </c>
      <c r="CL91" s="6" t="str">
        <f>IFERROR(__xludf.DUMMYFUNCTION("REGEXREPLACE( $BG91, CONCATENATE(""["",CI91,""]""), """")"),"a")</f>
        <v>a</v>
      </c>
      <c r="CM91" s="6" t="str">
        <f>IFERROR(__xludf.DUMMYFUNCTION("REGEXREPLACE( $BG91, CONCATENATE(""["",CJ91,""]""), """")"),"")</f>
        <v/>
      </c>
      <c r="CN91" s="12" t="str">
        <f t="shared" si="12"/>
        <v>afdgcb</v>
      </c>
      <c r="CO91" s="12" t="str">
        <f>IFERROR(__xludf.DUMMYFUNCTION("CONCATENATE(SORT(TRANSPOSE(SPLIT(REGEXREPLACE(REGEXREPLACE(CN91&amp;"""",""(?s)(.{1})"",""$1""&amp;CHAR(127)),""'"",""''""),CHAR(127))),1,true),""1"")"),"abcdfg1")</f>
        <v>abcdfg1</v>
      </c>
      <c r="CP91" s="15"/>
    </row>
    <row r="92">
      <c r="A92" s="1" t="s">
        <v>112</v>
      </c>
      <c r="H92" s="6" t="str">
        <f>IFERROR(__xludf.DUMMYFUNCTION("SPLIT(A92,""|"")"),"fabedc fdeac fbd adfbe bcefagd dfcgbe dbage fb fbac gaefcd ")</f>
        <v>fabedc fdeac fbd adfbe bcefagd dfcgbe dbage fb fbac gaefcd </v>
      </c>
      <c r="I92" s="6" t="str">
        <f>IFERROR(__xludf.DUMMYFUNCTION("""COMPUTED_VALUE""")," afced fcab dfb edbaf")</f>
        <v> afced fcab dfb edbaf</v>
      </c>
      <c r="J92" s="15"/>
      <c r="K92" s="6" t="str">
        <f>IFERROR(__xludf.DUMMYFUNCTION("split(H92,"" "")"),"fabedc")</f>
        <v>fabedc</v>
      </c>
      <c r="L92" s="6" t="str">
        <f>IFERROR(__xludf.DUMMYFUNCTION("""COMPUTED_VALUE"""),"fdeac")</f>
        <v>fdeac</v>
      </c>
      <c r="M92" s="6" t="str">
        <f>IFERROR(__xludf.DUMMYFUNCTION("""COMPUTED_VALUE"""),"fbd")</f>
        <v>fbd</v>
      </c>
      <c r="N92" s="6" t="str">
        <f>IFERROR(__xludf.DUMMYFUNCTION("""COMPUTED_VALUE"""),"adfbe")</f>
        <v>adfbe</v>
      </c>
      <c r="O92" s="6" t="str">
        <f>IFERROR(__xludf.DUMMYFUNCTION("""COMPUTED_VALUE"""),"bcefagd")</f>
        <v>bcefagd</v>
      </c>
      <c r="P92" s="6" t="str">
        <f>IFERROR(__xludf.DUMMYFUNCTION("""COMPUTED_VALUE"""),"dfcgbe")</f>
        <v>dfcgbe</v>
      </c>
      <c r="Q92" s="6" t="str">
        <f>IFERROR(__xludf.DUMMYFUNCTION("""COMPUTED_VALUE"""),"dbage")</f>
        <v>dbage</v>
      </c>
      <c r="R92" s="6" t="str">
        <f>IFERROR(__xludf.DUMMYFUNCTION("""COMPUTED_VALUE"""),"fb")</f>
        <v>fb</v>
      </c>
      <c r="S92" s="6" t="str">
        <f>IFERROR(__xludf.DUMMYFUNCTION("""COMPUTED_VALUE"""),"fbac")</f>
        <v>fbac</v>
      </c>
      <c r="T92" s="6" t="str">
        <f>IFERROR(__xludf.DUMMYFUNCTION("""COMPUTED_VALUE"""),"gaefcd")</f>
        <v>gaefcd</v>
      </c>
      <c r="U92" s="15"/>
      <c r="V92" s="6" t="str">
        <f>IFERROR(__xludf.DUMMYFUNCTION("split(I92,"" "")"),"afced")</f>
        <v>afced</v>
      </c>
      <c r="W92" s="6" t="str">
        <f>IFERROR(__xludf.DUMMYFUNCTION("""COMPUTED_VALUE"""),"fcab")</f>
        <v>fcab</v>
      </c>
      <c r="X92" s="6" t="str">
        <f>IFERROR(__xludf.DUMMYFUNCTION("""COMPUTED_VALUE"""),"dfb")</f>
        <v>dfb</v>
      </c>
      <c r="Y92" s="6" t="str">
        <f>IFERROR(__xludf.DUMMYFUNCTION("""COMPUTED_VALUE"""),"edbaf")</f>
        <v>edbaf</v>
      </c>
      <c r="Z92" s="6" t="str">
        <f>IFERROR(__xludf.DUMMYFUNCTION("CONCATENATE(SORT(TRANSPOSE(SPLIT(REGEXREPLACE(REGEXREPLACE(V92&amp;"""",""(?s)(.{1})"",""$1""&amp;CHAR(127)),""'"",""''""),CHAR(127))),1,true))"),"acdef")</f>
        <v>acdef</v>
      </c>
      <c r="AA92" s="6" t="str">
        <f>IFERROR(__xludf.DUMMYFUNCTION("CONCATENATE(SORT(TRANSPOSE(SPLIT(REGEXREPLACE(REGEXREPLACE(W92&amp;"""",""(?s)(.{1})"",""$1""&amp;CHAR(127)),""'"",""''""),CHAR(127))),1,true))"),"abcf")</f>
        <v>abcf</v>
      </c>
      <c r="AB92" s="6" t="str">
        <f>IFERROR(__xludf.DUMMYFUNCTION("CONCATENATE(SORT(TRANSPOSE(SPLIT(REGEXREPLACE(REGEXREPLACE(X92&amp;"""",""(?s)(.{1})"",""$1""&amp;CHAR(127)),""'"",""''""),CHAR(127))),1,true))"),"bdf")</f>
        <v>bdf</v>
      </c>
      <c r="AC92" s="6" t="str">
        <f>IFERROR(__xludf.DUMMYFUNCTION("CONCATENATE(SORT(TRANSPOSE(SPLIT(REGEXREPLACE(REGEXREPLACE(Y92&amp;"""",""(?s)(.{1})"",""$1""&amp;CHAR(127)),""'"",""''""),CHAR(127))),1,true))"),"abdef")</f>
        <v>abdef</v>
      </c>
      <c r="AD92" s="6">
        <f t="shared" ref="AD92:AG92" si="102">INDEX($AO$1:$CP$1,1,MATCH(CONCATENATE(Z92,"1"),$AO92:$CP92,0)+1)</f>
        <v>5</v>
      </c>
      <c r="AE92" s="6">
        <f t="shared" si="102"/>
        <v>4</v>
      </c>
      <c r="AF92" s="6">
        <f t="shared" si="102"/>
        <v>7</v>
      </c>
      <c r="AG92" s="6">
        <f t="shared" si="102"/>
        <v>3</v>
      </c>
      <c r="AH92" s="6">
        <f t="shared" si="3"/>
        <v>5473</v>
      </c>
      <c r="AI92" s="16"/>
      <c r="AJ92" s="9" t="str">
        <f>IFERROR(__xludf.DUMMYFUNCTION("REGEXREPLACE(AR92,CONCATENATE(""["",BY92,""]""),"""")"),"b")</f>
        <v>b</v>
      </c>
      <c r="AK92" s="10" t="str">
        <f>IFERROR(__xludf.DUMMYFUNCTION("FILTER($K92:$T92,len($K92:$T92)=6,NOT($K92:$T92=BY92))"),"fabedc")</f>
        <v>fabedc</v>
      </c>
      <c r="AL92" s="6" t="str">
        <f>IFERROR(__xludf.DUMMYFUNCTION("""COMPUTED_VALUE"""),"dfcgbe")</f>
        <v>dfcgbe</v>
      </c>
      <c r="AM92" s="6" t="str">
        <f>IFERROR(__xludf.DUMMYFUNCTION("REGEXREPLACE( $BG92, CONCATENATE(""["",AK92,""]""), """")"),"")</f>
        <v/>
      </c>
      <c r="AN92" s="6" t="str">
        <f>IFERROR(__xludf.DUMMYFUNCTION("REGEXREPLACE( $BG92, CONCATENATE(""["",AL92,""]""), """")"),"a")</f>
        <v>a</v>
      </c>
      <c r="AO92" s="11" t="str">
        <f t="shared" si="4"/>
        <v>dfcgbe</v>
      </c>
      <c r="AP92" s="12" t="str">
        <f>IFERROR(__xludf.DUMMYFUNCTION("CONCATENATE(SORT(TRANSPOSE(SPLIT(REGEXREPLACE(REGEXREPLACE(AO92&amp;"""",""(?s)(.{1})"",""$1""&amp;CHAR(127)),""'"",""''""),CHAR(127))),1,true),""1"")"),"bcdefg1")</f>
        <v>bcdefg1</v>
      </c>
      <c r="AQ92" s="16"/>
      <c r="AR92" s="12" t="str">
        <f t="shared" si="5"/>
        <v>fb</v>
      </c>
      <c r="AS92" s="12" t="str">
        <f>IFERROR(__xludf.DUMMYFUNCTION("CONCATENATE(SORT(TRANSPOSE(SPLIT(REGEXREPLACE(REGEXREPLACE(AR92&amp;"""",""(?s)(.{1})"",""$1""&amp;CHAR(127)),""'"",""''""),CHAR(127))),1,true),""1"")"),"bf1")</f>
        <v>bf1</v>
      </c>
      <c r="AT92" s="16"/>
      <c r="AU92" s="13" t="str">
        <f>IFERROR(__xludf.DUMMYFUNCTION("FILTER($K92:$T92,len($K92:$T92)=5,NOT($K92:$T92=BD92),NOT($K92:$T92=BP92))"),"dbage")</f>
        <v>dbage</v>
      </c>
      <c r="AV92" s="12" t="str">
        <f>IFERROR(__xludf.DUMMYFUNCTION("CONCATENATE(SORT(TRANSPOSE(SPLIT(REGEXREPLACE(REGEXREPLACE(AU92&amp;"""",""(?s)(.{1})"",""$1""&amp;CHAR(127)),""'"",""''""),CHAR(127))),1,true),""1"")"),"abdeg1")</f>
        <v>abdeg1</v>
      </c>
      <c r="AW92" s="16"/>
      <c r="AX92" s="10" t="str">
        <f>IFERROR(__xludf.DUMMYFUNCTION("FILTER($K92:$T92,len($K92:$T92)=5)"),"fdeac")</f>
        <v>fdeac</v>
      </c>
      <c r="AY92" s="6" t="str">
        <f>IFERROR(__xludf.DUMMYFUNCTION("""COMPUTED_VALUE"""),"adfbe")</f>
        <v>adfbe</v>
      </c>
      <c r="AZ92" s="6" t="str">
        <f>IFERROR(__xludf.DUMMYFUNCTION("""COMPUTED_VALUE"""),"dbage")</f>
        <v>dbage</v>
      </c>
      <c r="BA92" s="6" t="str">
        <f>IFERROR(__xludf.DUMMYFUNCTION("REGEXREPLACE( $AR92, CONCATENATE(""["",AX92,""]""), """")"),"b")</f>
        <v>b</v>
      </c>
      <c r="BB92" s="6" t="str">
        <f>IFERROR(__xludf.DUMMYFUNCTION("REGEXREPLACE( $AR92, CONCATENATE(""["",AY92,""]""), """")"),"")</f>
        <v/>
      </c>
      <c r="BC92" s="6" t="str">
        <f>IFERROR(__xludf.DUMMYFUNCTION("REGEXREPLACE( $AR92, CONCATENATE(""["",AZ92,""]""), """")"),"f")</f>
        <v>f</v>
      </c>
      <c r="BD92" s="11" t="str">
        <f t="shared" si="6"/>
        <v>adfbe</v>
      </c>
      <c r="BE92" s="12" t="str">
        <f>IFERROR(__xludf.DUMMYFUNCTION("CONCATENATE(SORT(TRANSPOSE(SPLIT(REGEXREPLACE(REGEXREPLACE(BD92&amp;"""",""(?s)(.{1})"",""$1""&amp;CHAR(127)),""'"",""''""),CHAR(127))),1,true),""1"")"),"abdef1")</f>
        <v>abdef1</v>
      </c>
      <c r="BF92" s="16"/>
      <c r="BG92" s="12" t="str">
        <f t="shared" si="7"/>
        <v>fbac</v>
      </c>
      <c r="BH92" s="12" t="str">
        <f>IFERROR(__xludf.DUMMYFUNCTION("CONCATENATE(SORT(TRANSPOSE(SPLIT(REGEXREPLACE(REGEXREPLACE(BG92&amp;"""",""(?s)(.{1})"",""$1""&amp;CHAR(127)),""'"",""''""),CHAR(127))),1,true),""1"")"),"abcf1")</f>
        <v>abcf1</v>
      </c>
      <c r="BI92" s="16"/>
      <c r="BJ92" s="10" t="str">
        <f>IFERROR(__xludf.DUMMYFUNCTION("FILTER($K92:$T92,len($K92:$T92)=5)"),"fdeac")</f>
        <v>fdeac</v>
      </c>
      <c r="BK92" s="6" t="str">
        <f>IFERROR(__xludf.DUMMYFUNCTION("""COMPUTED_VALUE"""),"adfbe")</f>
        <v>adfbe</v>
      </c>
      <c r="BL92" s="6" t="str">
        <f>IFERROR(__xludf.DUMMYFUNCTION("""COMPUTED_VALUE"""),"dbage")</f>
        <v>dbage</v>
      </c>
      <c r="BM92" s="14" t="str">
        <f>IFERROR(__xludf.DUMMYFUNCTION("REGEXREPLACE( $BY92, CONCATENATE(""["",BJ92,""]""), """")"),"g")</f>
        <v>g</v>
      </c>
      <c r="BN92" s="14" t="str">
        <f>IFERROR(__xludf.DUMMYFUNCTION("REGEXREPLACE( $BY92, CONCATENATE(""["",BK92,""]""), """")"),"gc")</f>
        <v>gc</v>
      </c>
      <c r="BO92" s="14" t="str">
        <f>IFERROR(__xludf.DUMMYFUNCTION("REGEXREPLACE( $BY92, CONCATENATE(""["",BL92,""]""), """")"),"fc")</f>
        <v>fc</v>
      </c>
      <c r="BP92" s="11" t="str">
        <f t="shared" si="8"/>
        <v>fdeac</v>
      </c>
      <c r="BQ92" s="12" t="str">
        <f>IFERROR(__xludf.DUMMYFUNCTION("CONCATENATE(SORT(TRANSPOSE(SPLIT(REGEXREPLACE(REGEXREPLACE(BP92&amp;"""",""(?s)(.{1})"",""$1""&amp;CHAR(127)),""'"",""''""),CHAR(127))),1,true),""1"")"),"acdef1")</f>
        <v>acdef1</v>
      </c>
      <c r="BR92" s="16"/>
      <c r="BS92" s="10" t="str">
        <f>IFERROR(__xludf.DUMMYFUNCTION("FILTER(K92:T92,len(K92:T92)=6)"),"fabedc")</f>
        <v>fabedc</v>
      </c>
      <c r="BT92" s="6" t="str">
        <f>IFERROR(__xludf.DUMMYFUNCTION("""COMPUTED_VALUE"""),"dfcgbe")</f>
        <v>dfcgbe</v>
      </c>
      <c r="BU92" s="6" t="str">
        <f>IFERROR(__xludf.DUMMYFUNCTION("""COMPUTED_VALUE"""),"gaefcd")</f>
        <v>gaefcd</v>
      </c>
      <c r="BV92" s="6" t="str">
        <f>IFERROR(__xludf.DUMMYFUNCTION("REGEXREPLACE( $AR92, CONCATENATE(""["",BS92,""]""), """")"),"")</f>
        <v/>
      </c>
      <c r="BW92" s="6" t="str">
        <f>IFERROR(__xludf.DUMMYFUNCTION("REGEXREPLACE( $AR92, CONCATENATE(""["",BT92,""]""), """")"),"")</f>
        <v/>
      </c>
      <c r="BX92" s="6" t="str">
        <f>IFERROR(__xludf.DUMMYFUNCTION("REGEXREPLACE( $AR92, CONCATENATE(""["",BU92,""]""), """")"),"b")</f>
        <v>b</v>
      </c>
      <c r="BY92" s="12" t="str">
        <f t="shared" si="9"/>
        <v>gaefcd</v>
      </c>
      <c r="BZ92" s="12" t="str">
        <f>IFERROR(__xludf.DUMMYFUNCTION("CONCATENATE(SORT(TRANSPOSE(SPLIT(REGEXREPLACE(REGEXREPLACE(BY92&amp;"""",""(?s)(.{1})"",""$1""&amp;CHAR(127)),""'"",""''""),CHAR(127))),1,true),""1"")"),"acdefg1")</f>
        <v>acdefg1</v>
      </c>
      <c r="CA92" s="16"/>
      <c r="CB92" s="12" t="str">
        <f t="shared" si="10"/>
        <v>fbd</v>
      </c>
      <c r="CC92" s="12" t="str">
        <f>IFERROR(__xludf.DUMMYFUNCTION("CONCATENATE(SORT(TRANSPOSE(SPLIT(REGEXREPLACE(REGEXREPLACE(CB92&amp;"""",""(?s)(.{1})"",""$1""&amp;CHAR(127)),""'"",""''""),CHAR(127))),1,true),""1"")"),"bdf1")</f>
        <v>bdf1</v>
      </c>
      <c r="CD92" s="16"/>
      <c r="CE92" s="12" t="str">
        <f t="shared" si="11"/>
        <v>bcefagd</v>
      </c>
      <c r="CF92" s="12" t="str">
        <f>IFERROR(__xludf.DUMMYFUNCTION("CONCATENATE(SORT(TRANSPOSE(SPLIT(REGEXREPLACE(REGEXREPLACE(CE92&amp;"""",""(?s)(.{1})"",""$1""&amp;CHAR(127)),""'"",""''""),CHAR(127))),1,true),""1"")"),"abcdefg1")</f>
        <v>abcdefg1</v>
      </c>
      <c r="CG92" s="16"/>
      <c r="CH92" s="10" t="str">
        <f>IFERROR(__xludf.DUMMYFUNCTION("FILTER(K92:T92,len(K92:T92)=6)"),"fabedc")</f>
        <v>fabedc</v>
      </c>
      <c r="CI92" s="6" t="str">
        <f>IFERROR(__xludf.DUMMYFUNCTION("""COMPUTED_VALUE"""),"dfcgbe")</f>
        <v>dfcgbe</v>
      </c>
      <c r="CJ92" s="6" t="str">
        <f>IFERROR(__xludf.DUMMYFUNCTION("""COMPUTED_VALUE"""),"gaefcd")</f>
        <v>gaefcd</v>
      </c>
      <c r="CK92" s="6" t="str">
        <f>IFERROR(__xludf.DUMMYFUNCTION("REGEXREPLACE( $BG92, CONCATENATE(""["",CH92,""]""), """")"),"")</f>
        <v/>
      </c>
      <c r="CL92" s="6" t="str">
        <f>IFERROR(__xludf.DUMMYFUNCTION("REGEXREPLACE( $BG92, CONCATENATE(""["",CI92,""]""), """")"),"a")</f>
        <v>a</v>
      </c>
      <c r="CM92" s="6" t="str">
        <f>IFERROR(__xludf.DUMMYFUNCTION("REGEXREPLACE( $BG92, CONCATENATE(""["",CJ92,""]""), """")"),"b")</f>
        <v>b</v>
      </c>
      <c r="CN92" s="12" t="str">
        <f t="shared" si="12"/>
        <v>fabedc</v>
      </c>
      <c r="CO92" s="12" t="str">
        <f>IFERROR(__xludf.DUMMYFUNCTION("CONCATENATE(SORT(TRANSPOSE(SPLIT(REGEXREPLACE(REGEXREPLACE(CN92&amp;"""",""(?s)(.{1})"",""$1""&amp;CHAR(127)),""'"",""''""),CHAR(127))),1,true),""1"")"),"abcdef1")</f>
        <v>abcdef1</v>
      </c>
      <c r="CP92" s="15"/>
    </row>
    <row r="93">
      <c r="A93" s="1" t="s">
        <v>113</v>
      </c>
      <c r="H93" s="6" t="str">
        <f>IFERROR(__xludf.DUMMYFUNCTION("SPLIT(A93,""|"")"),"aegfbd befad cbgea dg bdeag fedg dga fecbdga cabgdf bdfeca ")</f>
        <v>aegfbd befad cbgea dg bdeag fedg dga fecbdga cabgdf bdfeca </v>
      </c>
      <c r="I93" s="6" t="str">
        <f>IFERROR(__xludf.DUMMYFUNCTION("""COMPUTED_VALUE""")," dafbe acdbef acebfd gfed")</f>
        <v> dafbe acdbef acebfd gfed</v>
      </c>
      <c r="J93" s="15"/>
      <c r="K93" s="6" t="str">
        <f>IFERROR(__xludf.DUMMYFUNCTION("split(H93,"" "")"),"aegfbd")</f>
        <v>aegfbd</v>
      </c>
      <c r="L93" s="6" t="str">
        <f>IFERROR(__xludf.DUMMYFUNCTION("""COMPUTED_VALUE"""),"befad")</f>
        <v>befad</v>
      </c>
      <c r="M93" s="6" t="str">
        <f>IFERROR(__xludf.DUMMYFUNCTION("""COMPUTED_VALUE"""),"cbgea")</f>
        <v>cbgea</v>
      </c>
      <c r="N93" s="6" t="str">
        <f>IFERROR(__xludf.DUMMYFUNCTION("""COMPUTED_VALUE"""),"dg")</f>
        <v>dg</v>
      </c>
      <c r="O93" s="6" t="str">
        <f>IFERROR(__xludf.DUMMYFUNCTION("""COMPUTED_VALUE"""),"bdeag")</f>
        <v>bdeag</v>
      </c>
      <c r="P93" s="6" t="str">
        <f>IFERROR(__xludf.DUMMYFUNCTION("""COMPUTED_VALUE"""),"fedg")</f>
        <v>fedg</v>
      </c>
      <c r="Q93" s="6" t="str">
        <f>IFERROR(__xludf.DUMMYFUNCTION("""COMPUTED_VALUE"""),"dga")</f>
        <v>dga</v>
      </c>
      <c r="R93" s="6" t="str">
        <f>IFERROR(__xludf.DUMMYFUNCTION("""COMPUTED_VALUE"""),"fecbdga")</f>
        <v>fecbdga</v>
      </c>
      <c r="S93" s="6" t="str">
        <f>IFERROR(__xludf.DUMMYFUNCTION("""COMPUTED_VALUE"""),"cabgdf")</f>
        <v>cabgdf</v>
      </c>
      <c r="T93" s="6" t="str">
        <f>IFERROR(__xludf.DUMMYFUNCTION("""COMPUTED_VALUE"""),"bdfeca")</f>
        <v>bdfeca</v>
      </c>
      <c r="U93" s="15"/>
      <c r="V93" s="6" t="str">
        <f>IFERROR(__xludf.DUMMYFUNCTION("split(I93,"" "")"),"dafbe")</f>
        <v>dafbe</v>
      </c>
      <c r="W93" s="6" t="str">
        <f>IFERROR(__xludf.DUMMYFUNCTION("""COMPUTED_VALUE"""),"acdbef")</f>
        <v>acdbef</v>
      </c>
      <c r="X93" s="6" t="str">
        <f>IFERROR(__xludf.DUMMYFUNCTION("""COMPUTED_VALUE"""),"acebfd")</f>
        <v>acebfd</v>
      </c>
      <c r="Y93" s="6" t="str">
        <f>IFERROR(__xludf.DUMMYFUNCTION("""COMPUTED_VALUE"""),"gfed")</f>
        <v>gfed</v>
      </c>
      <c r="Z93" s="6" t="str">
        <f>IFERROR(__xludf.DUMMYFUNCTION("CONCATENATE(SORT(TRANSPOSE(SPLIT(REGEXREPLACE(REGEXREPLACE(V93&amp;"""",""(?s)(.{1})"",""$1""&amp;CHAR(127)),""'"",""''""),CHAR(127))),1,true))"),"abdef")</f>
        <v>abdef</v>
      </c>
      <c r="AA93" s="6" t="str">
        <f>IFERROR(__xludf.DUMMYFUNCTION("CONCATENATE(SORT(TRANSPOSE(SPLIT(REGEXREPLACE(REGEXREPLACE(W93&amp;"""",""(?s)(.{1})"",""$1""&amp;CHAR(127)),""'"",""''""),CHAR(127))),1,true))"),"abcdef")</f>
        <v>abcdef</v>
      </c>
      <c r="AB93" s="6" t="str">
        <f>IFERROR(__xludf.DUMMYFUNCTION("CONCATENATE(SORT(TRANSPOSE(SPLIT(REGEXREPLACE(REGEXREPLACE(X93&amp;"""",""(?s)(.{1})"",""$1""&amp;CHAR(127)),""'"",""''""),CHAR(127))),1,true))"),"abcdef")</f>
        <v>abcdef</v>
      </c>
      <c r="AC93" s="6" t="str">
        <f>IFERROR(__xludf.DUMMYFUNCTION("CONCATENATE(SORT(TRANSPOSE(SPLIT(REGEXREPLACE(REGEXREPLACE(Y93&amp;"""",""(?s)(.{1})"",""$1""&amp;CHAR(127)),""'"",""''""),CHAR(127))),1,true))"),"defg")</f>
        <v>defg</v>
      </c>
      <c r="AD93" s="6">
        <f t="shared" ref="AD93:AG93" si="103">INDEX($AO$1:$CP$1,1,MATCH(CONCATENATE(Z93,"1"),$AO93:$CP93,0)+1)</f>
        <v>5</v>
      </c>
      <c r="AE93" s="6">
        <f t="shared" si="103"/>
        <v>6</v>
      </c>
      <c r="AF93" s="6">
        <f t="shared" si="103"/>
        <v>6</v>
      </c>
      <c r="AG93" s="6">
        <f t="shared" si="103"/>
        <v>4</v>
      </c>
      <c r="AH93" s="6">
        <f t="shared" si="3"/>
        <v>5664</v>
      </c>
      <c r="AI93" s="16"/>
      <c r="AJ93" s="9" t="str">
        <f>IFERROR(__xludf.DUMMYFUNCTION("REGEXREPLACE(AR93,CONCATENATE(""["",BY93,""]""),"""")"),"g")</f>
        <v>g</v>
      </c>
      <c r="AK93" s="10" t="str">
        <f>IFERROR(__xludf.DUMMYFUNCTION("FILTER($K93:$T93,len($K93:$T93)=6,NOT($K93:$T93=BY93))"),"aegfbd")</f>
        <v>aegfbd</v>
      </c>
      <c r="AL93" s="6" t="str">
        <f>IFERROR(__xludf.DUMMYFUNCTION("""COMPUTED_VALUE"""),"cabgdf")</f>
        <v>cabgdf</v>
      </c>
      <c r="AM93" s="6" t="str">
        <f>IFERROR(__xludf.DUMMYFUNCTION("REGEXREPLACE( $BG93, CONCATENATE(""["",AK93,""]""), """")"),"")</f>
        <v/>
      </c>
      <c r="AN93" s="6" t="str">
        <f>IFERROR(__xludf.DUMMYFUNCTION("REGEXREPLACE( $BG93, CONCATENATE(""["",AL93,""]""), """")"),"e")</f>
        <v>e</v>
      </c>
      <c r="AO93" s="11" t="str">
        <f t="shared" si="4"/>
        <v>cabgdf</v>
      </c>
      <c r="AP93" s="12" t="str">
        <f>IFERROR(__xludf.DUMMYFUNCTION("CONCATENATE(SORT(TRANSPOSE(SPLIT(REGEXREPLACE(REGEXREPLACE(AO93&amp;"""",""(?s)(.{1})"",""$1""&amp;CHAR(127)),""'"",""''""),CHAR(127))),1,true),""1"")"),"abcdfg1")</f>
        <v>abcdfg1</v>
      </c>
      <c r="AQ93" s="16"/>
      <c r="AR93" s="12" t="str">
        <f t="shared" si="5"/>
        <v>dg</v>
      </c>
      <c r="AS93" s="12" t="str">
        <f>IFERROR(__xludf.DUMMYFUNCTION("CONCATENATE(SORT(TRANSPOSE(SPLIT(REGEXREPLACE(REGEXREPLACE(AR93&amp;"""",""(?s)(.{1})"",""$1""&amp;CHAR(127)),""'"",""''""),CHAR(127))),1,true),""1"")"),"dg1")</f>
        <v>dg1</v>
      </c>
      <c r="AT93" s="16"/>
      <c r="AU93" s="13" t="str">
        <f>IFERROR(__xludf.DUMMYFUNCTION("FILTER($K93:$T93,len($K93:$T93)=5,NOT($K93:$T93=BD93),NOT($K93:$T93=BP93))"),"cbgea")</f>
        <v>cbgea</v>
      </c>
      <c r="AV93" s="12" t="str">
        <f>IFERROR(__xludf.DUMMYFUNCTION("CONCATENATE(SORT(TRANSPOSE(SPLIT(REGEXREPLACE(REGEXREPLACE(AU93&amp;"""",""(?s)(.{1})"",""$1""&amp;CHAR(127)),""'"",""''""),CHAR(127))),1,true),""1"")"),"abceg1")</f>
        <v>abceg1</v>
      </c>
      <c r="AW93" s="16"/>
      <c r="AX93" s="10" t="str">
        <f>IFERROR(__xludf.DUMMYFUNCTION("FILTER($K93:$T93,len($K93:$T93)=5)"),"befad")</f>
        <v>befad</v>
      </c>
      <c r="AY93" s="6" t="str">
        <f>IFERROR(__xludf.DUMMYFUNCTION("""COMPUTED_VALUE"""),"cbgea")</f>
        <v>cbgea</v>
      </c>
      <c r="AZ93" s="6" t="str">
        <f>IFERROR(__xludf.DUMMYFUNCTION("""COMPUTED_VALUE"""),"bdeag")</f>
        <v>bdeag</v>
      </c>
      <c r="BA93" s="6" t="str">
        <f>IFERROR(__xludf.DUMMYFUNCTION("REGEXREPLACE( $AR93, CONCATENATE(""["",AX93,""]""), """")"),"g")</f>
        <v>g</v>
      </c>
      <c r="BB93" s="6" t="str">
        <f>IFERROR(__xludf.DUMMYFUNCTION("REGEXREPLACE( $AR93, CONCATENATE(""["",AY93,""]""), """")"),"d")</f>
        <v>d</v>
      </c>
      <c r="BC93" s="6" t="str">
        <f>IFERROR(__xludf.DUMMYFUNCTION("REGEXREPLACE( $AR93, CONCATENATE(""["",AZ93,""]""), """")"),"")</f>
        <v/>
      </c>
      <c r="BD93" s="11" t="str">
        <f t="shared" si="6"/>
        <v>bdeag</v>
      </c>
      <c r="BE93" s="12" t="str">
        <f>IFERROR(__xludf.DUMMYFUNCTION("CONCATENATE(SORT(TRANSPOSE(SPLIT(REGEXREPLACE(REGEXREPLACE(BD93&amp;"""",""(?s)(.{1})"",""$1""&amp;CHAR(127)),""'"",""''""),CHAR(127))),1,true),""1"")"),"abdeg1")</f>
        <v>abdeg1</v>
      </c>
      <c r="BF93" s="16"/>
      <c r="BG93" s="12" t="str">
        <f t="shared" si="7"/>
        <v>fedg</v>
      </c>
      <c r="BH93" s="12" t="str">
        <f>IFERROR(__xludf.DUMMYFUNCTION("CONCATENATE(SORT(TRANSPOSE(SPLIT(REGEXREPLACE(REGEXREPLACE(BG93&amp;"""",""(?s)(.{1})"",""$1""&amp;CHAR(127)),""'"",""''""),CHAR(127))),1,true),""1"")"),"defg1")</f>
        <v>defg1</v>
      </c>
      <c r="BI93" s="16"/>
      <c r="BJ93" s="10" t="str">
        <f>IFERROR(__xludf.DUMMYFUNCTION("FILTER($K93:$T93,len($K93:$T93)=5)"),"befad")</f>
        <v>befad</v>
      </c>
      <c r="BK93" s="6" t="str">
        <f>IFERROR(__xludf.DUMMYFUNCTION("""COMPUTED_VALUE"""),"cbgea")</f>
        <v>cbgea</v>
      </c>
      <c r="BL93" s="6" t="str">
        <f>IFERROR(__xludf.DUMMYFUNCTION("""COMPUTED_VALUE"""),"bdeag")</f>
        <v>bdeag</v>
      </c>
      <c r="BM93" s="14" t="str">
        <f>IFERROR(__xludf.DUMMYFUNCTION("REGEXREPLACE( $BY93, CONCATENATE(""["",BJ93,""]""), """")"),"c")</f>
        <v>c</v>
      </c>
      <c r="BN93" s="14" t="str">
        <f>IFERROR(__xludf.DUMMYFUNCTION("REGEXREPLACE( $BY93, CONCATENATE(""["",BK93,""]""), """")"),"df")</f>
        <v>df</v>
      </c>
      <c r="BO93" s="14" t="str">
        <f>IFERROR(__xludf.DUMMYFUNCTION("REGEXREPLACE( $BY93, CONCATENATE(""["",BL93,""]""), """")"),"fc")</f>
        <v>fc</v>
      </c>
      <c r="BP93" s="11" t="str">
        <f t="shared" si="8"/>
        <v>befad</v>
      </c>
      <c r="BQ93" s="12" t="str">
        <f>IFERROR(__xludf.DUMMYFUNCTION("CONCATENATE(SORT(TRANSPOSE(SPLIT(REGEXREPLACE(REGEXREPLACE(BP93&amp;"""",""(?s)(.{1})"",""$1""&amp;CHAR(127)),""'"",""''""),CHAR(127))),1,true),""1"")"),"abdef1")</f>
        <v>abdef1</v>
      </c>
      <c r="BR93" s="16"/>
      <c r="BS93" s="10" t="str">
        <f>IFERROR(__xludf.DUMMYFUNCTION("FILTER(K93:T93,len(K93:T93)=6)"),"aegfbd")</f>
        <v>aegfbd</v>
      </c>
      <c r="BT93" s="6" t="str">
        <f>IFERROR(__xludf.DUMMYFUNCTION("""COMPUTED_VALUE"""),"cabgdf")</f>
        <v>cabgdf</v>
      </c>
      <c r="BU93" s="6" t="str">
        <f>IFERROR(__xludf.DUMMYFUNCTION("""COMPUTED_VALUE"""),"bdfeca")</f>
        <v>bdfeca</v>
      </c>
      <c r="BV93" s="6" t="str">
        <f>IFERROR(__xludf.DUMMYFUNCTION("REGEXREPLACE( $AR93, CONCATENATE(""["",BS93,""]""), """")"),"")</f>
        <v/>
      </c>
      <c r="BW93" s="6" t="str">
        <f>IFERROR(__xludf.DUMMYFUNCTION("REGEXREPLACE( $AR93, CONCATENATE(""["",BT93,""]""), """")"),"")</f>
        <v/>
      </c>
      <c r="BX93" s="6" t="str">
        <f>IFERROR(__xludf.DUMMYFUNCTION("REGEXREPLACE( $AR93, CONCATENATE(""["",BU93,""]""), """")"),"g")</f>
        <v>g</v>
      </c>
      <c r="BY93" s="12" t="str">
        <f t="shared" si="9"/>
        <v>bdfeca</v>
      </c>
      <c r="BZ93" s="12" t="str">
        <f>IFERROR(__xludf.DUMMYFUNCTION("CONCATENATE(SORT(TRANSPOSE(SPLIT(REGEXREPLACE(REGEXREPLACE(BY93&amp;"""",""(?s)(.{1})"",""$1""&amp;CHAR(127)),""'"",""''""),CHAR(127))),1,true),""1"")"),"abcdef1")</f>
        <v>abcdef1</v>
      </c>
      <c r="CA93" s="16"/>
      <c r="CB93" s="12" t="str">
        <f t="shared" si="10"/>
        <v>dga</v>
      </c>
      <c r="CC93" s="12" t="str">
        <f>IFERROR(__xludf.DUMMYFUNCTION("CONCATENATE(SORT(TRANSPOSE(SPLIT(REGEXREPLACE(REGEXREPLACE(CB93&amp;"""",""(?s)(.{1})"",""$1""&amp;CHAR(127)),""'"",""''""),CHAR(127))),1,true),""1"")"),"adg1")</f>
        <v>adg1</v>
      </c>
      <c r="CD93" s="16"/>
      <c r="CE93" s="12" t="str">
        <f t="shared" si="11"/>
        <v>fecbdga</v>
      </c>
      <c r="CF93" s="12" t="str">
        <f>IFERROR(__xludf.DUMMYFUNCTION("CONCATENATE(SORT(TRANSPOSE(SPLIT(REGEXREPLACE(REGEXREPLACE(CE93&amp;"""",""(?s)(.{1})"",""$1""&amp;CHAR(127)),""'"",""''""),CHAR(127))),1,true),""1"")"),"abcdefg1")</f>
        <v>abcdefg1</v>
      </c>
      <c r="CG93" s="16"/>
      <c r="CH93" s="10" t="str">
        <f>IFERROR(__xludf.DUMMYFUNCTION("FILTER(K93:T93,len(K93:T93)=6)"),"aegfbd")</f>
        <v>aegfbd</v>
      </c>
      <c r="CI93" s="6" t="str">
        <f>IFERROR(__xludf.DUMMYFUNCTION("""COMPUTED_VALUE"""),"cabgdf")</f>
        <v>cabgdf</v>
      </c>
      <c r="CJ93" s="6" t="str">
        <f>IFERROR(__xludf.DUMMYFUNCTION("""COMPUTED_VALUE"""),"bdfeca")</f>
        <v>bdfeca</v>
      </c>
      <c r="CK93" s="6" t="str">
        <f>IFERROR(__xludf.DUMMYFUNCTION("REGEXREPLACE( $BG93, CONCATENATE(""["",CH93,""]""), """")"),"")</f>
        <v/>
      </c>
      <c r="CL93" s="6" t="str">
        <f>IFERROR(__xludf.DUMMYFUNCTION("REGEXREPLACE( $BG93, CONCATENATE(""["",CI93,""]""), """")"),"e")</f>
        <v>e</v>
      </c>
      <c r="CM93" s="6" t="str">
        <f>IFERROR(__xludf.DUMMYFUNCTION("REGEXREPLACE( $BG93, CONCATENATE(""["",CJ93,""]""), """")"),"g")</f>
        <v>g</v>
      </c>
      <c r="CN93" s="12" t="str">
        <f t="shared" si="12"/>
        <v>aegfbd</v>
      </c>
      <c r="CO93" s="12" t="str">
        <f>IFERROR(__xludf.DUMMYFUNCTION("CONCATENATE(SORT(TRANSPOSE(SPLIT(REGEXREPLACE(REGEXREPLACE(CN93&amp;"""",""(?s)(.{1})"",""$1""&amp;CHAR(127)),""'"",""''""),CHAR(127))),1,true),""1"")"),"abdefg1")</f>
        <v>abdefg1</v>
      </c>
      <c r="CP93" s="15"/>
    </row>
    <row r="94">
      <c r="A94" s="1" t="s">
        <v>114</v>
      </c>
      <c r="H94" s="6" t="str">
        <f>IFERROR(__xludf.DUMMYFUNCTION("SPLIT(A94,""|"")"),"becaf ecbfdg begcaf dcbga deb dgfacbe ed afedcb afed bdcae ")</f>
        <v>becaf ecbfdg begcaf dcbga deb dgfacbe ed afedcb afed bdcae </v>
      </c>
      <c r="I94" s="6" t="str">
        <f>IFERROR(__xludf.DUMMYFUNCTION("""COMPUTED_VALUE""")," aefd dacbe dfbace cdbefg")</f>
        <v> aefd dacbe dfbace cdbefg</v>
      </c>
      <c r="J94" s="15"/>
      <c r="K94" s="6" t="str">
        <f>IFERROR(__xludf.DUMMYFUNCTION("split(H94,"" "")"),"becaf")</f>
        <v>becaf</v>
      </c>
      <c r="L94" s="6" t="str">
        <f>IFERROR(__xludf.DUMMYFUNCTION("""COMPUTED_VALUE"""),"ecbfdg")</f>
        <v>ecbfdg</v>
      </c>
      <c r="M94" s="6" t="str">
        <f>IFERROR(__xludf.DUMMYFUNCTION("""COMPUTED_VALUE"""),"begcaf")</f>
        <v>begcaf</v>
      </c>
      <c r="N94" s="6" t="str">
        <f>IFERROR(__xludf.DUMMYFUNCTION("""COMPUTED_VALUE"""),"dcbga")</f>
        <v>dcbga</v>
      </c>
      <c r="O94" s="6" t="str">
        <f>IFERROR(__xludf.DUMMYFUNCTION("""COMPUTED_VALUE"""),"deb")</f>
        <v>deb</v>
      </c>
      <c r="P94" s="6" t="str">
        <f>IFERROR(__xludf.DUMMYFUNCTION("""COMPUTED_VALUE"""),"dgfacbe")</f>
        <v>dgfacbe</v>
      </c>
      <c r="Q94" s="6" t="str">
        <f>IFERROR(__xludf.DUMMYFUNCTION("""COMPUTED_VALUE"""),"ed")</f>
        <v>ed</v>
      </c>
      <c r="R94" s="6" t="str">
        <f>IFERROR(__xludf.DUMMYFUNCTION("""COMPUTED_VALUE"""),"afedcb")</f>
        <v>afedcb</v>
      </c>
      <c r="S94" s="6" t="str">
        <f>IFERROR(__xludf.DUMMYFUNCTION("""COMPUTED_VALUE"""),"afed")</f>
        <v>afed</v>
      </c>
      <c r="T94" s="6" t="str">
        <f>IFERROR(__xludf.DUMMYFUNCTION("""COMPUTED_VALUE"""),"bdcae")</f>
        <v>bdcae</v>
      </c>
      <c r="U94" s="15"/>
      <c r="V94" s="6" t="str">
        <f>IFERROR(__xludf.DUMMYFUNCTION("split(I94,"" "")"),"aefd")</f>
        <v>aefd</v>
      </c>
      <c r="W94" s="6" t="str">
        <f>IFERROR(__xludf.DUMMYFUNCTION("""COMPUTED_VALUE"""),"dacbe")</f>
        <v>dacbe</v>
      </c>
      <c r="X94" s="6" t="str">
        <f>IFERROR(__xludf.DUMMYFUNCTION("""COMPUTED_VALUE"""),"dfbace")</f>
        <v>dfbace</v>
      </c>
      <c r="Y94" s="6" t="str">
        <f>IFERROR(__xludf.DUMMYFUNCTION("""COMPUTED_VALUE"""),"cdbefg")</f>
        <v>cdbefg</v>
      </c>
      <c r="Z94" s="6" t="str">
        <f>IFERROR(__xludf.DUMMYFUNCTION("CONCATENATE(SORT(TRANSPOSE(SPLIT(REGEXREPLACE(REGEXREPLACE(V94&amp;"""",""(?s)(.{1})"",""$1""&amp;CHAR(127)),""'"",""''""),CHAR(127))),1,true))"),"adef")</f>
        <v>adef</v>
      </c>
      <c r="AA94" s="6" t="str">
        <f>IFERROR(__xludf.DUMMYFUNCTION("CONCATENATE(SORT(TRANSPOSE(SPLIT(REGEXREPLACE(REGEXREPLACE(W94&amp;"""",""(?s)(.{1})"",""$1""&amp;CHAR(127)),""'"",""''""),CHAR(127))),1,true))"),"abcde")</f>
        <v>abcde</v>
      </c>
      <c r="AB94" s="6" t="str">
        <f>IFERROR(__xludf.DUMMYFUNCTION("CONCATENATE(SORT(TRANSPOSE(SPLIT(REGEXREPLACE(REGEXREPLACE(X94&amp;"""",""(?s)(.{1})"",""$1""&amp;CHAR(127)),""'"",""''""),CHAR(127))),1,true))"),"abcdef")</f>
        <v>abcdef</v>
      </c>
      <c r="AC94" s="6" t="str">
        <f>IFERROR(__xludf.DUMMYFUNCTION("CONCATENATE(SORT(TRANSPOSE(SPLIT(REGEXREPLACE(REGEXREPLACE(Y94&amp;"""",""(?s)(.{1})"",""$1""&amp;CHAR(127)),""'"",""''""),CHAR(127))),1,true))"),"bcdefg")</f>
        <v>bcdefg</v>
      </c>
      <c r="AD94" s="6">
        <f t="shared" ref="AD94:AG94" si="104">INDEX($AO$1:$CP$1,1,MATCH(CONCATENATE(Z94,"1"),$AO94:$CP94,0)+1)</f>
        <v>4</v>
      </c>
      <c r="AE94" s="6">
        <f t="shared" si="104"/>
        <v>3</v>
      </c>
      <c r="AF94" s="6">
        <f t="shared" si="104"/>
        <v>9</v>
      </c>
      <c r="AG94" s="6">
        <f t="shared" si="104"/>
        <v>0</v>
      </c>
      <c r="AH94" s="6">
        <f t="shared" si="3"/>
        <v>4390</v>
      </c>
      <c r="AI94" s="16"/>
      <c r="AJ94" s="9" t="str">
        <f>IFERROR(__xludf.DUMMYFUNCTION("REGEXREPLACE(AR94,CONCATENATE(""["",BY94,""]""),"""")"),"d")</f>
        <v>d</v>
      </c>
      <c r="AK94" s="10" t="str">
        <f>IFERROR(__xludf.DUMMYFUNCTION("FILTER($K94:$T94,len($K94:$T94)=6,NOT($K94:$T94=BY94))"),"ecbfdg")</f>
        <v>ecbfdg</v>
      </c>
      <c r="AL94" s="6" t="str">
        <f>IFERROR(__xludf.DUMMYFUNCTION("""COMPUTED_VALUE"""),"afedcb")</f>
        <v>afedcb</v>
      </c>
      <c r="AM94" s="6" t="str">
        <f>IFERROR(__xludf.DUMMYFUNCTION("REGEXREPLACE( $BG94, CONCATENATE(""["",AK94,""]""), """")"),"a")</f>
        <v>a</v>
      </c>
      <c r="AN94" s="6" t="str">
        <f>IFERROR(__xludf.DUMMYFUNCTION("REGEXREPLACE( $BG94, CONCATENATE(""["",AL94,""]""), """")"),"")</f>
        <v/>
      </c>
      <c r="AO94" s="11" t="str">
        <f t="shared" si="4"/>
        <v>ecbfdg</v>
      </c>
      <c r="AP94" s="12" t="str">
        <f>IFERROR(__xludf.DUMMYFUNCTION("CONCATENATE(SORT(TRANSPOSE(SPLIT(REGEXREPLACE(REGEXREPLACE(AO94&amp;"""",""(?s)(.{1})"",""$1""&amp;CHAR(127)),""'"",""''""),CHAR(127))),1,true),""1"")"),"bcdefg1")</f>
        <v>bcdefg1</v>
      </c>
      <c r="AQ94" s="16"/>
      <c r="AR94" s="12" t="str">
        <f t="shared" si="5"/>
        <v>ed</v>
      </c>
      <c r="AS94" s="12" t="str">
        <f>IFERROR(__xludf.DUMMYFUNCTION("CONCATENATE(SORT(TRANSPOSE(SPLIT(REGEXREPLACE(REGEXREPLACE(AR94&amp;"""",""(?s)(.{1})"",""$1""&amp;CHAR(127)),""'"",""''""),CHAR(127))),1,true),""1"")"),"de1")</f>
        <v>de1</v>
      </c>
      <c r="AT94" s="16"/>
      <c r="AU94" s="13" t="str">
        <f>IFERROR(__xludf.DUMMYFUNCTION("FILTER($K94:$T94,len($K94:$T94)=5,NOT($K94:$T94=BD94),NOT($K94:$T94=BP94))"),"dcbga")</f>
        <v>dcbga</v>
      </c>
      <c r="AV94" s="12" t="str">
        <f>IFERROR(__xludf.DUMMYFUNCTION("CONCATENATE(SORT(TRANSPOSE(SPLIT(REGEXREPLACE(REGEXREPLACE(AU94&amp;"""",""(?s)(.{1})"",""$1""&amp;CHAR(127)),""'"",""''""),CHAR(127))),1,true),""1"")"),"abcdg1")</f>
        <v>abcdg1</v>
      </c>
      <c r="AW94" s="16"/>
      <c r="AX94" s="10" t="str">
        <f>IFERROR(__xludf.DUMMYFUNCTION("FILTER($K94:$T94,len($K94:$T94)=5)"),"becaf")</f>
        <v>becaf</v>
      </c>
      <c r="AY94" s="6" t="str">
        <f>IFERROR(__xludf.DUMMYFUNCTION("""COMPUTED_VALUE"""),"dcbga")</f>
        <v>dcbga</v>
      </c>
      <c r="AZ94" s="6" t="str">
        <f>IFERROR(__xludf.DUMMYFUNCTION("""COMPUTED_VALUE"""),"bdcae")</f>
        <v>bdcae</v>
      </c>
      <c r="BA94" s="6" t="str">
        <f>IFERROR(__xludf.DUMMYFUNCTION("REGEXREPLACE( $AR94, CONCATENATE(""["",AX94,""]""), """")"),"d")</f>
        <v>d</v>
      </c>
      <c r="BB94" s="6" t="str">
        <f>IFERROR(__xludf.DUMMYFUNCTION("REGEXREPLACE( $AR94, CONCATENATE(""["",AY94,""]""), """")"),"e")</f>
        <v>e</v>
      </c>
      <c r="BC94" s="6" t="str">
        <f>IFERROR(__xludf.DUMMYFUNCTION("REGEXREPLACE( $AR94, CONCATENATE(""["",AZ94,""]""), """")"),"")</f>
        <v/>
      </c>
      <c r="BD94" s="11" t="str">
        <f t="shared" si="6"/>
        <v>bdcae</v>
      </c>
      <c r="BE94" s="12" t="str">
        <f>IFERROR(__xludf.DUMMYFUNCTION("CONCATENATE(SORT(TRANSPOSE(SPLIT(REGEXREPLACE(REGEXREPLACE(BD94&amp;"""",""(?s)(.{1})"",""$1""&amp;CHAR(127)),""'"",""''""),CHAR(127))),1,true),""1"")"),"abcde1")</f>
        <v>abcde1</v>
      </c>
      <c r="BF94" s="16"/>
      <c r="BG94" s="12" t="str">
        <f t="shared" si="7"/>
        <v>afed</v>
      </c>
      <c r="BH94" s="12" t="str">
        <f>IFERROR(__xludf.DUMMYFUNCTION("CONCATENATE(SORT(TRANSPOSE(SPLIT(REGEXREPLACE(REGEXREPLACE(BG94&amp;"""",""(?s)(.{1})"",""$1""&amp;CHAR(127)),""'"",""''""),CHAR(127))),1,true),""1"")"),"adef1")</f>
        <v>adef1</v>
      </c>
      <c r="BI94" s="16"/>
      <c r="BJ94" s="10" t="str">
        <f>IFERROR(__xludf.DUMMYFUNCTION("FILTER($K94:$T94,len($K94:$T94)=5)"),"becaf")</f>
        <v>becaf</v>
      </c>
      <c r="BK94" s="6" t="str">
        <f>IFERROR(__xludf.DUMMYFUNCTION("""COMPUTED_VALUE"""),"dcbga")</f>
        <v>dcbga</v>
      </c>
      <c r="BL94" s="6" t="str">
        <f>IFERROR(__xludf.DUMMYFUNCTION("""COMPUTED_VALUE"""),"bdcae")</f>
        <v>bdcae</v>
      </c>
      <c r="BM94" s="14" t="str">
        <f>IFERROR(__xludf.DUMMYFUNCTION("REGEXREPLACE( $BY94, CONCATENATE(""["",BJ94,""]""), """")"),"g")</f>
        <v>g</v>
      </c>
      <c r="BN94" s="14" t="str">
        <f>IFERROR(__xludf.DUMMYFUNCTION("REGEXREPLACE( $BY94, CONCATENATE(""["",BK94,""]""), """")"),"ef")</f>
        <v>ef</v>
      </c>
      <c r="BO94" s="14" t="str">
        <f>IFERROR(__xludf.DUMMYFUNCTION("REGEXREPLACE( $BY94, CONCATENATE(""["",BL94,""]""), """")"),"gf")</f>
        <v>gf</v>
      </c>
      <c r="BP94" s="11" t="str">
        <f t="shared" si="8"/>
        <v>becaf</v>
      </c>
      <c r="BQ94" s="12" t="str">
        <f>IFERROR(__xludf.DUMMYFUNCTION("CONCATENATE(SORT(TRANSPOSE(SPLIT(REGEXREPLACE(REGEXREPLACE(BP94&amp;"""",""(?s)(.{1})"",""$1""&amp;CHAR(127)),""'"",""''""),CHAR(127))),1,true),""1"")"),"abcef1")</f>
        <v>abcef1</v>
      </c>
      <c r="BR94" s="16"/>
      <c r="BS94" s="10" t="str">
        <f>IFERROR(__xludf.DUMMYFUNCTION("FILTER(K94:T94,len(K94:T94)=6)"),"ecbfdg")</f>
        <v>ecbfdg</v>
      </c>
      <c r="BT94" s="6" t="str">
        <f>IFERROR(__xludf.DUMMYFUNCTION("""COMPUTED_VALUE"""),"begcaf")</f>
        <v>begcaf</v>
      </c>
      <c r="BU94" s="6" t="str">
        <f>IFERROR(__xludf.DUMMYFUNCTION("""COMPUTED_VALUE"""),"afedcb")</f>
        <v>afedcb</v>
      </c>
      <c r="BV94" s="6" t="str">
        <f>IFERROR(__xludf.DUMMYFUNCTION("REGEXREPLACE( $AR94, CONCATENATE(""["",BS94,""]""), """")"),"")</f>
        <v/>
      </c>
      <c r="BW94" s="6" t="str">
        <f>IFERROR(__xludf.DUMMYFUNCTION("REGEXREPLACE( $AR94, CONCATENATE(""["",BT94,""]""), """")"),"d")</f>
        <v>d</v>
      </c>
      <c r="BX94" s="6" t="str">
        <f>IFERROR(__xludf.DUMMYFUNCTION("REGEXREPLACE( $AR94, CONCATENATE(""["",BU94,""]""), """")"),"")</f>
        <v/>
      </c>
      <c r="BY94" s="12" t="str">
        <f t="shared" si="9"/>
        <v>begcaf</v>
      </c>
      <c r="BZ94" s="12" t="str">
        <f>IFERROR(__xludf.DUMMYFUNCTION("CONCATENATE(SORT(TRANSPOSE(SPLIT(REGEXREPLACE(REGEXREPLACE(BY94&amp;"""",""(?s)(.{1})"",""$1""&amp;CHAR(127)),""'"",""''""),CHAR(127))),1,true),""1"")"),"abcefg1")</f>
        <v>abcefg1</v>
      </c>
      <c r="CA94" s="16"/>
      <c r="CB94" s="12" t="str">
        <f t="shared" si="10"/>
        <v>deb</v>
      </c>
      <c r="CC94" s="12" t="str">
        <f>IFERROR(__xludf.DUMMYFUNCTION("CONCATENATE(SORT(TRANSPOSE(SPLIT(REGEXREPLACE(REGEXREPLACE(CB94&amp;"""",""(?s)(.{1})"",""$1""&amp;CHAR(127)),""'"",""''""),CHAR(127))),1,true),""1"")"),"bde1")</f>
        <v>bde1</v>
      </c>
      <c r="CD94" s="16"/>
      <c r="CE94" s="12" t="str">
        <f t="shared" si="11"/>
        <v>dgfacbe</v>
      </c>
      <c r="CF94" s="12" t="str">
        <f>IFERROR(__xludf.DUMMYFUNCTION("CONCATENATE(SORT(TRANSPOSE(SPLIT(REGEXREPLACE(REGEXREPLACE(CE94&amp;"""",""(?s)(.{1})"",""$1""&amp;CHAR(127)),""'"",""''""),CHAR(127))),1,true),""1"")"),"abcdefg1")</f>
        <v>abcdefg1</v>
      </c>
      <c r="CG94" s="16"/>
      <c r="CH94" s="10" t="str">
        <f>IFERROR(__xludf.DUMMYFUNCTION("FILTER(K94:T94,len(K94:T94)=6)"),"ecbfdg")</f>
        <v>ecbfdg</v>
      </c>
      <c r="CI94" s="6" t="str">
        <f>IFERROR(__xludf.DUMMYFUNCTION("""COMPUTED_VALUE"""),"begcaf")</f>
        <v>begcaf</v>
      </c>
      <c r="CJ94" s="6" t="str">
        <f>IFERROR(__xludf.DUMMYFUNCTION("""COMPUTED_VALUE"""),"afedcb")</f>
        <v>afedcb</v>
      </c>
      <c r="CK94" s="6" t="str">
        <f>IFERROR(__xludf.DUMMYFUNCTION("REGEXREPLACE( $BG94, CONCATENATE(""["",CH94,""]""), """")"),"a")</f>
        <v>a</v>
      </c>
      <c r="CL94" s="6" t="str">
        <f>IFERROR(__xludf.DUMMYFUNCTION("REGEXREPLACE( $BG94, CONCATENATE(""["",CI94,""]""), """")"),"d")</f>
        <v>d</v>
      </c>
      <c r="CM94" s="6" t="str">
        <f>IFERROR(__xludf.DUMMYFUNCTION("REGEXREPLACE( $BG94, CONCATENATE(""["",CJ94,""]""), """")"),"")</f>
        <v/>
      </c>
      <c r="CN94" s="12" t="str">
        <f t="shared" si="12"/>
        <v>afedcb</v>
      </c>
      <c r="CO94" s="12" t="str">
        <f>IFERROR(__xludf.DUMMYFUNCTION("CONCATENATE(SORT(TRANSPOSE(SPLIT(REGEXREPLACE(REGEXREPLACE(CN94&amp;"""",""(?s)(.{1})"",""$1""&amp;CHAR(127)),""'"",""''""),CHAR(127))),1,true),""1"")"),"abcdef1")</f>
        <v>abcdef1</v>
      </c>
      <c r="CP94" s="15"/>
    </row>
    <row r="95">
      <c r="A95" s="1" t="s">
        <v>115</v>
      </c>
      <c r="H95" s="6" t="str">
        <f>IFERROR(__xludf.DUMMYFUNCTION("SPLIT(A95,""|"")"),"cdgafbe bgecfa da fcage dfa gcfead debfc gfdbea cadg cdeaf ")</f>
        <v>cdgafbe bgecfa da fcage dfa gcfead debfc gfdbea cadg cdeaf </v>
      </c>
      <c r="I95" s="6" t="str">
        <f>IFERROR(__xludf.DUMMYFUNCTION("""COMPUTED_VALUE""")," adf cdefb febdcga fgeca")</f>
        <v> adf cdefb febdcga fgeca</v>
      </c>
      <c r="J95" s="15"/>
      <c r="K95" s="6" t="str">
        <f>IFERROR(__xludf.DUMMYFUNCTION("split(H95,"" "")"),"cdgafbe")</f>
        <v>cdgafbe</v>
      </c>
      <c r="L95" s="6" t="str">
        <f>IFERROR(__xludf.DUMMYFUNCTION("""COMPUTED_VALUE"""),"bgecfa")</f>
        <v>bgecfa</v>
      </c>
      <c r="M95" s="6" t="str">
        <f>IFERROR(__xludf.DUMMYFUNCTION("""COMPUTED_VALUE"""),"da")</f>
        <v>da</v>
      </c>
      <c r="N95" s="6" t="str">
        <f>IFERROR(__xludf.DUMMYFUNCTION("""COMPUTED_VALUE"""),"fcage")</f>
        <v>fcage</v>
      </c>
      <c r="O95" s="6" t="str">
        <f>IFERROR(__xludf.DUMMYFUNCTION("""COMPUTED_VALUE"""),"dfa")</f>
        <v>dfa</v>
      </c>
      <c r="P95" s="6" t="str">
        <f>IFERROR(__xludf.DUMMYFUNCTION("""COMPUTED_VALUE"""),"gcfead")</f>
        <v>gcfead</v>
      </c>
      <c r="Q95" s="6" t="str">
        <f>IFERROR(__xludf.DUMMYFUNCTION("""COMPUTED_VALUE"""),"debfc")</f>
        <v>debfc</v>
      </c>
      <c r="R95" s="6" t="str">
        <f>IFERROR(__xludf.DUMMYFUNCTION("""COMPUTED_VALUE"""),"gfdbea")</f>
        <v>gfdbea</v>
      </c>
      <c r="S95" s="6" t="str">
        <f>IFERROR(__xludf.DUMMYFUNCTION("""COMPUTED_VALUE"""),"cadg")</f>
        <v>cadg</v>
      </c>
      <c r="T95" s="6" t="str">
        <f>IFERROR(__xludf.DUMMYFUNCTION("""COMPUTED_VALUE"""),"cdeaf")</f>
        <v>cdeaf</v>
      </c>
      <c r="U95" s="15"/>
      <c r="V95" s="6" t="str">
        <f>IFERROR(__xludf.DUMMYFUNCTION("split(I95,"" "")"),"adf")</f>
        <v>adf</v>
      </c>
      <c r="W95" s="6" t="str">
        <f>IFERROR(__xludf.DUMMYFUNCTION("""COMPUTED_VALUE"""),"cdefb")</f>
        <v>cdefb</v>
      </c>
      <c r="X95" s="6" t="str">
        <f>IFERROR(__xludf.DUMMYFUNCTION("""COMPUTED_VALUE"""),"febdcga")</f>
        <v>febdcga</v>
      </c>
      <c r="Y95" s="6" t="str">
        <f>IFERROR(__xludf.DUMMYFUNCTION("""COMPUTED_VALUE"""),"fgeca")</f>
        <v>fgeca</v>
      </c>
      <c r="Z95" s="6" t="str">
        <f>IFERROR(__xludf.DUMMYFUNCTION("CONCATENATE(SORT(TRANSPOSE(SPLIT(REGEXREPLACE(REGEXREPLACE(V95&amp;"""",""(?s)(.{1})"",""$1""&amp;CHAR(127)),""'"",""''""),CHAR(127))),1,true))"),"adf")</f>
        <v>adf</v>
      </c>
      <c r="AA95" s="6" t="str">
        <f>IFERROR(__xludf.DUMMYFUNCTION("CONCATENATE(SORT(TRANSPOSE(SPLIT(REGEXREPLACE(REGEXREPLACE(W95&amp;"""",""(?s)(.{1})"",""$1""&amp;CHAR(127)),""'"",""''""),CHAR(127))),1,true))"),"bcdef")</f>
        <v>bcdef</v>
      </c>
      <c r="AB95" s="6" t="str">
        <f>IFERROR(__xludf.DUMMYFUNCTION("CONCATENATE(SORT(TRANSPOSE(SPLIT(REGEXREPLACE(REGEXREPLACE(X95&amp;"""",""(?s)(.{1})"",""$1""&amp;CHAR(127)),""'"",""''""),CHAR(127))),1,true))"),"abcdefg")</f>
        <v>abcdefg</v>
      </c>
      <c r="AC95" s="6" t="str">
        <f>IFERROR(__xludf.DUMMYFUNCTION("CONCATENATE(SORT(TRANSPOSE(SPLIT(REGEXREPLACE(REGEXREPLACE(Y95&amp;"""",""(?s)(.{1})"",""$1""&amp;CHAR(127)),""'"",""''""),CHAR(127))),1,true))"),"acefg")</f>
        <v>acefg</v>
      </c>
      <c r="AD95" s="6">
        <f t="shared" ref="AD95:AG95" si="105">INDEX($AO$1:$CP$1,1,MATCH(CONCATENATE(Z95,"1"),$AO95:$CP95,0)+1)</f>
        <v>7</v>
      </c>
      <c r="AE95" s="6">
        <f t="shared" si="105"/>
        <v>2</v>
      </c>
      <c r="AF95" s="6">
        <f t="shared" si="105"/>
        <v>8</v>
      </c>
      <c r="AG95" s="6">
        <f t="shared" si="105"/>
        <v>5</v>
      </c>
      <c r="AH95" s="6">
        <f t="shared" si="3"/>
        <v>7285</v>
      </c>
      <c r="AI95" s="16"/>
      <c r="AJ95" s="9" t="str">
        <f>IFERROR(__xludf.DUMMYFUNCTION("REGEXREPLACE(AR95,CONCATENATE(""["",BY95,""]""),"""")"),"d")</f>
        <v>d</v>
      </c>
      <c r="AK95" s="10" t="str">
        <f>IFERROR(__xludf.DUMMYFUNCTION("FILTER($K95:$T95,len($K95:$T95)=6,NOT($K95:$T95=BY95))"),"gcfead")</f>
        <v>gcfead</v>
      </c>
      <c r="AL95" s="6" t="str">
        <f>IFERROR(__xludf.DUMMYFUNCTION("""COMPUTED_VALUE"""),"gfdbea")</f>
        <v>gfdbea</v>
      </c>
      <c r="AM95" s="6" t="str">
        <f>IFERROR(__xludf.DUMMYFUNCTION("REGEXREPLACE( $BG95, CONCATENATE(""["",AK95,""]""), """")"),"")</f>
        <v/>
      </c>
      <c r="AN95" s="6" t="str">
        <f>IFERROR(__xludf.DUMMYFUNCTION("REGEXREPLACE( $BG95, CONCATENATE(""["",AL95,""]""), """")"),"c")</f>
        <v>c</v>
      </c>
      <c r="AO95" s="11" t="str">
        <f t="shared" si="4"/>
        <v>gfdbea</v>
      </c>
      <c r="AP95" s="12" t="str">
        <f>IFERROR(__xludf.DUMMYFUNCTION("CONCATENATE(SORT(TRANSPOSE(SPLIT(REGEXREPLACE(REGEXREPLACE(AO95&amp;"""",""(?s)(.{1})"",""$1""&amp;CHAR(127)),""'"",""''""),CHAR(127))),1,true),""1"")"),"abdefg1")</f>
        <v>abdefg1</v>
      </c>
      <c r="AQ95" s="16"/>
      <c r="AR95" s="12" t="str">
        <f t="shared" si="5"/>
        <v>da</v>
      </c>
      <c r="AS95" s="12" t="str">
        <f>IFERROR(__xludf.DUMMYFUNCTION("CONCATENATE(SORT(TRANSPOSE(SPLIT(REGEXREPLACE(REGEXREPLACE(AR95&amp;"""",""(?s)(.{1})"",""$1""&amp;CHAR(127)),""'"",""''""),CHAR(127))),1,true),""1"")"),"ad1")</f>
        <v>ad1</v>
      </c>
      <c r="AT95" s="16"/>
      <c r="AU95" s="13" t="str">
        <f>IFERROR(__xludf.DUMMYFUNCTION("FILTER($K95:$T95,len($K95:$T95)=5,NOT($K95:$T95=BD95),NOT($K95:$T95=BP95))"),"debfc")</f>
        <v>debfc</v>
      </c>
      <c r="AV95" s="12" t="str">
        <f>IFERROR(__xludf.DUMMYFUNCTION("CONCATENATE(SORT(TRANSPOSE(SPLIT(REGEXREPLACE(REGEXREPLACE(AU95&amp;"""",""(?s)(.{1})"",""$1""&amp;CHAR(127)),""'"",""''""),CHAR(127))),1,true),""1"")"),"bcdef1")</f>
        <v>bcdef1</v>
      </c>
      <c r="AW95" s="16"/>
      <c r="AX95" s="10" t="str">
        <f>IFERROR(__xludf.DUMMYFUNCTION("FILTER($K95:$T95,len($K95:$T95)=5)"),"fcage")</f>
        <v>fcage</v>
      </c>
      <c r="AY95" s="6" t="str">
        <f>IFERROR(__xludf.DUMMYFUNCTION("""COMPUTED_VALUE"""),"debfc")</f>
        <v>debfc</v>
      </c>
      <c r="AZ95" s="6" t="str">
        <f>IFERROR(__xludf.DUMMYFUNCTION("""COMPUTED_VALUE"""),"cdeaf")</f>
        <v>cdeaf</v>
      </c>
      <c r="BA95" s="6" t="str">
        <f>IFERROR(__xludf.DUMMYFUNCTION("REGEXREPLACE( $AR95, CONCATENATE(""["",AX95,""]""), """")"),"d")</f>
        <v>d</v>
      </c>
      <c r="BB95" s="6" t="str">
        <f>IFERROR(__xludf.DUMMYFUNCTION("REGEXREPLACE( $AR95, CONCATENATE(""["",AY95,""]""), """")"),"a")</f>
        <v>a</v>
      </c>
      <c r="BC95" s="6" t="str">
        <f>IFERROR(__xludf.DUMMYFUNCTION("REGEXREPLACE( $AR95, CONCATENATE(""["",AZ95,""]""), """")"),"")</f>
        <v/>
      </c>
      <c r="BD95" s="11" t="str">
        <f t="shared" si="6"/>
        <v>cdeaf</v>
      </c>
      <c r="BE95" s="12" t="str">
        <f>IFERROR(__xludf.DUMMYFUNCTION("CONCATENATE(SORT(TRANSPOSE(SPLIT(REGEXREPLACE(REGEXREPLACE(BD95&amp;"""",""(?s)(.{1})"",""$1""&amp;CHAR(127)),""'"",""''""),CHAR(127))),1,true),""1"")"),"acdef1")</f>
        <v>acdef1</v>
      </c>
      <c r="BF95" s="16"/>
      <c r="BG95" s="12" t="str">
        <f t="shared" si="7"/>
        <v>cadg</v>
      </c>
      <c r="BH95" s="12" t="str">
        <f>IFERROR(__xludf.DUMMYFUNCTION("CONCATENATE(SORT(TRANSPOSE(SPLIT(REGEXREPLACE(REGEXREPLACE(BG95&amp;"""",""(?s)(.{1})"",""$1""&amp;CHAR(127)),""'"",""''""),CHAR(127))),1,true),""1"")"),"acdg1")</f>
        <v>acdg1</v>
      </c>
      <c r="BI95" s="16"/>
      <c r="BJ95" s="10" t="str">
        <f>IFERROR(__xludf.DUMMYFUNCTION("FILTER($K95:$T95,len($K95:$T95)=5)"),"fcage")</f>
        <v>fcage</v>
      </c>
      <c r="BK95" s="6" t="str">
        <f>IFERROR(__xludf.DUMMYFUNCTION("""COMPUTED_VALUE"""),"debfc")</f>
        <v>debfc</v>
      </c>
      <c r="BL95" s="6" t="str">
        <f>IFERROR(__xludf.DUMMYFUNCTION("""COMPUTED_VALUE"""),"cdeaf")</f>
        <v>cdeaf</v>
      </c>
      <c r="BM95" s="14" t="str">
        <f>IFERROR(__xludf.DUMMYFUNCTION("REGEXREPLACE( $BY95, CONCATENATE(""["",BJ95,""]""), """")"),"b")</f>
        <v>b</v>
      </c>
      <c r="BN95" s="14" t="str">
        <f>IFERROR(__xludf.DUMMYFUNCTION("REGEXREPLACE( $BY95, CONCATENATE(""["",BK95,""]""), """")"),"ga")</f>
        <v>ga</v>
      </c>
      <c r="BO95" s="14" t="str">
        <f>IFERROR(__xludf.DUMMYFUNCTION("REGEXREPLACE( $BY95, CONCATENATE(""["",BL95,""]""), """")"),"bg")</f>
        <v>bg</v>
      </c>
      <c r="BP95" s="11" t="str">
        <f t="shared" si="8"/>
        <v>fcage</v>
      </c>
      <c r="BQ95" s="12" t="str">
        <f>IFERROR(__xludf.DUMMYFUNCTION("CONCATENATE(SORT(TRANSPOSE(SPLIT(REGEXREPLACE(REGEXREPLACE(BP95&amp;"""",""(?s)(.{1})"",""$1""&amp;CHAR(127)),""'"",""''""),CHAR(127))),1,true),""1"")"),"acefg1")</f>
        <v>acefg1</v>
      </c>
      <c r="BR95" s="16"/>
      <c r="BS95" s="10" t="str">
        <f>IFERROR(__xludf.DUMMYFUNCTION("FILTER(K95:T95,len(K95:T95)=6)"),"bgecfa")</f>
        <v>bgecfa</v>
      </c>
      <c r="BT95" s="6" t="str">
        <f>IFERROR(__xludf.DUMMYFUNCTION("""COMPUTED_VALUE"""),"gcfead")</f>
        <v>gcfead</v>
      </c>
      <c r="BU95" s="6" t="str">
        <f>IFERROR(__xludf.DUMMYFUNCTION("""COMPUTED_VALUE"""),"gfdbea")</f>
        <v>gfdbea</v>
      </c>
      <c r="BV95" s="6" t="str">
        <f>IFERROR(__xludf.DUMMYFUNCTION("REGEXREPLACE( $AR95, CONCATENATE(""["",BS95,""]""), """")"),"d")</f>
        <v>d</v>
      </c>
      <c r="BW95" s="6" t="str">
        <f>IFERROR(__xludf.DUMMYFUNCTION("REGEXREPLACE( $AR95, CONCATENATE(""["",BT95,""]""), """")"),"")</f>
        <v/>
      </c>
      <c r="BX95" s="6" t="str">
        <f>IFERROR(__xludf.DUMMYFUNCTION("REGEXREPLACE( $AR95, CONCATENATE(""["",BU95,""]""), """")"),"")</f>
        <v/>
      </c>
      <c r="BY95" s="12" t="str">
        <f t="shared" si="9"/>
        <v>bgecfa</v>
      </c>
      <c r="BZ95" s="12" t="str">
        <f>IFERROR(__xludf.DUMMYFUNCTION("CONCATENATE(SORT(TRANSPOSE(SPLIT(REGEXREPLACE(REGEXREPLACE(BY95&amp;"""",""(?s)(.{1})"",""$1""&amp;CHAR(127)),""'"",""''""),CHAR(127))),1,true),""1"")"),"abcefg1")</f>
        <v>abcefg1</v>
      </c>
      <c r="CA95" s="16"/>
      <c r="CB95" s="12" t="str">
        <f t="shared" si="10"/>
        <v>dfa</v>
      </c>
      <c r="CC95" s="12" t="str">
        <f>IFERROR(__xludf.DUMMYFUNCTION("CONCATENATE(SORT(TRANSPOSE(SPLIT(REGEXREPLACE(REGEXREPLACE(CB95&amp;"""",""(?s)(.{1})"",""$1""&amp;CHAR(127)),""'"",""''""),CHAR(127))),1,true),""1"")"),"adf1")</f>
        <v>adf1</v>
      </c>
      <c r="CD95" s="16"/>
      <c r="CE95" s="12" t="str">
        <f t="shared" si="11"/>
        <v>cdgafbe</v>
      </c>
      <c r="CF95" s="12" t="str">
        <f>IFERROR(__xludf.DUMMYFUNCTION("CONCATENATE(SORT(TRANSPOSE(SPLIT(REGEXREPLACE(REGEXREPLACE(CE95&amp;"""",""(?s)(.{1})"",""$1""&amp;CHAR(127)),""'"",""''""),CHAR(127))),1,true),""1"")"),"abcdefg1")</f>
        <v>abcdefg1</v>
      </c>
      <c r="CG95" s="16"/>
      <c r="CH95" s="10" t="str">
        <f>IFERROR(__xludf.DUMMYFUNCTION("FILTER(K95:T95,len(K95:T95)=6)"),"bgecfa")</f>
        <v>bgecfa</v>
      </c>
      <c r="CI95" s="6" t="str">
        <f>IFERROR(__xludf.DUMMYFUNCTION("""COMPUTED_VALUE"""),"gcfead")</f>
        <v>gcfead</v>
      </c>
      <c r="CJ95" s="6" t="str">
        <f>IFERROR(__xludf.DUMMYFUNCTION("""COMPUTED_VALUE"""),"gfdbea")</f>
        <v>gfdbea</v>
      </c>
      <c r="CK95" s="6" t="str">
        <f>IFERROR(__xludf.DUMMYFUNCTION("REGEXREPLACE( $BG95, CONCATENATE(""["",CH95,""]""), """")"),"d")</f>
        <v>d</v>
      </c>
      <c r="CL95" s="6" t="str">
        <f>IFERROR(__xludf.DUMMYFUNCTION("REGEXREPLACE( $BG95, CONCATENATE(""["",CI95,""]""), """")"),"")</f>
        <v/>
      </c>
      <c r="CM95" s="6" t="str">
        <f>IFERROR(__xludf.DUMMYFUNCTION("REGEXREPLACE( $BG95, CONCATENATE(""["",CJ95,""]""), """")"),"c")</f>
        <v>c</v>
      </c>
      <c r="CN95" s="12" t="str">
        <f t="shared" si="12"/>
        <v>gcfead</v>
      </c>
      <c r="CO95" s="12" t="str">
        <f>IFERROR(__xludf.DUMMYFUNCTION("CONCATENATE(SORT(TRANSPOSE(SPLIT(REGEXREPLACE(REGEXREPLACE(CN95&amp;"""",""(?s)(.{1})"",""$1""&amp;CHAR(127)),""'"",""''""),CHAR(127))),1,true),""1"")"),"acdefg1")</f>
        <v>acdefg1</v>
      </c>
      <c r="CP95" s="15"/>
    </row>
    <row r="96">
      <c r="A96" s="1" t="s">
        <v>116</v>
      </c>
      <c r="H96" s="6" t="str">
        <f>IFERROR(__xludf.DUMMYFUNCTION("SPLIT(A96,""|"")"),"dcefa agbdfc gacfeb fdbcea bedc dc cda cabegfd defga becfa ")</f>
        <v>dcefa agbdfc gacfeb fdbcea bedc dc cda cabegfd defga becfa </v>
      </c>
      <c r="I96" s="6" t="str">
        <f>IFERROR(__xludf.DUMMYFUNCTION("""COMPUTED_VALUE""")," cgbfead adc dca cda")</f>
        <v> cgbfead adc dca cda</v>
      </c>
      <c r="J96" s="15"/>
      <c r="K96" s="6" t="str">
        <f>IFERROR(__xludf.DUMMYFUNCTION("split(H96,"" "")"),"dcefa")</f>
        <v>dcefa</v>
      </c>
      <c r="L96" s="6" t="str">
        <f>IFERROR(__xludf.DUMMYFUNCTION("""COMPUTED_VALUE"""),"agbdfc")</f>
        <v>agbdfc</v>
      </c>
      <c r="M96" s="6" t="str">
        <f>IFERROR(__xludf.DUMMYFUNCTION("""COMPUTED_VALUE"""),"gacfeb")</f>
        <v>gacfeb</v>
      </c>
      <c r="N96" s="6" t="str">
        <f>IFERROR(__xludf.DUMMYFUNCTION("""COMPUTED_VALUE"""),"fdbcea")</f>
        <v>fdbcea</v>
      </c>
      <c r="O96" s="6" t="str">
        <f>IFERROR(__xludf.DUMMYFUNCTION("""COMPUTED_VALUE"""),"bedc")</f>
        <v>bedc</v>
      </c>
      <c r="P96" s="6" t="str">
        <f>IFERROR(__xludf.DUMMYFUNCTION("""COMPUTED_VALUE"""),"dc")</f>
        <v>dc</v>
      </c>
      <c r="Q96" s="6" t="str">
        <f>IFERROR(__xludf.DUMMYFUNCTION("""COMPUTED_VALUE"""),"cda")</f>
        <v>cda</v>
      </c>
      <c r="R96" s="6" t="str">
        <f>IFERROR(__xludf.DUMMYFUNCTION("""COMPUTED_VALUE"""),"cabegfd")</f>
        <v>cabegfd</v>
      </c>
      <c r="S96" s="6" t="str">
        <f>IFERROR(__xludf.DUMMYFUNCTION("""COMPUTED_VALUE"""),"defga")</f>
        <v>defga</v>
      </c>
      <c r="T96" s="6" t="str">
        <f>IFERROR(__xludf.DUMMYFUNCTION("""COMPUTED_VALUE"""),"becfa")</f>
        <v>becfa</v>
      </c>
      <c r="U96" s="15"/>
      <c r="V96" s="6" t="str">
        <f>IFERROR(__xludf.DUMMYFUNCTION("split(I96,"" "")"),"cgbfead")</f>
        <v>cgbfead</v>
      </c>
      <c r="W96" s="6" t="str">
        <f>IFERROR(__xludf.DUMMYFUNCTION("""COMPUTED_VALUE"""),"adc")</f>
        <v>adc</v>
      </c>
      <c r="X96" s="6" t="str">
        <f>IFERROR(__xludf.DUMMYFUNCTION("""COMPUTED_VALUE"""),"dca")</f>
        <v>dca</v>
      </c>
      <c r="Y96" s="6" t="str">
        <f>IFERROR(__xludf.DUMMYFUNCTION("""COMPUTED_VALUE"""),"cda")</f>
        <v>cda</v>
      </c>
      <c r="Z96" s="6" t="str">
        <f>IFERROR(__xludf.DUMMYFUNCTION("CONCATENATE(SORT(TRANSPOSE(SPLIT(REGEXREPLACE(REGEXREPLACE(V96&amp;"""",""(?s)(.{1})"",""$1""&amp;CHAR(127)),""'"",""''""),CHAR(127))),1,true))"),"abcdefg")</f>
        <v>abcdefg</v>
      </c>
      <c r="AA96" s="6" t="str">
        <f>IFERROR(__xludf.DUMMYFUNCTION("CONCATENATE(SORT(TRANSPOSE(SPLIT(REGEXREPLACE(REGEXREPLACE(W96&amp;"""",""(?s)(.{1})"",""$1""&amp;CHAR(127)),""'"",""''""),CHAR(127))),1,true))"),"acd")</f>
        <v>acd</v>
      </c>
      <c r="AB96" s="6" t="str">
        <f>IFERROR(__xludf.DUMMYFUNCTION("CONCATENATE(SORT(TRANSPOSE(SPLIT(REGEXREPLACE(REGEXREPLACE(X96&amp;"""",""(?s)(.{1})"",""$1""&amp;CHAR(127)),""'"",""''""),CHAR(127))),1,true))"),"acd")</f>
        <v>acd</v>
      </c>
      <c r="AC96" s="6" t="str">
        <f>IFERROR(__xludf.DUMMYFUNCTION("CONCATENATE(SORT(TRANSPOSE(SPLIT(REGEXREPLACE(REGEXREPLACE(Y96&amp;"""",""(?s)(.{1})"",""$1""&amp;CHAR(127)),""'"",""''""),CHAR(127))),1,true))"),"acd")</f>
        <v>acd</v>
      </c>
      <c r="AD96" s="6">
        <f t="shared" ref="AD96:AG96" si="106">INDEX($AO$1:$CP$1,1,MATCH(CONCATENATE(Z96,"1"),$AO96:$CP96,0)+1)</f>
        <v>8</v>
      </c>
      <c r="AE96" s="6">
        <f t="shared" si="106"/>
        <v>7</v>
      </c>
      <c r="AF96" s="6">
        <f t="shared" si="106"/>
        <v>7</v>
      </c>
      <c r="AG96" s="6">
        <f t="shared" si="106"/>
        <v>7</v>
      </c>
      <c r="AH96" s="6">
        <f t="shared" si="3"/>
        <v>8777</v>
      </c>
      <c r="AI96" s="16"/>
      <c r="AJ96" s="9" t="str">
        <f>IFERROR(__xludf.DUMMYFUNCTION("REGEXREPLACE(AR96,CONCATENATE(""["",BY96,""]""),"""")"),"d")</f>
        <v>d</v>
      </c>
      <c r="AK96" s="10" t="str">
        <f>IFERROR(__xludf.DUMMYFUNCTION("FILTER($K96:$T96,len($K96:$T96)=6,NOT($K96:$T96=BY96))"),"agbdfc")</f>
        <v>agbdfc</v>
      </c>
      <c r="AL96" s="6" t="str">
        <f>IFERROR(__xludf.DUMMYFUNCTION("""COMPUTED_VALUE"""),"fdbcea")</f>
        <v>fdbcea</v>
      </c>
      <c r="AM96" s="6" t="str">
        <f>IFERROR(__xludf.DUMMYFUNCTION("REGEXREPLACE( $BG96, CONCATENATE(""["",AK96,""]""), """")"),"e")</f>
        <v>e</v>
      </c>
      <c r="AN96" s="6" t="str">
        <f>IFERROR(__xludf.DUMMYFUNCTION("REGEXREPLACE( $BG96, CONCATENATE(""["",AL96,""]""), """")"),"")</f>
        <v/>
      </c>
      <c r="AO96" s="11" t="str">
        <f t="shared" si="4"/>
        <v>agbdfc</v>
      </c>
      <c r="AP96" s="12" t="str">
        <f>IFERROR(__xludf.DUMMYFUNCTION("CONCATENATE(SORT(TRANSPOSE(SPLIT(REGEXREPLACE(REGEXREPLACE(AO96&amp;"""",""(?s)(.{1})"",""$1""&amp;CHAR(127)),""'"",""''""),CHAR(127))),1,true),""1"")"),"abcdfg1")</f>
        <v>abcdfg1</v>
      </c>
      <c r="AQ96" s="16"/>
      <c r="AR96" s="12" t="str">
        <f t="shared" si="5"/>
        <v>dc</v>
      </c>
      <c r="AS96" s="12" t="str">
        <f>IFERROR(__xludf.DUMMYFUNCTION("CONCATENATE(SORT(TRANSPOSE(SPLIT(REGEXREPLACE(REGEXREPLACE(AR96&amp;"""",""(?s)(.{1})"",""$1""&amp;CHAR(127)),""'"",""''""),CHAR(127))),1,true),""1"")"),"cd1")</f>
        <v>cd1</v>
      </c>
      <c r="AT96" s="16"/>
      <c r="AU96" s="13" t="str">
        <f>IFERROR(__xludf.DUMMYFUNCTION("FILTER($K96:$T96,len($K96:$T96)=5,NOT($K96:$T96=BD96),NOT($K96:$T96=BP96))"),"defga")</f>
        <v>defga</v>
      </c>
      <c r="AV96" s="12" t="str">
        <f>IFERROR(__xludf.DUMMYFUNCTION("CONCATENATE(SORT(TRANSPOSE(SPLIT(REGEXREPLACE(REGEXREPLACE(AU96&amp;"""",""(?s)(.{1})"",""$1""&amp;CHAR(127)),""'"",""''""),CHAR(127))),1,true),""1"")"),"adefg1")</f>
        <v>adefg1</v>
      </c>
      <c r="AW96" s="16"/>
      <c r="AX96" s="10" t="str">
        <f>IFERROR(__xludf.DUMMYFUNCTION("FILTER($K96:$T96,len($K96:$T96)=5)"),"dcefa")</f>
        <v>dcefa</v>
      </c>
      <c r="AY96" s="6" t="str">
        <f>IFERROR(__xludf.DUMMYFUNCTION("""COMPUTED_VALUE"""),"defga")</f>
        <v>defga</v>
      </c>
      <c r="AZ96" s="6" t="str">
        <f>IFERROR(__xludf.DUMMYFUNCTION("""COMPUTED_VALUE"""),"becfa")</f>
        <v>becfa</v>
      </c>
      <c r="BA96" s="6" t="str">
        <f>IFERROR(__xludf.DUMMYFUNCTION("REGEXREPLACE( $AR96, CONCATENATE(""["",AX96,""]""), """")"),"")</f>
        <v/>
      </c>
      <c r="BB96" s="6" t="str">
        <f>IFERROR(__xludf.DUMMYFUNCTION("REGEXREPLACE( $AR96, CONCATENATE(""["",AY96,""]""), """")"),"c")</f>
        <v>c</v>
      </c>
      <c r="BC96" s="6" t="str">
        <f>IFERROR(__xludf.DUMMYFUNCTION("REGEXREPLACE( $AR96, CONCATENATE(""["",AZ96,""]""), """")"),"d")</f>
        <v>d</v>
      </c>
      <c r="BD96" s="11" t="str">
        <f t="shared" si="6"/>
        <v>dcefa</v>
      </c>
      <c r="BE96" s="12" t="str">
        <f>IFERROR(__xludf.DUMMYFUNCTION("CONCATENATE(SORT(TRANSPOSE(SPLIT(REGEXREPLACE(REGEXREPLACE(BD96&amp;"""",""(?s)(.{1})"",""$1""&amp;CHAR(127)),""'"",""''""),CHAR(127))),1,true),""1"")"),"acdef1")</f>
        <v>acdef1</v>
      </c>
      <c r="BF96" s="16"/>
      <c r="BG96" s="12" t="str">
        <f t="shared" si="7"/>
        <v>bedc</v>
      </c>
      <c r="BH96" s="12" t="str">
        <f>IFERROR(__xludf.DUMMYFUNCTION("CONCATENATE(SORT(TRANSPOSE(SPLIT(REGEXREPLACE(REGEXREPLACE(BG96&amp;"""",""(?s)(.{1})"",""$1""&amp;CHAR(127)),""'"",""''""),CHAR(127))),1,true),""1"")"),"bcde1")</f>
        <v>bcde1</v>
      </c>
      <c r="BI96" s="16"/>
      <c r="BJ96" s="10" t="str">
        <f>IFERROR(__xludf.DUMMYFUNCTION("FILTER($K96:$T96,len($K96:$T96)=5)"),"dcefa")</f>
        <v>dcefa</v>
      </c>
      <c r="BK96" s="6" t="str">
        <f>IFERROR(__xludf.DUMMYFUNCTION("""COMPUTED_VALUE"""),"defga")</f>
        <v>defga</v>
      </c>
      <c r="BL96" s="6" t="str">
        <f>IFERROR(__xludf.DUMMYFUNCTION("""COMPUTED_VALUE"""),"becfa")</f>
        <v>becfa</v>
      </c>
      <c r="BM96" s="14" t="str">
        <f>IFERROR(__xludf.DUMMYFUNCTION("REGEXREPLACE( $BY96, CONCATENATE(""["",BJ96,""]""), """")"),"gb")</f>
        <v>gb</v>
      </c>
      <c r="BN96" s="14" t="str">
        <f>IFERROR(__xludf.DUMMYFUNCTION("REGEXREPLACE( $BY96, CONCATENATE(""["",BK96,""]""), """")"),"cb")</f>
        <v>cb</v>
      </c>
      <c r="BO96" s="14" t="str">
        <f>IFERROR(__xludf.DUMMYFUNCTION("REGEXREPLACE( $BY96, CONCATENATE(""["",BL96,""]""), """")"),"g")</f>
        <v>g</v>
      </c>
      <c r="BP96" s="11" t="str">
        <f t="shared" si="8"/>
        <v>becfa</v>
      </c>
      <c r="BQ96" s="12" t="str">
        <f>IFERROR(__xludf.DUMMYFUNCTION("CONCATENATE(SORT(TRANSPOSE(SPLIT(REGEXREPLACE(REGEXREPLACE(BP96&amp;"""",""(?s)(.{1})"",""$1""&amp;CHAR(127)),""'"",""''""),CHAR(127))),1,true),""1"")"),"abcef1")</f>
        <v>abcef1</v>
      </c>
      <c r="BR96" s="16"/>
      <c r="BS96" s="10" t="str">
        <f>IFERROR(__xludf.DUMMYFUNCTION("FILTER(K96:T96,len(K96:T96)=6)"),"agbdfc")</f>
        <v>agbdfc</v>
      </c>
      <c r="BT96" s="6" t="str">
        <f>IFERROR(__xludf.DUMMYFUNCTION("""COMPUTED_VALUE"""),"gacfeb")</f>
        <v>gacfeb</v>
      </c>
      <c r="BU96" s="6" t="str">
        <f>IFERROR(__xludf.DUMMYFUNCTION("""COMPUTED_VALUE"""),"fdbcea")</f>
        <v>fdbcea</v>
      </c>
      <c r="BV96" s="6" t="str">
        <f>IFERROR(__xludf.DUMMYFUNCTION("REGEXREPLACE( $AR96, CONCATENATE(""["",BS96,""]""), """")"),"")</f>
        <v/>
      </c>
      <c r="BW96" s="6" t="str">
        <f>IFERROR(__xludf.DUMMYFUNCTION("REGEXREPLACE( $AR96, CONCATENATE(""["",BT96,""]""), """")"),"d")</f>
        <v>d</v>
      </c>
      <c r="BX96" s="6" t="str">
        <f>IFERROR(__xludf.DUMMYFUNCTION("REGEXREPLACE( $AR96, CONCATENATE(""["",BU96,""]""), """")"),"")</f>
        <v/>
      </c>
      <c r="BY96" s="12" t="str">
        <f t="shared" si="9"/>
        <v>gacfeb</v>
      </c>
      <c r="BZ96" s="12" t="str">
        <f>IFERROR(__xludf.DUMMYFUNCTION("CONCATENATE(SORT(TRANSPOSE(SPLIT(REGEXREPLACE(REGEXREPLACE(BY96&amp;"""",""(?s)(.{1})"",""$1""&amp;CHAR(127)),""'"",""''""),CHAR(127))),1,true),""1"")"),"abcefg1")</f>
        <v>abcefg1</v>
      </c>
      <c r="CA96" s="16"/>
      <c r="CB96" s="12" t="str">
        <f t="shared" si="10"/>
        <v>cda</v>
      </c>
      <c r="CC96" s="12" t="str">
        <f>IFERROR(__xludf.DUMMYFUNCTION("CONCATENATE(SORT(TRANSPOSE(SPLIT(REGEXREPLACE(REGEXREPLACE(CB96&amp;"""",""(?s)(.{1})"",""$1""&amp;CHAR(127)),""'"",""''""),CHAR(127))),1,true),""1"")"),"acd1")</f>
        <v>acd1</v>
      </c>
      <c r="CD96" s="16"/>
      <c r="CE96" s="12" t="str">
        <f t="shared" si="11"/>
        <v>cabegfd</v>
      </c>
      <c r="CF96" s="12" t="str">
        <f>IFERROR(__xludf.DUMMYFUNCTION("CONCATENATE(SORT(TRANSPOSE(SPLIT(REGEXREPLACE(REGEXREPLACE(CE96&amp;"""",""(?s)(.{1})"",""$1""&amp;CHAR(127)),""'"",""''""),CHAR(127))),1,true),""1"")"),"abcdefg1")</f>
        <v>abcdefg1</v>
      </c>
      <c r="CG96" s="16"/>
      <c r="CH96" s="10" t="str">
        <f>IFERROR(__xludf.DUMMYFUNCTION("FILTER(K96:T96,len(K96:T96)=6)"),"agbdfc")</f>
        <v>agbdfc</v>
      </c>
      <c r="CI96" s="6" t="str">
        <f>IFERROR(__xludf.DUMMYFUNCTION("""COMPUTED_VALUE"""),"gacfeb")</f>
        <v>gacfeb</v>
      </c>
      <c r="CJ96" s="6" t="str">
        <f>IFERROR(__xludf.DUMMYFUNCTION("""COMPUTED_VALUE"""),"fdbcea")</f>
        <v>fdbcea</v>
      </c>
      <c r="CK96" s="6" t="str">
        <f>IFERROR(__xludf.DUMMYFUNCTION("REGEXREPLACE( $BG96, CONCATENATE(""["",CH96,""]""), """")"),"e")</f>
        <v>e</v>
      </c>
      <c r="CL96" s="6" t="str">
        <f>IFERROR(__xludf.DUMMYFUNCTION("REGEXREPLACE( $BG96, CONCATENATE(""["",CI96,""]""), """")"),"d")</f>
        <v>d</v>
      </c>
      <c r="CM96" s="6" t="str">
        <f>IFERROR(__xludf.DUMMYFUNCTION("REGEXREPLACE( $BG96, CONCATENATE(""["",CJ96,""]""), """")"),"")</f>
        <v/>
      </c>
      <c r="CN96" s="12" t="str">
        <f t="shared" si="12"/>
        <v>fdbcea</v>
      </c>
      <c r="CO96" s="12" t="str">
        <f>IFERROR(__xludf.DUMMYFUNCTION("CONCATENATE(SORT(TRANSPOSE(SPLIT(REGEXREPLACE(REGEXREPLACE(CN96&amp;"""",""(?s)(.{1})"",""$1""&amp;CHAR(127)),""'"",""''""),CHAR(127))),1,true),""1"")"),"abcdef1")</f>
        <v>abcdef1</v>
      </c>
      <c r="CP96" s="15"/>
    </row>
    <row r="97">
      <c r="A97" s="1" t="s">
        <v>117</v>
      </c>
      <c r="H97" s="6" t="str">
        <f>IFERROR(__xludf.DUMMYFUNCTION("SPLIT(A97,""|"")"),"gbdeac beafgc fae bdcef cgeba aebcf aefbgdc fgdcae fa fabg ")</f>
        <v>gbdeac beafgc fae bdcef cgeba aebcf aefbgdc fgdcae fa fabg </v>
      </c>
      <c r="I97" s="6" t="str">
        <f>IFERROR(__xludf.DUMMYFUNCTION("""COMPUTED_VALUE""")," bdcfgae fgdaceb af cbefa")</f>
        <v> bdcfgae fgdaceb af cbefa</v>
      </c>
      <c r="J97" s="15"/>
      <c r="K97" s="6" t="str">
        <f>IFERROR(__xludf.DUMMYFUNCTION("split(H97,"" "")"),"gbdeac")</f>
        <v>gbdeac</v>
      </c>
      <c r="L97" s="6" t="str">
        <f>IFERROR(__xludf.DUMMYFUNCTION("""COMPUTED_VALUE"""),"beafgc")</f>
        <v>beafgc</v>
      </c>
      <c r="M97" s="6" t="str">
        <f>IFERROR(__xludf.DUMMYFUNCTION("""COMPUTED_VALUE"""),"fae")</f>
        <v>fae</v>
      </c>
      <c r="N97" s="6" t="str">
        <f>IFERROR(__xludf.DUMMYFUNCTION("""COMPUTED_VALUE"""),"bdcef")</f>
        <v>bdcef</v>
      </c>
      <c r="O97" s="6" t="str">
        <f>IFERROR(__xludf.DUMMYFUNCTION("""COMPUTED_VALUE"""),"cgeba")</f>
        <v>cgeba</v>
      </c>
      <c r="P97" s="6" t="str">
        <f>IFERROR(__xludf.DUMMYFUNCTION("""COMPUTED_VALUE"""),"aebcf")</f>
        <v>aebcf</v>
      </c>
      <c r="Q97" s="6" t="str">
        <f>IFERROR(__xludf.DUMMYFUNCTION("""COMPUTED_VALUE"""),"aefbgdc")</f>
        <v>aefbgdc</v>
      </c>
      <c r="R97" s="6" t="str">
        <f>IFERROR(__xludf.DUMMYFUNCTION("""COMPUTED_VALUE"""),"fgdcae")</f>
        <v>fgdcae</v>
      </c>
      <c r="S97" s="6" t="str">
        <f>IFERROR(__xludf.DUMMYFUNCTION("""COMPUTED_VALUE"""),"fa")</f>
        <v>fa</v>
      </c>
      <c r="T97" s="6" t="str">
        <f>IFERROR(__xludf.DUMMYFUNCTION("""COMPUTED_VALUE"""),"fabg")</f>
        <v>fabg</v>
      </c>
      <c r="U97" s="15"/>
      <c r="V97" s="6" t="str">
        <f>IFERROR(__xludf.DUMMYFUNCTION("split(I97,"" "")"),"bdcfgae")</f>
        <v>bdcfgae</v>
      </c>
      <c r="W97" s="6" t="str">
        <f>IFERROR(__xludf.DUMMYFUNCTION("""COMPUTED_VALUE"""),"fgdaceb")</f>
        <v>fgdaceb</v>
      </c>
      <c r="X97" s="6" t="str">
        <f>IFERROR(__xludf.DUMMYFUNCTION("""COMPUTED_VALUE"""),"af")</f>
        <v>af</v>
      </c>
      <c r="Y97" s="6" t="str">
        <f>IFERROR(__xludf.DUMMYFUNCTION("""COMPUTED_VALUE"""),"cbefa")</f>
        <v>cbefa</v>
      </c>
      <c r="Z97" s="6" t="str">
        <f>IFERROR(__xludf.DUMMYFUNCTION("CONCATENATE(SORT(TRANSPOSE(SPLIT(REGEXREPLACE(REGEXREPLACE(V97&amp;"""",""(?s)(.{1})"",""$1""&amp;CHAR(127)),""'"",""''""),CHAR(127))),1,true))"),"abcdefg")</f>
        <v>abcdefg</v>
      </c>
      <c r="AA97" s="6" t="str">
        <f>IFERROR(__xludf.DUMMYFUNCTION("CONCATENATE(SORT(TRANSPOSE(SPLIT(REGEXREPLACE(REGEXREPLACE(W97&amp;"""",""(?s)(.{1})"",""$1""&amp;CHAR(127)),""'"",""''""),CHAR(127))),1,true))"),"abcdefg")</f>
        <v>abcdefg</v>
      </c>
      <c r="AB97" s="6" t="str">
        <f>IFERROR(__xludf.DUMMYFUNCTION("CONCATENATE(SORT(TRANSPOSE(SPLIT(REGEXREPLACE(REGEXREPLACE(X97&amp;"""",""(?s)(.{1})"",""$1""&amp;CHAR(127)),""'"",""''""),CHAR(127))),1,true))"),"af")</f>
        <v>af</v>
      </c>
      <c r="AC97" s="6" t="str">
        <f>IFERROR(__xludf.DUMMYFUNCTION("CONCATENATE(SORT(TRANSPOSE(SPLIT(REGEXREPLACE(REGEXREPLACE(Y97&amp;"""",""(?s)(.{1})"",""$1""&amp;CHAR(127)),""'"",""''""),CHAR(127))),1,true))"),"abcef")</f>
        <v>abcef</v>
      </c>
      <c r="AD97" s="6">
        <f t="shared" ref="AD97:AG97" si="107">INDEX($AO$1:$CP$1,1,MATCH(CONCATENATE(Z97,"1"),$AO97:$CP97,0)+1)</f>
        <v>8</v>
      </c>
      <c r="AE97" s="6">
        <f t="shared" si="107"/>
        <v>8</v>
      </c>
      <c r="AF97" s="6">
        <f t="shared" si="107"/>
        <v>1</v>
      </c>
      <c r="AG97" s="6">
        <f t="shared" si="107"/>
        <v>3</v>
      </c>
      <c r="AH97" s="6">
        <f t="shared" si="3"/>
        <v>8813</v>
      </c>
      <c r="AI97" s="16"/>
      <c r="AJ97" s="9" t="str">
        <f>IFERROR(__xludf.DUMMYFUNCTION("REGEXREPLACE(AR97,CONCATENATE(""["",BY97,""]""),"""")"),"f")</f>
        <v>f</v>
      </c>
      <c r="AK97" s="10" t="str">
        <f>IFERROR(__xludf.DUMMYFUNCTION("FILTER($K97:$T97,len($K97:$T97)=6,NOT($K97:$T97=BY97))"),"beafgc")</f>
        <v>beafgc</v>
      </c>
      <c r="AL97" s="6" t="str">
        <f>IFERROR(__xludf.DUMMYFUNCTION("""COMPUTED_VALUE"""),"fgdcae")</f>
        <v>fgdcae</v>
      </c>
      <c r="AM97" s="6" t="str">
        <f>IFERROR(__xludf.DUMMYFUNCTION("REGEXREPLACE( $BG97, CONCATENATE(""["",AK97,""]""), """")"),"")</f>
        <v/>
      </c>
      <c r="AN97" s="6" t="str">
        <f>IFERROR(__xludf.DUMMYFUNCTION("REGEXREPLACE( $BG97, CONCATENATE(""["",AL97,""]""), """")"),"b")</f>
        <v>b</v>
      </c>
      <c r="AO97" s="11" t="str">
        <f t="shared" si="4"/>
        <v>fgdcae</v>
      </c>
      <c r="AP97" s="12" t="str">
        <f>IFERROR(__xludf.DUMMYFUNCTION("CONCATENATE(SORT(TRANSPOSE(SPLIT(REGEXREPLACE(REGEXREPLACE(AO97&amp;"""",""(?s)(.{1})"",""$1""&amp;CHAR(127)),""'"",""''""),CHAR(127))),1,true),""1"")"),"acdefg1")</f>
        <v>acdefg1</v>
      </c>
      <c r="AQ97" s="16"/>
      <c r="AR97" s="12" t="str">
        <f t="shared" si="5"/>
        <v>fa</v>
      </c>
      <c r="AS97" s="12" t="str">
        <f>IFERROR(__xludf.DUMMYFUNCTION("CONCATENATE(SORT(TRANSPOSE(SPLIT(REGEXREPLACE(REGEXREPLACE(AR97&amp;"""",""(?s)(.{1})"",""$1""&amp;CHAR(127)),""'"",""''""),CHAR(127))),1,true),""1"")"),"af1")</f>
        <v>af1</v>
      </c>
      <c r="AT97" s="16"/>
      <c r="AU97" s="13" t="str">
        <f>IFERROR(__xludf.DUMMYFUNCTION("FILTER($K97:$T97,len($K97:$T97)=5,NOT($K97:$T97=BD97),NOT($K97:$T97=BP97))"),"bdcef")</f>
        <v>bdcef</v>
      </c>
      <c r="AV97" s="12" t="str">
        <f>IFERROR(__xludf.DUMMYFUNCTION("CONCATENATE(SORT(TRANSPOSE(SPLIT(REGEXREPLACE(REGEXREPLACE(AU97&amp;"""",""(?s)(.{1})"",""$1""&amp;CHAR(127)),""'"",""''""),CHAR(127))),1,true),""1"")"),"bcdef1")</f>
        <v>bcdef1</v>
      </c>
      <c r="AW97" s="16"/>
      <c r="AX97" s="10" t="str">
        <f>IFERROR(__xludf.DUMMYFUNCTION("FILTER($K97:$T97,len($K97:$T97)=5)"),"bdcef")</f>
        <v>bdcef</v>
      </c>
      <c r="AY97" s="6" t="str">
        <f>IFERROR(__xludf.DUMMYFUNCTION("""COMPUTED_VALUE"""),"cgeba")</f>
        <v>cgeba</v>
      </c>
      <c r="AZ97" s="6" t="str">
        <f>IFERROR(__xludf.DUMMYFUNCTION("""COMPUTED_VALUE"""),"aebcf")</f>
        <v>aebcf</v>
      </c>
      <c r="BA97" s="6" t="str">
        <f>IFERROR(__xludf.DUMMYFUNCTION("REGEXREPLACE( $AR97, CONCATENATE(""["",AX97,""]""), """")"),"a")</f>
        <v>a</v>
      </c>
      <c r="BB97" s="6" t="str">
        <f>IFERROR(__xludf.DUMMYFUNCTION("REGEXREPLACE( $AR97, CONCATENATE(""["",AY97,""]""), """")"),"f")</f>
        <v>f</v>
      </c>
      <c r="BC97" s="6" t="str">
        <f>IFERROR(__xludf.DUMMYFUNCTION("REGEXREPLACE( $AR97, CONCATENATE(""["",AZ97,""]""), """")"),"")</f>
        <v/>
      </c>
      <c r="BD97" s="11" t="str">
        <f t="shared" si="6"/>
        <v>aebcf</v>
      </c>
      <c r="BE97" s="12" t="str">
        <f>IFERROR(__xludf.DUMMYFUNCTION("CONCATENATE(SORT(TRANSPOSE(SPLIT(REGEXREPLACE(REGEXREPLACE(BD97&amp;"""",""(?s)(.{1})"",""$1""&amp;CHAR(127)),""'"",""''""),CHAR(127))),1,true),""1"")"),"abcef1")</f>
        <v>abcef1</v>
      </c>
      <c r="BF97" s="16"/>
      <c r="BG97" s="12" t="str">
        <f t="shared" si="7"/>
        <v>fabg</v>
      </c>
      <c r="BH97" s="12" t="str">
        <f>IFERROR(__xludf.DUMMYFUNCTION("CONCATENATE(SORT(TRANSPOSE(SPLIT(REGEXREPLACE(REGEXREPLACE(BG97&amp;"""",""(?s)(.{1})"",""$1""&amp;CHAR(127)),""'"",""''""),CHAR(127))),1,true),""1"")"),"abfg1")</f>
        <v>abfg1</v>
      </c>
      <c r="BI97" s="16"/>
      <c r="BJ97" s="10" t="str">
        <f>IFERROR(__xludf.DUMMYFUNCTION("FILTER($K97:$T97,len($K97:$T97)=5)"),"bdcef")</f>
        <v>bdcef</v>
      </c>
      <c r="BK97" s="6" t="str">
        <f>IFERROR(__xludf.DUMMYFUNCTION("""COMPUTED_VALUE"""),"cgeba")</f>
        <v>cgeba</v>
      </c>
      <c r="BL97" s="6" t="str">
        <f>IFERROR(__xludf.DUMMYFUNCTION("""COMPUTED_VALUE"""),"aebcf")</f>
        <v>aebcf</v>
      </c>
      <c r="BM97" s="14" t="str">
        <f>IFERROR(__xludf.DUMMYFUNCTION("REGEXREPLACE( $BY97, CONCATENATE(""["",BJ97,""]""), """")"),"ga")</f>
        <v>ga</v>
      </c>
      <c r="BN97" s="14" t="str">
        <f>IFERROR(__xludf.DUMMYFUNCTION("REGEXREPLACE( $BY97, CONCATENATE(""["",BK97,""]""), """")"),"d")</f>
        <v>d</v>
      </c>
      <c r="BO97" s="14" t="str">
        <f>IFERROR(__xludf.DUMMYFUNCTION("REGEXREPLACE( $BY97, CONCATENATE(""["",BL97,""]""), """")"),"gd")</f>
        <v>gd</v>
      </c>
      <c r="BP97" s="11" t="str">
        <f t="shared" si="8"/>
        <v>cgeba</v>
      </c>
      <c r="BQ97" s="12" t="str">
        <f>IFERROR(__xludf.DUMMYFUNCTION("CONCATENATE(SORT(TRANSPOSE(SPLIT(REGEXREPLACE(REGEXREPLACE(BP97&amp;"""",""(?s)(.{1})"",""$1""&amp;CHAR(127)),""'"",""''""),CHAR(127))),1,true),""1"")"),"abceg1")</f>
        <v>abceg1</v>
      </c>
      <c r="BR97" s="16"/>
      <c r="BS97" s="10" t="str">
        <f>IFERROR(__xludf.DUMMYFUNCTION("FILTER(K97:T97,len(K97:T97)=6)"),"gbdeac")</f>
        <v>gbdeac</v>
      </c>
      <c r="BT97" s="6" t="str">
        <f>IFERROR(__xludf.DUMMYFUNCTION("""COMPUTED_VALUE"""),"beafgc")</f>
        <v>beafgc</v>
      </c>
      <c r="BU97" s="6" t="str">
        <f>IFERROR(__xludf.DUMMYFUNCTION("""COMPUTED_VALUE"""),"fgdcae")</f>
        <v>fgdcae</v>
      </c>
      <c r="BV97" s="6" t="str">
        <f>IFERROR(__xludf.DUMMYFUNCTION("REGEXREPLACE( $AR97, CONCATENATE(""["",BS97,""]""), """")"),"f")</f>
        <v>f</v>
      </c>
      <c r="BW97" s="6" t="str">
        <f>IFERROR(__xludf.DUMMYFUNCTION("REGEXREPLACE( $AR97, CONCATENATE(""["",BT97,""]""), """")"),"")</f>
        <v/>
      </c>
      <c r="BX97" s="6" t="str">
        <f>IFERROR(__xludf.DUMMYFUNCTION("REGEXREPLACE( $AR97, CONCATENATE(""["",BU97,""]""), """")"),"")</f>
        <v/>
      </c>
      <c r="BY97" s="12" t="str">
        <f t="shared" si="9"/>
        <v>gbdeac</v>
      </c>
      <c r="BZ97" s="12" t="str">
        <f>IFERROR(__xludf.DUMMYFUNCTION("CONCATENATE(SORT(TRANSPOSE(SPLIT(REGEXREPLACE(REGEXREPLACE(BY97&amp;"""",""(?s)(.{1})"",""$1""&amp;CHAR(127)),""'"",""''""),CHAR(127))),1,true),""1"")"),"abcdeg1")</f>
        <v>abcdeg1</v>
      </c>
      <c r="CA97" s="16"/>
      <c r="CB97" s="12" t="str">
        <f t="shared" si="10"/>
        <v>fae</v>
      </c>
      <c r="CC97" s="12" t="str">
        <f>IFERROR(__xludf.DUMMYFUNCTION("CONCATENATE(SORT(TRANSPOSE(SPLIT(REGEXREPLACE(REGEXREPLACE(CB97&amp;"""",""(?s)(.{1})"",""$1""&amp;CHAR(127)),""'"",""''""),CHAR(127))),1,true),""1"")"),"aef1")</f>
        <v>aef1</v>
      </c>
      <c r="CD97" s="16"/>
      <c r="CE97" s="12" t="str">
        <f t="shared" si="11"/>
        <v>aefbgdc</v>
      </c>
      <c r="CF97" s="12" t="str">
        <f>IFERROR(__xludf.DUMMYFUNCTION("CONCATENATE(SORT(TRANSPOSE(SPLIT(REGEXREPLACE(REGEXREPLACE(CE97&amp;"""",""(?s)(.{1})"",""$1""&amp;CHAR(127)),""'"",""''""),CHAR(127))),1,true),""1"")"),"abcdefg1")</f>
        <v>abcdefg1</v>
      </c>
      <c r="CG97" s="16"/>
      <c r="CH97" s="10" t="str">
        <f>IFERROR(__xludf.DUMMYFUNCTION("FILTER(K97:T97,len(K97:T97)=6)"),"gbdeac")</f>
        <v>gbdeac</v>
      </c>
      <c r="CI97" s="6" t="str">
        <f>IFERROR(__xludf.DUMMYFUNCTION("""COMPUTED_VALUE"""),"beafgc")</f>
        <v>beafgc</v>
      </c>
      <c r="CJ97" s="6" t="str">
        <f>IFERROR(__xludf.DUMMYFUNCTION("""COMPUTED_VALUE"""),"fgdcae")</f>
        <v>fgdcae</v>
      </c>
      <c r="CK97" s="6" t="str">
        <f>IFERROR(__xludf.DUMMYFUNCTION("REGEXREPLACE( $BG97, CONCATENATE(""["",CH97,""]""), """")"),"f")</f>
        <v>f</v>
      </c>
      <c r="CL97" s="6" t="str">
        <f>IFERROR(__xludf.DUMMYFUNCTION("REGEXREPLACE( $BG97, CONCATENATE(""["",CI97,""]""), """")"),"")</f>
        <v/>
      </c>
      <c r="CM97" s="6" t="str">
        <f>IFERROR(__xludf.DUMMYFUNCTION("REGEXREPLACE( $BG97, CONCATENATE(""["",CJ97,""]""), """")"),"b")</f>
        <v>b</v>
      </c>
      <c r="CN97" s="12" t="str">
        <f t="shared" si="12"/>
        <v>beafgc</v>
      </c>
      <c r="CO97" s="12" t="str">
        <f>IFERROR(__xludf.DUMMYFUNCTION("CONCATENATE(SORT(TRANSPOSE(SPLIT(REGEXREPLACE(REGEXREPLACE(CN97&amp;"""",""(?s)(.{1})"",""$1""&amp;CHAR(127)),""'"",""''""),CHAR(127))),1,true),""1"")"),"abcefg1")</f>
        <v>abcefg1</v>
      </c>
      <c r="CP97" s="15"/>
    </row>
    <row r="98">
      <c r="A98" s="1" t="s">
        <v>118</v>
      </c>
      <c r="H98" s="6" t="str">
        <f>IFERROR(__xludf.DUMMYFUNCTION("SPLIT(A98,""|"")"),"gfdabce acbde abgd fdbceg ecdag bd becfa edcbga bed fcgdae ")</f>
        <v>gfdabce acbde abgd fdbceg ecdag bd becfa edcbga bed fcgdae </v>
      </c>
      <c r="I98" s="6" t="str">
        <f>IFERROR(__xludf.DUMMYFUNCTION("""COMPUTED_VALUE""")," ebd gdba db feagbdc")</f>
        <v> ebd gdba db feagbdc</v>
      </c>
      <c r="J98" s="15"/>
      <c r="K98" s="6" t="str">
        <f>IFERROR(__xludf.DUMMYFUNCTION("split(H98,"" "")"),"gfdabce")</f>
        <v>gfdabce</v>
      </c>
      <c r="L98" s="6" t="str">
        <f>IFERROR(__xludf.DUMMYFUNCTION("""COMPUTED_VALUE"""),"acbde")</f>
        <v>acbde</v>
      </c>
      <c r="M98" s="6" t="str">
        <f>IFERROR(__xludf.DUMMYFUNCTION("""COMPUTED_VALUE"""),"abgd")</f>
        <v>abgd</v>
      </c>
      <c r="N98" s="6" t="str">
        <f>IFERROR(__xludf.DUMMYFUNCTION("""COMPUTED_VALUE"""),"fdbceg")</f>
        <v>fdbceg</v>
      </c>
      <c r="O98" s="6" t="str">
        <f>IFERROR(__xludf.DUMMYFUNCTION("""COMPUTED_VALUE"""),"ecdag")</f>
        <v>ecdag</v>
      </c>
      <c r="P98" s="6" t="str">
        <f>IFERROR(__xludf.DUMMYFUNCTION("""COMPUTED_VALUE"""),"bd")</f>
        <v>bd</v>
      </c>
      <c r="Q98" s="6" t="str">
        <f>IFERROR(__xludf.DUMMYFUNCTION("""COMPUTED_VALUE"""),"becfa")</f>
        <v>becfa</v>
      </c>
      <c r="R98" s="6" t="str">
        <f>IFERROR(__xludf.DUMMYFUNCTION("""COMPUTED_VALUE"""),"edcbga")</f>
        <v>edcbga</v>
      </c>
      <c r="S98" s="6" t="str">
        <f>IFERROR(__xludf.DUMMYFUNCTION("""COMPUTED_VALUE"""),"bed")</f>
        <v>bed</v>
      </c>
      <c r="T98" s="6" t="str">
        <f>IFERROR(__xludf.DUMMYFUNCTION("""COMPUTED_VALUE"""),"fcgdae")</f>
        <v>fcgdae</v>
      </c>
      <c r="U98" s="15"/>
      <c r="V98" s="6" t="str">
        <f>IFERROR(__xludf.DUMMYFUNCTION("split(I98,"" "")"),"ebd")</f>
        <v>ebd</v>
      </c>
      <c r="W98" s="6" t="str">
        <f>IFERROR(__xludf.DUMMYFUNCTION("""COMPUTED_VALUE"""),"gdba")</f>
        <v>gdba</v>
      </c>
      <c r="X98" s="6" t="str">
        <f>IFERROR(__xludf.DUMMYFUNCTION("""COMPUTED_VALUE"""),"db")</f>
        <v>db</v>
      </c>
      <c r="Y98" s="6" t="str">
        <f>IFERROR(__xludf.DUMMYFUNCTION("""COMPUTED_VALUE"""),"feagbdc")</f>
        <v>feagbdc</v>
      </c>
      <c r="Z98" s="6" t="str">
        <f>IFERROR(__xludf.DUMMYFUNCTION("CONCATENATE(SORT(TRANSPOSE(SPLIT(REGEXREPLACE(REGEXREPLACE(V98&amp;"""",""(?s)(.{1})"",""$1""&amp;CHAR(127)),""'"",""''""),CHAR(127))),1,true))"),"bde")</f>
        <v>bde</v>
      </c>
      <c r="AA98" s="6" t="str">
        <f>IFERROR(__xludf.DUMMYFUNCTION("CONCATENATE(SORT(TRANSPOSE(SPLIT(REGEXREPLACE(REGEXREPLACE(W98&amp;"""",""(?s)(.{1})"",""$1""&amp;CHAR(127)),""'"",""''""),CHAR(127))),1,true))"),"abdg")</f>
        <v>abdg</v>
      </c>
      <c r="AB98" s="6" t="str">
        <f>IFERROR(__xludf.DUMMYFUNCTION("CONCATENATE(SORT(TRANSPOSE(SPLIT(REGEXREPLACE(REGEXREPLACE(X98&amp;"""",""(?s)(.{1})"",""$1""&amp;CHAR(127)),""'"",""''""),CHAR(127))),1,true))"),"bd")</f>
        <v>bd</v>
      </c>
      <c r="AC98" s="6" t="str">
        <f>IFERROR(__xludf.DUMMYFUNCTION("CONCATENATE(SORT(TRANSPOSE(SPLIT(REGEXREPLACE(REGEXREPLACE(Y98&amp;"""",""(?s)(.{1})"",""$1""&amp;CHAR(127)),""'"",""''""),CHAR(127))),1,true))"),"abcdefg")</f>
        <v>abcdefg</v>
      </c>
      <c r="AD98" s="6">
        <f t="shared" ref="AD98:AG98" si="108">INDEX($AO$1:$CP$1,1,MATCH(CONCATENATE(Z98,"1"),$AO98:$CP98,0)+1)</f>
        <v>7</v>
      </c>
      <c r="AE98" s="6">
        <f t="shared" si="108"/>
        <v>4</v>
      </c>
      <c r="AF98" s="6">
        <f t="shared" si="108"/>
        <v>1</v>
      </c>
      <c r="AG98" s="6">
        <f t="shared" si="108"/>
        <v>8</v>
      </c>
      <c r="AH98" s="6">
        <f t="shared" si="3"/>
        <v>7418</v>
      </c>
      <c r="AI98" s="16"/>
      <c r="AJ98" s="9" t="str">
        <f>IFERROR(__xludf.DUMMYFUNCTION("REGEXREPLACE(AR98,CONCATENATE(""["",BY98,""]""),"""")"),"b")</f>
        <v>b</v>
      </c>
      <c r="AK98" s="10" t="str">
        <f>IFERROR(__xludf.DUMMYFUNCTION("FILTER($K98:$T98,len($K98:$T98)=6,NOT($K98:$T98=BY98))"),"fdbceg")</f>
        <v>fdbceg</v>
      </c>
      <c r="AL98" s="6" t="str">
        <f>IFERROR(__xludf.DUMMYFUNCTION("""COMPUTED_VALUE"""),"edcbga")</f>
        <v>edcbga</v>
      </c>
      <c r="AM98" s="6" t="str">
        <f>IFERROR(__xludf.DUMMYFUNCTION("REGEXREPLACE( $BG98, CONCATENATE(""["",AK98,""]""), """")"),"a")</f>
        <v>a</v>
      </c>
      <c r="AN98" s="6" t="str">
        <f>IFERROR(__xludf.DUMMYFUNCTION("REGEXREPLACE( $BG98, CONCATENATE(""["",AL98,""]""), """")"),"")</f>
        <v/>
      </c>
      <c r="AO98" s="11" t="str">
        <f t="shared" si="4"/>
        <v>fdbceg</v>
      </c>
      <c r="AP98" s="12" t="str">
        <f>IFERROR(__xludf.DUMMYFUNCTION("CONCATENATE(SORT(TRANSPOSE(SPLIT(REGEXREPLACE(REGEXREPLACE(AO98&amp;"""",""(?s)(.{1})"",""$1""&amp;CHAR(127)),""'"",""''""),CHAR(127))),1,true),""1"")"),"bcdefg1")</f>
        <v>bcdefg1</v>
      </c>
      <c r="AQ98" s="16"/>
      <c r="AR98" s="12" t="str">
        <f t="shared" si="5"/>
        <v>bd</v>
      </c>
      <c r="AS98" s="12" t="str">
        <f>IFERROR(__xludf.DUMMYFUNCTION("CONCATENATE(SORT(TRANSPOSE(SPLIT(REGEXREPLACE(REGEXREPLACE(AR98&amp;"""",""(?s)(.{1})"",""$1""&amp;CHAR(127)),""'"",""''""),CHAR(127))),1,true),""1"")"),"bd1")</f>
        <v>bd1</v>
      </c>
      <c r="AT98" s="16"/>
      <c r="AU98" s="13" t="str">
        <f>IFERROR(__xludf.DUMMYFUNCTION("FILTER($K98:$T98,len($K98:$T98)=5,NOT($K98:$T98=BD98),NOT($K98:$T98=BP98))"),"becfa")</f>
        <v>becfa</v>
      </c>
      <c r="AV98" s="12" t="str">
        <f>IFERROR(__xludf.DUMMYFUNCTION("CONCATENATE(SORT(TRANSPOSE(SPLIT(REGEXREPLACE(REGEXREPLACE(AU98&amp;"""",""(?s)(.{1})"",""$1""&amp;CHAR(127)),""'"",""''""),CHAR(127))),1,true),""1"")"),"abcef1")</f>
        <v>abcef1</v>
      </c>
      <c r="AW98" s="16"/>
      <c r="AX98" s="10" t="str">
        <f>IFERROR(__xludf.DUMMYFUNCTION("FILTER($K98:$T98,len($K98:$T98)=5)"),"acbde")</f>
        <v>acbde</v>
      </c>
      <c r="AY98" s="6" t="str">
        <f>IFERROR(__xludf.DUMMYFUNCTION("""COMPUTED_VALUE"""),"ecdag")</f>
        <v>ecdag</v>
      </c>
      <c r="AZ98" s="6" t="str">
        <f>IFERROR(__xludf.DUMMYFUNCTION("""COMPUTED_VALUE"""),"becfa")</f>
        <v>becfa</v>
      </c>
      <c r="BA98" s="6" t="str">
        <f>IFERROR(__xludf.DUMMYFUNCTION("REGEXREPLACE( $AR98, CONCATENATE(""["",AX98,""]""), """")"),"")</f>
        <v/>
      </c>
      <c r="BB98" s="6" t="str">
        <f>IFERROR(__xludf.DUMMYFUNCTION("REGEXREPLACE( $AR98, CONCATENATE(""["",AY98,""]""), """")"),"b")</f>
        <v>b</v>
      </c>
      <c r="BC98" s="6" t="str">
        <f>IFERROR(__xludf.DUMMYFUNCTION("REGEXREPLACE( $AR98, CONCATENATE(""["",AZ98,""]""), """")"),"d")</f>
        <v>d</v>
      </c>
      <c r="BD98" s="11" t="str">
        <f t="shared" si="6"/>
        <v>acbde</v>
      </c>
      <c r="BE98" s="12" t="str">
        <f>IFERROR(__xludf.DUMMYFUNCTION("CONCATENATE(SORT(TRANSPOSE(SPLIT(REGEXREPLACE(REGEXREPLACE(BD98&amp;"""",""(?s)(.{1})"",""$1""&amp;CHAR(127)),""'"",""''""),CHAR(127))),1,true),""1"")"),"abcde1")</f>
        <v>abcde1</v>
      </c>
      <c r="BF98" s="16"/>
      <c r="BG98" s="12" t="str">
        <f t="shared" si="7"/>
        <v>abgd</v>
      </c>
      <c r="BH98" s="12" t="str">
        <f>IFERROR(__xludf.DUMMYFUNCTION("CONCATENATE(SORT(TRANSPOSE(SPLIT(REGEXREPLACE(REGEXREPLACE(BG98&amp;"""",""(?s)(.{1})"",""$1""&amp;CHAR(127)),""'"",""''""),CHAR(127))),1,true),""1"")"),"abdg1")</f>
        <v>abdg1</v>
      </c>
      <c r="BI98" s="16"/>
      <c r="BJ98" s="10" t="str">
        <f>IFERROR(__xludf.DUMMYFUNCTION("FILTER($K98:$T98,len($K98:$T98)=5)"),"acbde")</f>
        <v>acbde</v>
      </c>
      <c r="BK98" s="6" t="str">
        <f>IFERROR(__xludf.DUMMYFUNCTION("""COMPUTED_VALUE"""),"ecdag")</f>
        <v>ecdag</v>
      </c>
      <c r="BL98" s="6" t="str">
        <f>IFERROR(__xludf.DUMMYFUNCTION("""COMPUTED_VALUE"""),"becfa")</f>
        <v>becfa</v>
      </c>
      <c r="BM98" s="14" t="str">
        <f>IFERROR(__xludf.DUMMYFUNCTION("REGEXREPLACE( $BY98, CONCATENATE(""["",BJ98,""]""), """")"),"fg")</f>
        <v>fg</v>
      </c>
      <c r="BN98" s="14" t="str">
        <f>IFERROR(__xludf.DUMMYFUNCTION("REGEXREPLACE( $BY98, CONCATENATE(""["",BK98,""]""), """")"),"f")</f>
        <v>f</v>
      </c>
      <c r="BO98" s="14" t="str">
        <f>IFERROR(__xludf.DUMMYFUNCTION("REGEXREPLACE( $BY98, CONCATENATE(""["",BL98,""]""), """")"),"gd")</f>
        <v>gd</v>
      </c>
      <c r="BP98" s="11" t="str">
        <f t="shared" si="8"/>
        <v>ecdag</v>
      </c>
      <c r="BQ98" s="12" t="str">
        <f>IFERROR(__xludf.DUMMYFUNCTION("CONCATENATE(SORT(TRANSPOSE(SPLIT(REGEXREPLACE(REGEXREPLACE(BP98&amp;"""",""(?s)(.{1})"",""$1""&amp;CHAR(127)),""'"",""''""),CHAR(127))),1,true),""1"")"),"acdeg1")</f>
        <v>acdeg1</v>
      </c>
      <c r="BR98" s="16"/>
      <c r="BS98" s="10" t="str">
        <f>IFERROR(__xludf.DUMMYFUNCTION("FILTER(K98:T98,len(K98:T98)=6)"),"fdbceg")</f>
        <v>fdbceg</v>
      </c>
      <c r="BT98" s="6" t="str">
        <f>IFERROR(__xludf.DUMMYFUNCTION("""COMPUTED_VALUE"""),"edcbga")</f>
        <v>edcbga</v>
      </c>
      <c r="BU98" s="6" t="str">
        <f>IFERROR(__xludf.DUMMYFUNCTION("""COMPUTED_VALUE"""),"fcgdae")</f>
        <v>fcgdae</v>
      </c>
      <c r="BV98" s="6" t="str">
        <f>IFERROR(__xludf.DUMMYFUNCTION("REGEXREPLACE( $AR98, CONCATENATE(""["",BS98,""]""), """")"),"")</f>
        <v/>
      </c>
      <c r="BW98" s="6" t="str">
        <f>IFERROR(__xludf.DUMMYFUNCTION("REGEXREPLACE( $AR98, CONCATENATE(""["",BT98,""]""), """")"),"")</f>
        <v/>
      </c>
      <c r="BX98" s="6" t="str">
        <f>IFERROR(__xludf.DUMMYFUNCTION("REGEXREPLACE( $AR98, CONCATENATE(""["",BU98,""]""), """")"),"b")</f>
        <v>b</v>
      </c>
      <c r="BY98" s="12" t="str">
        <f t="shared" si="9"/>
        <v>fcgdae</v>
      </c>
      <c r="BZ98" s="12" t="str">
        <f>IFERROR(__xludf.DUMMYFUNCTION("CONCATENATE(SORT(TRANSPOSE(SPLIT(REGEXREPLACE(REGEXREPLACE(BY98&amp;"""",""(?s)(.{1})"",""$1""&amp;CHAR(127)),""'"",""''""),CHAR(127))),1,true),""1"")"),"acdefg1")</f>
        <v>acdefg1</v>
      </c>
      <c r="CA98" s="16"/>
      <c r="CB98" s="12" t="str">
        <f t="shared" si="10"/>
        <v>bed</v>
      </c>
      <c r="CC98" s="12" t="str">
        <f>IFERROR(__xludf.DUMMYFUNCTION("CONCATENATE(SORT(TRANSPOSE(SPLIT(REGEXREPLACE(REGEXREPLACE(CB98&amp;"""",""(?s)(.{1})"",""$1""&amp;CHAR(127)),""'"",""''""),CHAR(127))),1,true),""1"")"),"bde1")</f>
        <v>bde1</v>
      </c>
      <c r="CD98" s="16"/>
      <c r="CE98" s="12" t="str">
        <f t="shared" si="11"/>
        <v>gfdabce</v>
      </c>
      <c r="CF98" s="12" t="str">
        <f>IFERROR(__xludf.DUMMYFUNCTION("CONCATENATE(SORT(TRANSPOSE(SPLIT(REGEXREPLACE(REGEXREPLACE(CE98&amp;"""",""(?s)(.{1})"",""$1""&amp;CHAR(127)),""'"",""''""),CHAR(127))),1,true),""1"")"),"abcdefg1")</f>
        <v>abcdefg1</v>
      </c>
      <c r="CG98" s="16"/>
      <c r="CH98" s="10" t="str">
        <f>IFERROR(__xludf.DUMMYFUNCTION("FILTER(K98:T98,len(K98:T98)=6)"),"fdbceg")</f>
        <v>fdbceg</v>
      </c>
      <c r="CI98" s="6" t="str">
        <f>IFERROR(__xludf.DUMMYFUNCTION("""COMPUTED_VALUE"""),"edcbga")</f>
        <v>edcbga</v>
      </c>
      <c r="CJ98" s="6" t="str">
        <f>IFERROR(__xludf.DUMMYFUNCTION("""COMPUTED_VALUE"""),"fcgdae")</f>
        <v>fcgdae</v>
      </c>
      <c r="CK98" s="6" t="str">
        <f>IFERROR(__xludf.DUMMYFUNCTION("REGEXREPLACE( $BG98, CONCATENATE(""["",CH98,""]""), """")"),"a")</f>
        <v>a</v>
      </c>
      <c r="CL98" s="6" t="str">
        <f>IFERROR(__xludf.DUMMYFUNCTION("REGEXREPLACE( $BG98, CONCATENATE(""["",CI98,""]""), """")"),"")</f>
        <v/>
      </c>
      <c r="CM98" s="6" t="str">
        <f>IFERROR(__xludf.DUMMYFUNCTION("REGEXREPLACE( $BG98, CONCATENATE(""["",CJ98,""]""), """")"),"b")</f>
        <v>b</v>
      </c>
      <c r="CN98" s="12" t="str">
        <f t="shared" si="12"/>
        <v>edcbga</v>
      </c>
      <c r="CO98" s="12" t="str">
        <f>IFERROR(__xludf.DUMMYFUNCTION("CONCATENATE(SORT(TRANSPOSE(SPLIT(REGEXREPLACE(REGEXREPLACE(CN98&amp;"""",""(?s)(.{1})"",""$1""&amp;CHAR(127)),""'"",""''""),CHAR(127))),1,true),""1"")"),"abcdeg1")</f>
        <v>abcdeg1</v>
      </c>
      <c r="CP98" s="15"/>
    </row>
    <row r="99">
      <c r="A99" s="1" t="s">
        <v>119</v>
      </c>
      <c r="H99" s="6" t="str">
        <f>IFERROR(__xludf.DUMMYFUNCTION("SPLIT(A99,""|"")"),"age gcbed gcbea dbcgfae acde fcabg acgbed ebfadg ea fcdbeg ")</f>
        <v>age gcbed gcbea dbcgfae acde fcabg acgbed ebfadg ea fcdbeg </v>
      </c>
      <c r="I99" s="6" t="str">
        <f>IFERROR(__xludf.DUMMYFUNCTION("""COMPUTED_VALUE""")," cade eagdcbf bcgeda daec")</f>
        <v> cade eagdcbf bcgeda daec</v>
      </c>
      <c r="J99" s="15"/>
      <c r="K99" s="6" t="str">
        <f>IFERROR(__xludf.DUMMYFUNCTION("split(H99,"" "")"),"age")</f>
        <v>age</v>
      </c>
      <c r="L99" s="6" t="str">
        <f>IFERROR(__xludf.DUMMYFUNCTION("""COMPUTED_VALUE"""),"gcbed")</f>
        <v>gcbed</v>
      </c>
      <c r="M99" s="6" t="str">
        <f>IFERROR(__xludf.DUMMYFUNCTION("""COMPUTED_VALUE"""),"gcbea")</f>
        <v>gcbea</v>
      </c>
      <c r="N99" s="6" t="str">
        <f>IFERROR(__xludf.DUMMYFUNCTION("""COMPUTED_VALUE"""),"dbcgfae")</f>
        <v>dbcgfae</v>
      </c>
      <c r="O99" s="6" t="str">
        <f>IFERROR(__xludf.DUMMYFUNCTION("""COMPUTED_VALUE"""),"acde")</f>
        <v>acde</v>
      </c>
      <c r="P99" s="6" t="str">
        <f>IFERROR(__xludf.DUMMYFUNCTION("""COMPUTED_VALUE"""),"fcabg")</f>
        <v>fcabg</v>
      </c>
      <c r="Q99" s="6" t="str">
        <f>IFERROR(__xludf.DUMMYFUNCTION("""COMPUTED_VALUE"""),"acgbed")</f>
        <v>acgbed</v>
      </c>
      <c r="R99" s="6" t="str">
        <f>IFERROR(__xludf.DUMMYFUNCTION("""COMPUTED_VALUE"""),"ebfadg")</f>
        <v>ebfadg</v>
      </c>
      <c r="S99" s="6" t="str">
        <f>IFERROR(__xludf.DUMMYFUNCTION("""COMPUTED_VALUE"""),"ea")</f>
        <v>ea</v>
      </c>
      <c r="T99" s="6" t="str">
        <f>IFERROR(__xludf.DUMMYFUNCTION("""COMPUTED_VALUE"""),"fcdbeg")</f>
        <v>fcdbeg</v>
      </c>
      <c r="U99" s="15"/>
      <c r="V99" s="6" t="str">
        <f>IFERROR(__xludf.DUMMYFUNCTION("split(I99,"" "")"),"cade")</f>
        <v>cade</v>
      </c>
      <c r="W99" s="6" t="str">
        <f>IFERROR(__xludf.DUMMYFUNCTION("""COMPUTED_VALUE"""),"eagdcbf")</f>
        <v>eagdcbf</v>
      </c>
      <c r="X99" s="6" t="str">
        <f>IFERROR(__xludf.DUMMYFUNCTION("""COMPUTED_VALUE"""),"bcgeda")</f>
        <v>bcgeda</v>
      </c>
      <c r="Y99" s="6" t="str">
        <f>IFERROR(__xludf.DUMMYFUNCTION("""COMPUTED_VALUE"""),"daec")</f>
        <v>daec</v>
      </c>
      <c r="Z99" s="6" t="str">
        <f>IFERROR(__xludf.DUMMYFUNCTION("CONCATENATE(SORT(TRANSPOSE(SPLIT(REGEXREPLACE(REGEXREPLACE(V99&amp;"""",""(?s)(.{1})"",""$1""&amp;CHAR(127)),""'"",""''""),CHAR(127))),1,true))"),"acde")</f>
        <v>acde</v>
      </c>
      <c r="AA99" s="6" t="str">
        <f>IFERROR(__xludf.DUMMYFUNCTION("CONCATENATE(SORT(TRANSPOSE(SPLIT(REGEXREPLACE(REGEXREPLACE(W99&amp;"""",""(?s)(.{1})"",""$1""&amp;CHAR(127)),""'"",""''""),CHAR(127))),1,true))"),"abcdefg")</f>
        <v>abcdefg</v>
      </c>
      <c r="AB99" s="6" t="str">
        <f>IFERROR(__xludf.DUMMYFUNCTION("CONCATENATE(SORT(TRANSPOSE(SPLIT(REGEXREPLACE(REGEXREPLACE(X99&amp;"""",""(?s)(.{1})"",""$1""&amp;CHAR(127)),""'"",""''""),CHAR(127))),1,true))"),"abcdeg")</f>
        <v>abcdeg</v>
      </c>
      <c r="AC99" s="6" t="str">
        <f>IFERROR(__xludf.DUMMYFUNCTION("CONCATENATE(SORT(TRANSPOSE(SPLIT(REGEXREPLACE(REGEXREPLACE(Y99&amp;"""",""(?s)(.{1})"",""$1""&amp;CHAR(127)),""'"",""''""),CHAR(127))),1,true))"),"acde")</f>
        <v>acde</v>
      </c>
      <c r="AD99" s="6">
        <f t="shared" ref="AD99:AG99" si="109">INDEX($AO$1:$CP$1,1,MATCH(CONCATENATE(Z99,"1"),$AO99:$CP99,0)+1)</f>
        <v>4</v>
      </c>
      <c r="AE99" s="6">
        <f t="shared" si="109"/>
        <v>8</v>
      </c>
      <c r="AF99" s="6">
        <f t="shared" si="109"/>
        <v>9</v>
      </c>
      <c r="AG99" s="6">
        <f t="shared" si="109"/>
        <v>4</v>
      </c>
      <c r="AH99" s="6">
        <f t="shared" si="3"/>
        <v>4894</v>
      </c>
      <c r="AI99" s="16"/>
      <c r="AJ99" s="9" t="str">
        <f>IFERROR(__xludf.DUMMYFUNCTION("REGEXREPLACE(AR99,CONCATENATE(""["",BY99,""]""),"""")"),"a")</f>
        <v>a</v>
      </c>
      <c r="AK99" s="10" t="str">
        <f>IFERROR(__xludf.DUMMYFUNCTION("FILTER($K99:$T99,len($K99:$T99)=6,NOT($K99:$T99=BY99))"),"acgbed")</f>
        <v>acgbed</v>
      </c>
      <c r="AL99" s="6" t="str">
        <f>IFERROR(__xludf.DUMMYFUNCTION("""COMPUTED_VALUE"""),"ebfadg")</f>
        <v>ebfadg</v>
      </c>
      <c r="AM99" s="6" t="str">
        <f>IFERROR(__xludf.DUMMYFUNCTION("REGEXREPLACE( $BG99, CONCATENATE(""["",AK99,""]""), """")"),"")</f>
        <v/>
      </c>
      <c r="AN99" s="6" t="str">
        <f>IFERROR(__xludf.DUMMYFUNCTION("REGEXREPLACE( $BG99, CONCATENATE(""["",AL99,""]""), """")"),"c")</f>
        <v>c</v>
      </c>
      <c r="AO99" s="11" t="str">
        <f t="shared" si="4"/>
        <v>ebfadg</v>
      </c>
      <c r="AP99" s="12" t="str">
        <f>IFERROR(__xludf.DUMMYFUNCTION("CONCATENATE(SORT(TRANSPOSE(SPLIT(REGEXREPLACE(REGEXREPLACE(AO99&amp;"""",""(?s)(.{1})"",""$1""&amp;CHAR(127)),""'"",""''""),CHAR(127))),1,true),""1"")"),"abdefg1")</f>
        <v>abdefg1</v>
      </c>
      <c r="AQ99" s="16"/>
      <c r="AR99" s="12" t="str">
        <f t="shared" si="5"/>
        <v>ea</v>
      </c>
      <c r="AS99" s="12" t="str">
        <f>IFERROR(__xludf.DUMMYFUNCTION("CONCATENATE(SORT(TRANSPOSE(SPLIT(REGEXREPLACE(REGEXREPLACE(AR99&amp;"""",""(?s)(.{1})"",""$1""&amp;CHAR(127)),""'"",""''""),CHAR(127))),1,true),""1"")"),"ae1")</f>
        <v>ae1</v>
      </c>
      <c r="AT99" s="16"/>
      <c r="AU99" s="13" t="str">
        <f>IFERROR(__xludf.DUMMYFUNCTION("FILTER($K99:$T99,len($K99:$T99)=5,NOT($K99:$T99=BD99),NOT($K99:$T99=BP99))"),"fcabg")</f>
        <v>fcabg</v>
      </c>
      <c r="AV99" s="12" t="str">
        <f>IFERROR(__xludf.DUMMYFUNCTION("CONCATENATE(SORT(TRANSPOSE(SPLIT(REGEXREPLACE(REGEXREPLACE(AU99&amp;"""",""(?s)(.{1})"",""$1""&amp;CHAR(127)),""'"",""''""),CHAR(127))),1,true),""1"")"),"abcfg1")</f>
        <v>abcfg1</v>
      </c>
      <c r="AW99" s="16"/>
      <c r="AX99" s="10" t="str">
        <f>IFERROR(__xludf.DUMMYFUNCTION("FILTER($K99:$T99,len($K99:$T99)=5)"),"gcbed")</f>
        <v>gcbed</v>
      </c>
      <c r="AY99" s="6" t="str">
        <f>IFERROR(__xludf.DUMMYFUNCTION("""COMPUTED_VALUE"""),"gcbea")</f>
        <v>gcbea</v>
      </c>
      <c r="AZ99" s="6" t="str">
        <f>IFERROR(__xludf.DUMMYFUNCTION("""COMPUTED_VALUE"""),"fcabg")</f>
        <v>fcabg</v>
      </c>
      <c r="BA99" s="6" t="str">
        <f>IFERROR(__xludf.DUMMYFUNCTION("REGEXREPLACE( $AR99, CONCATENATE(""["",AX99,""]""), """")"),"a")</f>
        <v>a</v>
      </c>
      <c r="BB99" s="6" t="str">
        <f>IFERROR(__xludf.DUMMYFUNCTION("REGEXREPLACE( $AR99, CONCATENATE(""["",AY99,""]""), """")"),"")</f>
        <v/>
      </c>
      <c r="BC99" s="6" t="str">
        <f>IFERROR(__xludf.DUMMYFUNCTION("REGEXREPLACE( $AR99, CONCATENATE(""["",AZ99,""]""), """")"),"e")</f>
        <v>e</v>
      </c>
      <c r="BD99" s="11" t="str">
        <f t="shared" si="6"/>
        <v>gcbea</v>
      </c>
      <c r="BE99" s="12" t="str">
        <f>IFERROR(__xludf.DUMMYFUNCTION("CONCATENATE(SORT(TRANSPOSE(SPLIT(REGEXREPLACE(REGEXREPLACE(BD99&amp;"""",""(?s)(.{1})"",""$1""&amp;CHAR(127)),""'"",""''""),CHAR(127))),1,true),""1"")"),"abceg1")</f>
        <v>abceg1</v>
      </c>
      <c r="BF99" s="16"/>
      <c r="BG99" s="12" t="str">
        <f t="shared" si="7"/>
        <v>acde</v>
      </c>
      <c r="BH99" s="12" t="str">
        <f>IFERROR(__xludf.DUMMYFUNCTION("CONCATENATE(SORT(TRANSPOSE(SPLIT(REGEXREPLACE(REGEXREPLACE(BG99&amp;"""",""(?s)(.{1})"",""$1""&amp;CHAR(127)),""'"",""''""),CHAR(127))),1,true),""1"")"),"acde1")</f>
        <v>acde1</v>
      </c>
      <c r="BI99" s="16"/>
      <c r="BJ99" s="10" t="str">
        <f>IFERROR(__xludf.DUMMYFUNCTION("FILTER($K99:$T99,len($K99:$T99)=5)"),"gcbed")</f>
        <v>gcbed</v>
      </c>
      <c r="BK99" s="6" t="str">
        <f>IFERROR(__xludf.DUMMYFUNCTION("""COMPUTED_VALUE"""),"gcbea")</f>
        <v>gcbea</v>
      </c>
      <c r="BL99" s="6" t="str">
        <f>IFERROR(__xludf.DUMMYFUNCTION("""COMPUTED_VALUE"""),"fcabg")</f>
        <v>fcabg</v>
      </c>
      <c r="BM99" s="14" t="str">
        <f>IFERROR(__xludf.DUMMYFUNCTION("REGEXREPLACE( $BY99, CONCATENATE(""["",BJ99,""]""), """")"),"f")</f>
        <v>f</v>
      </c>
      <c r="BN99" s="14" t="str">
        <f>IFERROR(__xludf.DUMMYFUNCTION("REGEXREPLACE( $BY99, CONCATENATE(""["",BK99,""]""), """")"),"fd")</f>
        <v>fd</v>
      </c>
      <c r="BO99" s="14" t="str">
        <f>IFERROR(__xludf.DUMMYFUNCTION("REGEXREPLACE( $BY99, CONCATENATE(""["",BL99,""]""), """")"),"de")</f>
        <v>de</v>
      </c>
      <c r="BP99" s="11" t="str">
        <f t="shared" si="8"/>
        <v>gcbed</v>
      </c>
      <c r="BQ99" s="12" t="str">
        <f>IFERROR(__xludf.DUMMYFUNCTION("CONCATENATE(SORT(TRANSPOSE(SPLIT(REGEXREPLACE(REGEXREPLACE(BP99&amp;"""",""(?s)(.{1})"",""$1""&amp;CHAR(127)),""'"",""''""),CHAR(127))),1,true),""1"")"),"bcdeg1")</f>
        <v>bcdeg1</v>
      </c>
      <c r="BR99" s="16"/>
      <c r="BS99" s="10" t="str">
        <f>IFERROR(__xludf.DUMMYFUNCTION("FILTER(K99:T99,len(K99:T99)=6)"),"acgbed")</f>
        <v>acgbed</v>
      </c>
      <c r="BT99" s="6" t="str">
        <f>IFERROR(__xludf.DUMMYFUNCTION("""COMPUTED_VALUE"""),"ebfadg")</f>
        <v>ebfadg</v>
      </c>
      <c r="BU99" s="6" t="str">
        <f>IFERROR(__xludf.DUMMYFUNCTION("""COMPUTED_VALUE"""),"fcdbeg")</f>
        <v>fcdbeg</v>
      </c>
      <c r="BV99" s="6" t="str">
        <f>IFERROR(__xludf.DUMMYFUNCTION("REGEXREPLACE( $AR99, CONCATENATE(""["",BS99,""]""), """")"),"")</f>
        <v/>
      </c>
      <c r="BW99" s="6" t="str">
        <f>IFERROR(__xludf.DUMMYFUNCTION("REGEXREPLACE( $AR99, CONCATENATE(""["",BT99,""]""), """")"),"")</f>
        <v/>
      </c>
      <c r="BX99" s="6" t="str">
        <f>IFERROR(__xludf.DUMMYFUNCTION("REGEXREPLACE( $AR99, CONCATENATE(""["",BU99,""]""), """")"),"a")</f>
        <v>a</v>
      </c>
      <c r="BY99" s="12" t="str">
        <f t="shared" si="9"/>
        <v>fcdbeg</v>
      </c>
      <c r="BZ99" s="12" t="str">
        <f>IFERROR(__xludf.DUMMYFUNCTION("CONCATENATE(SORT(TRANSPOSE(SPLIT(REGEXREPLACE(REGEXREPLACE(BY99&amp;"""",""(?s)(.{1})"",""$1""&amp;CHAR(127)),""'"",""''""),CHAR(127))),1,true),""1"")"),"bcdefg1")</f>
        <v>bcdefg1</v>
      </c>
      <c r="CA99" s="16"/>
      <c r="CB99" s="12" t="str">
        <f t="shared" si="10"/>
        <v>age</v>
      </c>
      <c r="CC99" s="12" t="str">
        <f>IFERROR(__xludf.DUMMYFUNCTION("CONCATENATE(SORT(TRANSPOSE(SPLIT(REGEXREPLACE(REGEXREPLACE(CB99&amp;"""",""(?s)(.{1})"",""$1""&amp;CHAR(127)),""'"",""''""),CHAR(127))),1,true),""1"")"),"aeg1")</f>
        <v>aeg1</v>
      </c>
      <c r="CD99" s="16"/>
      <c r="CE99" s="12" t="str">
        <f t="shared" si="11"/>
        <v>dbcgfae</v>
      </c>
      <c r="CF99" s="12" t="str">
        <f>IFERROR(__xludf.DUMMYFUNCTION("CONCATENATE(SORT(TRANSPOSE(SPLIT(REGEXREPLACE(REGEXREPLACE(CE99&amp;"""",""(?s)(.{1})"",""$1""&amp;CHAR(127)),""'"",""''""),CHAR(127))),1,true),""1"")"),"abcdefg1")</f>
        <v>abcdefg1</v>
      </c>
      <c r="CG99" s="16"/>
      <c r="CH99" s="10" t="str">
        <f>IFERROR(__xludf.DUMMYFUNCTION("FILTER(K99:T99,len(K99:T99)=6)"),"acgbed")</f>
        <v>acgbed</v>
      </c>
      <c r="CI99" s="6" t="str">
        <f>IFERROR(__xludf.DUMMYFUNCTION("""COMPUTED_VALUE"""),"ebfadg")</f>
        <v>ebfadg</v>
      </c>
      <c r="CJ99" s="6" t="str">
        <f>IFERROR(__xludf.DUMMYFUNCTION("""COMPUTED_VALUE"""),"fcdbeg")</f>
        <v>fcdbeg</v>
      </c>
      <c r="CK99" s="6" t="str">
        <f>IFERROR(__xludf.DUMMYFUNCTION("REGEXREPLACE( $BG99, CONCATENATE(""["",CH99,""]""), """")"),"")</f>
        <v/>
      </c>
      <c r="CL99" s="6" t="str">
        <f>IFERROR(__xludf.DUMMYFUNCTION("REGEXREPLACE( $BG99, CONCATENATE(""["",CI99,""]""), """")"),"c")</f>
        <v>c</v>
      </c>
      <c r="CM99" s="6" t="str">
        <f>IFERROR(__xludf.DUMMYFUNCTION("REGEXREPLACE( $BG99, CONCATENATE(""["",CJ99,""]""), """")"),"a")</f>
        <v>a</v>
      </c>
      <c r="CN99" s="12" t="str">
        <f t="shared" si="12"/>
        <v>acgbed</v>
      </c>
      <c r="CO99" s="12" t="str">
        <f>IFERROR(__xludf.DUMMYFUNCTION("CONCATENATE(SORT(TRANSPOSE(SPLIT(REGEXREPLACE(REGEXREPLACE(CN99&amp;"""",""(?s)(.{1})"",""$1""&amp;CHAR(127)),""'"",""''""),CHAR(127))),1,true),""1"")"),"abcdeg1")</f>
        <v>abcdeg1</v>
      </c>
      <c r="CP99" s="15"/>
    </row>
    <row r="100">
      <c r="A100" s="1" t="s">
        <v>120</v>
      </c>
      <c r="H100" s="6" t="str">
        <f>IFERROR(__xludf.DUMMYFUNCTION("SPLIT(A100,""|"")"),"afgbcd edfcg dcf fgbade cegbf dc afegdbc adce efdag fgeadc ")</f>
        <v>afgbcd edfcg dcf fgbade cegbf dc afegdbc adce efdag fgeadc </v>
      </c>
      <c r="I100" s="6" t="str">
        <f>IFERROR(__xludf.DUMMYFUNCTION("""COMPUTED_VALUE""")," dcfegab gedabfc dagef fcbeadg")</f>
        <v> dcfegab gedabfc dagef fcbeadg</v>
      </c>
      <c r="J100" s="15"/>
      <c r="K100" s="6" t="str">
        <f>IFERROR(__xludf.DUMMYFUNCTION("split(H100,"" "")"),"afgbcd")</f>
        <v>afgbcd</v>
      </c>
      <c r="L100" s="6" t="str">
        <f>IFERROR(__xludf.DUMMYFUNCTION("""COMPUTED_VALUE"""),"edfcg")</f>
        <v>edfcg</v>
      </c>
      <c r="M100" s="6" t="str">
        <f>IFERROR(__xludf.DUMMYFUNCTION("""COMPUTED_VALUE"""),"dcf")</f>
        <v>dcf</v>
      </c>
      <c r="N100" s="6" t="str">
        <f>IFERROR(__xludf.DUMMYFUNCTION("""COMPUTED_VALUE"""),"fgbade")</f>
        <v>fgbade</v>
      </c>
      <c r="O100" s="6" t="str">
        <f>IFERROR(__xludf.DUMMYFUNCTION("""COMPUTED_VALUE"""),"cegbf")</f>
        <v>cegbf</v>
      </c>
      <c r="P100" s="6" t="str">
        <f>IFERROR(__xludf.DUMMYFUNCTION("""COMPUTED_VALUE"""),"dc")</f>
        <v>dc</v>
      </c>
      <c r="Q100" s="6" t="str">
        <f>IFERROR(__xludf.DUMMYFUNCTION("""COMPUTED_VALUE"""),"afegdbc")</f>
        <v>afegdbc</v>
      </c>
      <c r="R100" s="6" t="str">
        <f>IFERROR(__xludf.DUMMYFUNCTION("""COMPUTED_VALUE"""),"adce")</f>
        <v>adce</v>
      </c>
      <c r="S100" s="6" t="str">
        <f>IFERROR(__xludf.DUMMYFUNCTION("""COMPUTED_VALUE"""),"efdag")</f>
        <v>efdag</v>
      </c>
      <c r="T100" s="6" t="str">
        <f>IFERROR(__xludf.DUMMYFUNCTION("""COMPUTED_VALUE"""),"fgeadc")</f>
        <v>fgeadc</v>
      </c>
      <c r="U100" s="15"/>
      <c r="V100" s="6" t="str">
        <f>IFERROR(__xludf.DUMMYFUNCTION("split(I100,"" "")"),"dcfegab")</f>
        <v>dcfegab</v>
      </c>
      <c r="W100" s="6" t="str">
        <f>IFERROR(__xludf.DUMMYFUNCTION("""COMPUTED_VALUE"""),"gedabfc")</f>
        <v>gedabfc</v>
      </c>
      <c r="X100" s="6" t="str">
        <f>IFERROR(__xludf.DUMMYFUNCTION("""COMPUTED_VALUE"""),"dagef")</f>
        <v>dagef</v>
      </c>
      <c r="Y100" s="6" t="str">
        <f>IFERROR(__xludf.DUMMYFUNCTION("""COMPUTED_VALUE"""),"fcbeadg")</f>
        <v>fcbeadg</v>
      </c>
      <c r="Z100" s="6" t="str">
        <f>IFERROR(__xludf.DUMMYFUNCTION("CONCATENATE(SORT(TRANSPOSE(SPLIT(REGEXREPLACE(REGEXREPLACE(V100&amp;"""",""(?s)(.{1})"",""$1""&amp;CHAR(127)),""'"",""''""),CHAR(127))),1,true))"),"abcdefg")</f>
        <v>abcdefg</v>
      </c>
      <c r="AA100" s="6" t="str">
        <f>IFERROR(__xludf.DUMMYFUNCTION("CONCATENATE(SORT(TRANSPOSE(SPLIT(REGEXREPLACE(REGEXREPLACE(W100&amp;"""",""(?s)(.{1})"",""$1""&amp;CHAR(127)),""'"",""''""),CHAR(127))),1,true))"),"abcdefg")</f>
        <v>abcdefg</v>
      </c>
      <c r="AB100" s="6" t="str">
        <f>IFERROR(__xludf.DUMMYFUNCTION("CONCATENATE(SORT(TRANSPOSE(SPLIT(REGEXREPLACE(REGEXREPLACE(X100&amp;"""",""(?s)(.{1})"",""$1""&amp;CHAR(127)),""'"",""''""),CHAR(127))),1,true))"),"adefg")</f>
        <v>adefg</v>
      </c>
      <c r="AC100" s="6" t="str">
        <f>IFERROR(__xludf.DUMMYFUNCTION("CONCATENATE(SORT(TRANSPOSE(SPLIT(REGEXREPLACE(REGEXREPLACE(Y100&amp;"""",""(?s)(.{1})"",""$1""&amp;CHAR(127)),""'"",""''""),CHAR(127))),1,true))"),"abcdefg")</f>
        <v>abcdefg</v>
      </c>
      <c r="AD100" s="6">
        <f t="shared" ref="AD100:AG100" si="110">INDEX($AO$1:$CP$1,1,MATCH(CONCATENATE(Z100,"1"),$AO100:$CP100,0)+1)</f>
        <v>8</v>
      </c>
      <c r="AE100" s="6">
        <f t="shared" si="110"/>
        <v>8</v>
      </c>
      <c r="AF100" s="6">
        <f t="shared" si="110"/>
        <v>5</v>
      </c>
      <c r="AG100" s="6">
        <f t="shared" si="110"/>
        <v>8</v>
      </c>
      <c r="AH100" s="6">
        <f t="shared" si="3"/>
        <v>8858</v>
      </c>
      <c r="AI100" s="16"/>
      <c r="AJ100" s="9" t="str">
        <f>IFERROR(__xludf.DUMMYFUNCTION("REGEXREPLACE(AR100,CONCATENATE(""["",BY100,""]""),"""")"),"c")</f>
        <v>c</v>
      </c>
      <c r="AK100" s="10" t="str">
        <f>IFERROR(__xludf.DUMMYFUNCTION("FILTER($K100:$T100,len($K100:$T100)=6,NOT($K100:$T100=BY100))"),"afgbcd")</f>
        <v>afgbcd</v>
      </c>
      <c r="AL100" s="6" t="str">
        <f>IFERROR(__xludf.DUMMYFUNCTION("""COMPUTED_VALUE"""),"fgeadc")</f>
        <v>fgeadc</v>
      </c>
      <c r="AM100" s="6" t="str">
        <f>IFERROR(__xludf.DUMMYFUNCTION("REGEXREPLACE( $BG100, CONCATENATE(""["",AK100,""]""), """")"),"e")</f>
        <v>e</v>
      </c>
      <c r="AN100" s="6" t="str">
        <f>IFERROR(__xludf.DUMMYFUNCTION("REGEXREPLACE( $BG100, CONCATENATE(""["",AL100,""]""), """")"),"")</f>
        <v/>
      </c>
      <c r="AO100" s="11" t="str">
        <f t="shared" si="4"/>
        <v>afgbcd</v>
      </c>
      <c r="AP100" s="12" t="str">
        <f>IFERROR(__xludf.DUMMYFUNCTION("CONCATENATE(SORT(TRANSPOSE(SPLIT(REGEXREPLACE(REGEXREPLACE(AO100&amp;"""",""(?s)(.{1})"",""$1""&amp;CHAR(127)),""'"",""''""),CHAR(127))),1,true),""1"")"),"abcdfg1")</f>
        <v>abcdfg1</v>
      </c>
      <c r="AQ100" s="16"/>
      <c r="AR100" s="12" t="str">
        <f t="shared" si="5"/>
        <v>dc</v>
      </c>
      <c r="AS100" s="12" t="str">
        <f>IFERROR(__xludf.DUMMYFUNCTION("CONCATENATE(SORT(TRANSPOSE(SPLIT(REGEXREPLACE(REGEXREPLACE(AR100&amp;"""",""(?s)(.{1})"",""$1""&amp;CHAR(127)),""'"",""''""),CHAR(127))),1,true),""1"")"),"cd1")</f>
        <v>cd1</v>
      </c>
      <c r="AT100" s="16"/>
      <c r="AU100" s="13" t="str">
        <f>IFERROR(__xludf.DUMMYFUNCTION("FILTER($K100:$T100,len($K100:$T100)=5,NOT($K100:$T100=BD100),NOT($K100:$T100=BP100))"),"cegbf")</f>
        <v>cegbf</v>
      </c>
      <c r="AV100" s="12" t="str">
        <f>IFERROR(__xludf.DUMMYFUNCTION("CONCATENATE(SORT(TRANSPOSE(SPLIT(REGEXREPLACE(REGEXREPLACE(AU100&amp;"""",""(?s)(.{1})"",""$1""&amp;CHAR(127)),""'"",""''""),CHAR(127))),1,true),""1"")"),"bcefg1")</f>
        <v>bcefg1</v>
      </c>
      <c r="AW100" s="16"/>
      <c r="AX100" s="10" t="str">
        <f>IFERROR(__xludf.DUMMYFUNCTION("FILTER($K100:$T100,len($K100:$T100)=5)"),"edfcg")</f>
        <v>edfcg</v>
      </c>
      <c r="AY100" s="6" t="str">
        <f>IFERROR(__xludf.DUMMYFUNCTION("""COMPUTED_VALUE"""),"cegbf")</f>
        <v>cegbf</v>
      </c>
      <c r="AZ100" s="6" t="str">
        <f>IFERROR(__xludf.DUMMYFUNCTION("""COMPUTED_VALUE"""),"efdag")</f>
        <v>efdag</v>
      </c>
      <c r="BA100" s="6" t="str">
        <f>IFERROR(__xludf.DUMMYFUNCTION("REGEXREPLACE( $AR100, CONCATENATE(""["",AX100,""]""), """")"),"")</f>
        <v/>
      </c>
      <c r="BB100" s="6" t="str">
        <f>IFERROR(__xludf.DUMMYFUNCTION("REGEXREPLACE( $AR100, CONCATENATE(""["",AY100,""]""), """")"),"d")</f>
        <v>d</v>
      </c>
      <c r="BC100" s="6" t="str">
        <f>IFERROR(__xludf.DUMMYFUNCTION("REGEXREPLACE( $AR100, CONCATENATE(""["",AZ100,""]""), """")"),"c")</f>
        <v>c</v>
      </c>
      <c r="BD100" s="11" t="str">
        <f t="shared" si="6"/>
        <v>edfcg</v>
      </c>
      <c r="BE100" s="12" t="str">
        <f>IFERROR(__xludf.DUMMYFUNCTION("CONCATENATE(SORT(TRANSPOSE(SPLIT(REGEXREPLACE(REGEXREPLACE(BD100&amp;"""",""(?s)(.{1})"",""$1""&amp;CHAR(127)),""'"",""''""),CHAR(127))),1,true),""1"")"),"cdefg1")</f>
        <v>cdefg1</v>
      </c>
      <c r="BF100" s="16"/>
      <c r="BG100" s="12" t="str">
        <f t="shared" si="7"/>
        <v>adce</v>
      </c>
      <c r="BH100" s="12" t="str">
        <f>IFERROR(__xludf.DUMMYFUNCTION("CONCATENATE(SORT(TRANSPOSE(SPLIT(REGEXREPLACE(REGEXREPLACE(BG100&amp;"""",""(?s)(.{1})"",""$1""&amp;CHAR(127)),""'"",""''""),CHAR(127))),1,true),""1"")"),"acde1")</f>
        <v>acde1</v>
      </c>
      <c r="BI100" s="16"/>
      <c r="BJ100" s="10" t="str">
        <f>IFERROR(__xludf.DUMMYFUNCTION("FILTER($K100:$T100,len($K100:$T100)=5)"),"edfcg")</f>
        <v>edfcg</v>
      </c>
      <c r="BK100" s="6" t="str">
        <f>IFERROR(__xludf.DUMMYFUNCTION("""COMPUTED_VALUE"""),"cegbf")</f>
        <v>cegbf</v>
      </c>
      <c r="BL100" s="6" t="str">
        <f>IFERROR(__xludf.DUMMYFUNCTION("""COMPUTED_VALUE"""),"efdag")</f>
        <v>efdag</v>
      </c>
      <c r="BM100" s="14" t="str">
        <f>IFERROR(__xludf.DUMMYFUNCTION("REGEXREPLACE( $BY100, CONCATENATE(""["",BJ100,""]""), """")"),"ba")</f>
        <v>ba</v>
      </c>
      <c r="BN100" s="14" t="str">
        <f>IFERROR(__xludf.DUMMYFUNCTION("REGEXREPLACE( $BY100, CONCATENATE(""["",BK100,""]""), """")"),"ad")</f>
        <v>ad</v>
      </c>
      <c r="BO100" s="14" t="str">
        <f>IFERROR(__xludf.DUMMYFUNCTION("REGEXREPLACE( $BY100, CONCATENATE(""["",BL100,""]""), """")"),"b")</f>
        <v>b</v>
      </c>
      <c r="BP100" s="11" t="str">
        <f t="shared" si="8"/>
        <v>efdag</v>
      </c>
      <c r="BQ100" s="12" t="str">
        <f>IFERROR(__xludf.DUMMYFUNCTION("CONCATENATE(SORT(TRANSPOSE(SPLIT(REGEXREPLACE(REGEXREPLACE(BP100&amp;"""",""(?s)(.{1})"",""$1""&amp;CHAR(127)),""'"",""''""),CHAR(127))),1,true),""1"")"),"adefg1")</f>
        <v>adefg1</v>
      </c>
      <c r="BR100" s="16"/>
      <c r="BS100" s="10" t="str">
        <f>IFERROR(__xludf.DUMMYFUNCTION("FILTER(K100:T100,len(K100:T100)=6)"),"afgbcd")</f>
        <v>afgbcd</v>
      </c>
      <c r="BT100" s="6" t="str">
        <f>IFERROR(__xludf.DUMMYFUNCTION("""COMPUTED_VALUE"""),"fgbade")</f>
        <v>fgbade</v>
      </c>
      <c r="BU100" s="6" t="str">
        <f>IFERROR(__xludf.DUMMYFUNCTION("""COMPUTED_VALUE"""),"fgeadc")</f>
        <v>fgeadc</v>
      </c>
      <c r="BV100" s="6" t="str">
        <f>IFERROR(__xludf.DUMMYFUNCTION("REGEXREPLACE( $AR100, CONCATENATE(""["",BS100,""]""), """")"),"")</f>
        <v/>
      </c>
      <c r="BW100" s="6" t="str">
        <f>IFERROR(__xludf.DUMMYFUNCTION("REGEXREPLACE( $AR100, CONCATENATE(""["",BT100,""]""), """")"),"c")</f>
        <v>c</v>
      </c>
      <c r="BX100" s="6" t="str">
        <f>IFERROR(__xludf.DUMMYFUNCTION("REGEXREPLACE( $AR100, CONCATENATE(""["",BU100,""]""), """")"),"")</f>
        <v/>
      </c>
      <c r="BY100" s="12" t="str">
        <f t="shared" si="9"/>
        <v>fgbade</v>
      </c>
      <c r="BZ100" s="12" t="str">
        <f>IFERROR(__xludf.DUMMYFUNCTION("CONCATENATE(SORT(TRANSPOSE(SPLIT(REGEXREPLACE(REGEXREPLACE(BY100&amp;"""",""(?s)(.{1})"",""$1""&amp;CHAR(127)),""'"",""''""),CHAR(127))),1,true),""1"")"),"abdefg1")</f>
        <v>abdefg1</v>
      </c>
      <c r="CA100" s="16"/>
      <c r="CB100" s="12" t="str">
        <f t="shared" si="10"/>
        <v>dcf</v>
      </c>
      <c r="CC100" s="12" t="str">
        <f>IFERROR(__xludf.DUMMYFUNCTION("CONCATENATE(SORT(TRANSPOSE(SPLIT(REGEXREPLACE(REGEXREPLACE(CB100&amp;"""",""(?s)(.{1})"",""$1""&amp;CHAR(127)),""'"",""''""),CHAR(127))),1,true),""1"")"),"cdf1")</f>
        <v>cdf1</v>
      </c>
      <c r="CD100" s="16"/>
      <c r="CE100" s="12" t="str">
        <f t="shared" si="11"/>
        <v>afegdbc</v>
      </c>
      <c r="CF100" s="12" t="str">
        <f>IFERROR(__xludf.DUMMYFUNCTION("CONCATENATE(SORT(TRANSPOSE(SPLIT(REGEXREPLACE(REGEXREPLACE(CE100&amp;"""",""(?s)(.{1})"",""$1""&amp;CHAR(127)),""'"",""''""),CHAR(127))),1,true),""1"")"),"abcdefg1")</f>
        <v>abcdefg1</v>
      </c>
      <c r="CG100" s="16"/>
      <c r="CH100" s="10" t="str">
        <f>IFERROR(__xludf.DUMMYFUNCTION("FILTER(K100:T100,len(K100:T100)=6)"),"afgbcd")</f>
        <v>afgbcd</v>
      </c>
      <c r="CI100" s="6" t="str">
        <f>IFERROR(__xludf.DUMMYFUNCTION("""COMPUTED_VALUE"""),"fgbade")</f>
        <v>fgbade</v>
      </c>
      <c r="CJ100" s="6" t="str">
        <f>IFERROR(__xludf.DUMMYFUNCTION("""COMPUTED_VALUE"""),"fgeadc")</f>
        <v>fgeadc</v>
      </c>
      <c r="CK100" s="6" t="str">
        <f>IFERROR(__xludf.DUMMYFUNCTION("REGEXREPLACE( $BG100, CONCATENATE(""["",CH100,""]""), """")"),"e")</f>
        <v>e</v>
      </c>
      <c r="CL100" s="6" t="str">
        <f>IFERROR(__xludf.DUMMYFUNCTION("REGEXREPLACE( $BG100, CONCATENATE(""["",CI100,""]""), """")"),"c")</f>
        <v>c</v>
      </c>
      <c r="CM100" s="6" t="str">
        <f>IFERROR(__xludf.DUMMYFUNCTION("REGEXREPLACE( $BG100, CONCATENATE(""["",CJ100,""]""), """")"),"")</f>
        <v/>
      </c>
      <c r="CN100" s="12" t="str">
        <f t="shared" si="12"/>
        <v>fgeadc</v>
      </c>
      <c r="CO100" s="12" t="str">
        <f>IFERROR(__xludf.DUMMYFUNCTION("CONCATENATE(SORT(TRANSPOSE(SPLIT(REGEXREPLACE(REGEXREPLACE(CN100&amp;"""",""(?s)(.{1})"",""$1""&amp;CHAR(127)),""'"",""''""),CHAR(127))),1,true),""1"")"),"acdefg1")</f>
        <v>acdefg1</v>
      </c>
      <c r="CP100" s="15"/>
    </row>
    <row r="101">
      <c r="A101" s="1" t="s">
        <v>121</v>
      </c>
      <c r="H101" s="6" t="str">
        <f>IFERROR(__xludf.DUMMYFUNCTION("SPLIT(A101,""|"")"),"gdefc dac afbceg feabdgc aedcg bcadeg da cgbae bagfcd abde ")</f>
        <v>gdefc dac afbceg feabdgc aedcg bcadeg da cgbae bagfcd abde </v>
      </c>
      <c r="I101" s="6" t="str">
        <f>IFERROR(__xludf.DUMMYFUNCTION("""COMPUTED_VALUE""")," da ebda gbaecf efgdc")</f>
        <v> da ebda gbaecf efgdc</v>
      </c>
      <c r="J101" s="15"/>
      <c r="K101" s="6" t="str">
        <f>IFERROR(__xludf.DUMMYFUNCTION("split(H101,"" "")"),"gdefc")</f>
        <v>gdefc</v>
      </c>
      <c r="L101" s="6" t="str">
        <f>IFERROR(__xludf.DUMMYFUNCTION("""COMPUTED_VALUE"""),"dac")</f>
        <v>dac</v>
      </c>
      <c r="M101" s="6" t="str">
        <f>IFERROR(__xludf.DUMMYFUNCTION("""COMPUTED_VALUE"""),"afbceg")</f>
        <v>afbceg</v>
      </c>
      <c r="N101" s="6" t="str">
        <f>IFERROR(__xludf.DUMMYFUNCTION("""COMPUTED_VALUE"""),"feabdgc")</f>
        <v>feabdgc</v>
      </c>
      <c r="O101" s="6" t="str">
        <f>IFERROR(__xludf.DUMMYFUNCTION("""COMPUTED_VALUE"""),"aedcg")</f>
        <v>aedcg</v>
      </c>
      <c r="P101" s="6" t="str">
        <f>IFERROR(__xludf.DUMMYFUNCTION("""COMPUTED_VALUE"""),"bcadeg")</f>
        <v>bcadeg</v>
      </c>
      <c r="Q101" s="6" t="str">
        <f>IFERROR(__xludf.DUMMYFUNCTION("""COMPUTED_VALUE"""),"da")</f>
        <v>da</v>
      </c>
      <c r="R101" s="6" t="str">
        <f>IFERROR(__xludf.DUMMYFUNCTION("""COMPUTED_VALUE"""),"cgbae")</f>
        <v>cgbae</v>
      </c>
      <c r="S101" s="6" t="str">
        <f>IFERROR(__xludf.DUMMYFUNCTION("""COMPUTED_VALUE"""),"bagfcd")</f>
        <v>bagfcd</v>
      </c>
      <c r="T101" s="6" t="str">
        <f>IFERROR(__xludf.DUMMYFUNCTION("""COMPUTED_VALUE"""),"abde")</f>
        <v>abde</v>
      </c>
      <c r="U101" s="15"/>
      <c r="V101" s="6" t="str">
        <f>IFERROR(__xludf.DUMMYFUNCTION("split(I101,"" "")"),"da")</f>
        <v>da</v>
      </c>
      <c r="W101" s="6" t="str">
        <f>IFERROR(__xludf.DUMMYFUNCTION("""COMPUTED_VALUE"""),"ebda")</f>
        <v>ebda</v>
      </c>
      <c r="X101" s="6" t="str">
        <f>IFERROR(__xludf.DUMMYFUNCTION("""COMPUTED_VALUE"""),"gbaecf")</f>
        <v>gbaecf</v>
      </c>
      <c r="Y101" s="6" t="str">
        <f>IFERROR(__xludf.DUMMYFUNCTION("""COMPUTED_VALUE"""),"efgdc")</f>
        <v>efgdc</v>
      </c>
      <c r="Z101" s="6" t="str">
        <f>IFERROR(__xludf.DUMMYFUNCTION("CONCATENATE(SORT(TRANSPOSE(SPLIT(REGEXREPLACE(REGEXREPLACE(V101&amp;"""",""(?s)(.{1})"",""$1""&amp;CHAR(127)),""'"",""''""),CHAR(127))),1,true))"),"ad")</f>
        <v>ad</v>
      </c>
      <c r="AA101" s="6" t="str">
        <f>IFERROR(__xludf.DUMMYFUNCTION("CONCATENATE(SORT(TRANSPOSE(SPLIT(REGEXREPLACE(REGEXREPLACE(W101&amp;"""",""(?s)(.{1})"",""$1""&amp;CHAR(127)),""'"",""''""),CHAR(127))),1,true))"),"abde")</f>
        <v>abde</v>
      </c>
      <c r="AB101" s="6" t="str">
        <f>IFERROR(__xludf.DUMMYFUNCTION("CONCATENATE(SORT(TRANSPOSE(SPLIT(REGEXREPLACE(REGEXREPLACE(X101&amp;"""",""(?s)(.{1})"",""$1""&amp;CHAR(127)),""'"",""''""),CHAR(127))),1,true))"),"abcefg")</f>
        <v>abcefg</v>
      </c>
      <c r="AC101" s="6" t="str">
        <f>IFERROR(__xludf.DUMMYFUNCTION("CONCATENATE(SORT(TRANSPOSE(SPLIT(REGEXREPLACE(REGEXREPLACE(Y101&amp;"""",""(?s)(.{1})"",""$1""&amp;CHAR(127)),""'"",""''""),CHAR(127))),1,true))"),"cdefg")</f>
        <v>cdefg</v>
      </c>
      <c r="AD101" s="6">
        <f t="shared" ref="AD101:AG101" si="111">INDEX($AO$1:$CP$1,1,MATCH(CONCATENATE(Z101,"1"),$AO101:$CP101,0)+1)</f>
        <v>1</v>
      </c>
      <c r="AE101" s="6">
        <f t="shared" si="111"/>
        <v>4</v>
      </c>
      <c r="AF101" s="6">
        <f t="shared" si="111"/>
        <v>6</v>
      </c>
      <c r="AG101" s="6">
        <f t="shared" si="111"/>
        <v>2</v>
      </c>
      <c r="AH101" s="6">
        <f t="shared" si="3"/>
        <v>1462</v>
      </c>
      <c r="AI101" s="16"/>
      <c r="AJ101" s="9" t="str">
        <f>IFERROR(__xludf.DUMMYFUNCTION("REGEXREPLACE(AR101,CONCATENATE(""["",BY101,""]""),"""")"),"d")</f>
        <v>d</v>
      </c>
      <c r="AK101" s="10" t="str">
        <f>IFERROR(__xludf.DUMMYFUNCTION("FILTER($K101:$T101,len($K101:$T101)=6,NOT($K101:$T101=BY101))"),"bcadeg")</f>
        <v>bcadeg</v>
      </c>
      <c r="AL101" s="6" t="str">
        <f>IFERROR(__xludf.DUMMYFUNCTION("""COMPUTED_VALUE"""),"bagfcd")</f>
        <v>bagfcd</v>
      </c>
      <c r="AM101" s="6" t="str">
        <f>IFERROR(__xludf.DUMMYFUNCTION("REGEXREPLACE( $BG101, CONCATENATE(""["",AK101,""]""), """")"),"")</f>
        <v/>
      </c>
      <c r="AN101" s="6" t="str">
        <f>IFERROR(__xludf.DUMMYFUNCTION("REGEXREPLACE( $BG101, CONCATENATE(""["",AL101,""]""), """")"),"e")</f>
        <v>e</v>
      </c>
      <c r="AO101" s="11" t="str">
        <f t="shared" si="4"/>
        <v>bagfcd</v>
      </c>
      <c r="AP101" s="12" t="str">
        <f>IFERROR(__xludf.DUMMYFUNCTION("CONCATENATE(SORT(TRANSPOSE(SPLIT(REGEXREPLACE(REGEXREPLACE(AO101&amp;"""",""(?s)(.{1})"",""$1""&amp;CHAR(127)),""'"",""''""),CHAR(127))),1,true),""1"")"),"abcdfg1")</f>
        <v>abcdfg1</v>
      </c>
      <c r="AQ101" s="16"/>
      <c r="AR101" s="12" t="str">
        <f t="shared" si="5"/>
        <v>da</v>
      </c>
      <c r="AS101" s="12" t="str">
        <f>IFERROR(__xludf.DUMMYFUNCTION("CONCATENATE(SORT(TRANSPOSE(SPLIT(REGEXREPLACE(REGEXREPLACE(AR101&amp;"""",""(?s)(.{1})"",""$1""&amp;CHAR(127)),""'"",""''""),CHAR(127))),1,true),""1"")"),"ad1")</f>
        <v>ad1</v>
      </c>
      <c r="AT101" s="16"/>
      <c r="AU101" s="13" t="str">
        <f>IFERROR(__xludf.DUMMYFUNCTION("FILTER($K101:$T101,len($K101:$T101)=5,NOT($K101:$T101=BD101),NOT($K101:$T101=BP101))"),"gdefc")</f>
        <v>gdefc</v>
      </c>
      <c r="AV101" s="12" t="str">
        <f>IFERROR(__xludf.DUMMYFUNCTION("CONCATENATE(SORT(TRANSPOSE(SPLIT(REGEXREPLACE(REGEXREPLACE(AU101&amp;"""",""(?s)(.{1})"",""$1""&amp;CHAR(127)),""'"",""''""),CHAR(127))),1,true),""1"")"),"cdefg1")</f>
        <v>cdefg1</v>
      </c>
      <c r="AW101" s="16"/>
      <c r="AX101" s="10" t="str">
        <f>IFERROR(__xludf.DUMMYFUNCTION("FILTER($K101:$T101,len($K101:$T101)=5)"),"gdefc")</f>
        <v>gdefc</v>
      </c>
      <c r="AY101" s="6" t="str">
        <f>IFERROR(__xludf.DUMMYFUNCTION("""COMPUTED_VALUE"""),"aedcg")</f>
        <v>aedcg</v>
      </c>
      <c r="AZ101" s="6" t="str">
        <f>IFERROR(__xludf.DUMMYFUNCTION("""COMPUTED_VALUE"""),"cgbae")</f>
        <v>cgbae</v>
      </c>
      <c r="BA101" s="6" t="str">
        <f>IFERROR(__xludf.DUMMYFUNCTION("REGEXREPLACE( $AR101, CONCATENATE(""["",AX101,""]""), """")"),"a")</f>
        <v>a</v>
      </c>
      <c r="BB101" s="6" t="str">
        <f>IFERROR(__xludf.DUMMYFUNCTION("REGEXREPLACE( $AR101, CONCATENATE(""["",AY101,""]""), """")"),"")</f>
        <v/>
      </c>
      <c r="BC101" s="6" t="str">
        <f>IFERROR(__xludf.DUMMYFUNCTION("REGEXREPLACE( $AR101, CONCATENATE(""["",AZ101,""]""), """")"),"d")</f>
        <v>d</v>
      </c>
      <c r="BD101" s="11" t="str">
        <f t="shared" si="6"/>
        <v>aedcg</v>
      </c>
      <c r="BE101" s="12" t="str">
        <f>IFERROR(__xludf.DUMMYFUNCTION("CONCATENATE(SORT(TRANSPOSE(SPLIT(REGEXREPLACE(REGEXREPLACE(BD101&amp;"""",""(?s)(.{1})"",""$1""&amp;CHAR(127)),""'"",""''""),CHAR(127))),1,true),""1"")"),"acdeg1")</f>
        <v>acdeg1</v>
      </c>
      <c r="BF101" s="16"/>
      <c r="BG101" s="12" t="str">
        <f t="shared" si="7"/>
        <v>abde</v>
      </c>
      <c r="BH101" s="12" t="str">
        <f>IFERROR(__xludf.DUMMYFUNCTION("CONCATENATE(SORT(TRANSPOSE(SPLIT(REGEXREPLACE(REGEXREPLACE(BG101&amp;"""",""(?s)(.{1})"",""$1""&amp;CHAR(127)),""'"",""''""),CHAR(127))),1,true),""1"")"),"abde1")</f>
        <v>abde1</v>
      </c>
      <c r="BI101" s="16"/>
      <c r="BJ101" s="10" t="str">
        <f>IFERROR(__xludf.DUMMYFUNCTION("FILTER($K101:$T101,len($K101:$T101)=5)"),"gdefc")</f>
        <v>gdefc</v>
      </c>
      <c r="BK101" s="6" t="str">
        <f>IFERROR(__xludf.DUMMYFUNCTION("""COMPUTED_VALUE"""),"aedcg")</f>
        <v>aedcg</v>
      </c>
      <c r="BL101" s="6" t="str">
        <f>IFERROR(__xludf.DUMMYFUNCTION("""COMPUTED_VALUE"""),"cgbae")</f>
        <v>cgbae</v>
      </c>
      <c r="BM101" s="14" t="str">
        <f>IFERROR(__xludf.DUMMYFUNCTION("REGEXREPLACE( $BY101, CONCATENATE(""["",BJ101,""]""), """")"),"ab")</f>
        <v>ab</v>
      </c>
      <c r="BN101" s="14" t="str">
        <f>IFERROR(__xludf.DUMMYFUNCTION("REGEXREPLACE( $BY101, CONCATENATE(""["",BK101,""]""), """")"),"fb")</f>
        <v>fb</v>
      </c>
      <c r="BO101" s="14" t="str">
        <f>IFERROR(__xludf.DUMMYFUNCTION("REGEXREPLACE( $BY101, CONCATENATE(""["",BL101,""]""), """")"),"f")</f>
        <v>f</v>
      </c>
      <c r="BP101" s="11" t="str">
        <f t="shared" si="8"/>
        <v>cgbae</v>
      </c>
      <c r="BQ101" s="12" t="str">
        <f>IFERROR(__xludf.DUMMYFUNCTION("CONCATENATE(SORT(TRANSPOSE(SPLIT(REGEXREPLACE(REGEXREPLACE(BP101&amp;"""",""(?s)(.{1})"",""$1""&amp;CHAR(127)),""'"",""''""),CHAR(127))),1,true),""1"")"),"abceg1")</f>
        <v>abceg1</v>
      </c>
      <c r="BR101" s="16"/>
      <c r="BS101" s="10" t="str">
        <f>IFERROR(__xludf.DUMMYFUNCTION("FILTER(K101:T101,len(K101:T101)=6)"),"afbceg")</f>
        <v>afbceg</v>
      </c>
      <c r="BT101" s="6" t="str">
        <f>IFERROR(__xludf.DUMMYFUNCTION("""COMPUTED_VALUE"""),"bcadeg")</f>
        <v>bcadeg</v>
      </c>
      <c r="BU101" s="6" t="str">
        <f>IFERROR(__xludf.DUMMYFUNCTION("""COMPUTED_VALUE"""),"bagfcd")</f>
        <v>bagfcd</v>
      </c>
      <c r="BV101" s="6" t="str">
        <f>IFERROR(__xludf.DUMMYFUNCTION("REGEXREPLACE( $AR101, CONCATENATE(""["",BS101,""]""), """")"),"d")</f>
        <v>d</v>
      </c>
      <c r="BW101" s="6" t="str">
        <f>IFERROR(__xludf.DUMMYFUNCTION("REGEXREPLACE( $AR101, CONCATENATE(""["",BT101,""]""), """")"),"")</f>
        <v/>
      </c>
      <c r="BX101" s="6" t="str">
        <f>IFERROR(__xludf.DUMMYFUNCTION("REGEXREPLACE( $AR101, CONCATENATE(""["",BU101,""]""), """")"),"")</f>
        <v/>
      </c>
      <c r="BY101" s="12" t="str">
        <f t="shared" si="9"/>
        <v>afbceg</v>
      </c>
      <c r="BZ101" s="12" t="str">
        <f>IFERROR(__xludf.DUMMYFUNCTION("CONCATENATE(SORT(TRANSPOSE(SPLIT(REGEXREPLACE(REGEXREPLACE(BY101&amp;"""",""(?s)(.{1})"",""$1""&amp;CHAR(127)),""'"",""''""),CHAR(127))),1,true),""1"")"),"abcefg1")</f>
        <v>abcefg1</v>
      </c>
      <c r="CA101" s="16"/>
      <c r="CB101" s="12" t="str">
        <f t="shared" si="10"/>
        <v>dac</v>
      </c>
      <c r="CC101" s="12" t="str">
        <f>IFERROR(__xludf.DUMMYFUNCTION("CONCATENATE(SORT(TRANSPOSE(SPLIT(REGEXREPLACE(REGEXREPLACE(CB101&amp;"""",""(?s)(.{1})"",""$1""&amp;CHAR(127)),""'"",""''""),CHAR(127))),1,true),""1"")"),"acd1")</f>
        <v>acd1</v>
      </c>
      <c r="CD101" s="16"/>
      <c r="CE101" s="12" t="str">
        <f t="shared" si="11"/>
        <v>feabdgc</v>
      </c>
      <c r="CF101" s="12" t="str">
        <f>IFERROR(__xludf.DUMMYFUNCTION("CONCATENATE(SORT(TRANSPOSE(SPLIT(REGEXREPLACE(REGEXREPLACE(CE101&amp;"""",""(?s)(.{1})"",""$1""&amp;CHAR(127)),""'"",""''""),CHAR(127))),1,true),""1"")"),"abcdefg1")</f>
        <v>abcdefg1</v>
      </c>
      <c r="CG101" s="16"/>
      <c r="CH101" s="10" t="str">
        <f>IFERROR(__xludf.DUMMYFUNCTION("FILTER(K101:T101,len(K101:T101)=6)"),"afbceg")</f>
        <v>afbceg</v>
      </c>
      <c r="CI101" s="6" t="str">
        <f>IFERROR(__xludf.DUMMYFUNCTION("""COMPUTED_VALUE"""),"bcadeg")</f>
        <v>bcadeg</v>
      </c>
      <c r="CJ101" s="6" t="str">
        <f>IFERROR(__xludf.DUMMYFUNCTION("""COMPUTED_VALUE"""),"bagfcd")</f>
        <v>bagfcd</v>
      </c>
      <c r="CK101" s="6" t="str">
        <f>IFERROR(__xludf.DUMMYFUNCTION("REGEXREPLACE( $BG101, CONCATENATE(""["",CH101,""]""), """")"),"d")</f>
        <v>d</v>
      </c>
      <c r="CL101" s="6" t="str">
        <f>IFERROR(__xludf.DUMMYFUNCTION("REGEXREPLACE( $BG101, CONCATENATE(""["",CI101,""]""), """")"),"")</f>
        <v/>
      </c>
      <c r="CM101" s="6" t="str">
        <f>IFERROR(__xludf.DUMMYFUNCTION("REGEXREPLACE( $BG101, CONCATENATE(""["",CJ101,""]""), """")"),"e")</f>
        <v>e</v>
      </c>
      <c r="CN101" s="12" t="str">
        <f t="shared" si="12"/>
        <v>bcadeg</v>
      </c>
      <c r="CO101" s="12" t="str">
        <f>IFERROR(__xludf.DUMMYFUNCTION("CONCATENATE(SORT(TRANSPOSE(SPLIT(REGEXREPLACE(REGEXREPLACE(CN101&amp;"""",""(?s)(.{1})"",""$1""&amp;CHAR(127)),""'"",""''""),CHAR(127))),1,true),""1"")"),"abcdeg1")</f>
        <v>abcdeg1</v>
      </c>
      <c r="CP101" s="15"/>
    </row>
    <row r="102">
      <c r="A102" s="1" t="s">
        <v>122</v>
      </c>
      <c r="H102" s="6" t="str">
        <f>IFERROR(__xludf.DUMMYFUNCTION("SPLIT(A102,""|"")"),"fgcebd af abefcd dfceb acdbf fda dafgce dcgefba afeb acbgd ")</f>
        <v>fgcebd af abefcd dfceb acdbf fda dafgce dcgefba afeb acbgd </v>
      </c>
      <c r="I102" s="6" t="str">
        <f>IFERROR(__xludf.DUMMYFUNCTION("""COMPUTED_VALUE""")," cgdba decagfb fad af")</f>
        <v> cgdba decagfb fad af</v>
      </c>
      <c r="J102" s="15"/>
      <c r="K102" s="6" t="str">
        <f>IFERROR(__xludf.DUMMYFUNCTION("split(H102,"" "")"),"fgcebd")</f>
        <v>fgcebd</v>
      </c>
      <c r="L102" s="6" t="str">
        <f>IFERROR(__xludf.DUMMYFUNCTION("""COMPUTED_VALUE"""),"af")</f>
        <v>af</v>
      </c>
      <c r="M102" s="6" t="str">
        <f>IFERROR(__xludf.DUMMYFUNCTION("""COMPUTED_VALUE"""),"abefcd")</f>
        <v>abefcd</v>
      </c>
      <c r="N102" s="6" t="str">
        <f>IFERROR(__xludf.DUMMYFUNCTION("""COMPUTED_VALUE"""),"dfceb")</f>
        <v>dfceb</v>
      </c>
      <c r="O102" s="6" t="str">
        <f>IFERROR(__xludf.DUMMYFUNCTION("""COMPUTED_VALUE"""),"acdbf")</f>
        <v>acdbf</v>
      </c>
      <c r="P102" s="6" t="str">
        <f>IFERROR(__xludf.DUMMYFUNCTION("""COMPUTED_VALUE"""),"fda")</f>
        <v>fda</v>
      </c>
      <c r="Q102" s="6" t="str">
        <f>IFERROR(__xludf.DUMMYFUNCTION("""COMPUTED_VALUE"""),"dafgce")</f>
        <v>dafgce</v>
      </c>
      <c r="R102" s="6" t="str">
        <f>IFERROR(__xludf.DUMMYFUNCTION("""COMPUTED_VALUE"""),"dcgefba")</f>
        <v>dcgefba</v>
      </c>
      <c r="S102" s="6" t="str">
        <f>IFERROR(__xludf.DUMMYFUNCTION("""COMPUTED_VALUE"""),"afeb")</f>
        <v>afeb</v>
      </c>
      <c r="T102" s="6" t="str">
        <f>IFERROR(__xludf.DUMMYFUNCTION("""COMPUTED_VALUE"""),"acbgd")</f>
        <v>acbgd</v>
      </c>
      <c r="U102" s="15"/>
      <c r="V102" s="6" t="str">
        <f>IFERROR(__xludf.DUMMYFUNCTION("split(I102,"" "")"),"cgdba")</f>
        <v>cgdba</v>
      </c>
      <c r="W102" s="6" t="str">
        <f>IFERROR(__xludf.DUMMYFUNCTION("""COMPUTED_VALUE"""),"decagfb")</f>
        <v>decagfb</v>
      </c>
      <c r="X102" s="6" t="str">
        <f>IFERROR(__xludf.DUMMYFUNCTION("""COMPUTED_VALUE"""),"fad")</f>
        <v>fad</v>
      </c>
      <c r="Y102" s="6" t="str">
        <f>IFERROR(__xludf.DUMMYFUNCTION("""COMPUTED_VALUE"""),"af")</f>
        <v>af</v>
      </c>
      <c r="Z102" s="6" t="str">
        <f>IFERROR(__xludf.DUMMYFUNCTION("CONCATENATE(SORT(TRANSPOSE(SPLIT(REGEXREPLACE(REGEXREPLACE(V102&amp;"""",""(?s)(.{1})"",""$1""&amp;CHAR(127)),""'"",""''""),CHAR(127))),1,true))"),"abcdg")</f>
        <v>abcdg</v>
      </c>
      <c r="AA102" s="6" t="str">
        <f>IFERROR(__xludf.DUMMYFUNCTION("CONCATENATE(SORT(TRANSPOSE(SPLIT(REGEXREPLACE(REGEXREPLACE(W102&amp;"""",""(?s)(.{1})"",""$1""&amp;CHAR(127)),""'"",""''""),CHAR(127))),1,true))"),"abcdefg")</f>
        <v>abcdefg</v>
      </c>
      <c r="AB102" s="6" t="str">
        <f>IFERROR(__xludf.DUMMYFUNCTION("CONCATENATE(SORT(TRANSPOSE(SPLIT(REGEXREPLACE(REGEXREPLACE(X102&amp;"""",""(?s)(.{1})"",""$1""&amp;CHAR(127)),""'"",""''""),CHAR(127))),1,true))"),"adf")</f>
        <v>adf</v>
      </c>
      <c r="AC102" s="6" t="str">
        <f>IFERROR(__xludf.DUMMYFUNCTION("CONCATENATE(SORT(TRANSPOSE(SPLIT(REGEXREPLACE(REGEXREPLACE(Y102&amp;"""",""(?s)(.{1})"",""$1""&amp;CHAR(127)),""'"",""''""),CHAR(127))),1,true))"),"af")</f>
        <v>af</v>
      </c>
      <c r="AD102" s="6">
        <f t="shared" ref="AD102:AG102" si="112">INDEX($AO$1:$CP$1,1,MATCH(CONCATENATE(Z102,"1"),$AO102:$CP102,0)+1)</f>
        <v>2</v>
      </c>
      <c r="AE102" s="6">
        <f t="shared" si="112"/>
        <v>8</v>
      </c>
      <c r="AF102" s="6">
        <f t="shared" si="112"/>
        <v>7</v>
      </c>
      <c r="AG102" s="6">
        <f t="shared" si="112"/>
        <v>1</v>
      </c>
      <c r="AH102" s="6">
        <f t="shared" si="3"/>
        <v>2871</v>
      </c>
      <c r="AI102" s="16"/>
      <c r="AJ102" s="9" t="str">
        <f>IFERROR(__xludf.DUMMYFUNCTION("REGEXREPLACE(AR102,CONCATENATE(""["",BY102,""]""),"""")"),"a")</f>
        <v>a</v>
      </c>
      <c r="AK102" s="10" t="str">
        <f>IFERROR(__xludf.DUMMYFUNCTION("FILTER($K102:$T102,len($K102:$T102)=6,NOT($K102:$T102=BY102))"),"abefcd")</f>
        <v>abefcd</v>
      </c>
      <c r="AL102" s="6" t="str">
        <f>IFERROR(__xludf.DUMMYFUNCTION("""COMPUTED_VALUE"""),"dafgce")</f>
        <v>dafgce</v>
      </c>
      <c r="AM102" s="6" t="str">
        <f>IFERROR(__xludf.DUMMYFUNCTION("REGEXREPLACE( $BG102, CONCATENATE(""["",AK102,""]""), """")"),"")</f>
        <v/>
      </c>
      <c r="AN102" s="6" t="str">
        <f>IFERROR(__xludf.DUMMYFUNCTION("REGEXREPLACE( $BG102, CONCATENATE(""["",AL102,""]""), """")"),"b")</f>
        <v>b</v>
      </c>
      <c r="AO102" s="11" t="str">
        <f t="shared" si="4"/>
        <v>dafgce</v>
      </c>
      <c r="AP102" s="12" t="str">
        <f>IFERROR(__xludf.DUMMYFUNCTION("CONCATENATE(SORT(TRANSPOSE(SPLIT(REGEXREPLACE(REGEXREPLACE(AO102&amp;"""",""(?s)(.{1})"",""$1""&amp;CHAR(127)),""'"",""''""),CHAR(127))),1,true),""1"")"),"acdefg1")</f>
        <v>acdefg1</v>
      </c>
      <c r="AQ102" s="16"/>
      <c r="AR102" s="12" t="str">
        <f t="shared" si="5"/>
        <v>af</v>
      </c>
      <c r="AS102" s="12" t="str">
        <f>IFERROR(__xludf.DUMMYFUNCTION("CONCATENATE(SORT(TRANSPOSE(SPLIT(REGEXREPLACE(REGEXREPLACE(AR102&amp;"""",""(?s)(.{1})"",""$1""&amp;CHAR(127)),""'"",""''""),CHAR(127))),1,true),""1"")"),"af1")</f>
        <v>af1</v>
      </c>
      <c r="AT102" s="16"/>
      <c r="AU102" s="13" t="str">
        <f>IFERROR(__xludf.DUMMYFUNCTION("FILTER($K102:$T102,len($K102:$T102)=5,NOT($K102:$T102=BD102),NOT($K102:$T102=BP102))"),"acbgd")</f>
        <v>acbgd</v>
      </c>
      <c r="AV102" s="12" t="str">
        <f>IFERROR(__xludf.DUMMYFUNCTION("CONCATENATE(SORT(TRANSPOSE(SPLIT(REGEXREPLACE(REGEXREPLACE(AU102&amp;"""",""(?s)(.{1})"",""$1""&amp;CHAR(127)),""'"",""''""),CHAR(127))),1,true),""1"")"),"abcdg1")</f>
        <v>abcdg1</v>
      </c>
      <c r="AW102" s="16"/>
      <c r="AX102" s="10" t="str">
        <f>IFERROR(__xludf.DUMMYFUNCTION("FILTER($K102:$T102,len($K102:$T102)=5)"),"dfceb")</f>
        <v>dfceb</v>
      </c>
      <c r="AY102" s="6" t="str">
        <f>IFERROR(__xludf.DUMMYFUNCTION("""COMPUTED_VALUE"""),"acdbf")</f>
        <v>acdbf</v>
      </c>
      <c r="AZ102" s="6" t="str">
        <f>IFERROR(__xludf.DUMMYFUNCTION("""COMPUTED_VALUE"""),"acbgd")</f>
        <v>acbgd</v>
      </c>
      <c r="BA102" s="6" t="str">
        <f>IFERROR(__xludf.DUMMYFUNCTION("REGEXREPLACE( $AR102, CONCATENATE(""["",AX102,""]""), """")"),"a")</f>
        <v>a</v>
      </c>
      <c r="BB102" s="6" t="str">
        <f>IFERROR(__xludf.DUMMYFUNCTION("REGEXREPLACE( $AR102, CONCATENATE(""["",AY102,""]""), """")"),"")</f>
        <v/>
      </c>
      <c r="BC102" s="6" t="str">
        <f>IFERROR(__xludf.DUMMYFUNCTION("REGEXREPLACE( $AR102, CONCATENATE(""["",AZ102,""]""), """")"),"f")</f>
        <v>f</v>
      </c>
      <c r="BD102" s="11" t="str">
        <f t="shared" si="6"/>
        <v>acdbf</v>
      </c>
      <c r="BE102" s="12" t="str">
        <f>IFERROR(__xludf.DUMMYFUNCTION("CONCATENATE(SORT(TRANSPOSE(SPLIT(REGEXREPLACE(REGEXREPLACE(BD102&amp;"""",""(?s)(.{1})"",""$1""&amp;CHAR(127)),""'"",""''""),CHAR(127))),1,true),""1"")"),"abcdf1")</f>
        <v>abcdf1</v>
      </c>
      <c r="BF102" s="16"/>
      <c r="BG102" s="12" t="str">
        <f t="shared" si="7"/>
        <v>afeb</v>
      </c>
      <c r="BH102" s="12" t="str">
        <f>IFERROR(__xludf.DUMMYFUNCTION("CONCATENATE(SORT(TRANSPOSE(SPLIT(REGEXREPLACE(REGEXREPLACE(BG102&amp;"""",""(?s)(.{1})"",""$1""&amp;CHAR(127)),""'"",""''""),CHAR(127))),1,true),""1"")"),"abef1")</f>
        <v>abef1</v>
      </c>
      <c r="BI102" s="16"/>
      <c r="BJ102" s="10" t="str">
        <f>IFERROR(__xludf.DUMMYFUNCTION("FILTER($K102:$T102,len($K102:$T102)=5)"),"dfceb")</f>
        <v>dfceb</v>
      </c>
      <c r="BK102" s="6" t="str">
        <f>IFERROR(__xludf.DUMMYFUNCTION("""COMPUTED_VALUE"""),"acdbf")</f>
        <v>acdbf</v>
      </c>
      <c r="BL102" s="6" t="str">
        <f>IFERROR(__xludf.DUMMYFUNCTION("""COMPUTED_VALUE"""),"acbgd")</f>
        <v>acbgd</v>
      </c>
      <c r="BM102" s="14" t="str">
        <f>IFERROR(__xludf.DUMMYFUNCTION("REGEXREPLACE( $BY102, CONCATENATE(""["",BJ102,""]""), """")"),"g")</f>
        <v>g</v>
      </c>
      <c r="BN102" s="14" t="str">
        <f>IFERROR(__xludf.DUMMYFUNCTION("REGEXREPLACE( $BY102, CONCATENATE(""["",BK102,""]""), """")"),"ge")</f>
        <v>ge</v>
      </c>
      <c r="BO102" s="14" t="str">
        <f>IFERROR(__xludf.DUMMYFUNCTION("REGEXREPLACE( $BY102, CONCATENATE(""["",BL102,""]""), """")"),"fe")</f>
        <v>fe</v>
      </c>
      <c r="BP102" s="11" t="str">
        <f t="shared" si="8"/>
        <v>dfceb</v>
      </c>
      <c r="BQ102" s="12" t="str">
        <f>IFERROR(__xludf.DUMMYFUNCTION("CONCATENATE(SORT(TRANSPOSE(SPLIT(REGEXREPLACE(REGEXREPLACE(BP102&amp;"""",""(?s)(.{1})"",""$1""&amp;CHAR(127)),""'"",""''""),CHAR(127))),1,true),""1"")"),"bcdef1")</f>
        <v>bcdef1</v>
      </c>
      <c r="BR102" s="16"/>
      <c r="BS102" s="10" t="str">
        <f>IFERROR(__xludf.DUMMYFUNCTION("FILTER(K102:T102,len(K102:T102)=6)"),"fgcebd")</f>
        <v>fgcebd</v>
      </c>
      <c r="BT102" s="6" t="str">
        <f>IFERROR(__xludf.DUMMYFUNCTION("""COMPUTED_VALUE"""),"abefcd")</f>
        <v>abefcd</v>
      </c>
      <c r="BU102" s="6" t="str">
        <f>IFERROR(__xludf.DUMMYFUNCTION("""COMPUTED_VALUE"""),"dafgce")</f>
        <v>dafgce</v>
      </c>
      <c r="BV102" s="6" t="str">
        <f>IFERROR(__xludf.DUMMYFUNCTION("REGEXREPLACE( $AR102, CONCATENATE(""["",BS102,""]""), """")"),"a")</f>
        <v>a</v>
      </c>
      <c r="BW102" s="6" t="str">
        <f>IFERROR(__xludf.DUMMYFUNCTION("REGEXREPLACE( $AR102, CONCATENATE(""["",BT102,""]""), """")"),"")</f>
        <v/>
      </c>
      <c r="BX102" s="6" t="str">
        <f>IFERROR(__xludf.DUMMYFUNCTION("REGEXREPLACE( $AR102, CONCATENATE(""["",BU102,""]""), """")"),"")</f>
        <v/>
      </c>
      <c r="BY102" s="12" t="str">
        <f t="shared" si="9"/>
        <v>fgcebd</v>
      </c>
      <c r="BZ102" s="12" t="str">
        <f>IFERROR(__xludf.DUMMYFUNCTION("CONCATENATE(SORT(TRANSPOSE(SPLIT(REGEXREPLACE(REGEXREPLACE(BY102&amp;"""",""(?s)(.{1})"",""$1""&amp;CHAR(127)),""'"",""''""),CHAR(127))),1,true),""1"")"),"bcdefg1")</f>
        <v>bcdefg1</v>
      </c>
      <c r="CA102" s="16"/>
      <c r="CB102" s="12" t="str">
        <f t="shared" si="10"/>
        <v>fda</v>
      </c>
      <c r="CC102" s="12" t="str">
        <f>IFERROR(__xludf.DUMMYFUNCTION("CONCATENATE(SORT(TRANSPOSE(SPLIT(REGEXREPLACE(REGEXREPLACE(CB102&amp;"""",""(?s)(.{1})"",""$1""&amp;CHAR(127)),""'"",""''""),CHAR(127))),1,true),""1"")"),"adf1")</f>
        <v>adf1</v>
      </c>
      <c r="CD102" s="16"/>
      <c r="CE102" s="12" t="str">
        <f t="shared" si="11"/>
        <v>dcgefba</v>
      </c>
      <c r="CF102" s="12" t="str">
        <f>IFERROR(__xludf.DUMMYFUNCTION("CONCATENATE(SORT(TRANSPOSE(SPLIT(REGEXREPLACE(REGEXREPLACE(CE102&amp;"""",""(?s)(.{1})"",""$1""&amp;CHAR(127)),""'"",""''""),CHAR(127))),1,true),""1"")"),"abcdefg1")</f>
        <v>abcdefg1</v>
      </c>
      <c r="CG102" s="16"/>
      <c r="CH102" s="10" t="str">
        <f>IFERROR(__xludf.DUMMYFUNCTION("FILTER(K102:T102,len(K102:T102)=6)"),"fgcebd")</f>
        <v>fgcebd</v>
      </c>
      <c r="CI102" s="6" t="str">
        <f>IFERROR(__xludf.DUMMYFUNCTION("""COMPUTED_VALUE"""),"abefcd")</f>
        <v>abefcd</v>
      </c>
      <c r="CJ102" s="6" t="str">
        <f>IFERROR(__xludf.DUMMYFUNCTION("""COMPUTED_VALUE"""),"dafgce")</f>
        <v>dafgce</v>
      </c>
      <c r="CK102" s="6" t="str">
        <f>IFERROR(__xludf.DUMMYFUNCTION("REGEXREPLACE( $BG102, CONCATENATE(""["",CH102,""]""), """")"),"a")</f>
        <v>a</v>
      </c>
      <c r="CL102" s="6" t="str">
        <f>IFERROR(__xludf.DUMMYFUNCTION("REGEXREPLACE( $BG102, CONCATENATE(""["",CI102,""]""), """")"),"")</f>
        <v/>
      </c>
      <c r="CM102" s="6" t="str">
        <f>IFERROR(__xludf.DUMMYFUNCTION("REGEXREPLACE( $BG102, CONCATENATE(""["",CJ102,""]""), """")"),"b")</f>
        <v>b</v>
      </c>
      <c r="CN102" s="12" t="str">
        <f t="shared" si="12"/>
        <v>abefcd</v>
      </c>
      <c r="CO102" s="12" t="str">
        <f>IFERROR(__xludf.DUMMYFUNCTION("CONCATENATE(SORT(TRANSPOSE(SPLIT(REGEXREPLACE(REGEXREPLACE(CN102&amp;"""",""(?s)(.{1})"",""$1""&amp;CHAR(127)),""'"",""''""),CHAR(127))),1,true),""1"")"),"abcdef1")</f>
        <v>abcdef1</v>
      </c>
      <c r="CP102" s="15"/>
    </row>
    <row r="103">
      <c r="A103" s="1" t="s">
        <v>123</v>
      </c>
      <c r="H103" s="6" t="str">
        <f>IFERROR(__xludf.DUMMYFUNCTION("SPLIT(A103,""|"")"),"egfba agbed ade dfab cgebd agbdef aefcdbg da cbgaef cgdeaf ")</f>
        <v>egfba agbed ade dfab cgebd agbdef aefcdbg da cbgaef cgdeaf </v>
      </c>
      <c r="I103" s="6" t="str">
        <f>IFERROR(__xludf.DUMMYFUNCTION("""COMPUTED_VALUE""")," fdbgcea ad ead cbeadgf")</f>
        <v> fdbgcea ad ead cbeadgf</v>
      </c>
      <c r="J103" s="15"/>
      <c r="K103" s="6" t="str">
        <f>IFERROR(__xludf.DUMMYFUNCTION("split(H103,"" "")"),"egfba")</f>
        <v>egfba</v>
      </c>
      <c r="L103" s="6" t="str">
        <f>IFERROR(__xludf.DUMMYFUNCTION("""COMPUTED_VALUE"""),"agbed")</f>
        <v>agbed</v>
      </c>
      <c r="M103" s="6" t="str">
        <f>IFERROR(__xludf.DUMMYFUNCTION("""COMPUTED_VALUE"""),"ade")</f>
        <v>ade</v>
      </c>
      <c r="N103" s="6" t="str">
        <f>IFERROR(__xludf.DUMMYFUNCTION("""COMPUTED_VALUE"""),"dfab")</f>
        <v>dfab</v>
      </c>
      <c r="O103" s="6" t="str">
        <f>IFERROR(__xludf.DUMMYFUNCTION("""COMPUTED_VALUE"""),"cgebd")</f>
        <v>cgebd</v>
      </c>
      <c r="P103" s="6" t="str">
        <f>IFERROR(__xludf.DUMMYFUNCTION("""COMPUTED_VALUE"""),"agbdef")</f>
        <v>agbdef</v>
      </c>
      <c r="Q103" s="6" t="str">
        <f>IFERROR(__xludf.DUMMYFUNCTION("""COMPUTED_VALUE"""),"aefcdbg")</f>
        <v>aefcdbg</v>
      </c>
      <c r="R103" s="6" t="str">
        <f>IFERROR(__xludf.DUMMYFUNCTION("""COMPUTED_VALUE"""),"da")</f>
        <v>da</v>
      </c>
      <c r="S103" s="6" t="str">
        <f>IFERROR(__xludf.DUMMYFUNCTION("""COMPUTED_VALUE"""),"cbgaef")</f>
        <v>cbgaef</v>
      </c>
      <c r="T103" s="6" t="str">
        <f>IFERROR(__xludf.DUMMYFUNCTION("""COMPUTED_VALUE"""),"cgdeaf")</f>
        <v>cgdeaf</v>
      </c>
      <c r="U103" s="15"/>
      <c r="V103" s="6" t="str">
        <f>IFERROR(__xludf.DUMMYFUNCTION("split(I103,"" "")"),"fdbgcea")</f>
        <v>fdbgcea</v>
      </c>
      <c r="W103" s="6" t="str">
        <f>IFERROR(__xludf.DUMMYFUNCTION("""COMPUTED_VALUE"""),"ad")</f>
        <v>ad</v>
      </c>
      <c r="X103" s="6" t="str">
        <f>IFERROR(__xludf.DUMMYFUNCTION("""COMPUTED_VALUE"""),"ead")</f>
        <v>ead</v>
      </c>
      <c r="Y103" s="6" t="str">
        <f>IFERROR(__xludf.DUMMYFUNCTION("""COMPUTED_VALUE"""),"cbeadgf")</f>
        <v>cbeadgf</v>
      </c>
      <c r="Z103" s="6" t="str">
        <f>IFERROR(__xludf.DUMMYFUNCTION("CONCATENATE(SORT(TRANSPOSE(SPLIT(REGEXREPLACE(REGEXREPLACE(V103&amp;"""",""(?s)(.{1})"",""$1""&amp;CHAR(127)),""'"",""''""),CHAR(127))),1,true))"),"abcdefg")</f>
        <v>abcdefg</v>
      </c>
      <c r="AA103" s="6" t="str">
        <f>IFERROR(__xludf.DUMMYFUNCTION("CONCATENATE(SORT(TRANSPOSE(SPLIT(REGEXREPLACE(REGEXREPLACE(W103&amp;"""",""(?s)(.{1})"",""$1""&amp;CHAR(127)),""'"",""''""),CHAR(127))),1,true))"),"ad")</f>
        <v>ad</v>
      </c>
      <c r="AB103" s="6" t="str">
        <f>IFERROR(__xludf.DUMMYFUNCTION("CONCATENATE(SORT(TRANSPOSE(SPLIT(REGEXREPLACE(REGEXREPLACE(X103&amp;"""",""(?s)(.{1})"",""$1""&amp;CHAR(127)),""'"",""''""),CHAR(127))),1,true))"),"ade")</f>
        <v>ade</v>
      </c>
      <c r="AC103" s="6" t="str">
        <f>IFERROR(__xludf.DUMMYFUNCTION("CONCATENATE(SORT(TRANSPOSE(SPLIT(REGEXREPLACE(REGEXREPLACE(Y103&amp;"""",""(?s)(.{1})"",""$1""&amp;CHAR(127)),""'"",""''""),CHAR(127))),1,true))"),"abcdefg")</f>
        <v>abcdefg</v>
      </c>
      <c r="AD103" s="6">
        <f t="shared" ref="AD103:AG103" si="113">INDEX($AO$1:$CP$1,1,MATCH(CONCATENATE(Z103,"1"),$AO103:$CP103,0)+1)</f>
        <v>8</v>
      </c>
      <c r="AE103" s="6">
        <f t="shared" si="113"/>
        <v>1</v>
      </c>
      <c r="AF103" s="6">
        <f t="shared" si="113"/>
        <v>7</v>
      </c>
      <c r="AG103" s="6">
        <f t="shared" si="113"/>
        <v>8</v>
      </c>
      <c r="AH103" s="6">
        <f t="shared" si="3"/>
        <v>8178</v>
      </c>
      <c r="AI103" s="16"/>
      <c r="AJ103" s="9" t="str">
        <f>IFERROR(__xludf.DUMMYFUNCTION("REGEXREPLACE(AR103,CONCATENATE(""["",BY103,""]""),"""")"),"d")</f>
        <v>d</v>
      </c>
      <c r="AK103" s="10" t="str">
        <f>IFERROR(__xludf.DUMMYFUNCTION("FILTER($K103:$T103,len($K103:$T103)=6,NOT($K103:$T103=BY103))"),"agbdef")</f>
        <v>agbdef</v>
      </c>
      <c r="AL103" s="6" t="str">
        <f>IFERROR(__xludf.DUMMYFUNCTION("""COMPUTED_VALUE"""),"cgdeaf")</f>
        <v>cgdeaf</v>
      </c>
      <c r="AM103" s="6" t="str">
        <f>IFERROR(__xludf.DUMMYFUNCTION("REGEXREPLACE( $BG103, CONCATENATE(""["",AK103,""]""), """")"),"")</f>
        <v/>
      </c>
      <c r="AN103" s="6" t="str">
        <f>IFERROR(__xludf.DUMMYFUNCTION("REGEXREPLACE( $BG103, CONCATENATE(""["",AL103,""]""), """")"),"b")</f>
        <v>b</v>
      </c>
      <c r="AO103" s="11" t="str">
        <f t="shared" si="4"/>
        <v>cgdeaf</v>
      </c>
      <c r="AP103" s="12" t="str">
        <f>IFERROR(__xludf.DUMMYFUNCTION("CONCATENATE(SORT(TRANSPOSE(SPLIT(REGEXREPLACE(REGEXREPLACE(AO103&amp;"""",""(?s)(.{1})"",""$1""&amp;CHAR(127)),""'"",""''""),CHAR(127))),1,true),""1"")"),"acdefg1")</f>
        <v>acdefg1</v>
      </c>
      <c r="AQ103" s="16"/>
      <c r="AR103" s="12" t="str">
        <f t="shared" si="5"/>
        <v>da</v>
      </c>
      <c r="AS103" s="12" t="str">
        <f>IFERROR(__xludf.DUMMYFUNCTION("CONCATENATE(SORT(TRANSPOSE(SPLIT(REGEXREPLACE(REGEXREPLACE(AR103&amp;"""",""(?s)(.{1})"",""$1""&amp;CHAR(127)),""'"",""''""),CHAR(127))),1,true),""1"")"),"ad1")</f>
        <v>ad1</v>
      </c>
      <c r="AT103" s="16"/>
      <c r="AU103" s="13" t="str">
        <f>IFERROR(__xludf.DUMMYFUNCTION("FILTER($K103:$T103,len($K103:$T103)=5,NOT($K103:$T103=BD103),NOT($K103:$T103=BP103))"),"cgebd")</f>
        <v>cgebd</v>
      </c>
      <c r="AV103" s="12" t="str">
        <f>IFERROR(__xludf.DUMMYFUNCTION("CONCATENATE(SORT(TRANSPOSE(SPLIT(REGEXREPLACE(REGEXREPLACE(AU103&amp;"""",""(?s)(.{1})"",""$1""&amp;CHAR(127)),""'"",""''""),CHAR(127))),1,true),""1"")"),"bcdeg1")</f>
        <v>bcdeg1</v>
      </c>
      <c r="AW103" s="16"/>
      <c r="AX103" s="10" t="str">
        <f>IFERROR(__xludf.DUMMYFUNCTION("FILTER($K103:$T103,len($K103:$T103)=5)"),"egfba")</f>
        <v>egfba</v>
      </c>
      <c r="AY103" s="6" t="str">
        <f>IFERROR(__xludf.DUMMYFUNCTION("""COMPUTED_VALUE"""),"agbed")</f>
        <v>agbed</v>
      </c>
      <c r="AZ103" s="6" t="str">
        <f>IFERROR(__xludf.DUMMYFUNCTION("""COMPUTED_VALUE"""),"cgebd")</f>
        <v>cgebd</v>
      </c>
      <c r="BA103" s="6" t="str">
        <f>IFERROR(__xludf.DUMMYFUNCTION("REGEXREPLACE( $AR103, CONCATENATE(""["",AX103,""]""), """")"),"d")</f>
        <v>d</v>
      </c>
      <c r="BB103" s="6" t="str">
        <f>IFERROR(__xludf.DUMMYFUNCTION("REGEXREPLACE( $AR103, CONCATENATE(""["",AY103,""]""), """")"),"")</f>
        <v/>
      </c>
      <c r="BC103" s="6" t="str">
        <f>IFERROR(__xludf.DUMMYFUNCTION("REGEXREPLACE( $AR103, CONCATENATE(""["",AZ103,""]""), """")"),"a")</f>
        <v>a</v>
      </c>
      <c r="BD103" s="11" t="str">
        <f t="shared" si="6"/>
        <v>agbed</v>
      </c>
      <c r="BE103" s="12" t="str">
        <f>IFERROR(__xludf.DUMMYFUNCTION("CONCATENATE(SORT(TRANSPOSE(SPLIT(REGEXREPLACE(REGEXREPLACE(BD103&amp;"""",""(?s)(.{1})"",""$1""&amp;CHAR(127)),""'"",""''""),CHAR(127))),1,true),""1"")"),"abdeg1")</f>
        <v>abdeg1</v>
      </c>
      <c r="BF103" s="16"/>
      <c r="BG103" s="12" t="str">
        <f t="shared" si="7"/>
        <v>dfab</v>
      </c>
      <c r="BH103" s="12" t="str">
        <f>IFERROR(__xludf.DUMMYFUNCTION("CONCATENATE(SORT(TRANSPOSE(SPLIT(REGEXREPLACE(REGEXREPLACE(BG103&amp;"""",""(?s)(.{1})"",""$1""&amp;CHAR(127)),""'"",""''""),CHAR(127))),1,true),""1"")"),"abdf1")</f>
        <v>abdf1</v>
      </c>
      <c r="BI103" s="16"/>
      <c r="BJ103" s="10" t="str">
        <f>IFERROR(__xludf.DUMMYFUNCTION("FILTER($K103:$T103,len($K103:$T103)=5)"),"egfba")</f>
        <v>egfba</v>
      </c>
      <c r="BK103" s="6" t="str">
        <f>IFERROR(__xludf.DUMMYFUNCTION("""COMPUTED_VALUE"""),"agbed")</f>
        <v>agbed</v>
      </c>
      <c r="BL103" s="6" t="str">
        <f>IFERROR(__xludf.DUMMYFUNCTION("""COMPUTED_VALUE"""),"cgebd")</f>
        <v>cgebd</v>
      </c>
      <c r="BM103" s="14" t="str">
        <f>IFERROR(__xludf.DUMMYFUNCTION("REGEXREPLACE( $BY103, CONCATENATE(""["",BJ103,""]""), """")"),"c")</f>
        <v>c</v>
      </c>
      <c r="BN103" s="14" t="str">
        <f>IFERROR(__xludf.DUMMYFUNCTION("REGEXREPLACE( $BY103, CONCATENATE(""["",BK103,""]""), """")"),"cf")</f>
        <v>cf</v>
      </c>
      <c r="BO103" s="14" t="str">
        <f>IFERROR(__xludf.DUMMYFUNCTION("REGEXREPLACE( $BY103, CONCATENATE(""["",BL103,""]""), """")"),"af")</f>
        <v>af</v>
      </c>
      <c r="BP103" s="11" t="str">
        <f t="shared" si="8"/>
        <v>egfba</v>
      </c>
      <c r="BQ103" s="12" t="str">
        <f>IFERROR(__xludf.DUMMYFUNCTION("CONCATENATE(SORT(TRANSPOSE(SPLIT(REGEXREPLACE(REGEXREPLACE(BP103&amp;"""",""(?s)(.{1})"",""$1""&amp;CHAR(127)),""'"",""''""),CHAR(127))),1,true),""1"")"),"abefg1")</f>
        <v>abefg1</v>
      </c>
      <c r="BR103" s="16"/>
      <c r="BS103" s="10" t="str">
        <f>IFERROR(__xludf.DUMMYFUNCTION("FILTER(K103:T103,len(K103:T103)=6)"),"agbdef")</f>
        <v>agbdef</v>
      </c>
      <c r="BT103" s="6" t="str">
        <f>IFERROR(__xludf.DUMMYFUNCTION("""COMPUTED_VALUE"""),"cbgaef")</f>
        <v>cbgaef</v>
      </c>
      <c r="BU103" s="6" t="str">
        <f>IFERROR(__xludf.DUMMYFUNCTION("""COMPUTED_VALUE"""),"cgdeaf")</f>
        <v>cgdeaf</v>
      </c>
      <c r="BV103" s="6" t="str">
        <f>IFERROR(__xludf.DUMMYFUNCTION("REGEXREPLACE( $AR103, CONCATENATE(""["",BS103,""]""), """")"),"")</f>
        <v/>
      </c>
      <c r="BW103" s="6" t="str">
        <f>IFERROR(__xludf.DUMMYFUNCTION("REGEXREPLACE( $AR103, CONCATENATE(""["",BT103,""]""), """")"),"d")</f>
        <v>d</v>
      </c>
      <c r="BX103" s="6" t="str">
        <f>IFERROR(__xludf.DUMMYFUNCTION("REGEXREPLACE( $AR103, CONCATENATE(""["",BU103,""]""), """")"),"")</f>
        <v/>
      </c>
      <c r="BY103" s="12" t="str">
        <f t="shared" si="9"/>
        <v>cbgaef</v>
      </c>
      <c r="BZ103" s="12" t="str">
        <f>IFERROR(__xludf.DUMMYFUNCTION("CONCATENATE(SORT(TRANSPOSE(SPLIT(REGEXREPLACE(REGEXREPLACE(BY103&amp;"""",""(?s)(.{1})"",""$1""&amp;CHAR(127)),""'"",""''""),CHAR(127))),1,true),""1"")"),"abcefg1")</f>
        <v>abcefg1</v>
      </c>
      <c r="CA103" s="16"/>
      <c r="CB103" s="12" t="str">
        <f t="shared" si="10"/>
        <v>ade</v>
      </c>
      <c r="CC103" s="12" t="str">
        <f>IFERROR(__xludf.DUMMYFUNCTION("CONCATENATE(SORT(TRANSPOSE(SPLIT(REGEXREPLACE(REGEXREPLACE(CB103&amp;"""",""(?s)(.{1})"",""$1""&amp;CHAR(127)),""'"",""''""),CHAR(127))),1,true),""1"")"),"ade1")</f>
        <v>ade1</v>
      </c>
      <c r="CD103" s="16"/>
      <c r="CE103" s="12" t="str">
        <f t="shared" si="11"/>
        <v>aefcdbg</v>
      </c>
      <c r="CF103" s="12" t="str">
        <f>IFERROR(__xludf.DUMMYFUNCTION("CONCATENATE(SORT(TRANSPOSE(SPLIT(REGEXREPLACE(REGEXREPLACE(CE103&amp;"""",""(?s)(.{1})"",""$1""&amp;CHAR(127)),""'"",""''""),CHAR(127))),1,true),""1"")"),"abcdefg1")</f>
        <v>abcdefg1</v>
      </c>
      <c r="CG103" s="16"/>
      <c r="CH103" s="10" t="str">
        <f>IFERROR(__xludf.DUMMYFUNCTION("FILTER(K103:T103,len(K103:T103)=6)"),"agbdef")</f>
        <v>agbdef</v>
      </c>
      <c r="CI103" s="6" t="str">
        <f>IFERROR(__xludf.DUMMYFUNCTION("""COMPUTED_VALUE"""),"cbgaef")</f>
        <v>cbgaef</v>
      </c>
      <c r="CJ103" s="6" t="str">
        <f>IFERROR(__xludf.DUMMYFUNCTION("""COMPUTED_VALUE"""),"cgdeaf")</f>
        <v>cgdeaf</v>
      </c>
      <c r="CK103" s="6" t="str">
        <f>IFERROR(__xludf.DUMMYFUNCTION("REGEXREPLACE( $BG103, CONCATENATE(""["",CH103,""]""), """")"),"")</f>
        <v/>
      </c>
      <c r="CL103" s="6" t="str">
        <f>IFERROR(__xludf.DUMMYFUNCTION("REGEXREPLACE( $BG103, CONCATENATE(""["",CI103,""]""), """")"),"d")</f>
        <v>d</v>
      </c>
      <c r="CM103" s="6" t="str">
        <f>IFERROR(__xludf.DUMMYFUNCTION("REGEXREPLACE( $BG103, CONCATENATE(""["",CJ103,""]""), """")"),"b")</f>
        <v>b</v>
      </c>
      <c r="CN103" s="12" t="str">
        <f t="shared" si="12"/>
        <v>agbdef</v>
      </c>
      <c r="CO103" s="12" t="str">
        <f>IFERROR(__xludf.DUMMYFUNCTION("CONCATENATE(SORT(TRANSPOSE(SPLIT(REGEXREPLACE(REGEXREPLACE(CN103&amp;"""",""(?s)(.{1})"",""$1""&amp;CHAR(127)),""'"",""''""),CHAR(127))),1,true),""1"")"),"abdefg1")</f>
        <v>abdefg1</v>
      </c>
      <c r="CP103" s="15"/>
    </row>
    <row r="104">
      <c r="A104" s="1" t="s">
        <v>124</v>
      </c>
      <c r="H104" s="6" t="str">
        <f>IFERROR(__xludf.DUMMYFUNCTION("SPLIT(A104,""|"")"),"eda abcgfd afgde fagdcbe gdfec ae debafc afdgb ebag afebgd ")</f>
        <v>eda abcgfd afgde fagdcbe gdfec ae debafc afdgb ebag afebgd </v>
      </c>
      <c r="I104" s="6" t="str">
        <f>IFERROR(__xludf.DUMMYFUNCTION("""COMPUTED_VALUE""")," ea baefdg fgeda ae")</f>
        <v> ea baefdg fgeda ae</v>
      </c>
      <c r="J104" s="15"/>
      <c r="K104" s="6" t="str">
        <f>IFERROR(__xludf.DUMMYFUNCTION("split(H104,"" "")"),"eda")</f>
        <v>eda</v>
      </c>
      <c r="L104" s="6" t="str">
        <f>IFERROR(__xludf.DUMMYFUNCTION("""COMPUTED_VALUE"""),"abcgfd")</f>
        <v>abcgfd</v>
      </c>
      <c r="M104" s="6" t="str">
        <f>IFERROR(__xludf.DUMMYFUNCTION("""COMPUTED_VALUE"""),"afgde")</f>
        <v>afgde</v>
      </c>
      <c r="N104" s="6" t="str">
        <f>IFERROR(__xludf.DUMMYFUNCTION("""COMPUTED_VALUE"""),"fagdcbe")</f>
        <v>fagdcbe</v>
      </c>
      <c r="O104" s="6" t="str">
        <f>IFERROR(__xludf.DUMMYFUNCTION("""COMPUTED_VALUE"""),"gdfec")</f>
        <v>gdfec</v>
      </c>
      <c r="P104" s="6" t="str">
        <f>IFERROR(__xludf.DUMMYFUNCTION("""COMPUTED_VALUE"""),"ae")</f>
        <v>ae</v>
      </c>
      <c r="Q104" s="6" t="str">
        <f>IFERROR(__xludf.DUMMYFUNCTION("""COMPUTED_VALUE"""),"debafc")</f>
        <v>debafc</v>
      </c>
      <c r="R104" s="6" t="str">
        <f>IFERROR(__xludf.DUMMYFUNCTION("""COMPUTED_VALUE"""),"afdgb")</f>
        <v>afdgb</v>
      </c>
      <c r="S104" s="6" t="str">
        <f>IFERROR(__xludf.DUMMYFUNCTION("""COMPUTED_VALUE"""),"ebag")</f>
        <v>ebag</v>
      </c>
      <c r="T104" s="6" t="str">
        <f>IFERROR(__xludf.DUMMYFUNCTION("""COMPUTED_VALUE"""),"afebgd")</f>
        <v>afebgd</v>
      </c>
      <c r="U104" s="15"/>
      <c r="V104" s="6" t="str">
        <f>IFERROR(__xludf.DUMMYFUNCTION("split(I104,"" "")"),"ea")</f>
        <v>ea</v>
      </c>
      <c r="W104" s="6" t="str">
        <f>IFERROR(__xludf.DUMMYFUNCTION("""COMPUTED_VALUE"""),"baefdg")</f>
        <v>baefdg</v>
      </c>
      <c r="X104" s="6" t="str">
        <f>IFERROR(__xludf.DUMMYFUNCTION("""COMPUTED_VALUE"""),"fgeda")</f>
        <v>fgeda</v>
      </c>
      <c r="Y104" s="6" t="str">
        <f>IFERROR(__xludf.DUMMYFUNCTION("""COMPUTED_VALUE"""),"ae")</f>
        <v>ae</v>
      </c>
      <c r="Z104" s="6" t="str">
        <f>IFERROR(__xludf.DUMMYFUNCTION("CONCATENATE(SORT(TRANSPOSE(SPLIT(REGEXREPLACE(REGEXREPLACE(V104&amp;"""",""(?s)(.{1})"",""$1""&amp;CHAR(127)),""'"",""''""),CHAR(127))),1,true))"),"ae")</f>
        <v>ae</v>
      </c>
      <c r="AA104" s="6" t="str">
        <f>IFERROR(__xludf.DUMMYFUNCTION("CONCATENATE(SORT(TRANSPOSE(SPLIT(REGEXREPLACE(REGEXREPLACE(W104&amp;"""",""(?s)(.{1})"",""$1""&amp;CHAR(127)),""'"",""''""),CHAR(127))),1,true))"),"abdefg")</f>
        <v>abdefg</v>
      </c>
      <c r="AB104" s="6" t="str">
        <f>IFERROR(__xludf.DUMMYFUNCTION("CONCATENATE(SORT(TRANSPOSE(SPLIT(REGEXREPLACE(REGEXREPLACE(X104&amp;"""",""(?s)(.{1})"",""$1""&amp;CHAR(127)),""'"",""''""),CHAR(127))),1,true))"),"adefg")</f>
        <v>adefg</v>
      </c>
      <c r="AC104" s="6" t="str">
        <f>IFERROR(__xludf.DUMMYFUNCTION("CONCATENATE(SORT(TRANSPOSE(SPLIT(REGEXREPLACE(REGEXREPLACE(Y104&amp;"""",""(?s)(.{1})"",""$1""&amp;CHAR(127)),""'"",""''""),CHAR(127))),1,true))"),"ae")</f>
        <v>ae</v>
      </c>
      <c r="AD104" s="6">
        <f t="shared" ref="AD104:AG104" si="114">INDEX($AO$1:$CP$1,1,MATCH(CONCATENATE(Z104,"1"),$AO104:$CP104,0)+1)</f>
        <v>1</v>
      </c>
      <c r="AE104" s="6">
        <f t="shared" si="114"/>
        <v>9</v>
      </c>
      <c r="AF104" s="6">
        <f t="shared" si="114"/>
        <v>3</v>
      </c>
      <c r="AG104" s="6">
        <f t="shared" si="114"/>
        <v>1</v>
      </c>
      <c r="AH104" s="6">
        <f t="shared" si="3"/>
        <v>1931</v>
      </c>
      <c r="AI104" s="16"/>
      <c r="AJ104" s="9" t="str">
        <f>IFERROR(__xludf.DUMMYFUNCTION("REGEXREPLACE(AR104,CONCATENATE(""["",BY104,""]""),"""")"),"e")</f>
        <v>e</v>
      </c>
      <c r="AK104" s="10" t="str">
        <f>IFERROR(__xludf.DUMMYFUNCTION("FILTER($K104:$T104,len($K104:$T104)=6,NOT($K104:$T104=BY104))"),"debafc")</f>
        <v>debafc</v>
      </c>
      <c r="AL104" s="6" t="str">
        <f>IFERROR(__xludf.DUMMYFUNCTION("""COMPUTED_VALUE"""),"afebgd")</f>
        <v>afebgd</v>
      </c>
      <c r="AM104" s="6" t="str">
        <f>IFERROR(__xludf.DUMMYFUNCTION("REGEXREPLACE( $BG104, CONCATENATE(""["",AK104,""]""), """")"),"g")</f>
        <v>g</v>
      </c>
      <c r="AN104" s="6" t="str">
        <f>IFERROR(__xludf.DUMMYFUNCTION("REGEXREPLACE( $BG104, CONCATENATE(""["",AL104,""]""), """")"),"")</f>
        <v/>
      </c>
      <c r="AO104" s="11" t="str">
        <f t="shared" si="4"/>
        <v>debafc</v>
      </c>
      <c r="AP104" s="12" t="str">
        <f>IFERROR(__xludf.DUMMYFUNCTION("CONCATENATE(SORT(TRANSPOSE(SPLIT(REGEXREPLACE(REGEXREPLACE(AO104&amp;"""",""(?s)(.{1})"",""$1""&amp;CHAR(127)),""'"",""''""),CHAR(127))),1,true),""1"")"),"abcdef1")</f>
        <v>abcdef1</v>
      </c>
      <c r="AQ104" s="16"/>
      <c r="AR104" s="12" t="str">
        <f t="shared" si="5"/>
        <v>ae</v>
      </c>
      <c r="AS104" s="12" t="str">
        <f>IFERROR(__xludf.DUMMYFUNCTION("CONCATENATE(SORT(TRANSPOSE(SPLIT(REGEXREPLACE(REGEXREPLACE(AR104&amp;"""",""(?s)(.{1})"",""$1""&amp;CHAR(127)),""'"",""''""),CHAR(127))),1,true),""1"")"),"ae1")</f>
        <v>ae1</v>
      </c>
      <c r="AT104" s="16"/>
      <c r="AU104" s="13" t="str">
        <f>IFERROR(__xludf.DUMMYFUNCTION("FILTER($K104:$T104,len($K104:$T104)=5,NOT($K104:$T104=BD104),NOT($K104:$T104=BP104))"),"gdfec")</f>
        <v>gdfec</v>
      </c>
      <c r="AV104" s="12" t="str">
        <f>IFERROR(__xludf.DUMMYFUNCTION("CONCATENATE(SORT(TRANSPOSE(SPLIT(REGEXREPLACE(REGEXREPLACE(AU104&amp;"""",""(?s)(.{1})"",""$1""&amp;CHAR(127)),""'"",""''""),CHAR(127))),1,true),""1"")"),"cdefg1")</f>
        <v>cdefg1</v>
      </c>
      <c r="AW104" s="16"/>
      <c r="AX104" s="10" t="str">
        <f>IFERROR(__xludf.DUMMYFUNCTION("FILTER($K104:$T104,len($K104:$T104)=5)"),"afgde")</f>
        <v>afgde</v>
      </c>
      <c r="AY104" s="6" t="str">
        <f>IFERROR(__xludf.DUMMYFUNCTION("""COMPUTED_VALUE"""),"gdfec")</f>
        <v>gdfec</v>
      </c>
      <c r="AZ104" s="6" t="str">
        <f>IFERROR(__xludf.DUMMYFUNCTION("""COMPUTED_VALUE"""),"afdgb")</f>
        <v>afdgb</v>
      </c>
      <c r="BA104" s="6" t="str">
        <f>IFERROR(__xludf.DUMMYFUNCTION("REGEXREPLACE( $AR104, CONCATENATE(""["",AX104,""]""), """")"),"")</f>
        <v/>
      </c>
      <c r="BB104" s="6" t="str">
        <f>IFERROR(__xludf.DUMMYFUNCTION("REGEXREPLACE( $AR104, CONCATENATE(""["",AY104,""]""), """")"),"a")</f>
        <v>a</v>
      </c>
      <c r="BC104" s="6" t="str">
        <f>IFERROR(__xludf.DUMMYFUNCTION("REGEXREPLACE( $AR104, CONCATENATE(""["",AZ104,""]""), """")"),"e")</f>
        <v>e</v>
      </c>
      <c r="BD104" s="11" t="str">
        <f t="shared" si="6"/>
        <v>afgde</v>
      </c>
      <c r="BE104" s="12" t="str">
        <f>IFERROR(__xludf.DUMMYFUNCTION("CONCATENATE(SORT(TRANSPOSE(SPLIT(REGEXREPLACE(REGEXREPLACE(BD104&amp;"""",""(?s)(.{1})"",""$1""&amp;CHAR(127)),""'"",""''""),CHAR(127))),1,true),""1"")"),"adefg1")</f>
        <v>adefg1</v>
      </c>
      <c r="BF104" s="16"/>
      <c r="BG104" s="12" t="str">
        <f t="shared" si="7"/>
        <v>ebag</v>
      </c>
      <c r="BH104" s="12" t="str">
        <f>IFERROR(__xludf.DUMMYFUNCTION("CONCATENATE(SORT(TRANSPOSE(SPLIT(REGEXREPLACE(REGEXREPLACE(BG104&amp;"""",""(?s)(.{1})"",""$1""&amp;CHAR(127)),""'"",""''""),CHAR(127))),1,true),""1"")"),"abeg1")</f>
        <v>abeg1</v>
      </c>
      <c r="BI104" s="16"/>
      <c r="BJ104" s="10" t="str">
        <f>IFERROR(__xludf.DUMMYFUNCTION("FILTER($K104:$T104,len($K104:$T104)=5)"),"afgde")</f>
        <v>afgde</v>
      </c>
      <c r="BK104" s="6" t="str">
        <f>IFERROR(__xludf.DUMMYFUNCTION("""COMPUTED_VALUE"""),"gdfec")</f>
        <v>gdfec</v>
      </c>
      <c r="BL104" s="6" t="str">
        <f>IFERROR(__xludf.DUMMYFUNCTION("""COMPUTED_VALUE"""),"afdgb")</f>
        <v>afdgb</v>
      </c>
      <c r="BM104" s="14" t="str">
        <f>IFERROR(__xludf.DUMMYFUNCTION("REGEXREPLACE( $BY104, CONCATENATE(""["",BJ104,""]""), """")"),"bc")</f>
        <v>bc</v>
      </c>
      <c r="BN104" s="14" t="str">
        <f>IFERROR(__xludf.DUMMYFUNCTION("REGEXREPLACE( $BY104, CONCATENATE(""["",BK104,""]""), """")"),"ab")</f>
        <v>ab</v>
      </c>
      <c r="BO104" s="14" t="str">
        <f>IFERROR(__xludf.DUMMYFUNCTION("REGEXREPLACE( $BY104, CONCATENATE(""["",BL104,""]""), """")"),"c")</f>
        <v>c</v>
      </c>
      <c r="BP104" s="11" t="str">
        <f t="shared" si="8"/>
        <v>afdgb</v>
      </c>
      <c r="BQ104" s="12" t="str">
        <f>IFERROR(__xludf.DUMMYFUNCTION("CONCATENATE(SORT(TRANSPOSE(SPLIT(REGEXREPLACE(REGEXREPLACE(BP104&amp;"""",""(?s)(.{1})"",""$1""&amp;CHAR(127)),""'"",""''""),CHAR(127))),1,true),""1"")"),"abdfg1")</f>
        <v>abdfg1</v>
      </c>
      <c r="BR104" s="16"/>
      <c r="BS104" s="10" t="str">
        <f>IFERROR(__xludf.DUMMYFUNCTION("FILTER(K104:T104,len(K104:T104)=6)"),"abcgfd")</f>
        <v>abcgfd</v>
      </c>
      <c r="BT104" s="6" t="str">
        <f>IFERROR(__xludf.DUMMYFUNCTION("""COMPUTED_VALUE"""),"debafc")</f>
        <v>debafc</v>
      </c>
      <c r="BU104" s="6" t="str">
        <f>IFERROR(__xludf.DUMMYFUNCTION("""COMPUTED_VALUE"""),"afebgd")</f>
        <v>afebgd</v>
      </c>
      <c r="BV104" s="6" t="str">
        <f>IFERROR(__xludf.DUMMYFUNCTION("REGEXREPLACE( $AR104, CONCATENATE(""["",BS104,""]""), """")"),"e")</f>
        <v>e</v>
      </c>
      <c r="BW104" s="6" t="str">
        <f>IFERROR(__xludf.DUMMYFUNCTION("REGEXREPLACE( $AR104, CONCATENATE(""["",BT104,""]""), """")"),"")</f>
        <v/>
      </c>
      <c r="BX104" s="6" t="str">
        <f>IFERROR(__xludf.DUMMYFUNCTION("REGEXREPLACE( $AR104, CONCATENATE(""["",BU104,""]""), """")"),"")</f>
        <v/>
      </c>
      <c r="BY104" s="12" t="str">
        <f t="shared" si="9"/>
        <v>abcgfd</v>
      </c>
      <c r="BZ104" s="12" t="str">
        <f>IFERROR(__xludf.DUMMYFUNCTION("CONCATENATE(SORT(TRANSPOSE(SPLIT(REGEXREPLACE(REGEXREPLACE(BY104&amp;"""",""(?s)(.{1})"",""$1""&amp;CHAR(127)),""'"",""''""),CHAR(127))),1,true),""1"")"),"abcdfg1")</f>
        <v>abcdfg1</v>
      </c>
      <c r="CA104" s="16"/>
      <c r="CB104" s="12" t="str">
        <f t="shared" si="10"/>
        <v>eda</v>
      </c>
      <c r="CC104" s="12" t="str">
        <f>IFERROR(__xludf.DUMMYFUNCTION("CONCATENATE(SORT(TRANSPOSE(SPLIT(REGEXREPLACE(REGEXREPLACE(CB104&amp;"""",""(?s)(.{1})"",""$1""&amp;CHAR(127)),""'"",""''""),CHAR(127))),1,true),""1"")"),"ade1")</f>
        <v>ade1</v>
      </c>
      <c r="CD104" s="16"/>
      <c r="CE104" s="12" t="str">
        <f t="shared" si="11"/>
        <v>fagdcbe</v>
      </c>
      <c r="CF104" s="12" t="str">
        <f>IFERROR(__xludf.DUMMYFUNCTION("CONCATENATE(SORT(TRANSPOSE(SPLIT(REGEXREPLACE(REGEXREPLACE(CE104&amp;"""",""(?s)(.{1})"",""$1""&amp;CHAR(127)),""'"",""''""),CHAR(127))),1,true),""1"")"),"abcdefg1")</f>
        <v>abcdefg1</v>
      </c>
      <c r="CG104" s="16"/>
      <c r="CH104" s="10" t="str">
        <f>IFERROR(__xludf.DUMMYFUNCTION("FILTER(K104:T104,len(K104:T104)=6)"),"abcgfd")</f>
        <v>abcgfd</v>
      </c>
      <c r="CI104" s="6" t="str">
        <f>IFERROR(__xludf.DUMMYFUNCTION("""COMPUTED_VALUE"""),"debafc")</f>
        <v>debafc</v>
      </c>
      <c r="CJ104" s="6" t="str">
        <f>IFERROR(__xludf.DUMMYFUNCTION("""COMPUTED_VALUE"""),"afebgd")</f>
        <v>afebgd</v>
      </c>
      <c r="CK104" s="6" t="str">
        <f>IFERROR(__xludf.DUMMYFUNCTION("REGEXREPLACE( $BG104, CONCATENATE(""["",CH104,""]""), """")"),"e")</f>
        <v>e</v>
      </c>
      <c r="CL104" s="6" t="str">
        <f>IFERROR(__xludf.DUMMYFUNCTION("REGEXREPLACE( $BG104, CONCATENATE(""["",CI104,""]""), """")"),"g")</f>
        <v>g</v>
      </c>
      <c r="CM104" s="6" t="str">
        <f>IFERROR(__xludf.DUMMYFUNCTION("REGEXREPLACE( $BG104, CONCATENATE(""["",CJ104,""]""), """")"),"")</f>
        <v/>
      </c>
      <c r="CN104" s="12" t="str">
        <f t="shared" si="12"/>
        <v>afebgd</v>
      </c>
      <c r="CO104" s="12" t="str">
        <f>IFERROR(__xludf.DUMMYFUNCTION("CONCATENATE(SORT(TRANSPOSE(SPLIT(REGEXREPLACE(REGEXREPLACE(CN104&amp;"""",""(?s)(.{1})"",""$1""&amp;CHAR(127)),""'"",""''""),CHAR(127))),1,true),""1"")"),"abdefg1")</f>
        <v>abdefg1</v>
      </c>
      <c r="CP104" s="15"/>
    </row>
    <row r="105">
      <c r="A105" s="1" t="s">
        <v>125</v>
      </c>
      <c r="H105" s="6" t="str">
        <f>IFERROR(__xludf.DUMMYFUNCTION("SPLIT(A105,""|"")"),"eg gdeaf bgfe gdbfae agdfb gea bafecdg defca gbdafc bdgeac ")</f>
        <v>eg gdeaf bgfe gdbfae agdfb gea bafecdg defca gbdafc bdgeac </v>
      </c>
      <c r="I105" s="6" t="str">
        <f>IFERROR(__xludf.DUMMYFUNCTION("""COMPUTED_VALUE""")," cdfbga fbgda age eg")</f>
        <v> cdfbga fbgda age eg</v>
      </c>
      <c r="J105" s="15"/>
      <c r="K105" s="6" t="str">
        <f>IFERROR(__xludf.DUMMYFUNCTION("split(H105,"" "")"),"eg")</f>
        <v>eg</v>
      </c>
      <c r="L105" s="6" t="str">
        <f>IFERROR(__xludf.DUMMYFUNCTION("""COMPUTED_VALUE"""),"gdeaf")</f>
        <v>gdeaf</v>
      </c>
      <c r="M105" s="6" t="str">
        <f>IFERROR(__xludf.DUMMYFUNCTION("""COMPUTED_VALUE"""),"bgfe")</f>
        <v>bgfe</v>
      </c>
      <c r="N105" s="6" t="str">
        <f>IFERROR(__xludf.DUMMYFUNCTION("""COMPUTED_VALUE"""),"gdbfae")</f>
        <v>gdbfae</v>
      </c>
      <c r="O105" s="6" t="str">
        <f>IFERROR(__xludf.DUMMYFUNCTION("""COMPUTED_VALUE"""),"agdfb")</f>
        <v>agdfb</v>
      </c>
      <c r="P105" s="6" t="str">
        <f>IFERROR(__xludf.DUMMYFUNCTION("""COMPUTED_VALUE"""),"gea")</f>
        <v>gea</v>
      </c>
      <c r="Q105" s="6" t="str">
        <f>IFERROR(__xludf.DUMMYFUNCTION("""COMPUTED_VALUE"""),"bafecdg")</f>
        <v>bafecdg</v>
      </c>
      <c r="R105" s="6" t="str">
        <f>IFERROR(__xludf.DUMMYFUNCTION("""COMPUTED_VALUE"""),"defca")</f>
        <v>defca</v>
      </c>
      <c r="S105" s="6" t="str">
        <f>IFERROR(__xludf.DUMMYFUNCTION("""COMPUTED_VALUE"""),"gbdafc")</f>
        <v>gbdafc</v>
      </c>
      <c r="T105" s="6" t="str">
        <f>IFERROR(__xludf.DUMMYFUNCTION("""COMPUTED_VALUE"""),"bdgeac")</f>
        <v>bdgeac</v>
      </c>
      <c r="U105" s="15"/>
      <c r="V105" s="6" t="str">
        <f>IFERROR(__xludf.DUMMYFUNCTION("split(I105,"" "")"),"cdfbga")</f>
        <v>cdfbga</v>
      </c>
      <c r="W105" s="6" t="str">
        <f>IFERROR(__xludf.DUMMYFUNCTION("""COMPUTED_VALUE"""),"fbgda")</f>
        <v>fbgda</v>
      </c>
      <c r="X105" s="6" t="str">
        <f>IFERROR(__xludf.DUMMYFUNCTION("""COMPUTED_VALUE"""),"age")</f>
        <v>age</v>
      </c>
      <c r="Y105" s="6" t="str">
        <f>IFERROR(__xludf.DUMMYFUNCTION("""COMPUTED_VALUE"""),"eg")</f>
        <v>eg</v>
      </c>
      <c r="Z105" s="6" t="str">
        <f>IFERROR(__xludf.DUMMYFUNCTION("CONCATENATE(SORT(TRANSPOSE(SPLIT(REGEXREPLACE(REGEXREPLACE(V105&amp;"""",""(?s)(.{1})"",""$1""&amp;CHAR(127)),""'"",""''""),CHAR(127))),1,true))"),"abcdfg")</f>
        <v>abcdfg</v>
      </c>
      <c r="AA105" s="6" t="str">
        <f>IFERROR(__xludf.DUMMYFUNCTION("CONCATENATE(SORT(TRANSPOSE(SPLIT(REGEXREPLACE(REGEXREPLACE(W105&amp;"""",""(?s)(.{1})"",""$1""&amp;CHAR(127)),""'"",""''""),CHAR(127))),1,true))"),"abdfg")</f>
        <v>abdfg</v>
      </c>
      <c r="AB105" s="6" t="str">
        <f>IFERROR(__xludf.DUMMYFUNCTION("CONCATENATE(SORT(TRANSPOSE(SPLIT(REGEXREPLACE(REGEXREPLACE(X105&amp;"""",""(?s)(.{1})"",""$1""&amp;CHAR(127)),""'"",""''""),CHAR(127))),1,true))"),"aeg")</f>
        <v>aeg</v>
      </c>
      <c r="AC105" s="6" t="str">
        <f>IFERROR(__xludf.DUMMYFUNCTION("CONCATENATE(SORT(TRANSPOSE(SPLIT(REGEXREPLACE(REGEXREPLACE(Y105&amp;"""",""(?s)(.{1})"",""$1""&amp;CHAR(127)),""'"",""''""),CHAR(127))),1,true))"),"eg")</f>
        <v>eg</v>
      </c>
      <c r="AD105" s="6">
        <f t="shared" ref="AD105:AG105" si="115">INDEX($AO$1:$CP$1,1,MATCH(CONCATENATE(Z105,"1"),$AO105:$CP105,0)+1)</f>
        <v>6</v>
      </c>
      <c r="AE105" s="6">
        <f t="shared" si="115"/>
        <v>5</v>
      </c>
      <c r="AF105" s="6">
        <f t="shared" si="115"/>
        <v>7</v>
      </c>
      <c r="AG105" s="6">
        <f t="shared" si="115"/>
        <v>1</v>
      </c>
      <c r="AH105" s="6">
        <f t="shared" si="3"/>
        <v>6571</v>
      </c>
      <c r="AI105" s="16"/>
      <c r="AJ105" s="9" t="str">
        <f>IFERROR(__xludf.DUMMYFUNCTION("REGEXREPLACE(AR105,CONCATENATE(""["",BY105,""]""),"""")"),"e")</f>
        <v>e</v>
      </c>
      <c r="AK105" s="10" t="str">
        <f>IFERROR(__xludf.DUMMYFUNCTION("FILTER($K105:$T105,len($K105:$T105)=6,NOT($K105:$T105=BY105))"),"gdbfae")</f>
        <v>gdbfae</v>
      </c>
      <c r="AL105" s="6" t="str">
        <f>IFERROR(__xludf.DUMMYFUNCTION("""COMPUTED_VALUE"""),"bdgeac")</f>
        <v>bdgeac</v>
      </c>
      <c r="AM105" s="6" t="str">
        <f>IFERROR(__xludf.DUMMYFUNCTION("REGEXREPLACE( $BG105, CONCATENATE(""["",AK105,""]""), """")"),"")</f>
        <v/>
      </c>
      <c r="AN105" s="6" t="str">
        <f>IFERROR(__xludf.DUMMYFUNCTION("REGEXREPLACE( $BG105, CONCATENATE(""["",AL105,""]""), """")"),"f")</f>
        <v>f</v>
      </c>
      <c r="AO105" s="11" t="str">
        <f t="shared" si="4"/>
        <v>bdgeac</v>
      </c>
      <c r="AP105" s="12" t="str">
        <f>IFERROR(__xludf.DUMMYFUNCTION("CONCATENATE(SORT(TRANSPOSE(SPLIT(REGEXREPLACE(REGEXREPLACE(AO105&amp;"""",""(?s)(.{1})"",""$1""&amp;CHAR(127)),""'"",""''""),CHAR(127))),1,true),""1"")"),"abcdeg1")</f>
        <v>abcdeg1</v>
      </c>
      <c r="AQ105" s="16"/>
      <c r="AR105" s="12" t="str">
        <f t="shared" si="5"/>
        <v>eg</v>
      </c>
      <c r="AS105" s="12" t="str">
        <f>IFERROR(__xludf.DUMMYFUNCTION("CONCATENATE(SORT(TRANSPOSE(SPLIT(REGEXREPLACE(REGEXREPLACE(AR105&amp;"""",""(?s)(.{1})"",""$1""&amp;CHAR(127)),""'"",""''""),CHAR(127))),1,true),""1"")"),"eg1")</f>
        <v>eg1</v>
      </c>
      <c r="AT105" s="16"/>
      <c r="AU105" s="13" t="str">
        <f>IFERROR(__xludf.DUMMYFUNCTION("FILTER($K105:$T105,len($K105:$T105)=5,NOT($K105:$T105=BD105),NOT($K105:$T105=BP105))"),"defca")</f>
        <v>defca</v>
      </c>
      <c r="AV105" s="12" t="str">
        <f>IFERROR(__xludf.DUMMYFUNCTION("CONCATENATE(SORT(TRANSPOSE(SPLIT(REGEXREPLACE(REGEXREPLACE(AU105&amp;"""",""(?s)(.{1})"",""$1""&amp;CHAR(127)),""'"",""''""),CHAR(127))),1,true),""1"")"),"acdef1")</f>
        <v>acdef1</v>
      </c>
      <c r="AW105" s="16"/>
      <c r="AX105" s="10" t="str">
        <f>IFERROR(__xludf.DUMMYFUNCTION("FILTER($K105:$T105,len($K105:$T105)=5)"),"gdeaf")</f>
        <v>gdeaf</v>
      </c>
      <c r="AY105" s="6" t="str">
        <f>IFERROR(__xludf.DUMMYFUNCTION("""COMPUTED_VALUE"""),"agdfb")</f>
        <v>agdfb</v>
      </c>
      <c r="AZ105" s="6" t="str">
        <f>IFERROR(__xludf.DUMMYFUNCTION("""COMPUTED_VALUE"""),"defca")</f>
        <v>defca</v>
      </c>
      <c r="BA105" s="6" t="str">
        <f>IFERROR(__xludf.DUMMYFUNCTION("REGEXREPLACE( $AR105, CONCATENATE(""["",AX105,""]""), """")"),"")</f>
        <v/>
      </c>
      <c r="BB105" s="6" t="str">
        <f>IFERROR(__xludf.DUMMYFUNCTION("REGEXREPLACE( $AR105, CONCATENATE(""["",AY105,""]""), """")"),"e")</f>
        <v>e</v>
      </c>
      <c r="BC105" s="6" t="str">
        <f>IFERROR(__xludf.DUMMYFUNCTION("REGEXREPLACE( $AR105, CONCATENATE(""["",AZ105,""]""), """")"),"g")</f>
        <v>g</v>
      </c>
      <c r="BD105" s="11" t="str">
        <f t="shared" si="6"/>
        <v>gdeaf</v>
      </c>
      <c r="BE105" s="12" t="str">
        <f>IFERROR(__xludf.DUMMYFUNCTION("CONCATENATE(SORT(TRANSPOSE(SPLIT(REGEXREPLACE(REGEXREPLACE(BD105&amp;"""",""(?s)(.{1})"",""$1""&amp;CHAR(127)),""'"",""''""),CHAR(127))),1,true),""1"")"),"adefg1")</f>
        <v>adefg1</v>
      </c>
      <c r="BF105" s="16"/>
      <c r="BG105" s="12" t="str">
        <f t="shared" si="7"/>
        <v>bgfe</v>
      </c>
      <c r="BH105" s="12" t="str">
        <f>IFERROR(__xludf.DUMMYFUNCTION("CONCATENATE(SORT(TRANSPOSE(SPLIT(REGEXREPLACE(REGEXREPLACE(BG105&amp;"""",""(?s)(.{1})"",""$1""&amp;CHAR(127)),""'"",""''""),CHAR(127))),1,true),""1"")"),"befg1")</f>
        <v>befg1</v>
      </c>
      <c r="BI105" s="16"/>
      <c r="BJ105" s="10" t="str">
        <f>IFERROR(__xludf.DUMMYFUNCTION("FILTER($K105:$T105,len($K105:$T105)=5)"),"gdeaf")</f>
        <v>gdeaf</v>
      </c>
      <c r="BK105" s="6" t="str">
        <f>IFERROR(__xludf.DUMMYFUNCTION("""COMPUTED_VALUE"""),"agdfb")</f>
        <v>agdfb</v>
      </c>
      <c r="BL105" s="6" t="str">
        <f>IFERROR(__xludf.DUMMYFUNCTION("""COMPUTED_VALUE"""),"defca")</f>
        <v>defca</v>
      </c>
      <c r="BM105" s="14" t="str">
        <f>IFERROR(__xludf.DUMMYFUNCTION("REGEXREPLACE( $BY105, CONCATENATE(""["",BJ105,""]""), """")"),"bc")</f>
        <v>bc</v>
      </c>
      <c r="BN105" s="14" t="str">
        <f>IFERROR(__xludf.DUMMYFUNCTION("REGEXREPLACE( $BY105, CONCATENATE(""["",BK105,""]""), """")"),"c")</f>
        <v>c</v>
      </c>
      <c r="BO105" s="14" t="str">
        <f>IFERROR(__xludf.DUMMYFUNCTION("REGEXREPLACE( $BY105, CONCATENATE(""["",BL105,""]""), """")"),"gb")</f>
        <v>gb</v>
      </c>
      <c r="BP105" s="11" t="str">
        <f t="shared" si="8"/>
        <v>agdfb</v>
      </c>
      <c r="BQ105" s="12" t="str">
        <f>IFERROR(__xludf.DUMMYFUNCTION("CONCATENATE(SORT(TRANSPOSE(SPLIT(REGEXREPLACE(REGEXREPLACE(BP105&amp;"""",""(?s)(.{1})"",""$1""&amp;CHAR(127)),""'"",""''""),CHAR(127))),1,true),""1"")"),"abdfg1")</f>
        <v>abdfg1</v>
      </c>
      <c r="BR105" s="16"/>
      <c r="BS105" s="10" t="str">
        <f>IFERROR(__xludf.DUMMYFUNCTION("FILTER(K105:T105,len(K105:T105)=6)"),"gdbfae")</f>
        <v>gdbfae</v>
      </c>
      <c r="BT105" s="6" t="str">
        <f>IFERROR(__xludf.DUMMYFUNCTION("""COMPUTED_VALUE"""),"gbdafc")</f>
        <v>gbdafc</v>
      </c>
      <c r="BU105" s="6" t="str">
        <f>IFERROR(__xludf.DUMMYFUNCTION("""COMPUTED_VALUE"""),"bdgeac")</f>
        <v>bdgeac</v>
      </c>
      <c r="BV105" s="6" t="str">
        <f>IFERROR(__xludf.DUMMYFUNCTION("REGEXREPLACE( $AR105, CONCATENATE(""["",BS105,""]""), """")"),"")</f>
        <v/>
      </c>
      <c r="BW105" s="6" t="str">
        <f>IFERROR(__xludf.DUMMYFUNCTION("REGEXREPLACE( $AR105, CONCATENATE(""["",BT105,""]""), """")"),"e")</f>
        <v>e</v>
      </c>
      <c r="BX105" s="6" t="str">
        <f>IFERROR(__xludf.DUMMYFUNCTION("REGEXREPLACE( $AR105, CONCATENATE(""["",BU105,""]""), """")"),"")</f>
        <v/>
      </c>
      <c r="BY105" s="12" t="str">
        <f t="shared" si="9"/>
        <v>gbdafc</v>
      </c>
      <c r="BZ105" s="12" t="str">
        <f>IFERROR(__xludf.DUMMYFUNCTION("CONCATENATE(SORT(TRANSPOSE(SPLIT(REGEXREPLACE(REGEXREPLACE(BY105&amp;"""",""(?s)(.{1})"",""$1""&amp;CHAR(127)),""'"",""''""),CHAR(127))),1,true),""1"")"),"abcdfg1")</f>
        <v>abcdfg1</v>
      </c>
      <c r="CA105" s="16"/>
      <c r="CB105" s="12" t="str">
        <f t="shared" si="10"/>
        <v>gea</v>
      </c>
      <c r="CC105" s="12" t="str">
        <f>IFERROR(__xludf.DUMMYFUNCTION("CONCATENATE(SORT(TRANSPOSE(SPLIT(REGEXREPLACE(REGEXREPLACE(CB105&amp;"""",""(?s)(.{1})"",""$1""&amp;CHAR(127)),""'"",""''""),CHAR(127))),1,true),""1"")"),"aeg1")</f>
        <v>aeg1</v>
      </c>
      <c r="CD105" s="16"/>
      <c r="CE105" s="12" t="str">
        <f t="shared" si="11"/>
        <v>bafecdg</v>
      </c>
      <c r="CF105" s="12" t="str">
        <f>IFERROR(__xludf.DUMMYFUNCTION("CONCATENATE(SORT(TRANSPOSE(SPLIT(REGEXREPLACE(REGEXREPLACE(CE105&amp;"""",""(?s)(.{1})"",""$1""&amp;CHAR(127)),""'"",""''""),CHAR(127))),1,true),""1"")"),"abcdefg1")</f>
        <v>abcdefg1</v>
      </c>
      <c r="CG105" s="16"/>
      <c r="CH105" s="10" t="str">
        <f>IFERROR(__xludf.DUMMYFUNCTION("FILTER(K105:T105,len(K105:T105)=6)"),"gdbfae")</f>
        <v>gdbfae</v>
      </c>
      <c r="CI105" s="6" t="str">
        <f>IFERROR(__xludf.DUMMYFUNCTION("""COMPUTED_VALUE"""),"gbdafc")</f>
        <v>gbdafc</v>
      </c>
      <c r="CJ105" s="6" t="str">
        <f>IFERROR(__xludf.DUMMYFUNCTION("""COMPUTED_VALUE"""),"bdgeac")</f>
        <v>bdgeac</v>
      </c>
      <c r="CK105" s="6" t="str">
        <f>IFERROR(__xludf.DUMMYFUNCTION("REGEXREPLACE( $BG105, CONCATENATE(""["",CH105,""]""), """")"),"")</f>
        <v/>
      </c>
      <c r="CL105" s="6" t="str">
        <f>IFERROR(__xludf.DUMMYFUNCTION("REGEXREPLACE( $BG105, CONCATENATE(""["",CI105,""]""), """")"),"e")</f>
        <v>e</v>
      </c>
      <c r="CM105" s="6" t="str">
        <f>IFERROR(__xludf.DUMMYFUNCTION("REGEXREPLACE( $BG105, CONCATENATE(""["",CJ105,""]""), """")"),"f")</f>
        <v>f</v>
      </c>
      <c r="CN105" s="12" t="str">
        <f t="shared" si="12"/>
        <v>gdbfae</v>
      </c>
      <c r="CO105" s="12" t="str">
        <f>IFERROR(__xludf.DUMMYFUNCTION("CONCATENATE(SORT(TRANSPOSE(SPLIT(REGEXREPLACE(REGEXREPLACE(CN105&amp;"""",""(?s)(.{1})"",""$1""&amp;CHAR(127)),""'"",""''""),CHAR(127))),1,true),""1"")"),"abdefg1")</f>
        <v>abdefg1</v>
      </c>
      <c r="CP105" s="15"/>
    </row>
    <row r="106">
      <c r="A106" s="1" t="s">
        <v>126</v>
      </c>
      <c r="H106" s="6" t="str">
        <f>IFERROR(__xludf.DUMMYFUNCTION("SPLIT(A106,""|"")"),"dbafce daegb eadfcg efadg facebgd df cfgea edf fcgd efabcg ")</f>
        <v>dbafce daegb eadfcg efadg facebgd df cfgea edf fcgd efabcg </v>
      </c>
      <c r="I106" s="6" t="str">
        <f>IFERROR(__xludf.DUMMYFUNCTION("""COMPUTED_VALUE""")," gdeab fed efcag ecgaf")</f>
        <v> gdeab fed efcag ecgaf</v>
      </c>
      <c r="J106" s="15"/>
      <c r="K106" s="6" t="str">
        <f>IFERROR(__xludf.DUMMYFUNCTION("split(H106,"" "")"),"dbafce")</f>
        <v>dbafce</v>
      </c>
      <c r="L106" s="6" t="str">
        <f>IFERROR(__xludf.DUMMYFUNCTION("""COMPUTED_VALUE"""),"daegb")</f>
        <v>daegb</v>
      </c>
      <c r="M106" s="6" t="str">
        <f>IFERROR(__xludf.DUMMYFUNCTION("""COMPUTED_VALUE"""),"eadfcg")</f>
        <v>eadfcg</v>
      </c>
      <c r="N106" s="6" t="str">
        <f>IFERROR(__xludf.DUMMYFUNCTION("""COMPUTED_VALUE"""),"efadg")</f>
        <v>efadg</v>
      </c>
      <c r="O106" s="6" t="str">
        <f>IFERROR(__xludf.DUMMYFUNCTION("""COMPUTED_VALUE"""),"facebgd")</f>
        <v>facebgd</v>
      </c>
      <c r="P106" s="6" t="str">
        <f>IFERROR(__xludf.DUMMYFUNCTION("""COMPUTED_VALUE"""),"df")</f>
        <v>df</v>
      </c>
      <c r="Q106" s="6" t="str">
        <f>IFERROR(__xludf.DUMMYFUNCTION("""COMPUTED_VALUE"""),"cfgea")</f>
        <v>cfgea</v>
      </c>
      <c r="R106" s="6" t="str">
        <f>IFERROR(__xludf.DUMMYFUNCTION("""COMPUTED_VALUE"""),"edf")</f>
        <v>edf</v>
      </c>
      <c r="S106" s="6" t="str">
        <f>IFERROR(__xludf.DUMMYFUNCTION("""COMPUTED_VALUE"""),"fcgd")</f>
        <v>fcgd</v>
      </c>
      <c r="T106" s="6" t="str">
        <f>IFERROR(__xludf.DUMMYFUNCTION("""COMPUTED_VALUE"""),"efabcg")</f>
        <v>efabcg</v>
      </c>
      <c r="U106" s="15"/>
      <c r="V106" s="6" t="str">
        <f>IFERROR(__xludf.DUMMYFUNCTION("split(I106,"" "")"),"gdeab")</f>
        <v>gdeab</v>
      </c>
      <c r="W106" s="6" t="str">
        <f>IFERROR(__xludf.DUMMYFUNCTION("""COMPUTED_VALUE"""),"fed")</f>
        <v>fed</v>
      </c>
      <c r="X106" s="6" t="str">
        <f>IFERROR(__xludf.DUMMYFUNCTION("""COMPUTED_VALUE"""),"efcag")</f>
        <v>efcag</v>
      </c>
      <c r="Y106" s="6" t="str">
        <f>IFERROR(__xludf.DUMMYFUNCTION("""COMPUTED_VALUE"""),"ecgaf")</f>
        <v>ecgaf</v>
      </c>
      <c r="Z106" s="6" t="str">
        <f>IFERROR(__xludf.DUMMYFUNCTION("CONCATENATE(SORT(TRANSPOSE(SPLIT(REGEXREPLACE(REGEXREPLACE(V106&amp;"""",""(?s)(.{1})"",""$1""&amp;CHAR(127)),""'"",""''""),CHAR(127))),1,true))"),"abdeg")</f>
        <v>abdeg</v>
      </c>
      <c r="AA106" s="6" t="str">
        <f>IFERROR(__xludf.DUMMYFUNCTION("CONCATENATE(SORT(TRANSPOSE(SPLIT(REGEXREPLACE(REGEXREPLACE(W106&amp;"""",""(?s)(.{1})"",""$1""&amp;CHAR(127)),""'"",""''""),CHAR(127))),1,true))"),"def")</f>
        <v>def</v>
      </c>
      <c r="AB106" s="6" t="str">
        <f>IFERROR(__xludf.DUMMYFUNCTION("CONCATENATE(SORT(TRANSPOSE(SPLIT(REGEXREPLACE(REGEXREPLACE(X106&amp;"""",""(?s)(.{1})"",""$1""&amp;CHAR(127)),""'"",""''""),CHAR(127))),1,true))"),"acefg")</f>
        <v>acefg</v>
      </c>
      <c r="AC106" s="6" t="str">
        <f>IFERROR(__xludf.DUMMYFUNCTION("CONCATENATE(SORT(TRANSPOSE(SPLIT(REGEXREPLACE(REGEXREPLACE(Y106&amp;"""",""(?s)(.{1})"",""$1""&amp;CHAR(127)),""'"",""''""),CHAR(127))),1,true))"),"acefg")</f>
        <v>acefg</v>
      </c>
      <c r="AD106" s="6">
        <f t="shared" ref="AD106:AG106" si="116">INDEX($AO$1:$CP$1,1,MATCH(CONCATENATE(Z106,"1"),$AO106:$CP106,0)+1)</f>
        <v>2</v>
      </c>
      <c r="AE106" s="6">
        <f t="shared" si="116"/>
        <v>7</v>
      </c>
      <c r="AF106" s="6">
        <f t="shared" si="116"/>
        <v>5</v>
      </c>
      <c r="AG106" s="6">
        <f t="shared" si="116"/>
        <v>5</v>
      </c>
      <c r="AH106" s="6">
        <f t="shared" si="3"/>
        <v>2755</v>
      </c>
      <c r="AI106" s="16"/>
      <c r="AJ106" s="9" t="str">
        <f>IFERROR(__xludf.DUMMYFUNCTION("REGEXREPLACE(AR106,CONCATENATE(""["",BY106,""]""),"""")"),"d")</f>
        <v>d</v>
      </c>
      <c r="AK106" s="10" t="str">
        <f>IFERROR(__xludf.DUMMYFUNCTION("FILTER($K106:$T106,len($K106:$T106)=6,NOT($K106:$T106=BY106))"),"dbafce")</f>
        <v>dbafce</v>
      </c>
      <c r="AL106" s="6" t="str">
        <f>IFERROR(__xludf.DUMMYFUNCTION("""COMPUTED_VALUE"""),"eadfcg")</f>
        <v>eadfcg</v>
      </c>
      <c r="AM106" s="6" t="str">
        <f>IFERROR(__xludf.DUMMYFUNCTION("REGEXREPLACE( $BG106, CONCATENATE(""["",AK106,""]""), """")"),"g")</f>
        <v>g</v>
      </c>
      <c r="AN106" s="6" t="str">
        <f>IFERROR(__xludf.DUMMYFUNCTION("REGEXREPLACE( $BG106, CONCATENATE(""["",AL106,""]""), """")"),"")</f>
        <v/>
      </c>
      <c r="AO106" s="11" t="str">
        <f t="shared" si="4"/>
        <v>dbafce</v>
      </c>
      <c r="AP106" s="12" t="str">
        <f>IFERROR(__xludf.DUMMYFUNCTION("CONCATENATE(SORT(TRANSPOSE(SPLIT(REGEXREPLACE(REGEXREPLACE(AO106&amp;"""",""(?s)(.{1})"",""$1""&amp;CHAR(127)),""'"",""''""),CHAR(127))),1,true),""1"")"),"abcdef1")</f>
        <v>abcdef1</v>
      </c>
      <c r="AQ106" s="16"/>
      <c r="AR106" s="12" t="str">
        <f t="shared" si="5"/>
        <v>df</v>
      </c>
      <c r="AS106" s="12" t="str">
        <f>IFERROR(__xludf.DUMMYFUNCTION("CONCATENATE(SORT(TRANSPOSE(SPLIT(REGEXREPLACE(REGEXREPLACE(AR106&amp;"""",""(?s)(.{1})"",""$1""&amp;CHAR(127)),""'"",""''""),CHAR(127))),1,true),""1"")"),"df1")</f>
        <v>df1</v>
      </c>
      <c r="AT106" s="16"/>
      <c r="AU106" s="13" t="str">
        <f>IFERROR(__xludf.DUMMYFUNCTION("FILTER($K106:$T106,len($K106:$T106)=5,NOT($K106:$T106=BD106),NOT($K106:$T106=BP106))"),"daegb")</f>
        <v>daegb</v>
      </c>
      <c r="AV106" s="12" t="str">
        <f>IFERROR(__xludf.DUMMYFUNCTION("CONCATENATE(SORT(TRANSPOSE(SPLIT(REGEXREPLACE(REGEXREPLACE(AU106&amp;"""",""(?s)(.{1})"",""$1""&amp;CHAR(127)),""'"",""''""),CHAR(127))),1,true),""1"")"),"abdeg1")</f>
        <v>abdeg1</v>
      </c>
      <c r="AW106" s="16"/>
      <c r="AX106" s="10" t="str">
        <f>IFERROR(__xludf.DUMMYFUNCTION("FILTER($K106:$T106,len($K106:$T106)=5)"),"daegb")</f>
        <v>daegb</v>
      </c>
      <c r="AY106" s="6" t="str">
        <f>IFERROR(__xludf.DUMMYFUNCTION("""COMPUTED_VALUE"""),"efadg")</f>
        <v>efadg</v>
      </c>
      <c r="AZ106" s="6" t="str">
        <f>IFERROR(__xludf.DUMMYFUNCTION("""COMPUTED_VALUE"""),"cfgea")</f>
        <v>cfgea</v>
      </c>
      <c r="BA106" s="6" t="str">
        <f>IFERROR(__xludf.DUMMYFUNCTION("REGEXREPLACE( $AR106, CONCATENATE(""["",AX106,""]""), """")"),"f")</f>
        <v>f</v>
      </c>
      <c r="BB106" s="6" t="str">
        <f>IFERROR(__xludf.DUMMYFUNCTION("REGEXREPLACE( $AR106, CONCATENATE(""["",AY106,""]""), """")"),"")</f>
        <v/>
      </c>
      <c r="BC106" s="6" t="str">
        <f>IFERROR(__xludf.DUMMYFUNCTION("REGEXREPLACE( $AR106, CONCATENATE(""["",AZ106,""]""), """")"),"d")</f>
        <v>d</v>
      </c>
      <c r="BD106" s="11" t="str">
        <f t="shared" si="6"/>
        <v>efadg</v>
      </c>
      <c r="BE106" s="12" t="str">
        <f>IFERROR(__xludf.DUMMYFUNCTION("CONCATENATE(SORT(TRANSPOSE(SPLIT(REGEXREPLACE(REGEXREPLACE(BD106&amp;"""",""(?s)(.{1})"",""$1""&amp;CHAR(127)),""'"",""''""),CHAR(127))),1,true),""1"")"),"adefg1")</f>
        <v>adefg1</v>
      </c>
      <c r="BF106" s="16"/>
      <c r="BG106" s="12" t="str">
        <f t="shared" si="7"/>
        <v>fcgd</v>
      </c>
      <c r="BH106" s="12" t="str">
        <f>IFERROR(__xludf.DUMMYFUNCTION("CONCATENATE(SORT(TRANSPOSE(SPLIT(REGEXREPLACE(REGEXREPLACE(BG106&amp;"""",""(?s)(.{1})"",""$1""&amp;CHAR(127)),""'"",""''""),CHAR(127))),1,true),""1"")"),"cdfg1")</f>
        <v>cdfg1</v>
      </c>
      <c r="BI106" s="16"/>
      <c r="BJ106" s="10" t="str">
        <f>IFERROR(__xludf.DUMMYFUNCTION("FILTER($K106:$T106,len($K106:$T106)=5)"),"daegb")</f>
        <v>daegb</v>
      </c>
      <c r="BK106" s="6" t="str">
        <f>IFERROR(__xludf.DUMMYFUNCTION("""COMPUTED_VALUE"""),"efadg")</f>
        <v>efadg</v>
      </c>
      <c r="BL106" s="6" t="str">
        <f>IFERROR(__xludf.DUMMYFUNCTION("""COMPUTED_VALUE"""),"cfgea")</f>
        <v>cfgea</v>
      </c>
      <c r="BM106" s="14" t="str">
        <f>IFERROR(__xludf.DUMMYFUNCTION("REGEXREPLACE( $BY106, CONCATENATE(""["",BJ106,""]""), """")"),"fc")</f>
        <v>fc</v>
      </c>
      <c r="BN106" s="14" t="str">
        <f>IFERROR(__xludf.DUMMYFUNCTION("REGEXREPLACE( $BY106, CONCATENATE(""["",BK106,""]""), """")"),"bc")</f>
        <v>bc</v>
      </c>
      <c r="BO106" s="14" t="str">
        <f>IFERROR(__xludf.DUMMYFUNCTION("REGEXREPLACE( $BY106, CONCATENATE(""["",BL106,""]""), """")"),"b")</f>
        <v>b</v>
      </c>
      <c r="BP106" s="11" t="str">
        <f t="shared" si="8"/>
        <v>cfgea</v>
      </c>
      <c r="BQ106" s="12" t="str">
        <f>IFERROR(__xludf.DUMMYFUNCTION("CONCATENATE(SORT(TRANSPOSE(SPLIT(REGEXREPLACE(REGEXREPLACE(BP106&amp;"""",""(?s)(.{1})"",""$1""&amp;CHAR(127)),""'"",""''""),CHAR(127))),1,true),""1"")"),"acefg1")</f>
        <v>acefg1</v>
      </c>
      <c r="BR106" s="16"/>
      <c r="BS106" s="10" t="str">
        <f>IFERROR(__xludf.DUMMYFUNCTION("FILTER(K106:T106,len(K106:T106)=6)"),"dbafce")</f>
        <v>dbafce</v>
      </c>
      <c r="BT106" s="6" t="str">
        <f>IFERROR(__xludf.DUMMYFUNCTION("""COMPUTED_VALUE"""),"eadfcg")</f>
        <v>eadfcg</v>
      </c>
      <c r="BU106" s="6" t="str">
        <f>IFERROR(__xludf.DUMMYFUNCTION("""COMPUTED_VALUE"""),"efabcg")</f>
        <v>efabcg</v>
      </c>
      <c r="BV106" s="6" t="str">
        <f>IFERROR(__xludf.DUMMYFUNCTION("REGEXREPLACE( $AR106, CONCATENATE(""["",BS106,""]""), """")"),"")</f>
        <v/>
      </c>
      <c r="BW106" s="6" t="str">
        <f>IFERROR(__xludf.DUMMYFUNCTION("REGEXREPLACE( $AR106, CONCATENATE(""["",BT106,""]""), """")"),"")</f>
        <v/>
      </c>
      <c r="BX106" s="6" t="str">
        <f>IFERROR(__xludf.DUMMYFUNCTION("REGEXREPLACE( $AR106, CONCATENATE(""["",BU106,""]""), """")"),"d")</f>
        <v>d</v>
      </c>
      <c r="BY106" s="12" t="str">
        <f t="shared" si="9"/>
        <v>efabcg</v>
      </c>
      <c r="BZ106" s="12" t="str">
        <f>IFERROR(__xludf.DUMMYFUNCTION("CONCATENATE(SORT(TRANSPOSE(SPLIT(REGEXREPLACE(REGEXREPLACE(BY106&amp;"""",""(?s)(.{1})"",""$1""&amp;CHAR(127)),""'"",""''""),CHAR(127))),1,true),""1"")"),"abcefg1")</f>
        <v>abcefg1</v>
      </c>
      <c r="CA106" s="16"/>
      <c r="CB106" s="12" t="str">
        <f t="shared" si="10"/>
        <v>edf</v>
      </c>
      <c r="CC106" s="12" t="str">
        <f>IFERROR(__xludf.DUMMYFUNCTION("CONCATENATE(SORT(TRANSPOSE(SPLIT(REGEXREPLACE(REGEXREPLACE(CB106&amp;"""",""(?s)(.{1})"",""$1""&amp;CHAR(127)),""'"",""''""),CHAR(127))),1,true),""1"")"),"def1")</f>
        <v>def1</v>
      </c>
      <c r="CD106" s="16"/>
      <c r="CE106" s="12" t="str">
        <f t="shared" si="11"/>
        <v>facebgd</v>
      </c>
      <c r="CF106" s="12" t="str">
        <f>IFERROR(__xludf.DUMMYFUNCTION("CONCATENATE(SORT(TRANSPOSE(SPLIT(REGEXREPLACE(REGEXREPLACE(CE106&amp;"""",""(?s)(.{1})"",""$1""&amp;CHAR(127)),""'"",""''""),CHAR(127))),1,true),""1"")"),"abcdefg1")</f>
        <v>abcdefg1</v>
      </c>
      <c r="CG106" s="16"/>
      <c r="CH106" s="10" t="str">
        <f>IFERROR(__xludf.DUMMYFUNCTION("FILTER(K106:T106,len(K106:T106)=6)"),"dbafce")</f>
        <v>dbafce</v>
      </c>
      <c r="CI106" s="6" t="str">
        <f>IFERROR(__xludf.DUMMYFUNCTION("""COMPUTED_VALUE"""),"eadfcg")</f>
        <v>eadfcg</v>
      </c>
      <c r="CJ106" s="6" t="str">
        <f>IFERROR(__xludf.DUMMYFUNCTION("""COMPUTED_VALUE"""),"efabcg")</f>
        <v>efabcg</v>
      </c>
      <c r="CK106" s="6" t="str">
        <f>IFERROR(__xludf.DUMMYFUNCTION("REGEXREPLACE( $BG106, CONCATENATE(""["",CH106,""]""), """")"),"g")</f>
        <v>g</v>
      </c>
      <c r="CL106" s="6" t="str">
        <f>IFERROR(__xludf.DUMMYFUNCTION("REGEXREPLACE( $BG106, CONCATENATE(""["",CI106,""]""), """")"),"")</f>
        <v/>
      </c>
      <c r="CM106" s="6" t="str">
        <f>IFERROR(__xludf.DUMMYFUNCTION("REGEXREPLACE( $BG106, CONCATENATE(""["",CJ106,""]""), """")"),"d")</f>
        <v>d</v>
      </c>
      <c r="CN106" s="12" t="str">
        <f t="shared" si="12"/>
        <v>eadfcg</v>
      </c>
      <c r="CO106" s="12" t="str">
        <f>IFERROR(__xludf.DUMMYFUNCTION("CONCATENATE(SORT(TRANSPOSE(SPLIT(REGEXREPLACE(REGEXREPLACE(CN106&amp;"""",""(?s)(.{1})"",""$1""&amp;CHAR(127)),""'"",""''""),CHAR(127))),1,true),""1"")"),"acdefg1")</f>
        <v>acdefg1</v>
      </c>
      <c r="CP106" s="15"/>
    </row>
    <row r="107">
      <c r="A107" s="1" t="s">
        <v>127</v>
      </c>
      <c r="H107" s="6" t="str">
        <f>IFERROR(__xludf.DUMMYFUNCTION("SPLIT(A107,""|"")"),"fbcea gbafc fae ef daefcb eacdb cdfbega dbfe gbdcae fadgec ")</f>
        <v>fbcea gbafc fae ef daefcb eacdb cdfbega dbfe gbdcae fadgec </v>
      </c>
      <c r="I107" s="6" t="str">
        <f>IFERROR(__xludf.DUMMYFUNCTION("""COMPUTED_VALUE""")," cebaf gfcab afcbg ef")</f>
        <v> cebaf gfcab afcbg ef</v>
      </c>
      <c r="J107" s="15"/>
      <c r="K107" s="6" t="str">
        <f>IFERROR(__xludf.DUMMYFUNCTION("split(H107,"" "")"),"fbcea")</f>
        <v>fbcea</v>
      </c>
      <c r="L107" s="6" t="str">
        <f>IFERROR(__xludf.DUMMYFUNCTION("""COMPUTED_VALUE"""),"gbafc")</f>
        <v>gbafc</v>
      </c>
      <c r="M107" s="6" t="str">
        <f>IFERROR(__xludf.DUMMYFUNCTION("""COMPUTED_VALUE"""),"fae")</f>
        <v>fae</v>
      </c>
      <c r="N107" s="6" t="str">
        <f>IFERROR(__xludf.DUMMYFUNCTION("""COMPUTED_VALUE"""),"ef")</f>
        <v>ef</v>
      </c>
      <c r="O107" s="6" t="str">
        <f>IFERROR(__xludf.DUMMYFUNCTION("""COMPUTED_VALUE"""),"daefcb")</f>
        <v>daefcb</v>
      </c>
      <c r="P107" s="6" t="str">
        <f>IFERROR(__xludf.DUMMYFUNCTION("""COMPUTED_VALUE"""),"eacdb")</f>
        <v>eacdb</v>
      </c>
      <c r="Q107" s="6" t="str">
        <f>IFERROR(__xludf.DUMMYFUNCTION("""COMPUTED_VALUE"""),"cdfbega")</f>
        <v>cdfbega</v>
      </c>
      <c r="R107" s="6" t="str">
        <f>IFERROR(__xludf.DUMMYFUNCTION("""COMPUTED_VALUE"""),"dbfe")</f>
        <v>dbfe</v>
      </c>
      <c r="S107" s="6" t="str">
        <f>IFERROR(__xludf.DUMMYFUNCTION("""COMPUTED_VALUE"""),"gbdcae")</f>
        <v>gbdcae</v>
      </c>
      <c r="T107" s="6" t="str">
        <f>IFERROR(__xludf.DUMMYFUNCTION("""COMPUTED_VALUE"""),"fadgec")</f>
        <v>fadgec</v>
      </c>
      <c r="U107" s="15"/>
      <c r="V107" s="6" t="str">
        <f>IFERROR(__xludf.DUMMYFUNCTION("split(I107,"" "")"),"cebaf")</f>
        <v>cebaf</v>
      </c>
      <c r="W107" s="6" t="str">
        <f>IFERROR(__xludf.DUMMYFUNCTION("""COMPUTED_VALUE"""),"gfcab")</f>
        <v>gfcab</v>
      </c>
      <c r="X107" s="6" t="str">
        <f>IFERROR(__xludf.DUMMYFUNCTION("""COMPUTED_VALUE"""),"afcbg")</f>
        <v>afcbg</v>
      </c>
      <c r="Y107" s="6" t="str">
        <f>IFERROR(__xludf.DUMMYFUNCTION("""COMPUTED_VALUE"""),"ef")</f>
        <v>ef</v>
      </c>
      <c r="Z107" s="6" t="str">
        <f>IFERROR(__xludf.DUMMYFUNCTION("CONCATENATE(SORT(TRANSPOSE(SPLIT(REGEXREPLACE(REGEXREPLACE(V107&amp;"""",""(?s)(.{1})"",""$1""&amp;CHAR(127)),""'"",""''""),CHAR(127))),1,true))"),"abcef")</f>
        <v>abcef</v>
      </c>
      <c r="AA107" s="6" t="str">
        <f>IFERROR(__xludf.DUMMYFUNCTION("CONCATENATE(SORT(TRANSPOSE(SPLIT(REGEXREPLACE(REGEXREPLACE(W107&amp;"""",""(?s)(.{1})"",""$1""&amp;CHAR(127)),""'"",""''""),CHAR(127))),1,true))"),"abcfg")</f>
        <v>abcfg</v>
      </c>
      <c r="AB107" s="6" t="str">
        <f>IFERROR(__xludf.DUMMYFUNCTION("CONCATENATE(SORT(TRANSPOSE(SPLIT(REGEXREPLACE(REGEXREPLACE(X107&amp;"""",""(?s)(.{1})"",""$1""&amp;CHAR(127)),""'"",""''""),CHAR(127))),1,true))"),"abcfg")</f>
        <v>abcfg</v>
      </c>
      <c r="AC107" s="6" t="str">
        <f>IFERROR(__xludf.DUMMYFUNCTION("CONCATENATE(SORT(TRANSPOSE(SPLIT(REGEXREPLACE(REGEXREPLACE(Y107&amp;"""",""(?s)(.{1})"",""$1""&amp;CHAR(127)),""'"",""''""),CHAR(127))),1,true))"),"ef")</f>
        <v>ef</v>
      </c>
      <c r="AD107" s="6">
        <f t="shared" ref="AD107:AG107" si="117">INDEX($AO$1:$CP$1,1,MATCH(CONCATENATE(Z107,"1"),$AO107:$CP107,0)+1)</f>
        <v>3</v>
      </c>
      <c r="AE107" s="6">
        <f t="shared" si="117"/>
        <v>2</v>
      </c>
      <c r="AF107" s="6">
        <f t="shared" si="117"/>
        <v>2</v>
      </c>
      <c r="AG107" s="6">
        <f t="shared" si="117"/>
        <v>1</v>
      </c>
      <c r="AH107" s="6">
        <f t="shared" si="3"/>
        <v>3221</v>
      </c>
      <c r="AI107" s="16"/>
      <c r="AJ107" s="9" t="str">
        <f>IFERROR(__xludf.DUMMYFUNCTION("REGEXREPLACE(AR107,CONCATENATE(""["",BY107,""]""),"""")"),"f")</f>
        <v>f</v>
      </c>
      <c r="AK107" s="10" t="str">
        <f>IFERROR(__xludf.DUMMYFUNCTION("FILTER($K107:$T107,len($K107:$T107)=6,NOT($K107:$T107=BY107))"),"daefcb")</f>
        <v>daefcb</v>
      </c>
      <c r="AL107" s="6" t="str">
        <f>IFERROR(__xludf.DUMMYFUNCTION("""COMPUTED_VALUE"""),"fadgec")</f>
        <v>fadgec</v>
      </c>
      <c r="AM107" s="6" t="str">
        <f>IFERROR(__xludf.DUMMYFUNCTION("REGEXREPLACE( $BG107, CONCATENATE(""["",AK107,""]""), """")"),"")</f>
        <v/>
      </c>
      <c r="AN107" s="6" t="str">
        <f>IFERROR(__xludf.DUMMYFUNCTION("REGEXREPLACE( $BG107, CONCATENATE(""["",AL107,""]""), """")"),"b")</f>
        <v>b</v>
      </c>
      <c r="AO107" s="11" t="str">
        <f t="shared" si="4"/>
        <v>fadgec</v>
      </c>
      <c r="AP107" s="12" t="str">
        <f>IFERROR(__xludf.DUMMYFUNCTION("CONCATENATE(SORT(TRANSPOSE(SPLIT(REGEXREPLACE(REGEXREPLACE(AO107&amp;"""",""(?s)(.{1})"",""$1""&amp;CHAR(127)),""'"",""''""),CHAR(127))),1,true),""1"")"),"acdefg1")</f>
        <v>acdefg1</v>
      </c>
      <c r="AQ107" s="16"/>
      <c r="AR107" s="12" t="str">
        <f t="shared" si="5"/>
        <v>ef</v>
      </c>
      <c r="AS107" s="12" t="str">
        <f>IFERROR(__xludf.DUMMYFUNCTION("CONCATENATE(SORT(TRANSPOSE(SPLIT(REGEXREPLACE(REGEXREPLACE(AR107&amp;"""",""(?s)(.{1})"",""$1""&amp;CHAR(127)),""'"",""''""),CHAR(127))),1,true),""1"")"),"ef1")</f>
        <v>ef1</v>
      </c>
      <c r="AT107" s="16"/>
      <c r="AU107" s="13" t="str">
        <f>IFERROR(__xludf.DUMMYFUNCTION("FILTER($K107:$T107,len($K107:$T107)=5,NOT($K107:$T107=BD107),NOT($K107:$T107=BP107))"),"gbafc")</f>
        <v>gbafc</v>
      </c>
      <c r="AV107" s="12" t="str">
        <f>IFERROR(__xludf.DUMMYFUNCTION("CONCATENATE(SORT(TRANSPOSE(SPLIT(REGEXREPLACE(REGEXREPLACE(AU107&amp;"""",""(?s)(.{1})"",""$1""&amp;CHAR(127)),""'"",""''""),CHAR(127))),1,true),""1"")"),"abcfg1")</f>
        <v>abcfg1</v>
      </c>
      <c r="AW107" s="16"/>
      <c r="AX107" s="10" t="str">
        <f>IFERROR(__xludf.DUMMYFUNCTION("FILTER($K107:$T107,len($K107:$T107)=5)"),"fbcea")</f>
        <v>fbcea</v>
      </c>
      <c r="AY107" s="6" t="str">
        <f>IFERROR(__xludf.DUMMYFUNCTION("""COMPUTED_VALUE"""),"gbafc")</f>
        <v>gbafc</v>
      </c>
      <c r="AZ107" s="6" t="str">
        <f>IFERROR(__xludf.DUMMYFUNCTION("""COMPUTED_VALUE"""),"eacdb")</f>
        <v>eacdb</v>
      </c>
      <c r="BA107" s="6" t="str">
        <f>IFERROR(__xludf.DUMMYFUNCTION("REGEXREPLACE( $AR107, CONCATENATE(""["",AX107,""]""), """")"),"")</f>
        <v/>
      </c>
      <c r="BB107" s="6" t="str">
        <f>IFERROR(__xludf.DUMMYFUNCTION("REGEXREPLACE( $AR107, CONCATENATE(""["",AY107,""]""), """")"),"e")</f>
        <v>e</v>
      </c>
      <c r="BC107" s="6" t="str">
        <f>IFERROR(__xludf.DUMMYFUNCTION("REGEXREPLACE( $AR107, CONCATENATE(""["",AZ107,""]""), """")"),"f")</f>
        <v>f</v>
      </c>
      <c r="BD107" s="11" t="str">
        <f t="shared" si="6"/>
        <v>fbcea</v>
      </c>
      <c r="BE107" s="12" t="str">
        <f>IFERROR(__xludf.DUMMYFUNCTION("CONCATENATE(SORT(TRANSPOSE(SPLIT(REGEXREPLACE(REGEXREPLACE(BD107&amp;"""",""(?s)(.{1})"",""$1""&amp;CHAR(127)),""'"",""''""),CHAR(127))),1,true),""1"")"),"abcef1")</f>
        <v>abcef1</v>
      </c>
      <c r="BF107" s="16"/>
      <c r="BG107" s="12" t="str">
        <f t="shared" si="7"/>
        <v>dbfe</v>
      </c>
      <c r="BH107" s="12" t="str">
        <f>IFERROR(__xludf.DUMMYFUNCTION("CONCATENATE(SORT(TRANSPOSE(SPLIT(REGEXREPLACE(REGEXREPLACE(BG107&amp;"""",""(?s)(.{1})"",""$1""&amp;CHAR(127)),""'"",""''""),CHAR(127))),1,true),""1"")"),"bdef1")</f>
        <v>bdef1</v>
      </c>
      <c r="BI107" s="16"/>
      <c r="BJ107" s="10" t="str">
        <f>IFERROR(__xludf.DUMMYFUNCTION("FILTER($K107:$T107,len($K107:$T107)=5)"),"fbcea")</f>
        <v>fbcea</v>
      </c>
      <c r="BK107" s="6" t="str">
        <f>IFERROR(__xludf.DUMMYFUNCTION("""COMPUTED_VALUE"""),"gbafc")</f>
        <v>gbafc</v>
      </c>
      <c r="BL107" s="6" t="str">
        <f>IFERROR(__xludf.DUMMYFUNCTION("""COMPUTED_VALUE"""),"eacdb")</f>
        <v>eacdb</v>
      </c>
      <c r="BM107" s="14" t="str">
        <f>IFERROR(__xludf.DUMMYFUNCTION("REGEXREPLACE( $BY107, CONCATENATE(""["",BJ107,""]""), """")"),"gd")</f>
        <v>gd</v>
      </c>
      <c r="BN107" s="14" t="str">
        <f>IFERROR(__xludf.DUMMYFUNCTION("REGEXREPLACE( $BY107, CONCATENATE(""["",BK107,""]""), """")"),"de")</f>
        <v>de</v>
      </c>
      <c r="BO107" s="14" t="str">
        <f>IFERROR(__xludf.DUMMYFUNCTION("REGEXREPLACE( $BY107, CONCATENATE(""["",BL107,""]""), """")"),"g")</f>
        <v>g</v>
      </c>
      <c r="BP107" s="11" t="str">
        <f t="shared" si="8"/>
        <v>eacdb</v>
      </c>
      <c r="BQ107" s="12" t="str">
        <f>IFERROR(__xludf.DUMMYFUNCTION("CONCATENATE(SORT(TRANSPOSE(SPLIT(REGEXREPLACE(REGEXREPLACE(BP107&amp;"""",""(?s)(.{1})"",""$1""&amp;CHAR(127)),""'"",""''""),CHAR(127))),1,true),""1"")"),"abcde1")</f>
        <v>abcde1</v>
      </c>
      <c r="BR107" s="16"/>
      <c r="BS107" s="10" t="str">
        <f>IFERROR(__xludf.DUMMYFUNCTION("FILTER(K107:T107,len(K107:T107)=6)"),"daefcb")</f>
        <v>daefcb</v>
      </c>
      <c r="BT107" s="6" t="str">
        <f>IFERROR(__xludf.DUMMYFUNCTION("""COMPUTED_VALUE"""),"gbdcae")</f>
        <v>gbdcae</v>
      </c>
      <c r="BU107" s="6" t="str">
        <f>IFERROR(__xludf.DUMMYFUNCTION("""COMPUTED_VALUE"""),"fadgec")</f>
        <v>fadgec</v>
      </c>
      <c r="BV107" s="6" t="str">
        <f>IFERROR(__xludf.DUMMYFUNCTION("REGEXREPLACE( $AR107, CONCATENATE(""["",BS107,""]""), """")"),"")</f>
        <v/>
      </c>
      <c r="BW107" s="6" t="str">
        <f>IFERROR(__xludf.DUMMYFUNCTION("REGEXREPLACE( $AR107, CONCATENATE(""["",BT107,""]""), """")"),"f")</f>
        <v>f</v>
      </c>
      <c r="BX107" s="6" t="str">
        <f>IFERROR(__xludf.DUMMYFUNCTION("REGEXREPLACE( $AR107, CONCATENATE(""["",BU107,""]""), """")"),"")</f>
        <v/>
      </c>
      <c r="BY107" s="12" t="str">
        <f t="shared" si="9"/>
        <v>gbdcae</v>
      </c>
      <c r="BZ107" s="12" t="str">
        <f>IFERROR(__xludf.DUMMYFUNCTION("CONCATENATE(SORT(TRANSPOSE(SPLIT(REGEXREPLACE(REGEXREPLACE(BY107&amp;"""",""(?s)(.{1})"",""$1""&amp;CHAR(127)),""'"",""''""),CHAR(127))),1,true),""1"")"),"abcdeg1")</f>
        <v>abcdeg1</v>
      </c>
      <c r="CA107" s="16"/>
      <c r="CB107" s="12" t="str">
        <f t="shared" si="10"/>
        <v>fae</v>
      </c>
      <c r="CC107" s="12" t="str">
        <f>IFERROR(__xludf.DUMMYFUNCTION("CONCATENATE(SORT(TRANSPOSE(SPLIT(REGEXREPLACE(REGEXREPLACE(CB107&amp;"""",""(?s)(.{1})"",""$1""&amp;CHAR(127)),""'"",""''""),CHAR(127))),1,true),""1"")"),"aef1")</f>
        <v>aef1</v>
      </c>
      <c r="CD107" s="16"/>
      <c r="CE107" s="12" t="str">
        <f t="shared" si="11"/>
        <v>cdfbega</v>
      </c>
      <c r="CF107" s="12" t="str">
        <f>IFERROR(__xludf.DUMMYFUNCTION("CONCATENATE(SORT(TRANSPOSE(SPLIT(REGEXREPLACE(REGEXREPLACE(CE107&amp;"""",""(?s)(.{1})"",""$1""&amp;CHAR(127)),""'"",""''""),CHAR(127))),1,true),""1"")"),"abcdefg1")</f>
        <v>abcdefg1</v>
      </c>
      <c r="CG107" s="16"/>
      <c r="CH107" s="10" t="str">
        <f>IFERROR(__xludf.DUMMYFUNCTION("FILTER(K107:T107,len(K107:T107)=6)"),"daefcb")</f>
        <v>daefcb</v>
      </c>
      <c r="CI107" s="6" t="str">
        <f>IFERROR(__xludf.DUMMYFUNCTION("""COMPUTED_VALUE"""),"gbdcae")</f>
        <v>gbdcae</v>
      </c>
      <c r="CJ107" s="6" t="str">
        <f>IFERROR(__xludf.DUMMYFUNCTION("""COMPUTED_VALUE"""),"fadgec")</f>
        <v>fadgec</v>
      </c>
      <c r="CK107" s="6" t="str">
        <f>IFERROR(__xludf.DUMMYFUNCTION("REGEXREPLACE( $BG107, CONCATENATE(""["",CH107,""]""), """")"),"")</f>
        <v/>
      </c>
      <c r="CL107" s="6" t="str">
        <f>IFERROR(__xludf.DUMMYFUNCTION("REGEXREPLACE( $BG107, CONCATENATE(""["",CI107,""]""), """")"),"f")</f>
        <v>f</v>
      </c>
      <c r="CM107" s="6" t="str">
        <f>IFERROR(__xludf.DUMMYFUNCTION("REGEXREPLACE( $BG107, CONCATENATE(""["",CJ107,""]""), """")"),"b")</f>
        <v>b</v>
      </c>
      <c r="CN107" s="12" t="str">
        <f t="shared" si="12"/>
        <v>daefcb</v>
      </c>
      <c r="CO107" s="12" t="str">
        <f>IFERROR(__xludf.DUMMYFUNCTION("CONCATENATE(SORT(TRANSPOSE(SPLIT(REGEXREPLACE(REGEXREPLACE(CN107&amp;"""",""(?s)(.{1})"",""$1""&amp;CHAR(127)),""'"",""''""),CHAR(127))),1,true),""1"")"),"abcdef1")</f>
        <v>abcdef1</v>
      </c>
      <c r="CP107" s="15"/>
    </row>
    <row r="108">
      <c r="A108" s="1" t="s">
        <v>128</v>
      </c>
      <c r="H108" s="6" t="str">
        <f>IFERROR(__xludf.DUMMYFUNCTION("SPLIT(A108,""|"")"),"gbdefc edbag cdfaeb bc cgbafde cbdea efacdg dbc afbc cfdae ")</f>
        <v>gbdefc edbag cdfaeb bc cgbafde cbdea efacdg dbc afbc cfdae </v>
      </c>
      <c r="I108" s="6" t="str">
        <f>IFERROR(__xludf.DUMMYFUNCTION("""COMPUTED_VALUE""")," aegdb gdabe bfca fcba")</f>
        <v> aegdb gdabe bfca fcba</v>
      </c>
      <c r="J108" s="15"/>
      <c r="K108" s="6" t="str">
        <f>IFERROR(__xludf.DUMMYFUNCTION("split(H108,"" "")"),"gbdefc")</f>
        <v>gbdefc</v>
      </c>
      <c r="L108" s="6" t="str">
        <f>IFERROR(__xludf.DUMMYFUNCTION("""COMPUTED_VALUE"""),"edbag")</f>
        <v>edbag</v>
      </c>
      <c r="M108" s="6" t="str">
        <f>IFERROR(__xludf.DUMMYFUNCTION("""COMPUTED_VALUE"""),"cdfaeb")</f>
        <v>cdfaeb</v>
      </c>
      <c r="N108" s="6" t="str">
        <f>IFERROR(__xludf.DUMMYFUNCTION("""COMPUTED_VALUE"""),"bc")</f>
        <v>bc</v>
      </c>
      <c r="O108" s="6" t="str">
        <f>IFERROR(__xludf.DUMMYFUNCTION("""COMPUTED_VALUE"""),"cgbafde")</f>
        <v>cgbafde</v>
      </c>
      <c r="P108" s="6" t="str">
        <f>IFERROR(__xludf.DUMMYFUNCTION("""COMPUTED_VALUE"""),"cbdea")</f>
        <v>cbdea</v>
      </c>
      <c r="Q108" s="6" t="str">
        <f>IFERROR(__xludf.DUMMYFUNCTION("""COMPUTED_VALUE"""),"efacdg")</f>
        <v>efacdg</v>
      </c>
      <c r="R108" s="6" t="str">
        <f>IFERROR(__xludf.DUMMYFUNCTION("""COMPUTED_VALUE"""),"dbc")</f>
        <v>dbc</v>
      </c>
      <c r="S108" s="6" t="str">
        <f>IFERROR(__xludf.DUMMYFUNCTION("""COMPUTED_VALUE"""),"afbc")</f>
        <v>afbc</v>
      </c>
      <c r="T108" s="6" t="str">
        <f>IFERROR(__xludf.DUMMYFUNCTION("""COMPUTED_VALUE"""),"cfdae")</f>
        <v>cfdae</v>
      </c>
      <c r="U108" s="15"/>
      <c r="V108" s="6" t="str">
        <f>IFERROR(__xludf.DUMMYFUNCTION("split(I108,"" "")"),"aegdb")</f>
        <v>aegdb</v>
      </c>
      <c r="W108" s="6" t="str">
        <f>IFERROR(__xludf.DUMMYFUNCTION("""COMPUTED_VALUE"""),"gdabe")</f>
        <v>gdabe</v>
      </c>
      <c r="X108" s="6" t="str">
        <f>IFERROR(__xludf.DUMMYFUNCTION("""COMPUTED_VALUE"""),"bfca")</f>
        <v>bfca</v>
      </c>
      <c r="Y108" s="6" t="str">
        <f>IFERROR(__xludf.DUMMYFUNCTION("""COMPUTED_VALUE"""),"fcba")</f>
        <v>fcba</v>
      </c>
      <c r="Z108" s="6" t="str">
        <f>IFERROR(__xludf.DUMMYFUNCTION("CONCATENATE(SORT(TRANSPOSE(SPLIT(REGEXREPLACE(REGEXREPLACE(V108&amp;"""",""(?s)(.{1})"",""$1""&amp;CHAR(127)),""'"",""''""),CHAR(127))),1,true))"),"abdeg")</f>
        <v>abdeg</v>
      </c>
      <c r="AA108" s="6" t="str">
        <f>IFERROR(__xludf.DUMMYFUNCTION("CONCATENATE(SORT(TRANSPOSE(SPLIT(REGEXREPLACE(REGEXREPLACE(W108&amp;"""",""(?s)(.{1})"",""$1""&amp;CHAR(127)),""'"",""''""),CHAR(127))),1,true))"),"abdeg")</f>
        <v>abdeg</v>
      </c>
      <c r="AB108" s="6" t="str">
        <f>IFERROR(__xludf.DUMMYFUNCTION("CONCATENATE(SORT(TRANSPOSE(SPLIT(REGEXREPLACE(REGEXREPLACE(X108&amp;"""",""(?s)(.{1})"",""$1""&amp;CHAR(127)),""'"",""''""),CHAR(127))),1,true))"),"abcf")</f>
        <v>abcf</v>
      </c>
      <c r="AC108" s="6" t="str">
        <f>IFERROR(__xludf.DUMMYFUNCTION("CONCATENATE(SORT(TRANSPOSE(SPLIT(REGEXREPLACE(REGEXREPLACE(Y108&amp;"""",""(?s)(.{1})"",""$1""&amp;CHAR(127)),""'"",""''""),CHAR(127))),1,true))"),"abcf")</f>
        <v>abcf</v>
      </c>
      <c r="AD108" s="6">
        <f t="shared" ref="AD108:AG108" si="118">INDEX($AO$1:$CP$1,1,MATCH(CONCATENATE(Z108,"1"),$AO108:$CP108,0)+1)</f>
        <v>2</v>
      </c>
      <c r="AE108" s="6">
        <f t="shared" si="118"/>
        <v>2</v>
      </c>
      <c r="AF108" s="6">
        <f t="shared" si="118"/>
        <v>4</v>
      </c>
      <c r="AG108" s="6">
        <f t="shared" si="118"/>
        <v>4</v>
      </c>
      <c r="AH108" s="6">
        <f t="shared" si="3"/>
        <v>2244</v>
      </c>
      <c r="AI108" s="16"/>
      <c r="AJ108" s="9" t="str">
        <f>IFERROR(__xludf.DUMMYFUNCTION("REGEXREPLACE(AR108,CONCATENATE(""["",BY108,""]""),"""")"),"b")</f>
        <v>b</v>
      </c>
      <c r="AK108" s="10" t="str">
        <f>IFERROR(__xludf.DUMMYFUNCTION("FILTER($K108:$T108,len($K108:$T108)=6,NOT($K108:$T108=BY108))"),"gbdefc")</f>
        <v>gbdefc</v>
      </c>
      <c r="AL108" s="6" t="str">
        <f>IFERROR(__xludf.DUMMYFUNCTION("""COMPUTED_VALUE"""),"cdfaeb")</f>
        <v>cdfaeb</v>
      </c>
      <c r="AM108" s="6" t="str">
        <f>IFERROR(__xludf.DUMMYFUNCTION("REGEXREPLACE( $BG108, CONCATENATE(""["",AK108,""]""), """")"),"a")</f>
        <v>a</v>
      </c>
      <c r="AN108" s="6" t="str">
        <f>IFERROR(__xludf.DUMMYFUNCTION("REGEXREPLACE( $BG108, CONCATENATE(""["",AL108,""]""), """")"),"")</f>
        <v/>
      </c>
      <c r="AO108" s="11" t="str">
        <f t="shared" si="4"/>
        <v>gbdefc</v>
      </c>
      <c r="AP108" s="12" t="str">
        <f>IFERROR(__xludf.DUMMYFUNCTION("CONCATENATE(SORT(TRANSPOSE(SPLIT(REGEXREPLACE(REGEXREPLACE(AO108&amp;"""",""(?s)(.{1})"",""$1""&amp;CHAR(127)),""'"",""''""),CHAR(127))),1,true),""1"")"),"bcdefg1")</f>
        <v>bcdefg1</v>
      </c>
      <c r="AQ108" s="16"/>
      <c r="AR108" s="12" t="str">
        <f t="shared" si="5"/>
        <v>bc</v>
      </c>
      <c r="AS108" s="12" t="str">
        <f>IFERROR(__xludf.DUMMYFUNCTION("CONCATENATE(SORT(TRANSPOSE(SPLIT(REGEXREPLACE(REGEXREPLACE(AR108&amp;"""",""(?s)(.{1})"",""$1""&amp;CHAR(127)),""'"",""''""),CHAR(127))),1,true),""1"")"),"bc1")</f>
        <v>bc1</v>
      </c>
      <c r="AT108" s="16"/>
      <c r="AU108" s="13" t="str">
        <f>IFERROR(__xludf.DUMMYFUNCTION("FILTER($K108:$T108,len($K108:$T108)=5,NOT($K108:$T108=BD108),NOT($K108:$T108=BP108))"),"edbag")</f>
        <v>edbag</v>
      </c>
      <c r="AV108" s="12" t="str">
        <f>IFERROR(__xludf.DUMMYFUNCTION("CONCATENATE(SORT(TRANSPOSE(SPLIT(REGEXREPLACE(REGEXREPLACE(AU108&amp;"""",""(?s)(.{1})"",""$1""&amp;CHAR(127)),""'"",""''""),CHAR(127))),1,true),""1"")"),"abdeg1")</f>
        <v>abdeg1</v>
      </c>
      <c r="AW108" s="16"/>
      <c r="AX108" s="10" t="str">
        <f>IFERROR(__xludf.DUMMYFUNCTION("FILTER($K108:$T108,len($K108:$T108)=5)"),"edbag")</f>
        <v>edbag</v>
      </c>
      <c r="AY108" s="6" t="str">
        <f>IFERROR(__xludf.DUMMYFUNCTION("""COMPUTED_VALUE"""),"cbdea")</f>
        <v>cbdea</v>
      </c>
      <c r="AZ108" s="6" t="str">
        <f>IFERROR(__xludf.DUMMYFUNCTION("""COMPUTED_VALUE"""),"cfdae")</f>
        <v>cfdae</v>
      </c>
      <c r="BA108" s="6" t="str">
        <f>IFERROR(__xludf.DUMMYFUNCTION("REGEXREPLACE( $AR108, CONCATENATE(""["",AX108,""]""), """")"),"c")</f>
        <v>c</v>
      </c>
      <c r="BB108" s="6" t="str">
        <f>IFERROR(__xludf.DUMMYFUNCTION("REGEXREPLACE( $AR108, CONCATENATE(""["",AY108,""]""), """")"),"")</f>
        <v/>
      </c>
      <c r="BC108" s="6" t="str">
        <f>IFERROR(__xludf.DUMMYFUNCTION("REGEXREPLACE( $AR108, CONCATENATE(""["",AZ108,""]""), """")"),"b")</f>
        <v>b</v>
      </c>
      <c r="BD108" s="11" t="str">
        <f t="shared" si="6"/>
        <v>cbdea</v>
      </c>
      <c r="BE108" s="12" t="str">
        <f>IFERROR(__xludf.DUMMYFUNCTION("CONCATENATE(SORT(TRANSPOSE(SPLIT(REGEXREPLACE(REGEXREPLACE(BD108&amp;"""",""(?s)(.{1})"",""$1""&amp;CHAR(127)),""'"",""''""),CHAR(127))),1,true),""1"")"),"abcde1")</f>
        <v>abcde1</v>
      </c>
      <c r="BF108" s="16"/>
      <c r="BG108" s="12" t="str">
        <f t="shared" si="7"/>
        <v>afbc</v>
      </c>
      <c r="BH108" s="12" t="str">
        <f>IFERROR(__xludf.DUMMYFUNCTION("CONCATENATE(SORT(TRANSPOSE(SPLIT(REGEXREPLACE(REGEXREPLACE(BG108&amp;"""",""(?s)(.{1})"",""$1""&amp;CHAR(127)),""'"",""''""),CHAR(127))),1,true),""1"")"),"abcf1")</f>
        <v>abcf1</v>
      </c>
      <c r="BI108" s="16"/>
      <c r="BJ108" s="10" t="str">
        <f>IFERROR(__xludf.DUMMYFUNCTION("FILTER($K108:$T108,len($K108:$T108)=5)"),"edbag")</f>
        <v>edbag</v>
      </c>
      <c r="BK108" s="6" t="str">
        <f>IFERROR(__xludf.DUMMYFUNCTION("""COMPUTED_VALUE"""),"cbdea")</f>
        <v>cbdea</v>
      </c>
      <c r="BL108" s="6" t="str">
        <f>IFERROR(__xludf.DUMMYFUNCTION("""COMPUTED_VALUE"""),"cfdae")</f>
        <v>cfdae</v>
      </c>
      <c r="BM108" s="14" t="str">
        <f>IFERROR(__xludf.DUMMYFUNCTION("REGEXREPLACE( $BY108, CONCATENATE(""["",BJ108,""]""), """")"),"fc")</f>
        <v>fc</v>
      </c>
      <c r="BN108" s="14" t="str">
        <f>IFERROR(__xludf.DUMMYFUNCTION("REGEXREPLACE( $BY108, CONCATENATE(""["",BK108,""]""), """")"),"fg")</f>
        <v>fg</v>
      </c>
      <c r="BO108" s="14" t="str">
        <f>IFERROR(__xludf.DUMMYFUNCTION("REGEXREPLACE( $BY108, CONCATENATE(""["",BL108,""]""), """")"),"g")</f>
        <v>g</v>
      </c>
      <c r="BP108" s="11" t="str">
        <f t="shared" si="8"/>
        <v>cfdae</v>
      </c>
      <c r="BQ108" s="12" t="str">
        <f>IFERROR(__xludf.DUMMYFUNCTION("CONCATENATE(SORT(TRANSPOSE(SPLIT(REGEXREPLACE(REGEXREPLACE(BP108&amp;"""",""(?s)(.{1})"",""$1""&amp;CHAR(127)),""'"",""''""),CHAR(127))),1,true),""1"")"),"acdef1")</f>
        <v>acdef1</v>
      </c>
      <c r="BR108" s="16"/>
      <c r="BS108" s="10" t="str">
        <f>IFERROR(__xludf.DUMMYFUNCTION("FILTER(K108:T108,len(K108:T108)=6)"),"gbdefc")</f>
        <v>gbdefc</v>
      </c>
      <c r="BT108" s="6" t="str">
        <f>IFERROR(__xludf.DUMMYFUNCTION("""COMPUTED_VALUE"""),"cdfaeb")</f>
        <v>cdfaeb</v>
      </c>
      <c r="BU108" s="6" t="str">
        <f>IFERROR(__xludf.DUMMYFUNCTION("""COMPUTED_VALUE"""),"efacdg")</f>
        <v>efacdg</v>
      </c>
      <c r="BV108" s="6" t="str">
        <f>IFERROR(__xludf.DUMMYFUNCTION("REGEXREPLACE( $AR108, CONCATENATE(""["",BS108,""]""), """")"),"")</f>
        <v/>
      </c>
      <c r="BW108" s="6" t="str">
        <f>IFERROR(__xludf.DUMMYFUNCTION("REGEXREPLACE( $AR108, CONCATENATE(""["",BT108,""]""), """")"),"")</f>
        <v/>
      </c>
      <c r="BX108" s="6" t="str">
        <f>IFERROR(__xludf.DUMMYFUNCTION("REGEXREPLACE( $AR108, CONCATENATE(""["",BU108,""]""), """")"),"b")</f>
        <v>b</v>
      </c>
      <c r="BY108" s="12" t="str">
        <f t="shared" si="9"/>
        <v>efacdg</v>
      </c>
      <c r="BZ108" s="12" t="str">
        <f>IFERROR(__xludf.DUMMYFUNCTION("CONCATENATE(SORT(TRANSPOSE(SPLIT(REGEXREPLACE(REGEXREPLACE(BY108&amp;"""",""(?s)(.{1})"",""$1""&amp;CHAR(127)),""'"",""''""),CHAR(127))),1,true),""1"")"),"acdefg1")</f>
        <v>acdefg1</v>
      </c>
      <c r="CA108" s="16"/>
      <c r="CB108" s="12" t="str">
        <f t="shared" si="10"/>
        <v>dbc</v>
      </c>
      <c r="CC108" s="12" t="str">
        <f>IFERROR(__xludf.DUMMYFUNCTION("CONCATENATE(SORT(TRANSPOSE(SPLIT(REGEXREPLACE(REGEXREPLACE(CB108&amp;"""",""(?s)(.{1})"",""$1""&amp;CHAR(127)),""'"",""''""),CHAR(127))),1,true),""1"")"),"bcd1")</f>
        <v>bcd1</v>
      </c>
      <c r="CD108" s="16"/>
      <c r="CE108" s="12" t="str">
        <f t="shared" si="11"/>
        <v>cgbafde</v>
      </c>
      <c r="CF108" s="12" t="str">
        <f>IFERROR(__xludf.DUMMYFUNCTION("CONCATENATE(SORT(TRANSPOSE(SPLIT(REGEXREPLACE(REGEXREPLACE(CE108&amp;"""",""(?s)(.{1})"",""$1""&amp;CHAR(127)),""'"",""''""),CHAR(127))),1,true),""1"")"),"abcdefg1")</f>
        <v>abcdefg1</v>
      </c>
      <c r="CG108" s="16"/>
      <c r="CH108" s="10" t="str">
        <f>IFERROR(__xludf.DUMMYFUNCTION("FILTER(K108:T108,len(K108:T108)=6)"),"gbdefc")</f>
        <v>gbdefc</v>
      </c>
      <c r="CI108" s="6" t="str">
        <f>IFERROR(__xludf.DUMMYFUNCTION("""COMPUTED_VALUE"""),"cdfaeb")</f>
        <v>cdfaeb</v>
      </c>
      <c r="CJ108" s="6" t="str">
        <f>IFERROR(__xludf.DUMMYFUNCTION("""COMPUTED_VALUE"""),"efacdg")</f>
        <v>efacdg</v>
      </c>
      <c r="CK108" s="6" t="str">
        <f>IFERROR(__xludf.DUMMYFUNCTION("REGEXREPLACE( $BG108, CONCATENATE(""["",CH108,""]""), """")"),"a")</f>
        <v>a</v>
      </c>
      <c r="CL108" s="6" t="str">
        <f>IFERROR(__xludf.DUMMYFUNCTION("REGEXREPLACE( $BG108, CONCATENATE(""["",CI108,""]""), """")"),"")</f>
        <v/>
      </c>
      <c r="CM108" s="6" t="str">
        <f>IFERROR(__xludf.DUMMYFUNCTION("REGEXREPLACE( $BG108, CONCATENATE(""["",CJ108,""]""), """")"),"b")</f>
        <v>b</v>
      </c>
      <c r="CN108" s="12" t="str">
        <f t="shared" si="12"/>
        <v>cdfaeb</v>
      </c>
      <c r="CO108" s="12" t="str">
        <f>IFERROR(__xludf.DUMMYFUNCTION("CONCATENATE(SORT(TRANSPOSE(SPLIT(REGEXREPLACE(REGEXREPLACE(CN108&amp;"""",""(?s)(.{1})"",""$1""&amp;CHAR(127)),""'"",""''""),CHAR(127))),1,true),""1"")"),"abcdef1")</f>
        <v>abcdef1</v>
      </c>
      <c r="CP108" s="15"/>
    </row>
    <row r="109">
      <c r="A109" s="1" t="s">
        <v>129</v>
      </c>
      <c r="H109" s="6" t="str">
        <f>IFERROR(__xludf.DUMMYFUNCTION("SPLIT(A109,""|"")"),"cfbegd gbcde fgcdb df efgbda fdce bfacgde fbd dbeacg fcagb ")</f>
        <v>cfbegd gbcde fgcdb df efgbda fdce bfacgde fbd dbeacg fcagb </v>
      </c>
      <c r="I109" s="6" t="str">
        <f>IFERROR(__xludf.DUMMYFUNCTION("""COMPUTED_VALUE""")," df dfabeg fd eabfdg")</f>
        <v> df dfabeg fd eabfdg</v>
      </c>
      <c r="J109" s="15"/>
      <c r="K109" s="6" t="str">
        <f>IFERROR(__xludf.DUMMYFUNCTION("split(H109,"" "")"),"cfbegd")</f>
        <v>cfbegd</v>
      </c>
      <c r="L109" s="6" t="str">
        <f>IFERROR(__xludf.DUMMYFUNCTION("""COMPUTED_VALUE"""),"gbcde")</f>
        <v>gbcde</v>
      </c>
      <c r="M109" s="6" t="str">
        <f>IFERROR(__xludf.DUMMYFUNCTION("""COMPUTED_VALUE"""),"fgcdb")</f>
        <v>fgcdb</v>
      </c>
      <c r="N109" s="6" t="str">
        <f>IFERROR(__xludf.DUMMYFUNCTION("""COMPUTED_VALUE"""),"df")</f>
        <v>df</v>
      </c>
      <c r="O109" s="6" t="str">
        <f>IFERROR(__xludf.DUMMYFUNCTION("""COMPUTED_VALUE"""),"efgbda")</f>
        <v>efgbda</v>
      </c>
      <c r="P109" s="6" t="str">
        <f>IFERROR(__xludf.DUMMYFUNCTION("""COMPUTED_VALUE"""),"fdce")</f>
        <v>fdce</v>
      </c>
      <c r="Q109" s="6" t="str">
        <f>IFERROR(__xludf.DUMMYFUNCTION("""COMPUTED_VALUE"""),"bfacgde")</f>
        <v>bfacgde</v>
      </c>
      <c r="R109" s="6" t="str">
        <f>IFERROR(__xludf.DUMMYFUNCTION("""COMPUTED_VALUE"""),"fbd")</f>
        <v>fbd</v>
      </c>
      <c r="S109" s="6" t="str">
        <f>IFERROR(__xludf.DUMMYFUNCTION("""COMPUTED_VALUE"""),"dbeacg")</f>
        <v>dbeacg</v>
      </c>
      <c r="T109" s="6" t="str">
        <f>IFERROR(__xludf.DUMMYFUNCTION("""COMPUTED_VALUE"""),"fcagb")</f>
        <v>fcagb</v>
      </c>
      <c r="U109" s="15"/>
      <c r="V109" s="6" t="str">
        <f>IFERROR(__xludf.DUMMYFUNCTION("split(I109,"" "")"),"df")</f>
        <v>df</v>
      </c>
      <c r="W109" s="6" t="str">
        <f>IFERROR(__xludf.DUMMYFUNCTION("""COMPUTED_VALUE"""),"dfabeg")</f>
        <v>dfabeg</v>
      </c>
      <c r="X109" s="6" t="str">
        <f>IFERROR(__xludf.DUMMYFUNCTION("""COMPUTED_VALUE"""),"fd")</f>
        <v>fd</v>
      </c>
      <c r="Y109" s="6" t="str">
        <f>IFERROR(__xludf.DUMMYFUNCTION("""COMPUTED_VALUE"""),"eabfdg")</f>
        <v>eabfdg</v>
      </c>
      <c r="Z109" s="6" t="str">
        <f>IFERROR(__xludf.DUMMYFUNCTION("CONCATENATE(SORT(TRANSPOSE(SPLIT(REGEXREPLACE(REGEXREPLACE(V109&amp;"""",""(?s)(.{1})"",""$1""&amp;CHAR(127)),""'"",""''""),CHAR(127))),1,true))"),"df")</f>
        <v>df</v>
      </c>
      <c r="AA109" s="6" t="str">
        <f>IFERROR(__xludf.DUMMYFUNCTION("CONCATENATE(SORT(TRANSPOSE(SPLIT(REGEXREPLACE(REGEXREPLACE(W109&amp;"""",""(?s)(.{1})"",""$1""&amp;CHAR(127)),""'"",""''""),CHAR(127))),1,true))"),"abdefg")</f>
        <v>abdefg</v>
      </c>
      <c r="AB109" s="6" t="str">
        <f>IFERROR(__xludf.DUMMYFUNCTION("CONCATENATE(SORT(TRANSPOSE(SPLIT(REGEXREPLACE(REGEXREPLACE(X109&amp;"""",""(?s)(.{1})"",""$1""&amp;CHAR(127)),""'"",""''""),CHAR(127))),1,true))"),"df")</f>
        <v>df</v>
      </c>
      <c r="AC109" s="6" t="str">
        <f>IFERROR(__xludf.DUMMYFUNCTION("CONCATENATE(SORT(TRANSPOSE(SPLIT(REGEXREPLACE(REGEXREPLACE(Y109&amp;"""",""(?s)(.{1})"",""$1""&amp;CHAR(127)),""'"",""''""),CHAR(127))),1,true))"),"abdefg")</f>
        <v>abdefg</v>
      </c>
      <c r="AD109" s="6">
        <f t="shared" ref="AD109:AG109" si="119">INDEX($AO$1:$CP$1,1,MATCH(CONCATENATE(Z109,"1"),$AO109:$CP109,0)+1)</f>
        <v>1</v>
      </c>
      <c r="AE109" s="6">
        <f t="shared" si="119"/>
        <v>0</v>
      </c>
      <c r="AF109" s="6">
        <f t="shared" si="119"/>
        <v>1</v>
      </c>
      <c r="AG109" s="6">
        <f t="shared" si="119"/>
        <v>0</v>
      </c>
      <c r="AH109" s="6">
        <f t="shared" si="3"/>
        <v>1010</v>
      </c>
      <c r="AI109" s="16"/>
      <c r="AJ109" s="9" t="str">
        <f>IFERROR(__xludf.DUMMYFUNCTION("REGEXREPLACE(AR109,CONCATENATE(""["",BY109,""]""),"""")"),"f")</f>
        <v>f</v>
      </c>
      <c r="AK109" s="10" t="str">
        <f>IFERROR(__xludf.DUMMYFUNCTION("FILTER($K109:$T109,len($K109:$T109)=6,NOT($K109:$T109=BY109))"),"cfbegd")</f>
        <v>cfbegd</v>
      </c>
      <c r="AL109" s="6" t="str">
        <f>IFERROR(__xludf.DUMMYFUNCTION("""COMPUTED_VALUE"""),"efgbda")</f>
        <v>efgbda</v>
      </c>
      <c r="AM109" s="6" t="str">
        <f>IFERROR(__xludf.DUMMYFUNCTION("REGEXREPLACE( $BG109, CONCATENATE(""["",AK109,""]""), """")"),"")</f>
        <v/>
      </c>
      <c r="AN109" s="6" t="str">
        <f>IFERROR(__xludf.DUMMYFUNCTION("REGEXREPLACE( $BG109, CONCATENATE(""["",AL109,""]""), """")"),"c")</f>
        <v>c</v>
      </c>
      <c r="AO109" s="11" t="str">
        <f t="shared" si="4"/>
        <v>efgbda</v>
      </c>
      <c r="AP109" s="12" t="str">
        <f>IFERROR(__xludf.DUMMYFUNCTION("CONCATENATE(SORT(TRANSPOSE(SPLIT(REGEXREPLACE(REGEXREPLACE(AO109&amp;"""",""(?s)(.{1})"",""$1""&amp;CHAR(127)),""'"",""''""),CHAR(127))),1,true),""1"")"),"abdefg1")</f>
        <v>abdefg1</v>
      </c>
      <c r="AQ109" s="16"/>
      <c r="AR109" s="12" t="str">
        <f t="shared" si="5"/>
        <v>df</v>
      </c>
      <c r="AS109" s="12" t="str">
        <f>IFERROR(__xludf.DUMMYFUNCTION("CONCATENATE(SORT(TRANSPOSE(SPLIT(REGEXREPLACE(REGEXREPLACE(AR109&amp;"""",""(?s)(.{1})"",""$1""&amp;CHAR(127)),""'"",""''""),CHAR(127))),1,true),""1"")"),"df1")</f>
        <v>df1</v>
      </c>
      <c r="AT109" s="16"/>
      <c r="AU109" s="13" t="str">
        <f>IFERROR(__xludf.DUMMYFUNCTION("FILTER($K109:$T109,len($K109:$T109)=5,NOT($K109:$T109=BD109),NOT($K109:$T109=BP109))"),"fcagb")</f>
        <v>fcagb</v>
      </c>
      <c r="AV109" s="12" t="str">
        <f>IFERROR(__xludf.DUMMYFUNCTION("CONCATENATE(SORT(TRANSPOSE(SPLIT(REGEXREPLACE(REGEXREPLACE(AU109&amp;"""",""(?s)(.{1})"",""$1""&amp;CHAR(127)),""'"",""''""),CHAR(127))),1,true),""1"")"),"abcfg1")</f>
        <v>abcfg1</v>
      </c>
      <c r="AW109" s="16"/>
      <c r="AX109" s="10" t="str">
        <f>IFERROR(__xludf.DUMMYFUNCTION("FILTER($K109:$T109,len($K109:$T109)=5)"),"gbcde")</f>
        <v>gbcde</v>
      </c>
      <c r="AY109" s="6" t="str">
        <f>IFERROR(__xludf.DUMMYFUNCTION("""COMPUTED_VALUE"""),"fgcdb")</f>
        <v>fgcdb</v>
      </c>
      <c r="AZ109" s="6" t="str">
        <f>IFERROR(__xludf.DUMMYFUNCTION("""COMPUTED_VALUE"""),"fcagb")</f>
        <v>fcagb</v>
      </c>
      <c r="BA109" s="6" t="str">
        <f>IFERROR(__xludf.DUMMYFUNCTION("REGEXREPLACE( $AR109, CONCATENATE(""["",AX109,""]""), """")"),"f")</f>
        <v>f</v>
      </c>
      <c r="BB109" s="6" t="str">
        <f>IFERROR(__xludf.DUMMYFUNCTION("REGEXREPLACE( $AR109, CONCATENATE(""["",AY109,""]""), """")"),"")</f>
        <v/>
      </c>
      <c r="BC109" s="6" t="str">
        <f>IFERROR(__xludf.DUMMYFUNCTION("REGEXREPLACE( $AR109, CONCATENATE(""["",AZ109,""]""), """")"),"d")</f>
        <v>d</v>
      </c>
      <c r="BD109" s="11" t="str">
        <f t="shared" si="6"/>
        <v>fgcdb</v>
      </c>
      <c r="BE109" s="12" t="str">
        <f>IFERROR(__xludf.DUMMYFUNCTION("CONCATENATE(SORT(TRANSPOSE(SPLIT(REGEXREPLACE(REGEXREPLACE(BD109&amp;"""",""(?s)(.{1})"",""$1""&amp;CHAR(127)),""'"",""''""),CHAR(127))),1,true),""1"")"),"bcdfg1")</f>
        <v>bcdfg1</v>
      </c>
      <c r="BF109" s="16"/>
      <c r="BG109" s="12" t="str">
        <f t="shared" si="7"/>
        <v>fdce</v>
      </c>
      <c r="BH109" s="12" t="str">
        <f>IFERROR(__xludf.DUMMYFUNCTION("CONCATENATE(SORT(TRANSPOSE(SPLIT(REGEXREPLACE(REGEXREPLACE(BG109&amp;"""",""(?s)(.{1})"",""$1""&amp;CHAR(127)),""'"",""''""),CHAR(127))),1,true),""1"")"),"cdef1")</f>
        <v>cdef1</v>
      </c>
      <c r="BI109" s="16"/>
      <c r="BJ109" s="10" t="str">
        <f>IFERROR(__xludf.DUMMYFUNCTION("FILTER($K109:$T109,len($K109:$T109)=5)"),"gbcde")</f>
        <v>gbcde</v>
      </c>
      <c r="BK109" s="6" t="str">
        <f>IFERROR(__xludf.DUMMYFUNCTION("""COMPUTED_VALUE"""),"fgcdb")</f>
        <v>fgcdb</v>
      </c>
      <c r="BL109" s="6" t="str">
        <f>IFERROR(__xludf.DUMMYFUNCTION("""COMPUTED_VALUE"""),"fcagb")</f>
        <v>fcagb</v>
      </c>
      <c r="BM109" s="14" t="str">
        <f>IFERROR(__xludf.DUMMYFUNCTION("REGEXREPLACE( $BY109, CONCATENATE(""["",BJ109,""]""), """")"),"a")</f>
        <v>a</v>
      </c>
      <c r="BN109" s="14" t="str">
        <f>IFERROR(__xludf.DUMMYFUNCTION("REGEXREPLACE( $BY109, CONCATENATE(""["",BK109,""]""), """")"),"ea")</f>
        <v>ea</v>
      </c>
      <c r="BO109" s="14" t="str">
        <f>IFERROR(__xludf.DUMMYFUNCTION("REGEXREPLACE( $BY109, CONCATENATE(""["",BL109,""]""), """")"),"de")</f>
        <v>de</v>
      </c>
      <c r="BP109" s="11" t="str">
        <f t="shared" si="8"/>
        <v>gbcde</v>
      </c>
      <c r="BQ109" s="12" t="str">
        <f>IFERROR(__xludf.DUMMYFUNCTION("CONCATENATE(SORT(TRANSPOSE(SPLIT(REGEXREPLACE(REGEXREPLACE(BP109&amp;"""",""(?s)(.{1})"",""$1""&amp;CHAR(127)),""'"",""''""),CHAR(127))),1,true),""1"")"),"bcdeg1")</f>
        <v>bcdeg1</v>
      </c>
      <c r="BR109" s="16"/>
      <c r="BS109" s="10" t="str">
        <f>IFERROR(__xludf.DUMMYFUNCTION("FILTER(K109:T109,len(K109:T109)=6)"),"cfbegd")</f>
        <v>cfbegd</v>
      </c>
      <c r="BT109" s="6" t="str">
        <f>IFERROR(__xludf.DUMMYFUNCTION("""COMPUTED_VALUE"""),"efgbda")</f>
        <v>efgbda</v>
      </c>
      <c r="BU109" s="6" t="str">
        <f>IFERROR(__xludf.DUMMYFUNCTION("""COMPUTED_VALUE"""),"dbeacg")</f>
        <v>dbeacg</v>
      </c>
      <c r="BV109" s="6" t="str">
        <f>IFERROR(__xludf.DUMMYFUNCTION("REGEXREPLACE( $AR109, CONCATENATE(""["",BS109,""]""), """")"),"")</f>
        <v/>
      </c>
      <c r="BW109" s="6" t="str">
        <f>IFERROR(__xludf.DUMMYFUNCTION("REGEXREPLACE( $AR109, CONCATENATE(""["",BT109,""]""), """")"),"")</f>
        <v/>
      </c>
      <c r="BX109" s="6" t="str">
        <f>IFERROR(__xludf.DUMMYFUNCTION("REGEXREPLACE( $AR109, CONCATENATE(""["",BU109,""]""), """")"),"f")</f>
        <v>f</v>
      </c>
      <c r="BY109" s="12" t="str">
        <f t="shared" si="9"/>
        <v>dbeacg</v>
      </c>
      <c r="BZ109" s="12" t="str">
        <f>IFERROR(__xludf.DUMMYFUNCTION("CONCATENATE(SORT(TRANSPOSE(SPLIT(REGEXREPLACE(REGEXREPLACE(BY109&amp;"""",""(?s)(.{1})"",""$1""&amp;CHAR(127)),""'"",""''""),CHAR(127))),1,true),""1"")"),"abcdeg1")</f>
        <v>abcdeg1</v>
      </c>
      <c r="CA109" s="16"/>
      <c r="CB109" s="12" t="str">
        <f t="shared" si="10"/>
        <v>fbd</v>
      </c>
      <c r="CC109" s="12" t="str">
        <f>IFERROR(__xludf.DUMMYFUNCTION("CONCATENATE(SORT(TRANSPOSE(SPLIT(REGEXREPLACE(REGEXREPLACE(CB109&amp;"""",""(?s)(.{1})"",""$1""&amp;CHAR(127)),""'"",""''""),CHAR(127))),1,true),""1"")"),"bdf1")</f>
        <v>bdf1</v>
      </c>
      <c r="CD109" s="16"/>
      <c r="CE109" s="12" t="str">
        <f t="shared" si="11"/>
        <v>bfacgde</v>
      </c>
      <c r="CF109" s="12" t="str">
        <f>IFERROR(__xludf.DUMMYFUNCTION("CONCATENATE(SORT(TRANSPOSE(SPLIT(REGEXREPLACE(REGEXREPLACE(CE109&amp;"""",""(?s)(.{1})"",""$1""&amp;CHAR(127)),""'"",""''""),CHAR(127))),1,true),""1"")"),"abcdefg1")</f>
        <v>abcdefg1</v>
      </c>
      <c r="CG109" s="16"/>
      <c r="CH109" s="10" t="str">
        <f>IFERROR(__xludf.DUMMYFUNCTION("FILTER(K109:T109,len(K109:T109)=6)"),"cfbegd")</f>
        <v>cfbegd</v>
      </c>
      <c r="CI109" s="6" t="str">
        <f>IFERROR(__xludf.DUMMYFUNCTION("""COMPUTED_VALUE"""),"efgbda")</f>
        <v>efgbda</v>
      </c>
      <c r="CJ109" s="6" t="str">
        <f>IFERROR(__xludf.DUMMYFUNCTION("""COMPUTED_VALUE"""),"dbeacg")</f>
        <v>dbeacg</v>
      </c>
      <c r="CK109" s="6" t="str">
        <f>IFERROR(__xludf.DUMMYFUNCTION("REGEXREPLACE( $BG109, CONCATENATE(""["",CH109,""]""), """")"),"")</f>
        <v/>
      </c>
      <c r="CL109" s="6" t="str">
        <f>IFERROR(__xludf.DUMMYFUNCTION("REGEXREPLACE( $BG109, CONCATENATE(""["",CI109,""]""), """")"),"c")</f>
        <v>c</v>
      </c>
      <c r="CM109" s="6" t="str">
        <f>IFERROR(__xludf.DUMMYFUNCTION("REGEXREPLACE( $BG109, CONCATENATE(""["",CJ109,""]""), """")"),"f")</f>
        <v>f</v>
      </c>
      <c r="CN109" s="12" t="str">
        <f t="shared" si="12"/>
        <v>cfbegd</v>
      </c>
      <c r="CO109" s="12" t="str">
        <f>IFERROR(__xludf.DUMMYFUNCTION("CONCATENATE(SORT(TRANSPOSE(SPLIT(REGEXREPLACE(REGEXREPLACE(CN109&amp;"""",""(?s)(.{1})"",""$1""&amp;CHAR(127)),""'"",""''""),CHAR(127))),1,true),""1"")"),"bcdefg1")</f>
        <v>bcdefg1</v>
      </c>
      <c r="CP109" s="15"/>
    </row>
    <row r="110">
      <c r="A110" s="1" t="s">
        <v>130</v>
      </c>
      <c r="H110" s="6" t="str">
        <f>IFERROR(__xludf.DUMMYFUNCTION("SPLIT(A110,""|"")"),"fcdeba cad dc fgeabd dfabe dbecagf acdef bcfd fgcae gdbeac ")</f>
        <v>fcdeba cad dc fgeabd dfabe dbecagf acdef bcfd fgcae gdbeac </v>
      </c>
      <c r="I110" s="6" t="str">
        <f>IFERROR(__xludf.DUMMYFUNCTION("""COMPUTED_VALUE""")," bfadgce afdec gdfeab edcfba")</f>
        <v> bfadgce afdec gdfeab edcfba</v>
      </c>
      <c r="J110" s="15"/>
      <c r="K110" s="6" t="str">
        <f>IFERROR(__xludf.DUMMYFUNCTION("split(H110,"" "")"),"fcdeba")</f>
        <v>fcdeba</v>
      </c>
      <c r="L110" s="6" t="str">
        <f>IFERROR(__xludf.DUMMYFUNCTION("""COMPUTED_VALUE"""),"cad")</f>
        <v>cad</v>
      </c>
      <c r="M110" s="6" t="str">
        <f>IFERROR(__xludf.DUMMYFUNCTION("""COMPUTED_VALUE"""),"dc")</f>
        <v>dc</v>
      </c>
      <c r="N110" s="6" t="str">
        <f>IFERROR(__xludf.DUMMYFUNCTION("""COMPUTED_VALUE"""),"fgeabd")</f>
        <v>fgeabd</v>
      </c>
      <c r="O110" s="6" t="str">
        <f>IFERROR(__xludf.DUMMYFUNCTION("""COMPUTED_VALUE"""),"dfabe")</f>
        <v>dfabe</v>
      </c>
      <c r="P110" s="6" t="str">
        <f>IFERROR(__xludf.DUMMYFUNCTION("""COMPUTED_VALUE"""),"dbecagf")</f>
        <v>dbecagf</v>
      </c>
      <c r="Q110" s="6" t="str">
        <f>IFERROR(__xludf.DUMMYFUNCTION("""COMPUTED_VALUE"""),"acdef")</f>
        <v>acdef</v>
      </c>
      <c r="R110" s="6" t="str">
        <f>IFERROR(__xludf.DUMMYFUNCTION("""COMPUTED_VALUE"""),"bcfd")</f>
        <v>bcfd</v>
      </c>
      <c r="S110" s="6" t="str">
        <f>IFERROR(__xludf.DUMMYFUNCTION("""COMPUTED_VALUE"""),"fgcae")</f>
        <v>fgcae</v>
      </c>
      <c r="T110" s="6" t="str">
        <f>IFERROR(__xludf.DUMMYFUNCTION("""COMPUTED_VALUE"""),"gdbeac")</f>
        <v>gdbeac</v>
      </c>
      <c r="U110" s="15"/>
      <c r="V110" s="6" t="str">
        <f>IFERROR(__xludf.DUMMYFUNCTION("split(I110,"" "")"),"bfadgce")</f>
        <v>bfadgce</v>
      </c>
      <c r="W110" s="6" t="str">
        <f>IFERROR(__xludf.DUMMYFUNCTION("""COMPUTED_VALUE"""),"afdec")</f>
        <v>afdec</v>
      </c>
      <c r="X110" s="6" t="str">
        <f>IFERROR(__xludf.DUMMYFUNCTION("""COMPUTED_VALUE"""),"gdfeab")</f>
        <v>gdfeab</v>
      </c>
      <c r="Y110" s="6" t="str">
        <f>IFERROR(__xludf.DUMMYFUNCTION("""COMPUTED_VALUE"""),"edcfba")</f>
        <v>edcfba</v>
      </c>
      <c r="Z110" s="6" t="str">
        <f>IFERROR(__xludf.DUMMYFUNCTION("CONCATENATE(SORT(TRANSPOSE(SPLIT(REGEXREPLACE(REGEXREPLACE(V110&amp;"""",""(?s)(.{1})"",""$1""&amp;CHAR(127)),""'"",""''""),CHAR(127))),1,true))"),"abcdefg")</f>
        <v>abcdefg</v>
      </c>
      <c r="AA110" s="6" t="str">
        <f>IFERROR(__xludf.DUMMYFUNCTION("CONCATENATE(SORT(TRANSPOSE(SPLIT(REGEXREPLACE(REGEXREPLACE(W110&amp;"""",""(?s)(.{1})"",""$1""&amp;CHAR(127)),""'"",""''""),CHAR(127))),1,true))"),"acdef")</f>
        <v>acdef</v>
      </c>
      <c r="AB110" s="6" t="str">
        <f>IFERROR(__xludf.DUMMYFUNCTION("CONCATENATE(SORT(TRANSPOSE(SPLIT(REGEXREPLACE(REGEXREPLACE(X110&amp;"""",""(?s)(.{1})"",""$1""&amp;CHAR(127)),""'"",""''""),CHAR(127))),1,true))"),"abdefg")</f>
        <v>abdefg</v>
      </c>
      <c r="AC110" s="6" t="str">
        <f>IFERROR(__xludf.DUMMYFUNCTION("CONCATENATE(SORT(TRANSPOSE(SPLIT(REGEXREPLACE(REGEXREPLACE(Y110&amp;"""",""(?s)(.{1})"",""$1""&amp;CHAR(127)),""'"",""''""),CHAR(127))),1,true))"),"abcdef")</f>
        <v>abcdef</v>
      </c>
      <c r="AD110" s="6">
        <f t="shared" ref="AD110:AG110" si="120">INDEX($AO$1:$CP$1,1,MATCH(CONCATENATE(Z110,"1"),$AO110:$CP110,0)+1)</f>
        <v>8</v>
      </c>
      <c r="AE110" s="6">
        <f t="shared" si="120"/>
        <v>3</v>
      </c>
      <c r="AF110" s="6">
        <f t="shared" si="120"/>
        <v>6</v>
      </c>
      <c r="AG110" s="6">
        <f t="shared" si="120"/>
        <v>9</v>
      </c>
      <c r="AH110" s="6">
        <f t="shared" si="3"/>
        <v>8369</v>
      </c>
      <c r="AI110" s="16"/>
      <c r="AJ110" s="9" t="str">
        <f>IFERROR(__xludf.DUMMYFUNCTION("REGEXREPLACE(AR110,CONCATENATE(""["",BY110,""]""),"""")"),"c")</f>
        <v>c</v>
      </c>
      <c r="AK110" s="10" t="str">
        <f>IFERROR(__xludf.DUMMYFUNCTION("FILTER($K110:$T110,len($K110:$T110)=6,NOT($K110:$T110=BY110))"),"fcdeba")</f>
        <v>fcdeba</v>
      </c>
      <c r="AL110" s="6" t="str">
        <f>IFERROR(__xludf.DUMMYFUNCTION("""COMPUTED_VALUE"""),"gdbeac")</f>
        <v>gdbeac</v>
      </c>
      <c r="AM110" s="6" t="str">
        <f>IFERROR(__xludf.DUMMYFUNCTION("REGEXREPLACE( $BG110, CONCATENATE(""["",AK110,""]""), """")"),"")</f>
        <v/>
      </c>
      <c r="AN110" s="6" t="str">
        <f>IFERROR(__xludf.DUMMYFUNCTION("REGEXREPLACE( $BG110, CONCATENATE(""["",AL110,""]""), """")"),"f")</f>
        <v>f</v>
      </c>
      <c r="AO110" s="11" t="str">
        <f t="shared" si="4"/>
        <v>gdbeac</v>
      </c>
      <c r="AP110" s="12" t="str">
        <f>IFERROR(__xludf.DUMMYFUNCTION("CONCATENATE(SORT(TRANSPOSE(SPLIT(REGEXREPLACE(REGEXREPLACE(AO110&amp;"""",""(?s)(.{1})"",""$1""&amp;CHAR(127)),""'"",""''""),CHAR(127))),1,true),""1"")"),"abcdeg1")</f>
        <v>abcdeg1</v>
      </c>
      <c r="AQ110" s="16"/>
      <c r="AR110" s="12" t="str">
        <f t="shared" si="5"/>
        <v>dc</v>
      </c>
      <c r="AS110" s="12" t="str">
        <f>IFERROR(__xludf.DUMMYFUNCTION("CONCATENATE(SORT(TRANSPOSE(SPLIT(REGEXREPLACE(REGEXREPLACE(AR110&amp;"""",""(?s)(.{1})"",""$1""&amp;CHAR(127)),""'"",""''""),CHAR(127))),1,true),""1"")"),"cd1")</f>
        <v>cd1</v>
      </c>
      <c r="AT110" s="16"/>
      <c r="AU110" s="13" t="str">
        <f>IFERROR(__xludf.DUMMYFUNCTION("FILTER($K110:$T110,len($K110:$T110)=5,NOT($K110:$T110=BD110),NOT($K110:$T110=BP110))"),"fgcae")</f>
        <v>fgcae</v>
      </c>
      <c r="AV110" s="12" t="str">
        <f>IFERROR(__xludf.DUMMYFUNCTION("CONCATENATE(SORT(TRANSPOSE(SPLIT(REGEXREPLACE(REGEXREPLACE(AU110&amp;"""",""(?s)(.{1})"",""$1""&amp;CHAR(127)),""'"",""''""),CHAR(127))),1,true),""1"")"),"acefg1")</f>
        <v>acefg1</v>
      </c>
      <c r="AW110" s="16"/>
      <c r="AX110" s="10" t="str">
        <f>IFERROR(__xludf.DUMMYFUNCTION("FILTER($K110:$T110,len($K110:$T110)=5)"),"dfabe")</f>
        <v>dfabe</v>
      </c>
      <c r="AY110" s="6" t="str">
        <f>IFERROR(__xludf.DUMMYFUNCTION("""COMPUTED_VALUE"""),"acdef")</f>
        <v>acdef</v>
      </c>
      <c r="AZ110" s="6" t="str">
        <f>IFERROR(__xludf.DUMMYFUNCTION("""COMPUTED_VALUE"""),"fgcae")</f>
        <v>fgcae</v>
      </c>
      <c r="BA110" s="6" t="str">
        <f>IFERROR(__xludf.DUMMYFUNCTION("REGEXREPLACE( $AR110, CONCATENATE(""["",AX110,""]""), """")"),"c")</f>
        <v>c</v>
      </c>
      <c r="BB110" s="6" t="str">
        <f>IFERROR(__xludf.DUMMYFUNCTION("REGEXREPLACE( $AR110, CONCATENATE(""["",AY110,""]""), """")"),"")</f>
        <v/>
      </c>
      <c r="BC110" s="6" t="str">
        <f>IFERROR(__xludf.DUMMYFUNCTION("REGEXREPLACE( $AR110, CONCATENATE(""["",AZ110,""]""), """")"),"d")</f>
        <v>d</v>
      </c>
      <c r="BD110" s="11" t="str">
        <f t="shared" si="6"/>
        <v>acdef</v>
      </c>
      <c r="BE110" s="12" t="str">
        <f>IFERROR(__xludf.DUMMYFUNCTION("CONCATENATE(SORT(TRANSPOSE(SPLIT(REGEXREPLACE(REGEXREPLACE(BD110&amp;"""",""(?s)(.{1})"",""$1""&amp;CHAR(127)),""'"",""''""),CHAR(127))),1,true),""1"")"),"acdef1")</f>
        <v>acdef1</v>
      </c>
      <c r="BF110" s="16"/>
      <c r="BG110" s="12" t="str">
        <f t="shared" si="7"/>
        <v>bcfd</v>
      </c>
      <c r="BH110" s="12" t="str">
        <f>IFERROR(__xludf.DUMMYFUNCTION("CONCATENATE(SORT(TRANSPOSE(SPLIT(REGEXREPLACE(REGEXREPLACE(BG110&amp;"""",""(?s)(.{1})"",""$1""&amp;CHAR(127)),""'"",""''""),CHAR(127))),1,true),""1"")"),"bcdf1")</f>
        <v>bcdf1</v>
      </c>
      <c r="BI110" s="16"/>
      <c r="BJ110" s="10" t="str">
        <f>IFERROR(__xludf.DUMMYFUNCTION("FILTER($K110:$T110,len($K110:$T110)=5)"),"dfabe")</f>
        <v>dfabe</v>
      </c>
      <c r="BK110" s="6" t="str">
        <f>IFERROR(__xludf.DUMMYFUNCTION("""COMPUTED_VALUE"""),"acdef")</f>
        <v>acdef</v>
      </c>
      <c r="BL110" s="6" t="str">
        <f>IFERROR(__xludf.DUMMYFUNCTION("""COMPUTED_VALUE"""),"fgcae")</f>
        <v>fgcae</v>
      </c>
      <c r="BM110" s="14" t="str">
        <f>IFERROR(__xludf.DUMMYFUNCTION("REGEXREPLACE( $BY110, CONCATENATE(""["",BJ110,""]""), """")"),"g")</f>
        <v>g</v>
      </c>
      <c r="BN110" s="14" t="str">
        <f>IFERROR(__xludf.DUMMYFUNCTION("REGEXREPLACE( $BY110, CONCATENATE(""["",BK110,""]""), """")"),"gb")</f>
        <v>gb</v>
      </c>
      <c r="BO110" s="14" t="str">
        <f>IFERROR(__xludf.DUMMYFUNCTION("REGEXREPLACE( $BY110, CONCATENATE(""["",BL110,""]""), """")"),"bd")</f>
        <v>bd</v>
      </c>
      <c r="BP110" s="11" t="str">
        <f t="shared" si="8"/>
        <v>dfabe</v>
      </c>
      <c r="BQ110" s="12" t="str">
        <f>IFERROR(__xludf.DUMMYFUNCTION("CONCATENATE(SORT(TRANSPOSE(SPLIT(REGEXREPLACE(REGEXREPLACE(BP110&amp;"""",""(?s)(.{1})"",""$1""&amp;CHAR(127)),""'"",""''""),CHAR(127))),1,true),""1"")"),"abdef1")</f>
        <v>abdef1</v>
      </c>
      <c r="BR110" s="16"/>
      <c r="BS110" s="10" t="str">
        <f>IFERROR(__xludf.DUMMYFUNCTION("FILTER(K110:T110,len(K110:T110)=6)"),"fcdeba")</f>
        <v>fcdeba</v>
      </c>
      <c r="BT110" s="6" t="str">
        <f>IFERROR(__xludf.DUMMYFUNCTION("""COMPUTED_VALUE"""),"fgeabd")</f>
        <v>fgeabd</v>
      </c>
      <c r="BU110" s="6" t="str">
        <f>IFERROR(__xludf.DUMMYFUNCTION("""COMPUTED_VALUE"""),"gdbeac")</f>
        <v>gdbeac</v>
      </c>
      <c r="BV110" s="6" t="str">
        <f>IFERROR(__xludf.DUMMYFUNCTION("REGEXREPLACE( $AR110, CONCATENATE(""["",BS110,""]""), """")"),"")</f>
        <v/>
      </c>
      <c r="BW110" s="6" t="str">
        <f>IFERROR(__xludf.DUMMYFUNCTION("REGEXREPLACE( $AR110, CONCATENATE(""["",BT110,""]""), """")"),"c")</f>
        <v>c</v>
      </c>
      <c r="BX110" s="6" t="str">
        <f>IFERROR(__xludf.DUMMYFUNCTION("REGEXREPLACE( $AR110, CONCATENATE(""["",BU110,""]""), """")"),"")</f>
        <v/>
      </c>
      <c r="BY110" s="12" t="str">
        <f t="shared" si="9"/>
        <v>fgeabd</v>
      </c>
      <c r="BZ110" s="12" t="str">
        <f>IFERROR(__xludf.DUMMYFUNCTION("CONCATENATE(SORT(TRANSPOSE(SPLIT(REGEXREPLACE(REGEXREPLACE(BY110&amp;"""",""(?s)(.{1})"",""$1""&amp;CHAR(127)),""'"",""''""),CHAR(127))),1,true),""1"")"),"abdefg1")</f>
        <v>abdefg1</v>
      </c>
      <c r="CA110" s="16"/>
      <c r="CB110" s="12" t="str">
        <f t="shared" si="10"/>
        <v>cad</v>
      </c>
      <c r="CC110" s="12" t="str">
        <f>IFERROR(__xludf.DUMMYFUNCTION("CONCATENATE(SORT(TRANSPOSE(SPLIT(REGEXREPLACE(REGEXREPLACE(CB110&amp;"""",""(?s)(.{1})"",""$1""&amp;CHAR(127)),""'"",""''""),CHAR(127))),1,true),""1"")"),"acd1")</f>
        <v>acd1</v>
      </c>
      <c r="CD110" s="16"/>
      <c r="CE110" s="12" t="str">
        <f t="shared" si="11"/>
        <v>dbecagf</v>
      </c>
      <c r="CF110" s="12" t="str">
        <f>IFERROR(__xludf.DUMMYFUNCTION("CONCATENATE(SORT(TRANSPOSE(SPLIT(REGEXREPLACE(REGEXREPLACE(CE110&amp;"""",""(?s)(.{1})"",""$1""&amp;CHAR(127)),""'"",""''""),CHAR(127))),1,true),""1"")"),"abcdefg1")</f>
        <v>abcdefg1</v>
      </c>
      <c r="CG110" s="16"/>
      <c r="CH110" s="10" t="str">
        <f>IFERROR(__xludf.DUMMYFUNCTION("FILTER(K110:T110,len(K110:T110)=6)"),"fcdeba")</f>
        <v>fcdeba</v>
      </c>
      <c r="CI110" s="6" t="str">
        <f>IFERROR(__xludf.DUMMYFUNCTION("""COMPUTED_VALUE"""),"fgeabd")</f>
        <v>fgeabd</v>
      </c>
      <c r="CJ110" s="6" t="str">
        <f>IFERROR(__xludf.DUMMYFUNCTION("""COMPUTED_VALUE"""),"gdbeac")</f>
        <v>gdbeac</v>
      </c>
      <c r="CK110" s="6" t="str">
        <f>IFERROR(__xludf.DUMMYFUNCTION("REGEXREPLACE( $BG110, CONCATENATE(""["",CH110,""]""), """")"),"")</f>
        <v/>
      </c>
      <c r="CL110" s="6" t="str">
        <f>IFERROR(__xludf.DUMMYFUNCTION("REGEXREPLACE( $BG110, CONCATENATE(""["",CI110,""]""), """")"),"c")</f>
        <v>c</v>
      </c>
      <c r="CM110" s="6" t="str">
        <f>IFERROR(__xludf.DUMMYFUNCTION("REGEXREPLACE( $BG110, CONCATENATE(""["",CJ110,""]""), """")"),"f")</f>
        <v>f</v>
      </c>
      <c r="CN110" s="12" t="str">
        <f t="shared" si="12"/>
        <v>fcdeba</v>
      </c>
      <c r="CO110" s="12" t="str">
        <f>IFERROR(__xludf.DUMMYFUNCTION("CONCATENATE(SORT(TRANSPOSE(SPLIT(REGEXREPLACE(REGEXREPLACE(CN110&amp;"""",""(?s)(.{1})"",""$1""&amp;CHAR(127)),""'"",""''""),CHAR(127))),1,true),""1"")"),"abcdef1")</f>
        <v>abcdef1</v>
      </c>
      <c r="CP110" s="15"/>
    </row>
    <row r="111">
      <c r="A111" s="1" t="s">
        <v>131</v>
      </c>
      <c r="H111" s="6" t="str">
        <f>IFERROR(__xludf.DUMMYFUNCTION("SPLIT(A111,""|"")"),"afbdec febdg befcg debag bdgefa egdbca df bdf gdaf bcfedag ")</f>
        <v>afbdec febdg befcg debag bdgefa egdbca df bdf gdaf bcfedag </v>
      </c>
      <c r="I111" s="6" t="str">
        <f>IFERROR(__xludf.DUMMYFUNCTION("""COMPUTED_VALUE""")," fd dbf cefgadb degba")</f>
        <v> fd dbf cefgadb degba</v>
      </c>
      <c r="J111" s="15"/>
      <c r="K111" s="6" t="str">
        <f>IFERROR(__xludf.DUMMYFUNCTION("split(H111,"" "")"),"afbdec")</f>
        <v>afbdec</v>
      </c>
      <c r="L111" s="6" t="str">
        <f>IFERROR(__xludf.DUMMYFUNCTION("""COMPUTED_VALUE"""),"febdg")</f>
        <v>febdg</v>
      </c>
      <c r="M111" s="6" t="str">
        <f>IFERROR(__xludf.DUMMYFUNCTION("""COMPUTED_VALUE"""),"befcg")</f>
        <v>befcg</v>
      </c>
      <c r="N111" s="6" t="str">
        <f>IFERROR(__xludf.DUMMYFUNCTION("""COMPUTED_VALUE"""),"debag")</f>
        <v>debag</v>
      </c>
      <c r="O111" s="6" t="str">
        <f>IFERROR(__xludf.DUMMYFUNCTION("""COMPUTED_VALUE"""),"bdgefa")</f>
        <v>bdgefa</v>
      </c>
      <c r="P111" s="6" t="str">
        <f>IFERROR(__xludf.DUMMYFUNCTION("""COMPUTED_VALUE"""),"egdbca")</f>
        <v>egdbca</v>
      </c>
      <c r="Q111" s="6" t="str">
        <f>IFERROR(__xludf.DUMMYFUNCTION("""COMPUTED_VALUE"""),"df")</f>
        <v>df</v>
      </c>
      <c r="R111" s="6" t="str">
        <f>IFERROR(__xludf.DUMMYFUNCTION("""COMPUTED_VALUE"""),"bdf")</f>
        <v>bdf</v>
      </c>
      <c r="S111" s="6" t="str">
        <f>IFERROR(__xludf.DUMMYFUNCTION("""COMPUTED_VALUE"""),"gdaf")</f>
        <v>gdaf</v>
      </c>
      <c r="T111" s="6" t="str">
        <f>IFERROR(__xludf.DUMMYFUNCTION("""COMPUTED_VALUE"""),"bcfedag")</f>
        <v>bcfedag</v>
      </c>
      <c r="U111" s="15"/>
      <c r="V111" s="6" t="str">
        <f>IFERROR(__xludf.DUMMYFUNCTION("split(I111,"" "")"),"fd")</f>
        <v>fd</v>
      </c>
      <c r="W111" s="6" t="str">
        <f>IFERROR(__xludf.DUMMYFUNCTION("""COMPUTED_VALUE"""),"dbf")</f>
        <v>dbf</v>
      </c>
      <c r="X111" s="6" t="str">
        <f>IFERROR(__xludf.DUMMYFUNCTION("""COMPUTED_VALUE"""),"cefgadb")</f>
        <v>cefgadb</v>
      </c>
      <c r="Y111" s="6" t="str">
        <f>IFERROR(__xludf.DUMMYFUNCTION("""COMPUTED_VALUE"""),"degba")</f>
        <v>degba</v>
      </c>
      <c r="Z111" s="6" t="str">
        <f>IFERROR(__xludf.DUMMYFUNCTION("CONCATENATE(SORT(TRANSPOSE(SPLIT(REGEXREPLACE(REGEXREPLACE(V111&amp;"""",""(?s)(.{1})"",""$1""&amp;CHAR(127)),""'"",""''""),CHAR(127))),1,true))"),"df")</f>
        <v>df</v>
      </c>
      <c r="AA111" s="6" t="str">
        <f>IFERROR(__xludf.DUMMYFUNCTION("CONCATENATE(SORT(TRANSPOSE(SPLIT(REGEXREPLACE(REGEXREPLACE(W111&amp;"""",""(?s)(.{1})"",""$1""&amp;CHAR(127)),""'"",""''""),CHAR(127))),1,true))"),"bdf")</f>
        <v>bdf</v>
      </c>
      <c r="AB111" s="6" t="str">
        <f>IFERROR(__xludf.DUMMYFUNCTION("CONCATENATE(SORT(TRANSPOSE(SPLIT(REGEXREPLACE(REGEXREPLACE(X111&amp;"""",""(?s)(.{1})"",""$1""&amp;CHAR(127)),""'"",""''""),CHAR(127))),1,true))"),"abcdefg")</f>
        <v>abcdefg</v>
      </c>
      <c r="AC111" s="6" t="str">
        <f>IFERROR(__xludf.DUMMYFUNCTION("CONCATENATE(SORT(TRANSPOSE(SPLIT(REGEXREPLACE(REGEXREPLACE(Y111&amp;"""",""(?s)(.{1})"",""$1""&amp;CHAR(127)),""'"",""''""),CHAR(127))),1,true))"),"abdeg")</f>
        <v>abdeg</v>
      </c>
      <c r="AD111" s="6">
        <f t="shared" ref="AD111:AG111" si="121">INDEX($AO$1:$CP$1,1,MATCH(CONCATENATE(Z111,"1"),$AO111:$CP111,0)+1)</f>
        <v>1</v>
      </c>
      <c r="AE111" s="6">
        <f t="shared" si="121"/>
        <v>7</v>
      </c>
      <c r="AF111" s="6">
        <f t="shared" si="121"/>
        <v>8</v>
      </c>
      <c r="AG111" s="6">
        <f t="shared" si="121"/>
        <v>5</v>
      </c>
      <c r="AH111" s="6">
        <f t="shared" si="3"/>
        <v>1785</v>
      </c>
      <c r="AI111" s="16"/>
      <c r="AJ111" s="9" t="str">
        <f>IFERROR(__xludf.DUMMYFUNCTION("REGEXREPLACE(AR111,CONCATENATE(""["",BY111,""]""),"""")"),"f")</f>
        <v>f</v>
      </c>
      <c r="AK111" s="10" t="str">
        <f>IFERROR(__xludf.DUMMYFUNCTION("FILTER($K111:$T111,len($K111:$T111)=6,NOT($K111:$T111=BY111))"),"afbdec")</f>
        <v>afbdec</v>
      </c>
      <c r="AL111" s="6" t="str">
        <f>IFERROR(__xludf.DUMMYFUNCTION("""COMPUTED_VALUE"""),"bdgefa")</f>
        <v>bdgefa</v>
      </c>
      <c r="AM111" s="6" t="str">
        <f>IFERROR(__xludf.DUMMYFUNCTION("REGEXREPLACE( $BG111, CONCATENATE(""["",AK111,""]""), """")"),"g")</f>
        <v>g</v>
      </c>
      <c r="AN111" s="6" t="str">
        <f>IFERROR(__xludf.DUMMYFUNCTION("REGEXREPLACE( $BG111, CONCATENATE(""["",AL111,""]""), """")"),"")</f>
        <v/>
      </c>
      <c r="AO111" s="11" t="str">
        <f t="shared" si="4"/>
        <v>afbdec</v>
      </c>
      <c r="AP111" s="12" t="str">
        <f>IFERROR(__xludf.DUMMYFUNCTION("CONCATENATE(SORT(TRANSPOSE(SPLIT(REGEXREPLACE(REGEXREPLACE(AO111&amp;"""",""(?s)(.{1})"",""$1""&amp;CHAR(127)),""'"",""''""),CHAR(127))),1,true),""1"")"),"abcdef1")</f>
        <v>abcdef1</v>
      </c>
      <c r="AQ111" s="16"/>
      <c r="AR111" s="12" t="str">
        <f t="shared" si="5"/>
        <v>df</v>
      </c>
      <c r="AS111" s="12" t="str">
        <f>IFERROR(__xludf.DUMMYFUNCTION("CONCATENATE(SORT(TRANSPOSE(SPLIT(REGEXREPLACE(REGEXREPLACE(AR111&amp;"""",""(?s)(.{1})"",""$1""&amp;CHAR(127)),""'"",""''""),CHAR(127))),1,true),""1"")"),"df1")</f>
        <v>df1</v>
      </c>
      <c r="AT111" s="16"/>
      <c r="AU111" s="13" t="str">
        <f>IFERROR(__xludf.DUMMYFUNCTION("FILTER($K111:$T111,len($K111:$T111)=5,NOT($K111:$T111=BD111),NOT($K111:$T111=BP111))"),"befcg")</f>
        <v>befcg</v>
      </c>
      <c r="AV111" s="12" t="str">
        <f>IFERROR(__xludf.DUMMYFUNCTION("CONCATENATE(SORT(TRANSPOSE(SPLIT(REGEXREPLACE(REGEXREPLACE(AU111&amp;"""",""(?s)(.{1})"",""$1""&amp;CHAR(127)),""'"",""''""),CHAR(127))),1,true),""1"")"),"bcefg1")</f>
        <v>bcefg1</v>
      </c>
      <c r="AW111" s="16"/>
      <c r="AX111" s="10" t="str">
        <f>IFERROR(__xludf.DUMMYFUNCTION("FILTER($K111:$T111,len($K111:$T111)=5)"),"febdg")</f>
        <v>febdg</v>
      </c>
      <c r="AY111" s="6" t="str">
        <f>IFERROR(__xludf.DUMMYFUNCTION("""COMPUTED_VALUE"""),"befcg")</f>
        <v>befcg</v>
      </c>
      <c r="AZ111" s="6" t="str">
        <f>IFERROR(__xludf.DUMMYFUNCTION("""COMPUTED_VALUE"""),"debag")</f>
        <v>debag</v>
      </c>
      <c r="BA111" s="6" t="str">
        <f>IFERROR(__xludf.DUMMYFUNCTION("REGEXREPLACE( $AR111, CONCATENATE(""["",AX111,""]""), """")"),"")</f>
        <v/>
      </c>
      <c r="BB111" s="6" t="str">
        <f>IFERROR(__xludf.DUMMYFUNCTION("REGEXREPLACE( $AR111, CONCATENATE(""["",AY111,""]""), """")"),"d")</f>
        <v>d</v>
      </c>
      <c r="BC111" s="6" t="str">
        <f>IFERROR(__xludf.DUMMYFUNCTION("REGEXREPLACE( $AR111, CONCATENATE(""["",AZ111,""]""), """")"),"f")</f>
        <v>f</v>
      </c>
      <c r="BD111" s="11" t="str">
        <f t="shared" si="6"/>
        <v>febdg</v>
      </c>
      <c r="BE111" s="12" t="str">
        <f>IFERROR(__xludf.DUMMYFUNCTION("CONCATENATE(SORT(TRANSPOSE(SPLIT(REGEXREPLACE(REGEXREPLACE(BD111&amp;"""",""(?s)(.{1})"",""$1""&amp;CHAR(127)),""'"",""''""),CHAR(127))),1,true),""1"")"),"bdefg1")</f>
        <v>bdefg1</v>
      </c>
      <c r="BF111" s="16"/>
      <c r="BG111" s="12" t="str">
        <f t="shared" si="7"/>
        <v>gdaf</v>
      </c>
      <c r="BH111" s="12" t="str">
        <f>IFERROR(__xludf.DUMMYFUNCTION("CONCATENATE(SORT(TRANSPOSE(SPLIT(REGEXREPLACE(REGEXREPLACE(BG111&amp;"""",""(?s)(.{1})"",""$1""&amp;CHAR(127)),""'"",""''""),CHAR(127))),1,true),""1"")"),"adfg1")</f>
        <v>adfg1</v>
      </c>
      <c r="BI111" s="16"/>
      <c r="BJ111" s="10" t="str">
        <f>IFERROR(__xludf.DUMMYFUNCTION("FILTER($K111:$T111,len($K111:$T111)=5)"),"febdg")</f>
        <v>febdg</v>
      </c>
      <c r="BK111" s="6" t="str">
        <f>IFERROR(__xludf.DUMMYFUNCTION("""COMPUTED_VALUE"""),"befcg")</f>
        <v>befcg</v>
      </c>
      <c r="BL111" s="6" t="str">
        <f>IFERROR(__xludf.DUMMYFUNCTION("""COMPUTED_VALUE"""),"debag")</f>
        <v>debag</v>
      </c>
      <c r="BM111" s="14" t="str">
        <f>IFERROR(__xludf.DUMMYFUNCTION("REGEXREPLACE( $BY111, CONCATENATE(""["",BJ111,""]""), """")"),"ca")</f>
        <v>ca</v>
      </c>
      <c r="BN111" s="14" t="str">
        <f>IFERROR(__xludf.DUMMYFUNCTION("REGEXREPLACE( $BY111, CONCATENATE(""["",BK111,""]""), """")"),"da")</f>
        <v>da</v>
      </c>
      <c r="BO111" s="14" t="str">
        <f>IFERROR(__xludf.DUMMYFUNCTION("REGEXREPLACE( $BY111, CONCATENATE(""["",BL111,""]""), """")"),"c")</f>
        <v>c</v>
      </c>
      <c r="BP111" s="11" t="str">
        <f t="shared" si="8"/>
        <v>debag</v>
      </c>
      <c r="BQ111" s="12" t="str">
        <f>IFERROR(__xludf.DUMMYFUNCTION("CONCATENATE(SORT(TRANSPOSE(SPLIT(REGEXREPLACE(REGEXREPLACE(BP111&amp;"""",""(?s)(.{1})"",""$1""&amp;CHAR(127)),""'"",""''""),CHAR(127))),1,true),""1"")"),"abdeg1")</f>
        <v>abdeg1</v>
      </c>
      <c r="BR111" s="16"/>
      <c r="BS111" s="10" t="str">
        <f>IFERROR(__xludf.DUMMYFUNCTION("FILTER(K111:T111,len(K111:T111)=6)"),"afbdec")</f>
        <v>afbdec</v>
      </c>
      <c r="BT111" s="6" t="str">
        <f>IFERROR(__xludf.DUMMYFUNCTION("""COMPUTED_VALUE"""),"bdgefa")</f>
        <v>bdgefa</v>
      </c>
      <c r="BU111" s="6" t="str">
        <f>IFERROR(__xludf.DUMMYFUNCTION("""COMPUTED_VALUE"""),"egdbca")</f>
        <v>egdbca</v>
      </c>
      <c r="BV111" s="6" t="str">
        <f>IFERROR(__xludf.DUMMYFUNCTION("REGEXREPLACE( $AR111, CONCATENATE(""["",BS111,""]""), """")"),"")</f>
        <v/>
      </c>
      <c r="BW111" s="6" t="str">
        <f>IFERROR(__xludf.DUMMYFUNCTION("REGEXREPLACE( $AR111, CONCATENATE(""["",BT111,""]""), """")"),"")</f>
        <v/>
      </c>
      <c r="BX111" s="6" t="str">
        <f>IFERROR(__xludf.DUMMYFUNCTION("REGEXREPLACE( $AR111, CONCATENATE(""["",BU111,""]""), """")"),"f")</f>
        <v>f</v>
      </c>
      <c r="BY111" s="12" t="str">
        <f t="shared" si="9"/>
        <v>egdbca</v>
      </c>
      <c r="BZ111" s="12" t="str">
        <f>IFERROR(__xludf.DUMMYFUNCTION("CONCATENATE(SORT(TRANSPOSE(SPLIT(REGEXREPLACE(REGEXREPLACE(BY111&amp;"""",""(?s)(.{1})"",""$1""&amp;CHAR(127)),""'"",""''""),CHAR(127))),1,true),""1"")"),"abcdeg1")</f>
        <v>abcdeg1</v>
      </c>
      <c r="CA111" s="16"/>
      <c r="CB111" s="12" t="str">
        <f t="shared" si="10"/>
        <v>bdf</v>
      </c>
      <c r="CC111" s="12" t="str">
        <f>IFERROR(__xludf.DUMMYFUNCTION("CONCATENATE(SORT(TRANSPOSE(SPLIT(REGEXREPLACE(REGEXREPLACE(CB111&amp;"""",""(?s)(.{1})"",""$1""&amp;CHAR(127)),""'"",""''""),CHAR(127))),1,true),""1"")"),"bdf1")</f>
        <v>bdf1</v>
      </c>
      <c r="CD111" s="16"/>
      <c r="CE111" s="12" t="str">
        <f t="shared" si="11"/>
        <v>bcfedag</v>
      </c>
      <c r="CF111" s="12" t="str">
        <f>IFERROR(__xludf.DUMMYFUNCTION("CONCATENATE(SORT(TRANSPOSE(SPLIT(REGEXREPLACE(REGEXREPLACE(CE111&amp;"""",""(?s)(.{1})"",""$1""&amp;CHAR(127)),""'"",""''""),CHAR(127))),1,true),""1"")"),"abcdefg1")</f>
        <v>abcdefg1</v>
      </c>
      <c r="CG111" s="16"/>
      <c r="CH111" s="10" t="str">
        <f>IFERROR(__xludf.DUMMYFUNCTION("FILTER(K111:T111,len(K111:T111)=6)"),"afbdec")</f>
        <v>afbdec</v>
      </c>
      <c r="CI111" s="6" t="str">
        <f>IFERROR(__xludf.DUMMYFUNCTION("""COMPUTED_VALUE"""),"bdgefa")</f>
        <v>bdgefa</v>
      </c>
      <c r="CJ111" s="6" t="str">
        <f>IFERROR(__xludf.DUMMYFUNCTION("""COMPUTED_VALUE"""),"egdbca")</f>
        <v>egdbca</v>
      </c>
      <c r="CK111" s="6" t="str">
        <f>IFERROR(__xludf.DUMMYFUNCTION("REGEXREPLACE( $BG111, CONCATENATE(""["",CH111,""]""), """")"),"g")</f>
        <v>g</v>
      </c>
      <c r="CL111" s="6" t="str">
        <f>IFERROR(__xludf.DUMMYFUNCTION("REGEXREPLACE( $BG111, CONCATENATE(""["",CI111,""]""), """")"),"")</f>
        <v/>
      </c>
      <c r="CM111" s="6" t="str">
        <f>IFERROR(__xludf.DUMMYFUNCTION("REGEXREPLACE( $BG111, CONCATENATE(""["",CJ111,""]""), """")"),"f")</f>
        <v>f</v>
      </c>
      <c r="CN111" s="12" t="str">
        <f t="shared" si="12"/>
        <v>bdgefa</v>
      </c>
      <c r="CO111" s="12" t="str">
        <f>IFERROR(__xludf.DUMMYFUNCTION("CONCATENATE(SORT(TRANSPOSE(SPLIT(REGEXREPLACE(REGEXREPLACE(CN111&amp;"""",""(?s)(.{1})"",""$1""&amp;CHAR(127)),""'"",""''""),CHAR(127))),1,true),""1"")"),"abdefg1")</f>
        <v>abdefg1</v>
      </c>
      <c r="CP111" s="15"/>
    </row>
    <row r="112">
      <c r="A112" s="1" t="s">
        <v>132</v>
      </c>
      <c r="H112" s="6" t="str">
        <f>IFERROR(__xludf.DUMMYFUNCTION("SPLIT(A112,""|"")"),"gbaedf eacdgbf gebac dbacef eag ecbgfa eg fcabe ecgf dgbca ")</f>
        <v>gbaedf eacdgbf gebac dbacef eag ecbgfa eg fcabe ecgf dgbca </v>
      </c>
      <c r="I112" s="6" t="str">
        <f>IFERROR(__xludf.DUMMYFUNCTION("""COMPUTED_VALUE""")," bcgae ge ge gebac")</f>
        <v> bcgae ge ge gebac</v>
      </c>
      <c r="J112" s="15"/>
      <c r="K112" s="6" t="str">
        <f>IFERROR(__xludf.DUMMYFUNCTION("split(H112,"" "")"),"gbaedf")</f>
        <v>gbaedf</v>
      </c>
      <c r="L112" s="6" t="str">
        <f>IFERROR(__xludf.DUMMYFUNCTION("""COMPUTED_VALUE"""),"eacdgbf")</f>
        <v>eacdgbf</v>
      </c>
      <c r="M112" s="6" t="str">
        <f>IFERROR(__xludf.DUMMYFUNCTION("""COMPUTED_VALUE"""),"gebac")</f>
        <v>gebac</v>
      </c>
      <c r="N112" s="6" t="str">
        <f>IFERROR(__xludf.DUMMYFUNCTION("""COMPUTED_VALUE"""),"dbacef")</f>
        <v>dbacef</v>
      </c>
      <c r="O112" s="6" t="str">
        <f>IFERROR(__xludf.DUMMYFUNCTION("""COMPUTED_VALUE"""),"eag")</f>
        <v>eag</v>
      </c>
      <c r="P112" s="6" t="str">
        <f>IFERROR(__xludf.DUMMYFUNCTION("""COMPUTED_VALUE"""),"ecbgfa")</f>
        <v>ecbgfa</v>
      </c>
      <c r="Q112" s="6" t="str">
        <f>IFERROR(__xludf.DUMMYFUNCTION("""COMPUTED_VALUE"""),"eg")</f>
        <v>eg</v>
      </c>
      <c r="R112" s="6" t="str">
        <f>IFERROR(__xludf.DUMMYFUNCTION("""COMPUTED_VALUE"""),"fcabe")</f>
        <v>fcabe</v>
      </c>
      <c r="S112" s="6" t="str">
        <f>IFERROR(__xludf.DUMMYFUNCTION("""COMPUTED_VALUE"""),"ecgf")</f>
        <v>ecgf</v>
      </c>
      <c r="T112" s="6" t="str">
        <f>IFERROR(__xludf.DUMMYFUNCTION("""COMPUTED_VALUE"""),"dgbca")</f>
        <v>dgbca</v>
      </c>
      <c r="U112" s="15"/>
      <c r="V112" s="6" t="str">
        <f>IFERROR(__xludf.DUMMYFUNCTION("split(I112,"" "")"),"bcgae")</f>
        <v>bcgae</v>
      </c>
      <c r="W112" s="6" t="str">
        <f>IFERROR(__xludf.DUMMYFUNCTION("""COMPUTED_VALUE"""),"ge")</f>
        <v>ge</v>
      </c>
      <c r="X112" s="6" t="str">
        <f>IFERROR(__xludf.DUMMYFUNCTION("""COMPUTED_VALUE"""),"ge")</f>
        <v>ge</v>
      </c>
      <c r="Y112" s="6" t="str">
        <f>IFERROR(__xludf.DUMMYFUNCTION("""COMPUTED_VALUE"""),"gebac")</f>
        <v>gebac</v>
      </c>
      <c r="Z112" s="6" t="str">
        <f>IFERROR(__xludf.DUMMYFUNCTION("CONCATENATE(SORT(TRANSPOSE(SPLIT(REGEXREPLACE(REGEXREPLACE(V112&amp;"""",""(?s)(.{1})"",""$1""&amp;CHAR(127)),""'"",""''""),CHAR(127))),1,true))"),"abceg")</f>
        <v>abceg</v>
      </c>
      <c r="AA112" s="6" t="str">
        <f>IFERROR(__xludf.DUMMYFUNCTION("CONCATENATE(SORT(TRANSPOSE(SPLIT(REGEXREPLACE(REGEXREPLACE(W112&amp;"""",""(?s)(.{1})"",""$1""&amp;CHAR(127)),""'"",""''""),CHAR(127))),1,true))"),"eg")</f>
        <v>eg</v>
      </c>
      <c r="AB112" s="6" t="str">
        <f>IFERROR(__xludf.DUMMYFUNCTION("CONCATENATE(SORT(TRANSPOSE(SPLIT(REGEXREPLACE(REGEXREPLACE(X112&amp;"""",""(?s)(.{1})"",""$1""&amp;CHAR(127)),""'"",""''""),CHAR(127))),1,true))"),"eg")</f>
        <v>eg</v>
      </c>
      <c r="AC112" s="6" t="str">
        <f>IFERROR(__xludf.DUMMYFUNCTION("CONCATENATE(SORT(TRANSPOSE(SPLIT(REGEXREPLACE(REGEXREPLACE(Y112&amp;"""",""(?s)(.{1})"",""$1""&amp;CHAR(127)),""'"",""''""),CHAR(127))),1,true))"),"abceg")</f>
        <v>abceg</v>
      </c>
      <c r="AD112" s="6">
        <f t="shared" ref="AD112:AG112" si="122">INDEX($AO$1:$CP$1,1,MATCH(CONCATENATE(Z112,"1"),$AO112:$CP112,0)+1)</f>
        <v>3</v>
      </c>
      <c r="AE112" s="6">
        <f t="shared" si="122"/>
        <v>1</v>
      </c>
      <c r="AF112" s="6">
        <f t="shared" si="122"/>
        <v>1</v>
      </c>
      <c r="AG112" s="6">
        <f t="shared" si="122"/>
        <v>3</v>
      </c>
      <c r="AH112" s="6">
        <f t="shared" si="3"/>
        <v>3113</v>
      </c>
      <c r="AI112" s="16"/>
      <c r="AJ112" s="9" t="str">
        <f>IFERROR(__xludf.DUMMYFUNCTION("REGEXREPLACE(AR112,CONCATENATE(""["",BY112,""]""),"""")"),"g")</f>
        <v>g</v>
      </c>
      <c r="AK112" s="10" t="str">
        <f>IFERROR(__xludf.DUMMYFUNCTION("FILTER($K112:$T112,len($K112:$T112)=6,NOT($K112:$T112=BY112))"),"gbaedf")</f>
        <v>gbaedf</v>
      </c>
      <c r="AL112" s="6" t="str">
        <f>IFERROR(__xludf.DUMMYFUNCTION("""COMPUTED_VALUE"""),"ecbgfa")</f>
        <v>ecbgfa</v>
      </c>
      <c r="AM112" s="6" t="str">
        <f>IFERROR(__xludf.DUMMYFUNCTION("REGEXREPLACE( $BG112, CONCATENATE(""["",AK112,""]""), """")"),"c")</f>
        <v>c</v>
      </c>
      <c r="AN112" s="6" t="str">
        <f>IFERROR(__xludf.DUMMYFUNCTION("REGEXREPLACE( $BG112, CONCATENATE(""["",AL112,""]""), """")"),"")</f>
        <v/>
      </c>
      <c r="AO112" s="11" t="str">
        <f t="shared" si="4"/>
        <v>gbaedf</v>
      </c>
      <c r="AP112" s="12" t="str">
        <f>IFERROR(__xludf.DUMMYFUNCTION("CONCATENATE(SORT(TRANSPOSE(SPLIT(REGEXREPLACE(REGEXREPLACE(AO112&amp;"""",""(?s)(.{1})"",""$1""&amp;CHAR(127)),""'"",""''""),CHAR(127))),1,true),""1"")"),"abdefg1")</f>
        <v>abdefg1</v>
      </c>
      <c r="AQ112" s="16"/>
      <c r="AR112" s="12" t="str">
        <f t="shared" si="5"/>
        <v>eg</v>
      </c>
      <c r="AS112" s="12" t="str">
        <f>IFERROR(__xludf.DUMMYFUNCTION("CONCATENATE(SORT(TRANSPOSE(SPLIT(REGEXREPLACE(REGEXREPLACE(AR112&amp;"""",""(?s)(.{1})"",""$1""&amp;CHAR(127)),""'"",""''""),CHAR(127))),1,true),""1"")"),"eg1")</f>
        <v>eg1</v>
      </c>
      <c r="AT112" s="16"/>
      <c r="AU112" s="13" t="str">
        <f>IFERROR(__xludf.DUMMYFUNCTION("FILTER($K112:$T112,len($K112:$T112)=5,NOT($K112:$T112=BD112),NOT($K112:$T112=BP112))"),"dgbca")</f>
        <v>dgbca</v>
      </c>
      <c r="AV112" s="12" t="str">
        <f>IFERROR(__xludf.DUMMYFUNCTION("CONCATENATE(SORT(TRANSPOSE(SPLIT(REGEXREPLACE(REGEXREPLACE(AU112&amp;"""",""(?s)(.{1})"",""$1""&amp;CHAR(127)),""'"",""''""),CHAR(127))),1,true),""1"")"),"abcdg1")</f>
        <v>abcdg1</v>
      </c>
      <c r="AW112" s="16"/>
      <c r="AX112" s="10" t="str">
        <f>IFERROR(__xludf.DUMMYFUNCTION("FILTER($K112:$T112,len($K112:$T112)=5)"),"gebac")</f>
        <v>gebac</v>
      </c>
      <c r="AY112" s="6" t="str">
        <f>IFERROR(__xludf.DUMMYFUNCTION("""COMPUTED_VALUE"""),"fcabe")</f>
        <v>fcabe</v>
      </c>
      <c r="AZ112" s="6" t="str">
        <f>IFERROR(__xludf.DUMMYFUNCTION("""COMPUTED_VALUE"""),"dgbca")</f>
        <v>dgbca</v>
      </c>
      <c r="BA112" s="6" t="str">
        <f>IFERROR(__xludf.DUMMYFUNCTION("REGEXREPLACE( $AR112, CONCATENATE(""["",AX112,""]""), """")"),"")</f>
        <v/>
      </c>
      <c r="BB112" s="6" t="str">
        <f>IFERROR(__xludf.DUMMYFUNCTION("REGEXREPLACE( $AR112, CONCATENATE(""["",AY112,""]""), """")"),"g")</f>
        <v>g</v>
      </c>
      <c r="BC112" s="6" t="str">
        <f>IFERROR(__xludf.DUMMYFUNCTION("REGEXREPLACE( $AR112, CONCATENATE(""["",AZ112,""]""), """")"),"e")</f>
        <v>e</v>
      </c>
      <c r="BD112" s="11" t="str">
        <f t="shared" si="6"/>
        <v>gebac</v>
      </c>
      <c r="BE112" s="12" t="str">
        <f>IFERROR(__xludf.DUMMYFUNCTION("CONCATENATE(SORT(TRANSPOSE(SPLIT(REGEXREPLACE(REGEXREPLACE(BD112&amp;"""",""(?s)(.{1})"",""$1""&amp;CHAR(127)),""'"",""''""),CHAR(127))),1,true),""1"")"),"abceg1")</f>
        <v>abceg1</v>
      </c>
      <c r="BF112" s="16"/>
      <c r="BG112" s="12" t="str">
        <f t="shared" si="7"/>
        <v>ecgf</v>
      </c>
      <c r="BH112" s="12" t="str">
        <f>IFERROR(__xludf.DUMMYFUNCTION("CONCATENATE(SORT(TRANSPOSE(SPLIT(REGEXREPLACE(REGEXREPLACE(BG112&amp;"""",""(?s)(.{1})"",""$1""&amp;CHAR(127)),""'"",""''""),CHAR(127))),1,true),""1"")"),"cefg1")</f>
        <v>cefg1</v>
      </c>
      <c r="BI112" s="16"/>
      <c r="BJ112" s="10" t="str">
        <f>IFERROR(__xludf.DUMMYFUNCTION("FILTER($K112:$T112,len($K112:$T112)=5)"),"gebac")</f>
        <v>gebac</v>
      </c>
      <c r="BK112" s="6" t="str">
        <f>IFERROR(__xludf.DUMMYFUNCTION("""COMPUTED_VALUE"""),"fcabe")</f>
        <v>fcabe</v>
      </c>
      <c r="BL112" s="6" t="str">
        <f>IFERROR(__xludf.DUMMYFUNCTION("""COMPUTED_VALUE"""),"dgbca")</f>
        <v>dgbca</v>
      </c>
      <c r="BM112" s="14" t="str">
        <f>IFERROR(__xludf.DUMMYFUNCTION("REGEXREPLACE( $BY112, CONCATENATE(""["",BJ112,""]""), """")"),"df")</f>
        <v>df</v>
      </c>
      <c r="BN112" s="14" t="str">
        <f>IFERROR(__xludf.DUMMYFUNCTION("REGEXREPLACE( $BY112, CONCATENATE(""["",BK112,""]""), """")"),"d")</f>
        <v>d</v>
      </c>
      <c r="BO112" s="14" t="str">
        <f>IFERROR(__xludf.DUMMYFUNCTION("REGEXREPLACE( $BY112, CONCATENATE(""["",BL112,""]""), """")"),"ef")</f>
        <v>ef</v>
      </c>
      <c r="BP112" s="11" t="str">
        <f t="shared" si="8"/>
        <v>fcabe</v>
      </c>
      <c r="BQ112" s="12" t="str">
        <f>IFERROR(__xludf.DUMMYFUNCTION("CONCATENATE(SORT(TRANSPOSE(SPLIT(REGEXREPLACE(REGEXREPLACE(BP112&amp;"""",""(?s)(.{1})"",""$1""&amp;CHAR(127)),""'"",""''""),CHAR(127))),1,true),""1"")"),"abcef1")</f>
        <v>abcef1</v>
      </c>
      <c r="BR112" s="16"/>
      <c r="BS112" s="10" t="str">
        <f>IFERROR(__xludf.DUMMYFUNCTION("FILTER(K112:T112,len(K112:T112)=6)"),"gbaedf")</f>
        <v>gbaedf</v>
      </c>
      <c r="BT112" s="6" t="str">
        <f>IFERROR(__xludf.DUMMYFUNCTION("""COMPUTED_VALUE"""),"dbacef")</f>
        <v>dbacef</v>
      </c>
      <c r="BU112" s="6" t="str">
        <f>IFERROR(__xludf.DUMMYFUNCTION("""COMPUTED_VALUE"""),"ecbgfa")</f>
        <v>ecbgfa</v>
      </c>
      <c r="BV112" s="6" t="str">
        <f>IFERROR(__xludf.DUMMYFUNCTION("REGEXREPLACE( $AR112, CONCATENATE(""["",BS112,""]""), """")"),"")</f>
        <v/>
      </c>
      <c r="BW112" s="6" t="str">
        <f>IFERROR(__xludf.DUMMYFUNCTION("REGEXREPLACE( $AR112, CONCATENATE(""["",BT112,""]""), """")"),"g")</f>
        <v>g</v>
      </c>
      <c r="BX112" s="6" t="str">
        <f>IFERROR(__xludf.DUMMYFUNCTION("REGEXREPLACE( $AR112, CONCATENATE(""["",BU112,""]""), """")"),"")</f>
        <v/>
      </c>
      <c r="BY112" s="12" t="str">
        <f t="shared" si="9"/>
        <v>dbacef</v>
      </c>
      <c r="BZ112" s="12" t="str">
        <f>IFERROR(__xludf.DUMMYFUNCTION("CONCATENATE(SORT(TRANSPOSE(SPLIT(REGEXREPLACE(REGEXREPLACE(BY112&amp;"""",""(?s)(.{1})"",""$1""&amp;CHAR(127)),""'"",""''""),CHAR(127))),1,true),""1"")"),"abcdef1")</f>
        <v>abcdef1</v>
      </c>
      <c r="CA112" s="16"/>
      <c r="CB112" s="12" t="str">
        <f t="shared" si="10"/>
        <v>eag</v>
      </c>
      <c r="CC112" s="12" t="str">
        <f>IFERROR(__xludf.DUMMYFUNCTION("CONCATENATE(SORT(TRANSPOSE(SPLIT(REGEXREPLACE(REGEXREPLACE(CB112&amp;"""",""(?s)(.{1})"",""$1""&amp;CHAR(127)),""'"",""''""),CHAR(127))),1,true),""1"")"),"aeg1")</f>
        <v>aeg1</v>
      </c>
      <c r="CD112" s="16"/>
      <c r="CE112" s="12" t="str">
        <f t="shared" si="11"/>
        <v>eacdgbf</v>
      </c>
      <c r="CF112" s="12" t="str">
        <f>IFERROR(__xludf.DUMMYFUNCTION("CONCATENATE(SORT(TRANSPOSE(SPLIT(REGEXREPLACE(REGEXREPLACE(CE112&amp;"""",""(?s)(.{1})"",""$1""&amp;CHAR(127)),""'"",""''""),CHAR(127))),1,true),""1"")"),"abcdefg1")</f>
        <v>abcdefg1</v>
      </c>
      <c r="CG112" s="16"/>
      <c r="CH112" s="10" t="str">
        <f>IFERROR(__xludf.DUMMYFUNCTION("FILTER(K112:T112,len(K112:T112)=6)"),"gbaedf")</f>
        <v>gbaedf</v>
      </c>
      <c r="CI112" s="6" t="str">
        <f>IFERROR(__xludf.DUMMYFUNCTION("""COMPUTED_VALUE"""),"dbacef")</f>
        <v>dbacef</v>
      </c>
      <c r="CJ112" s="6" t="str">
        <f>IFERROR(__xludf.DUMMYFUNCTION("""COMPUTED_VALUE"""),"ecbgfa")</f>
        <v>ecbgfa</v>
      </c>
      <c r="CK112" s="6" t="str">
        <f>IFERROR(__xludf.DUMMYFUNCTION("REGEXREPLACE( $BG112, CONCATENATE(""["",CH112,""]""), """")"),"c")</f>
        <v>c</v>
      </c>
      <c r="CL112" s="6" t="str">
        <f>IFERROR(__xludf.DUMMYFUNCTION("REGEXREPLACE( $BG112, CONCATENATE(""["",CI112,""]""), """")"),"g")</f>
        <v>g</v>
      </c>
      <c r="CM112" s="6" t="str">
        <f>IFERROR(__xludf.DUMMYFUNCTION("REGEXREPLACE( $BG112, CONCATENATE(""["",CJ112,""]""), """")"),"")</f>
        <v/>
      </c>
      <c r="CN112" s="12" t="str">
        <f t="shared" si="12"/>
        <v>ecbgfa</v>
      </c>
      <c r="CO112" s="12" t="str">
        <f>IFERROR(__xludf.DUMMYFUNCTION("CONCATENATE(SORT(TRANSPOSE(SPLIT(REGEXREPLACE(REGEXREPLACE(CN112&amp;"""",""(?s)(.{1})"",""$1""&amp;CHAR(127)),""'"",""''""),CHAR(127))),1,true),""1"")"),"abcefg1")</f>
        <v>abcefg1</v>
      </c>
      <c r="CP112" s="15"/>
    </row>
    <row r="113">
      <c r="A113" s="1" t="s">
        <v>133</v>
      </c>
      <c r="H113" s="6" t="str">
        <f>IFERROR(__xludf.DUMMYFUNCTION("SPLIT(A113,""|"")"),"defb facdb fd cgeabd eafdbcg ecfgda cdf ceadb bafedc cgabf ")</f>
        <v>defb facdb fd cgeabd eafdbcg ecfgda cdf ceadb bafedc cgabf </v>
      </c>
      <c r="I113" s="6" t="str">
        <f>IFERROR(__xludf.DUMMYFUNCTION("""COMPUTED_VALUE""")," dafecb dbfe fedb fdeb")</f>
        <v> dafecb dbfe fedb fdeb</v>
      </c>
      <c r="J113" s="15"/>
      <c r="K113" s="6" t="str">
        <f>IFERROR(__xludf.DUMMYFUNCTION("split(H113,"" "")"),"defb")</f>
        <v>defb</v>
      </c>
      <c r="L113" s="6" t="str">
        <f>IFERROR(__xludf.DUMMYFUNCTION("""COMPUTED_VALUE"""),"facdb")</f>
        <v>facdb</v>
      </c>
      <c r="M113" s="6" t="str">
        <f>IFERROR(__xludf.DUMMYFUNCTION("""COMPUTED_VALUE"""),"fd")</f>
        <v>fd</v>
      </c>
      <c r="N113" s="6" t="str">
        <f>IFERROR(__xludf.DUMMYFUNCTION("""COMPUTED_VALUE"""),"cgeabd")</f>
        <v>cgeabd</v>
      </c>
      <c r="O113" s="6" t="str">
        <f>IFERROR(__xludf.DUMMYFUNCTION("""COMPUTED_VALUE"""),"eafdbcg")</f>
        <v>eafdbcg</v>
      </c>
      <c r="P113" s="6" t="str">
        <f>IFERROR(__xludf.DUMMYFUNCTION("""COMPUTED_VALUE"""),"ecfgda")</f>
        <v>ecfgda</v>
      </c>
      <c r="Q113" s="6" t="str">
        <f>IFERROR(__xludf.DUMMYFUNCTION("""COMPUTED_VALUE"""),"cdf")</f>
        <v>cdf</v>
      </c>
      <c r="R113" s="6" t="str">
        <f>IFERROR(__xludf.DUMMYFUNCTION("""COMPUTED_VALUE"""),"ceadb")</f>
        <v>ceadb</v>
      </c>
      <c r="S113" s="6" t="str">
        <f>IFERROR(__xludf.DUMMYFUNCTION("""COMPUTED_VALUE"""),"bafedc")</f>
        <v>bafedc</v>
      </c>
      <c r="T113" s="6" t="str">
        <f>IFERROR(__xludf.DUMMYFUNCTION("""COMPUTED_VALUE"""),"cgabf")</f>
        <v>cgabf</v>
      </c>
      <c r="U113" s="15"/>
      <c r="V113" s="6" t="str">
        <f>IFERROR(__xludf.DUMMYFUNCTION("split(I113,"" "")"),"dafecb")</f>
        <v>dafecb</v>
      </c>
      <c r="W113" s="6" t="str">
        <f>IFERROR(__xludf.DUMMYFUNCTION("""COMPUTED_VALUE"""),"dbfe")</f>
        <v>dbfe</v>
      </c>
      <c r="X113" s="6" t="str">
        <f>IFERROR(__xludf.DUMMYFUNCTION("""COMPUTED_VALUE"""),"fedb")</f>
        <v>fedb</v>
      </c>
      <c r="Y113" s="6" t="str">
        <f>IFERROR(__xludf.DUMMYFUNCTION("""COMPUTED_VALUE"""),"fdeb")</f>
        <v>fdeb</v>
      </c>
      <c r="Z113" s="6" t="str">
        <f>IFERROR(__xludf.DUMMYFUNCTION("CONCATENATE(SORT(TRANSPOSE(SPLIT(REGEXREPLACE(REGEXREPLACE(V113&amp;"""",""(?s)(.{1})"",""$1""&amp;CHAR(127)),""'"",""''""),CHAR(127))),1,true))"),"abcdef")</f>
        <v>abcdef</v>
      </c>
      <c r="AA113" s="6" t="str">
        <f>IFERROR(__xludf.DUMMYFUNCTION("CONCATENATE(SORT(TRANSPOSE(SPLIT(REGEXREPLACE(REGEXREPLACE(W113&amp;"""",""(?s)(.{1})"",""$1""&amp;CHAR(127)),""'"",""''""),CHAR(127))),1,true))"),"bdef")</f>
        <v>bdef</v>
      </c>
      <c r="AB113" s="6" t="str">
        <f>IFERROR(__xludf.DUMMYFUNCTION("CONCATENATE(SORT(TRANSPOSE(SPLIT(REGEXREPLACE(REGEXREPLACE(X113&amp;"""",""(?s)(.{1})"",""$1""&amp;CHAR(127)),""'"",""''""),CHAR(127))),1,true))"),"bdef")</f>
        <v>bdef</v>
      </c>
      <c r="AC113" s="6" t="str">
        <f>IFERROR(__xludf.DUMMYFUNCTION("CONCATENATE(SORT(TRANSPOSE(SPLIT(REGEXREPLACE(REGEXREPLACE(Y113&amp;"""",""(?s)(.{1})"",""$1""&amp;CHAR(127)),""'"",""''""),CHAR(127))),1,true))"),"bdef")</f>
        <v>bdef</v>
      </c>
      <c r="AD113" s="6">
        <f t="shared" ref="AD113:AG113" si="123">INDEX($AO$1:$CP$1,1,MATCH(CONCATENATE(Z113,"1"),$AO113:$CP113,0)+1)</f>
        <v>9</v>
      </c>
      <c r="AE113" s="6">
        <f t="shared" si="123"/>
        <v>4</v>
      </c>
      <c r="AF113" s="6">
        <f t="shared" si="123"/>
        <v>4</v>
      </c>
      <c r="AG113" s="6">
        <f t="shared" si="123"/>
        <v>4</v>
      </c>
      <c r="AH113" s="6">
        <f t="shared" si="3"/>
        <v>9444</v>
      </c>
      <c r="AI113" s="16"/>
      <c r="AJ113" s="9" t="str">
        <f>IFERROR(__xludf.DUMMYFUNCTION("REGEXREPLACE(AR113,CONCATENATE(""["",BY113,""]""),"""")"),"f")</f>
        <v>f</v>
      </c>
      <c r="AK113" s="10" t="str">
        <f>IFERROR(__xludf.DUMMYFUNCTION("FILTER($K113:$T113,len($K113:$T113)=6,NOT($K113:$T113=BY113))"),"ecfgda")</f>
        <v>ecfgda</v>
      </c>
      <c r="AL113" s="6" t="str">
        <f>IFERROR(__xludf.DUMMYFUNCTION("""COMPUTED_VALUE"""),"bafedc")</f>
        <v>bafedc</v>
      </c>
      <c r="AM113" s="6" t="str">
        <f>IFERROR(__xludf.DUMMYFUNCTION("REGEXREPLACE( $BG113, CONCATENATE(""["",AK113,""]""), """")"),"b")</f>
        <v>b</v>
      </c>
      <c r="AN113" s="6" t="str">
        <f>IFERROR(__xludf.DUMMYFUNCTION("REGEXREPLACE( $BG113, CONCATENATE(""["",AL113,""]""), """")"),"")</f>
        <v/>
      </c>
      <c r="AO113" s="11" t="str">
        <f t="shared" si="4"/>
        <v>ecfgda</v>
      </c>
      <c r="AP113" s="12" t="str">
        <f>IFERROR(__xludf.DUMMYFUNCTION("CONCATENATE(SORT(TRANSPOSE(SPLIT(REGEXREPLACE(REGEXREPLACE(AO113&amp;"""",""(?s)(.{1})"",""$1""&amp;CHAR(127)),""'"",""''""),CHAR(127))),1,true),""1"")"),"acdefg1")</f>
        <v>acdefg1</v>
      </c>
      <c r="AQ113" s="16"/>
      <c r="AR113" s="12" t="str">
        <f t="shared" si="5"/>
        <v>fd</v>
      </c>
      <c r="AS113" s="12" t="str">
        <f>IFERROR(__xludf.DUMMYFUNCTION("CONCATENATE(SORT(TRANSPOSE(SPLIT(REGEXREPLACE(REGEXREPLACE(AR113&amp;"""",""(?s)(.{1})"",""$1""&amp;CHAR(127)),""'"",""''""),CHAR(127))),1,true),""1"")"),"df1")</f>
        <v>df1</v>
      </c>
      <c r="AT113" s="16"/>
      <c r="AU113" s="13" t="str">
        <f>IFERROR(__xludf.DUMMYFUNCTION("FILTER($K113:$T113,len($K113:$T113)=5,NOT($K113:$T113=BD113),NOT($K113:$T113=BP113))"),"cgabf")</f>
        <v>cgabf</v>
      </c>
      <c r="AV113" s="12" t="str">
        <f>IFERROR(__xludf.DUMMYFUNCTION("CONCATENATE(SORT(TRANSPOSE(SPLIT(REGEXREPLACE(REGEXREPLACE(AU113&amp;"""",""(?s)(.{1})"",""$1""&amp;CHAR(127)),""'"",""''""),CHAR(127))),1,true),""1"")"),"abcfg1")</f>
        <v>abcfg1</v>
      </c>
      <c r="AW113" s="16"/>
      <c r="AX113" s="10" t="str">
        <f>IFERROR(__xludf.DUMMYFUNCTION("FILTER($K113:$T113,len($K113:$T113)=5)"),"facdb")</f>
        <v>facdb</v>
      </c>
      <c r="AY113" s="6" t="str">
        <f>IFERROR(__xludf.DUMMYFUNCTION("""COMPUTED_VALUE"""),"ceadb")</f>
        <v>ceadb</v>
      </c>
      <c r="AZ113" s="6" t="str">
        <f>IFERROR(__xludf.DUMMYFUNCTION("""COMPUTED_VALUE"""),"cgabf")</f>
        <v>cgabf</v>
      </c>
      <c r="BA113" s="6" t="str">
        <f>IFERROR(__xludf.DUMMYFUNCTION("REGEXREPLACE( $AR113, CONCATENATE(""["",AX113,""]""), """")"),"")</f>
        <v/>
      </c>
      <c r="BB113" s="6" t="str">
        <f>IFERROR(__xludf.DUMMYFUNCTION("REGEXREPLACE( $AR113, CONCATENATE(""["",AY113,""]""), """")"),"f")</f>
        <v>f</v>
      </c>
      <c r="BC113" s="6" t="str">
        <f>IFERROR(__xludf.DUMMYFUNCTION("REGEXREPLACE( $AR113, CONCATENATE(""["",AZ113,""]""), """")"),"d")</f>
        <v>d</v>
      </c>
      <c r="BD113" s="11" t="str">
        <f t="shared" si="6"/>
        <v>facdb</v>
      </c>
      <c r="BE113" s="12" t="str">
        <f>IFERROR(__xludf.DUMMYFUNCTION("CONCATENATE(SORT(TRANSPOSE(SPLIT(REGEXREPLACE(REGEXREPLACE(BD113&amp;"""",""(?s)(.{1})"",""$1""&amp;CHAR(127)),""'"",""''""),CHAR(127))),1,true),""1"")"),"abcdf1")</f>
        <v>abcdf1</v>
      </c>
      <c r="BF113" s="16"/>
      <c r="BG113" s="12" t="str">
        <f t="shared" si="7"/>
        <v>defb</v>
      </c>
      <c r="BH113" s="12" t="str">
        <f>IFERROR(__xludf.DUMMYFUNCTION("CONCATENATE(SORT(TRANSPOSE(SPLIT(REGEXREPLACE(REGEXREPLACE(BG113&amp;"""",""(?s)(.{1})"",""$1""&amp;CHAR(127)),""'"",""''""),CHAR(127))),1,true),""1"")"),"bdef1")</f>
        <v>bdef1</v>
      </c>
      <c r="BI113" s="16"/>
      <c r="BJ113" s="10" t="str">
        <f>IFERROR(__xludf.DUMMYFUNCTION("FILTER($K113:$T113,len($K113:$T113)=5)"),"facdb")</f>
        <v>facdb</v>
      </c>
      <c r="BK113" s="6" t="str">
        <f>IFERROR(__xludf.DUMMYFUNCTION("""COMPUTED_VALUE"""),"ceadb")</f>
        <v>ceadb</v>
      </c>
      <c r="BL113" s="6" t="str">
        <f>IFERROR(__xludf.DUMMYFUNCTION("""COMPUTED_VALUE"""),"cgabf")</f>
        <v>cgabf</v>
      </c>
      <c r="BM113" s="14" t="str">
        <f>IFERROR(__xludf.DUMMYFUNCTION("REGEXREPLACE( $BY113, CONCATENATE(""["",BJ113,""]""), """")"),"ge")</f>
        <v>ge</v>
      </c>
      <c r="BN113" s="14" t="str">
        <f>IFERROR(__xludf.DUMMYFUNCTION("REGEXREPLACE( $BY113, CONCATENATE(""["",BK113,""]""), """")"),"g")</f>
        <v>g</v>
      </c>
      <c r="BO113" s="14" t="str">
        <f>IFERROR(__xludf.DUMMYFUNCTION("REGEXREPLACE( $BY113, CONCATENATE(""["",BL113,""]""), """")"),"ed")</f>
        <v>ed</v>
      </c>
      <c r="BP113" s="11" t="str">
        <f t="shared" si="8"/>
        <v>ceadb</v>
      </c>
      <c r="BQ113" s="12" t="str">
        <f>IFERROR(__xludf.DUMMYFUNCTION("CONCATENATE(SORT(TRANSPOSE(SPLIT(REGEXREPLACE(REGEXREPLACE(BP113&amp;"""",""(?s)(.{1})"",""$1""&amp;CHAR(127)),""'"",""''""),CHAR(127))),1,true),""1"")"),"abcde1")</f>
        <v>abcde1</v>
      </c>
      <c r="BR113" s="16"/>
      <c r="BS113" s="10" t="str">
        <f>IFERROR(__xludf.DUMMYFUNCTION("FILTER(K113:T113,len(K113:T113)=6)"),"cgeabd")</f>
        <v>cgeabd</v>
      </c>
      <c r="BT113" s="6" t="str">
        <f>IFERROR(__xludf.DUMMYFUNCTION("""COMPUTED_VALUE"""),"ecfgda")</f>
        <v>ecfgda</v>
      </c>
      <c r="BU113" s="6" t="str">
        <f>IFERROR(__xludf.DUMMYFUNCTION("""COMPUTED_VALUE"""),"bafedc")</f>
        <v>bafedc</v>
      </c>
      <c r="BV113" s="6" t="str">
        <f>IFERROR(__xludf.DUMMYFUNCTION("REGEXREPLACE( $AR113, CONCATENATE(""["",BS113,""]""), """")"),"f")</f>
        <v>f</v>
      </c>
      <c r="BW113" s="6" t="str">
        <f>IFERROR(__xludf.DUMMYFUNCTION("REGEXREPLACE( $AR113, CONCATENATE(""["",BT113,""]""), """")"),"")</f>
        <v/>
      </c>
      <c r="BX113" s="6" t="str">
        <f>IFERROR(__xludf.DUMMYFUNCTION("REGEXREPLACE( $AR113, CONCATENATE(""["",BU113,""]""), """")"),"")</f>
        <v/>
      </c>
      <c r="BY113" s="12" t="str">
        <f t="shared" si="9"/>
        <v>cgeabd</v>
      </c>
      <c r="BZ113" s="12" t="str">
        <f>IFERROR(__xludf.DUMMYFUNCTION("CONCATENATE(SORT(TRANSPOSE(SPLIT(REGEXREPLACE(REGEXREPLACE(BY113&amp;"""",""(?s)(.{1})"",""$1""&amp;CHAR(127)),""'"",""''""),CHAR(127))),1,true),""1"")"),"abcdeg1")</f>
        <v>abcdeg1</v>
      </c>
      <c r="CA113" s="16"/>
      <c r="CB113" s="12" t="str">
        <f t="shared" si="10"/>
        <v>cdf</v>
      </c>
      <c r="CC113" s="12" t="str">
        <f>IFERROR(__xludf.DUMMYFUNCTION("CONCATENATE(SORT(TRANSPOSE(SPLIT(REGEXREPLACE(REGEXREPLACE(CB113&amp;"""",""(?s)(.{1})"",""$1""&amp;CHAR(127)),""'"",""''""),CHAR(127))),1,true),""1"")"),"cdf1")</f>
        <v>cdf1</v>
      </c>
      <c r="CD113" s="16"/>
      <c r="CE113" s="12" t="str">
        <f t="shared" si="11"/>
        <v>eafdbcg</v>
      </c>
      <c r="CF113" s="12" t="str">
        <f>IFERROR(__xludf.DUMMYFUNCTION("CONCATENATE(SORT(TRANSPOSE(SPLIT(REGEXREPLACE(REGEXREPLACE(CE113&amp;"""",""(?s)(.{1})"",""$1""&amp;CHAR(127)),""'"",""''""),CHAR(127))),1,true),""1"")"),"abcdefg1")</f>
        <v>abcdefg1</v>
      </c>
      <c r="CG113" s="16"/>
      <c r="CH113" s="10" t="str">
        <f>IFERROR(__xludf.DUMMYFUNCTION("FILTER(K113:T113,len(K113:T113)=6)"),"cgeabd")</f>
        <v>cgeabd</v>
      </c>
      <c r="CI113" s="6" t="str">
        <f>IFERROR(__xludf.DUMMYFUNCTION("""COMPUTED_VALUE"""),"ecfgda")</f>
        <v>ecfgda</v>
      </c>
      <c r="CJ113" s="6" t="str">
        <f>IFERROR(__xludf.DUMMYFUNCTION("""COMPUTED_VALUE"""),"bafedc")</f>
        <v>bafedc</v>
      </c>
      <c r="CK113" s="6" t="str">
        <f>IFERROR(__xludf.DUMMYFUNCTION("REGEXREPLACE( $BG113, CONCATENATE(""["",CH113,""]""), """")"),"f")</f>
        <v>f</v>
      </c>
      <c r="CL113" s="6" t="str">
        <f>IFERROR(__xludf.DUMMYFUNCTION("REGEXREPLACE( $BG113, CONCATENATE(""["",CI113,""]""), """")"),"b")</f>
        <v>b</v>
      </c>
      <c r="CM113" s="6" t="str">
        <f>IFERROR(__xludf.DUMMYFUNCTION("REGEXREPLACE( $BG113, CONCATENATE(""["",CJ113,""]""), """")"),"")</f>
        <v/>
      </c>
      <c r="CN113" s="12" t="str">
        <f t="shared" si="12"/>
        <v>bafedc</v>
      </c>
      <c r="CO113" s="12" t="str">
        <f>IFERROR(__xludf.DUMMYFUNCTION("CONCATENATE(SORT(TRANSPOSE(SPLIT(REGEXREPLACE(REGEXREPLACE(CN113&amp;"""",""(?s)(.{1})"",""$1""&amp;CHAR(127)),""'"",""''""),CHAR(127))),1,true),""1"")"),"abcdef1")</f>
        <v>abcdef1</v>
      </c>
      <c r="CP113" s="15"/>
    </row>
    <row r="114">
      <c r="A114" s="1" t="s">
        <v>134</v>
      </c>
      <c r="H114" s="6" t="str">
        <f>IFERROR(__xludf.DUMMYFUNCTION("SPLIT(A114,""|"")"),"cdeab bcefdg bfag fbdeag dafeb eafdcg dbgfe gefabcd fa daf ")</f>
        <v>cdeab bcefdg bfag fbdeag dafeb eafdcg dbgfe gefabcd fa daf </v>
      </c>
      <c r="I114" s="6" t="str">
        <f>IFERROR(__xludf.DUMMYFUNCTION("""COMPUTED_VALUE""")," fda adecb ecdfbag adf")</f>
        <v> fda adecb ecdfbag adf</v>
      </c>
      <c r="J114" s="15"/>
      <c r="K114" s="6" t="str">
        <f>IFERROR(__xludf.DUMMYFUNCTION("split(H114,"" "")"),"cdeab")</f>
        <v>cdeab</v>
      </c>
      <c r="L114" s="6" t="str">
        <f>IFERROR(__xludf.DUMMYFUNCTION("""COMPUTED_VALUE"""),"bcefdg")</f>
        <v>bcefdg</v>
      </c>
      <c r="M114" s="6" t="str">
        <f>IFERROR(__xludf.DUMMYFUNCTION("""COMPUTED_VALUE"""),"bfag")</f>
        <v>bfag</v>
      </c>
      <c r="N114" s="6" t="str">
        <f>IFERROR(__xludf.DUMMYFUNCTION("""COMPUTED_VALUE"""),"fbdeag")</f>
        <v>fbdeag</v>
      </c>
      <c r="O114" s="6" t="str">
        <f>IFERROR(__xludf.DUMMYFUNCTION("""COMPUTED_VALUE"""),"dafeb")</f>
        <v>dafeb</v>
      </c>
      <c r="P114" s="6" t="str">
        <f>IFERROR(__xludf.DUMMYFUNCTION("""COMPUTED_VALUE"""),"eafdcg")</f>
        <v>eafdcg</v>
      </c>
      <c r="Q114" s="6" t="str">
        <f>IFERROR(__xludf.DUMMYFUNCTION("""COMPUTED_VALUE"""),"dbgfe")</f>
        <v>dbgfe</v>
      </c>
      <c r="R114" s="6" t="str">
        <f>IFERROR(__xludf.DUMMYFUNCTION("""COMPUTED_VALUE"""),"gefabcd")</f>
        <v>gefabcd</v>
      </c>
      <c r="S114" s="6" t="str">
        <f>IFERROR(__xludf.DUMMYFUNCTION("""COMPUTED_VALUE"""),"fa")</f>
        <v>fa</v>
      </c>
      <c r="T114" s="6" t="str">
        <f>IFERROR(__xludf.DUMMYFUNCTION("""COMPUTED_VALUE"""),"daf")</f>
        <v>daf</v>
      </c>
      <c r="U114" s="15"/>
      <c r="V114" s="6" t="str">
        <f>IFERROR(__xludf.DUMMYFUNCTION("split(I114,"" "")"),"fda")</f>
        <v>fda</v>
      </c>
      <c r="W114" s="6" t="str">
        <f>IFERROR(__xludf.DUMMYFUNCTION("""COMPUTED_VALUE"""),"adecb")</f>
        <v>adecb</v>
      </c>
      <c r="X114" s="6" t="str">
        <f>IFERROR(__xludf.DUMMYFUNCTION("""COMPUTED_VALUE"""),"ecdfbag")</f>
        <v>ecdfbag</v>
      </c>
      <c r="Y114" s="6" t="str">
        <f>IFERROR(__xludf.DUMMYFUNCTION("""COMPUTED_VALUE"""),"adf")</f>
        <v>adf</v>
      </c>
      <c r="Z114" s="6" t="str">
        <f>IFERROR(__xludf.DUMMYFUNCTION("CONCATENATE(SORT(TRANSPOSE(SPLIT(REGEXREPLACE(REGEXREPLACE(V114&amp;"""",""(?s)(.{1})"",""$1""&amp;CHAR(127)),""'"",""''""),CHAR(127))),1,true))"),"adf")</f>
        <v>adf</v>
      </c>
      <c r="AA114" s="6" t="str">
        <f>IFERROR(__xludf.DUMMYFUNCTION("CONCATENATE(SORT(TRANSPOSE(SPLIT(REGEXREPLACE(REGEXREPLACE(W114&amp;"""",""(?s)(.{1})"",""$1""&amp;CHAR(127)),""'"",""''""),CHAR(127))),1,true))"),"abcde")</f>
        <v>abcde</v>
      </c>
      <c r="AB114" s="6" t="str">
        <f>IFERROR(__xludf.DUMMYFUNCTION("CONCATENATE(SORT(TRANSPOSE(SPLIT(REGEXREPLACE(REGEXREPLACE(X114&amp;"""",""(?s)(.{1})"",""$1""&amp;CHAR(127)),""'"",""''""),CHAR(127))),1,true))"),"abcdefg")</f>
        <v>abcdefg</v>
      </c>
      <c r="AC114" s="6" t="str">
        <f>IFERROR(__xludf.DUMMYFUNCTION("CONCATENATE(SORT(TRANSPOSE(SPLIT(REGEXREPLACE(REGEXREPLACE(Y114&amp;"""",""(?s)(.{1})"",""$1""&amp;CHAR(127)),""'"",""''""),CHAR(127))),1,true))"),"adf")</f>
        <v>adf</v>
      </c>
      <c r="AD114" s="6">
        <f t="shared" ref="AD114:AG114" si="124">INDEX($AO$1:$CP$1,1,MATCH(CONCATENATE(Z114,"1"),$AO114:$CP114,0)+1)</f>
        <v>7</v>
      </c>
      <c r="AE114" s="6">
        <f t="shared" si="124"/>
        <v>2</v>
      </c>
      <c r="AF114" s="6">
        <f t="shared" si="124"/>
        <v>8</v>
      </c>
      <c r="AG114" s="6">
        <f t="shared" si="124"/>
        <v>7</v>
      </c>
      <c r="AH114" s="6">
        <f t="shared" si="3"/>
        <v>7287</v>
      </c>
      <c r="AI114" s="16"/>
      <c r="AJ114" s="9" t="str">
        <f>IFERROR(__xludf.DUMMYFUNCTION("REGEXREPLACE(AR114,CONCATENATE(""["",BY114,""]""),"""")"),"a")</f>
        <v>a</v>
      </c>
      <c r="AK114" s="10" t="str">
        <f>IFERROR(__xludf.DUMMYFUNCTION("FILTER($K114:$T114,len($K114:$T114)=6,NOT($K114:$T114=BY114))"),"fbdeag")</f>
        <v>fbdeag</v>
      </c>
      <c r="AL114" s="6" t="str">
        <f>IFERROR(__xludf.DUMMYFUNCTION("""COMPUTED_VALUE"""),"eafdcg")</f>
        <v>eafdcg</v>
      </c>
      <c r="AM114" s="6" t="str">
        <f>IFERROR(__xludf.DUMMYFUNCTION("REGEXREPLACE( $BG114, CONCATENATE(""["",AK114,""]""), """")"),"")</f>
        <v/>
      </c>
      <c r="AN114" s="6" t="str">
        <f>IFERROR(__xludf.DUMMYFUNCTION("REGEXREPLACE( $BG114, CONCATENATE(""["",AL114,""]""), """")"),"b")</f>
        <v>b</v>
      </c>
      <c r="AO114" s="11" t="str">
        <f t="shared" si="4"/>
        <v>eafdcg</v>
      </c>
      <c r="AP114" s="12" t="str">
        <f>IFERROR(__xludf.DUMMYFUNCTION("CONCATENATE(SORT(TRANSPOSE(SPLIT(REGEXREPLACE(REGEXREPLACE(AO114&amp;"""",""(?s)(.{1})"",""$1""&amp;CHAR(127)),""'"",""''""),CHAR(127))),1,true),""1"")"),"acdefg1")</f>
        <v>acdefg1</v>
      </c>
      <c r="AQ114" s="16"/>
      <c r="AR114" s="12" t="str">
        <f t="shared" si="5"/>
        <v>fa</v>
      </c>
      <c r="AS114" s="12" t="str">
        <f>IFERROR(__xludf.DUMMYFUNCTION("CONCATENATE(SORT(TRANSPOSE(SPLIT(REGEXREPLACE(REGEXREPLACE(AR114&amp;"""",""(?s)(.{1})"",""$1""&amp;CHAR(127)),""'"",""''""),CHAR(127))),1,true),""1"")"),"af1")</f>
        <v>af1</v>
      </c>
      <c r="AT114" s="16"/>
      <c r="AU114" s="13" t="str">
        <f>IFERROR(__xludf.DUMMYFUNCTION("FILTER($K114:$T114,len($K114:$T114)=5,NOT($K114:$T114=BD114),NOT($K114:$T114=BP114))"),"cdeab")</f>
        <v>cdeab</v>
      </c>
      <c r="AV114" s="12" t="str">
        <f>IFERROR(__xludf.DUMMYFUNCTION("CONCATENATE(SORT(TRANSPOSE(SPLIT(REGEXREPLACE(REGEXREPLACE(AU114&amp;"""",""(?s)(.{1})"",""$1""&amp;CHAR(127)),""'"",""''""),CHAR(127))),1,true),""1"")"),"abcde1")</f>
        <v>abcde1</v>
      </c>
      <c r="AW114" s="16"/>
      <c r="AX114" s="10" t="str">
        <f>IFERROR(__xludf.DUMMYFUNCTION("FILTER($K114:$T114,len($K114:$T114)=5)"),"cdeab")</f>
        <v>cdeab</v>
      </c>
      <c r="AY114" s="6" t="str">
        <f>IFERROR(__xludf.DUMMYFUNCTION("""COMPUTED_VALUE"""),"dafeb")</f>
        <v>dafeb</v>
      </c>
      <c r="AZ114" s="6" t="str">
        <f>IFERROR(__xludf.DUMMYFUNCTION("""COMPUTED_VALUE"""),"dbgfe")</f>
        <v>dbgfe</v>
      </c>
      <c r="BA114" s="6" t="str">
        <f>IFERROR(__xludf.DUMMYFUNCTION("REGEXREPLACE( $AR114, CONCATENATE(""["",AX114,""]""), """")"),"f")</f>
        <v>f</v>
      </c>
      <c r="BB114" s="6" t="str">
        <f>IFERROR(__xludf.DUMMYFUNCTION("REGEXREPLACE( $AR114, CONCATENATE(""["",AY114,""]""), """")"),"")</f>
        <v/>
      </c>
      <c r="BC114" s="6" t="str">
        <f>IFERROR(__xludf.DUMMYFUNCTION("REGEXREPLACE( $AR114, CONCATENATE(""["",AZ114,""]""), """")"),"a")</f>
        <v>a</v>
      </c>
      <c r="BD114" s="11" t="str">
        <f t="shared" si="6"/>
        <v>dafeb</v>
      </c>
      <c r="BE114" s="12" t="str">
        <f>IFERROR(__xludf.DUMMYFUNCTION("CONCATENATE(SORT(TRANSPOSE(SPLIT(REGEXREPLACE(REGEXREPLACE(BD114&amp;"""",""(?s)(.{1})"",""$1""&amp;CHAR(127)),""'"",""''""),CHAR(127))),1,true),""1"")"),"abdef1")</f>
        <v>abdef1</v>
      </c>
      <c r="BF114" s="16"/>
      <c r="BG114" s="12" t="str">
        <f t="shared" si="7"/>
        <v>bfag</v>
      </c>
      <c r="BH114" s="12" t="str">
        <f>IFERROR(__xludf.DUMMYFUNCTION("CONCATENATE(SORT(TRANSPOSE(SPLIT(REGEXREPLACE(REGEXREPLACE(BG114&amp;"""",""(?s)(.{1})"",""$1""&amp;CHAR(127)),""'"",""''""),CHAR(127))),1,true),""1"")"),"abfg1")</f>
        <v>abfg1</v>
      </c>
      <c r="BI114" s="16"/>
      <c r="BJ114" s="10" t="str">
        <f>IFERROR(__xludf.DUMMYFUNCTION("FILTER($K114:$T114,len($K114:$T114)=5)"),"cdeab")</f>
        <v>cdeab</v>
      </c>
      <c r="BK114" s="6" t="str">
        <f>IFERROR(__xludf.DUMMYFUNCTION("""COMPUTED_VALUE"""),"dafeb")</f>
        <v>dafeb</v>
      </c>
      <c r="BL114" s="6" t="str">
        <f>IFERROR(__xludf.DUMMYFUNCTION("""COMPUTED_VALUE"""),"dbgfe")</f>
        <v>dbgfe</v>
      </c>
      <c r="BM114" s="14" t="str">
        <f>IFERROR(__xludf.DUMMYFUNCTION("REGEXREPLACE( $BY114, CONCATENATE(""["",BJ114,""]""), """")"),"fg")</f>
        <v>fg</v>
      </c>
      <c r="BN114" s="14" t="str">
        <f>IFERROR(__xludf.DUMMYFUNCTION("REGEXREPLACE( $BY114, CONCATENATE(""["",BK114,""]""), """")"),"cg")</f>
        <v>cg</v>
      </c>
      <c r="BO114" s="14" t="str">
        <f>IFERROR(__xludf.DUMMYFUNCTION("REGEXREPLACE( $BY114, CONCATENATE(""["",BL114,""]""), """")"),"c")</f>
        <v>c</v>
      </c>
      <c r="BP114" s="11" t="str">
        <f t="shared" si="8"/>
        <v>dbgfe</v>
      </c>
      <c r="BQ114" s="12" t="str">
        <f>IFERROR(__xludf.DUMMYFUNCTION("CONCATENATE(SORT(TRANSPOSE(SPLIT(REGEXREPLACE(REGEXREPLACE(BP114&amp;"""",""(?s)(.{1})"",""$1""&amp;CHAR(127)),""'"",""''""),CHAR(127))),1,true),""1"")"),"bdefg1")</f>
        <v>bdefg1</v>
      </c>
      <c r="BR114" s="16"/>
      <c r="BS114" s="10" t="str">
        <f>IFERROR(__xludf.DUMMYFUNCTION("FILTER(K114:T114,len(K114:T114)=6)"),"bcefdg")</f>
        <v>bcefdg</v>
      </c>
      <c r="BT114" s="6" t="str">
        <f>IFERROR(__xludf.DUMMYFUNCTION("""COMPUTED_VALUE"""),"fbdeag")</f>
        <v>fbdeag</v>
      </c>
      <c r="BU114" s="6" t="str">
        <f>IFERROR(__xludf.DUMMYFUNCTION("""COMPUTED_VALUE"""),"eafdcg")</f>
        <v>eafdcg</v>
      </c>
      <c r="BV114" s="6" t="str">
        <f>IFERROR(__xludf.DUMMYFUNCTION("REGEXREPLACE( $AR114, CONCATENATE(""["",BS114,""]""), """")"),"a")</f>
        <v>a</v>
      </c>
      <c r="BW114" s="6" t="str">
        <f>IFERROR(__xludf.DUMMYFUNCTION("REGEXREPLACE( $AR114, CONCATENATE(""["",BT114,""]""), """")"),"")</f>
        <v/>
      </c>
      <c r="BX114" s="6" t="str">
        <f>IFERROR(__xludf.DUMMYFUNCTION("REGEXREPLACE( $AR114, CONCATENATE(""["",BU114,""]""), """")"),"")</f>
        <v/>
      </c>
      <c r="BY114" s="12" t="str">
        <f t="shared" si="9"/>
        <v>bcefdg</v>
      </c>
      <c r="BZ114" s="12" t="str">
        <f>IFERROR(__xludf.DUMMYFUNCTION("CONCATENATE(SORT(TRANSPOSE(SPLIT(REGEXREPLACE(REGEXREPLACE(BY114&amp;"""",""(?s)(.{1})"",""$1""&amp;CHAR(127)),""'"",""''""),CHAR(127))),1,true),""1"")"),"bcdefg1")</f>
        <v>bcdefg1</v>
      </c>
      <c r="CA114" s="16"/>
      <c r="CB114" s="12" t="str">
        <f t="shared" si="10"/>
        <v>daf</v>
      </c>
      <c r="CC114" s="12" t="str">
        <f>IFERROR(__xludf.DUMMYFUNCTION("CONCATENATE(SORT(TRANSPOSE(SPLIT(REGEXREPLACE(REGEXREPLACE(CB114&amp;"""",""(?s)(.{1})"",""$1""&amp;CHAR(127)),""'"",""''""),CHAR(127))),1,true),""1"")"),"adf1")</f>
        <v>adf1</v>
      </c>
      <c r="CD114" s="16"/>
      <c r="CE114" s="12" t="str">
        <f t="shared" si="11"/>
        <v>gefabcd</v>
      </c>
      <c r="CF114" s="12" t="str">
        <f>IFERROR(__xludf.DUMMYFUNCTION("CONCATENATE(SORT(TRANSPOSE(SPLIT(REGEXREPLACE(REGEXREPLACE(CE114&amp;"""",""(?s)(.{1})"",""$1""&amp;CHAR(127)),""'"",""''""),CHAR(127))),1,true),""1"")"),"abcdefg1")</f>
        <v>abcdefg1</v>
      </c>
      <c r="CG114" s="16"/>
      <c r="CH114" s="10" t="str">
        <f>IFERROR(__xludf.DUMMYFUNCTION("FILTER(K114:T114,len(K114:T114)=6)"),"bcefdg")</f>
        <v>bcefdg</v>
      </c>
      <c r="CI114" s="6" t="str">
        <f>IFERROR(__xludf.DUMMYFUNCTION("""COMPUTED_VALUE"""),"fbdeag")</f>
        <v>fbdeag</v>
      </c>
      <c r="CJ114" s="6" t="str">
        <f>IFERROR(__xludf.DUMMYFUNCTION("""COMPUTED_VALUE"""),"eafdcg")</f>
        <v>eafdcg</v>
      </c>
      <c r="CK114" s="6" t="str">
        <f>IFERROR(__xludf.DUMMYFUNCTION("REGEXREPLACE( $BG114, CONCATENATE(""["",CH114,""]""), """")"),"a")</f>
        <v>a</v>
      </c>
      <c r="CL114" s="6" t="str">
        <f>IFERROR(__xludf.DUMMYFUNCTION("REGEXREPLACE( $BG114, CONCATENATE(""["",CI114,""]""), """")"),"")</f>
        <v/>
      </c>
      <c r="CM114" s="6" t="str">
        <f>IFERROR(__xludf.DUMMYFUNCTION("REGEXREPLACE( $BG114, CONCATENATE(""["",CJ114,""]""), """")"),"b")</f>
        <v>b</v>
      </c>
      <c r="CN114" s="12" t="str">
        <f t="shared" si="12"/>
        <v>fbdeag</v>
      </c>
      <c r="CO114" s="12" t="str">
        <f>IFERROR(__xludf.DUMMYFUNCTION("CONCATENATE(SORT(TRANSPOSE(SPLIT(REGEXREPLACE(REGEXREPLACE(CN114&amp;"""",""(?s)(.{1})"",""$1""&amp;CHAR(127)),""'"",""''""),CHAR(127))),1,true),""1"")"),"abdefg1")</f>
        <v>abdefg1</v>
      </c>
      <c r="CP114" s="15"/>
    </row>
    <row r="115">
      <c r="A115" s="1" t="s">
        <v>135</v>
      </c>
      <c r="H115" s="6" t="str">
        <f>IFERROR(__xludf.DUMMYFUNCTION("SPLIT(A115,""|"")"),"dcfgba gbca acdfg fbcgd agecdbf fdcebg dacef efdgba afg ga ")</f>
        <v>dcfgba gbca acdfg fbcgd agecdbf fdcebg dacef efdgba afg ga </v>
      </c>
      <c r="I115" s="6" t="str">
        <f>IFERROR(__xludf.DUMMYFUNCTION("""COMPUTED_VALUE""")," afgcedb cgba ebdgfc efabcgd")</f>
        <v> afgcedb cgba ebdgfc efabcgd</v>
      </c>
      <c r="J115" s="15"/>
      <c r="K115" s="6" t="str">
        <f>IFERROR(__xludf.DUMMYFUNCTION("split(H115,"" "")"),"dcfgba")</f>
        <v>dcfgba</v>
      </c>
      <c r="L115" s="6" t="str">
        <f>IFERROR(__xludf.DUMMYFUNCTION("""COMPUTED_VALUE"""),"gbca")</f>
        <v>gbca</v>
      </c>
      <c r="M115" s="6" t="str">
        <f>IFERROR(__xludf.DUMMYFUNCTION("""COMPUTED_VALUE"""),"acdfg")</f>
        <v>acdfg</v>
      </c>
      <c r="N115" s="6" t="str">
        <f>IFERROR(__xludf.DUMMYFUNCTION("""COMPUTED_VALUE"""),"fbcgd")</f>
        <v>fbcgd</v>
      </c>
      <c r="O115" s="6" t="str">
        <f>IFERROR(__xludf.DUMMYFUNCTION("""COMPUTED_VALUE"""),"agecdbf")</f>
        <v>agecdbf</v>
      </c>
      <c r="P115" s="6" t="str">
        <f>IFERROR(__xludf.DUMMYFUNCTION("""COMPUTED_VALUE"""),"fdcebg")</f>
        <v>fdcebg</v>
      </c>
      <c r="Q115" s="6" t="str">
        <f>IFERROR(__xludf.DUMMYFUNCTION("""COMPUTED_VALUE"""),"dacef")</f>
        <v>dacef</v>
      </c>
      <c r="R115" s="6" t="str">
        <f>IFERROR(__xludf.DUMMYFUNCTION("""COMPUTED_VALUE"""),"efdgba")</f>
        <v>efdgba</v>
      </c>
      <c r="S115" s="6" t="str">
        <f>IFERROR(__xludf.DUMMYFUNCTION("""COMPUTED_VALUE"""),"afg")</f>
        <v>afg</v>
      </c>
      <c r="T115" s="6" t="str">
        <f>IFERROR(__xludf.DUMMYFUNCTION("""COMPUTED_VALUE"""),"ga")</f>
        <v>ga</v>
      </c>
      <c r="U115" s="15"/>
      <c r="V115" s="6" t="str">
        <f>IFERROR(__xludf.DUMMYFUNCTION("split(I115,"" "")"),"afgcedb")</f>
        <v>afgcedb</v>
      </c>
      <c r="W115" s="6" t="str">
        <f>IFERROR(__xludf.DUMMYFUNCTION("""COMPUTED_VALUE"""),"cgba")</f>
        <v>cgba</v>
      </c>
      <c r="X115" s="6" t="str">
        <f>IFERROR(__xludf.DUMMYFUNCTION("""COMPUTED_VALUE"""),"ebdgfc")</f>
        <v>ebdgfc</v>
      </c>
      <c r="Y115" s="6" t="str">
        <f>IFERROR(__xludf.DUMMYFUNCTION("""COMPUTED_VALUE"""),"efabcgd")</f>
        <v>efabcgd</v>
      </c>
      <c r="Z115" s="6" t="str">
        <f>IFERROR(__xludf.DUMMYFUNCTION("CONCATENATE(SORT(TRANSPOSE(SPLIT(REGEXREPLACE(REGEXREPLACE(V115&amp;"""",""(?s)(.{1})"",""$1""&amp;CHAR(127)),""'"",""''""),CHAR(127))),1,true))"),"abcdefg")</f>
        <v>abcdefg</v>
      </c>
      <c r="AA115" s="6" t="str">
        <f>IFERROR(__xludf.DUMMYFUNCTION("CONCATENATE(SORT(TRANSPOSE(SPLIT(REGEXREPLACE(REGEXREPLACE(W115&amp;"""",""(?s)(.{1})"",""$1""&amp;CHAR(127)),""'"",""''""),CHAR(127))),1,true))"),"abcg")</f>
        <v>abcg</v>
      </c>
      <c r="AB115" s="6" t="str">
        <f>IFERROR(__xludf.DUMMYFUNCTION("CONCATENATE(SORT(TRANSPOSE(SPLIT(REGEXREPLACE(REGEXREPLACE(X115&amp;"""",""(?s)(.{1})"",""$1""&amp;CHAR(127)),""'"",""''""),CHAR(127))),1,true))"),"bcdefg")</f>
        <v>bcdefg</v>
      </c>
      <c r="AC115" s="6" t="str">
        <f>IFERROR(__xludf.DUMMYFUNCTION("CONCATENATE(SORT(TRANSPOSE(SPLIT(REGEXREPLACE(REGEXREPLACE(Y115&amp;"""",""(?s)(.{1})"",""$1""&amp;CHAR(127)),""'"",""''""),CHAR(127))),1,true))"),"abcdefg")</f>
        <v>abcdefg</v>
      </c>
      <c r="AD115" s="6">
        <f t="shared" ref="AD115:AG115" si="125">INDEX($AO$1:$CP$1,1,MATCH(CONCATENATE(Z115,"1"),$AO115:$CP115,0)+1)</f>
        <v>8</v>
      </c>
      <c r="AE115" s="6">
        <f t="shared" si="125"/>
        <v>4</v>
      </c>
      <c r="AF115" s="6">
        <f t="shared" si="125"/>
        <v>6</v>
      </c>
      <c r="AG115" s="6">
        <f t="shared" si="125"/>
        <v>8</v>
      </c>
      <c r="AH115" s="6">
        <f t="shared" si="3"/>
        <v>8468</v>
      </c>
      <c r="AI115" s="16"/>
      <c r="AJ115" s="9" t="str">
        <f>IFERROR(__xludf.DUMMYFUNCTION("REGEXREPLACE(AR115,CONCATENATE(""["",BY115,""]""),"""")"),"a")</f>
        <v>a</v>
      </c>
      <c r="AK115" s="10" t="str">
        <f>IFERROR(__xludf.DUMMYFUNCTION("FILTER($K115:$T115,len($K115:$T115)=6,NOT($K115:$T115=BY115))"),"dcfgba")</f>
        <v>dcfgba</v>
      </c>
      <c r="AL115" s="6" t="str">
        <f>IFERROR(__xludf.DUMMYFUNCTION("""COMPUTED_VALUE"""),"efdgba")</f>
        <v>efdgba</v>
      </c>
      <c r="AM115" s="6" t="str">
        <f>IFERROR(__xludf.DUMMYFUNCTION("REGEXREPLACE( $BG115, CONCATENATE(""["",AK115,""]""), """")"),"")</f>
        <v/>
      </c>
      <c r="AN115" s="6" t="str">
        <f>IFERROR(__xludf.DUMMYFUNCTION("REGEXREPLACE( $BG115, CONCATENATE(""["",AL115,""]""), """")"),"c")</f>
        <v>c</v>
      </c>
      <c r="AO115" s="11" t="str">
        <f t="shared" si="4"/>
        <v>efdgba</v>
      </c>
      <c r="AP115" s="12" t="str">
        <f>IFERROR(__xludf.DUMMYFUNCTION("CONCATENATE(SORT(TRANSPOSE(SPLIT(REGEXREPLACE(REGEXREPLACE(AO115&amp;"""",""(?s)(.{1})"",""$1""&amp;CHAR(127)),""'"",""''""),CHAR(127))),1,true),""1"")"),"abdefg1")</f>
        <v>abdefg1</v>
      </c>
      <c r="AQ115" s="16"/>
      <c r="AR115" s="12" t="str">
        <f t="shared" si="5"/>
        <v>ga</v>
      </c>
      <c r="AS115" s="12" t="str">
        <f>IFERROR(__xludf.DUMMYFUNCTION("CONCATENATE(SORT(TRANSPOSE(SPLIT(REGEXREPLACE(REGEXREPLACE(AR115&amp;"""",""(?s)(.{1})"",""$1""&amp;CHAR(127)),""'"",""''""),CHAR(127))),1,true),""1"")"),"ag1")</f>
        <v>ag1</v>
      </c>
      <c r="AT115" s="16"/>
      <c r="AU115" s="13" t="str">
        <f>IFERROR(__xludf.DUMMYFUNCTION("FILTER($K115:$T115,len($K115:$T115)=5,NOT($K115:$T115=BD115),NOT($K115:$T115=BP115))"),"dacef")</f>
        <v>dacef</v>
      </c>
      <c r="AV115" s="12" t="str">
        <f>IFERROR(__xludf.DUMMYFUNCTION("CONCATENATE(SORT(TRANSPOSE(SPLIT(REGEXREPLACE(REGEXREPLACE(AU115&amp;"""",""(?s)(.{1})"",""$1""&amp;CHAR(127)),""'"",""''""),CHAR(127))),1,true),""1"")"),"acdef1")</f>
        <v>acdef1</v>
      </c>
      <c r="AW115" s="16"/>
      <c r="AX115" s="10" t="str">
        <f>IFERROR(__xludf.DUMMYFUNCTION("FILTER($K115:$T115,len($K115:$T115)=5)"),"acdfg")</f>
        <v>acdfg</v>
      </c>
      <c r="AY115" s="6" t="str">
        <f>IFERROR(__xludf.DUMMYFUNCTION("""COMPUTED_VALUE"""),"fbcgd")</f>
        <v>fbcgd</v>
      </c>
      <c r="AZ115" s="6" t="str">
        <f>IFERROR(__xludf.DUMMYFUNCTION("""COMPUTED_VALUE"""),"dacef")</f>
        <v>dacef</v>
      </c>
      <c r="BA115" s="6" t="str">
        <f>IFERROR(__xludf.DUMMYFUNCTION("REGEXREPLACE( $AR115, CONCATENATE(""["",AX115,""]""), """")"),"")</f>
        <v/>
      </c>
      <c r="BB115" s="6" t="str">
        <f>IFERROR(__xludf.DUMMYFUNCTION("REGEXREPLACE( $AR115, CONCATENATE(""["",AY115,""]""), """")"),"a")</f>
        <v>a</v>
      </c>
      <c r="BC115" s="6" t="str">
        <f>IFERROR(__xludf.DUMMYFUNCTION("REGEXREPLACE( $AR115, CONCATENATE(""["",AZ115,""]""), """")"),"g")</f>
        <v>g</v>
      </c>
      <c r="BD115" s="11" t="str">
        <f t="shared" si="6"/>
        <v>acdfg</v>
      </c>
      <c r="BE115" s="12" t="str">
        <f>IFERROR(__xludf.DUMMYFUNCTION("CONCATENATE(SORT(TRANSPOSE(SPLIT(REGEXREPLACE(REGEXREPLACE(BD115&amp;"""",""(?s)(.{1})"",""$1""&amp;CHAR(127)),""'"",""''""),CHAR(127))),1,true),""1"")"),"acdfg1")</f>
        <v>acdfg1</v>
      </c>
      <c r="BF115" s="16"/>
      <c r="BG115" s="12" t="str">
        <f t="shared" si="7"/>
        <v>gbca</v>
      </c>
      <c r="BH115" s="12" t="str">
        <f>IFERROR(__xludf.DUMMYFUNCTION("CONCATENATE(SORT(TRANSPOSE(SPLIT(REGEXREPLACE(REGEXREPLACE(BG115&amp;"""",""(?s)(.{1})"",""$1""&amp;CHAR(127)),""'"",""''""),CHAR(127))),1,true),""1"")"),"abcg1")</f>
        <v>abcg1</v>
      </c>
      <c r="BI115" s="16"/>
      <c r="BJ115" s="10" t="str">
        <f>IFERROR(__xludf.DUMMYFUNCTION("FILTER($K115:$T115,len($K115:$T115)=5)"),"acdfg")</f>
        <v>acdfg</v>
      </c>
      <c r="BK115" s="6" t="str">
        <f>IFERROR(__xludf.DUMMYFUNCTION("""COMPUTED_VALUE"""),"fbcgd")</f>
        <v>fbcgd</v>
      </c>
      <c r="BL115" s="6" t="str">
        <f>IFERROR(__xludf.DUMMYFUNCTION("""COMPUTED_VALUE"""),"dacef")</f>
        <v>dacef</v>
      </c>
      <c r="BM115" s="14" t="str">
        <f>IFERROR(__xludf.DUMMYFUNCTION("REGEXREPLACE( $BY115, CONCATENATE(""["",BJ115,""]""), """")"),"eb")</f>
        <v>eb</v>
      </c>
      <c r="BN115" s="14" t="str">
        <f>IFERROR(__xludf.DUMMYFUNCTION("REGEXREPLACE( $BY115, CONCATENATE(""["",BK115,""]""), """")"),"e")</f>
        <v>e</v>
      </c>
      <c r="BO115" s="14" t="str">
        <f>IFERROR(__xludf.DUMMYFUNCTION("REGEXREPLACE( $BY115, CONCATENATE(""["",BL115,""]""), """")"),"bg")</f>
        <v>bg</v>
      </c>
      <c r="BP115" s="11" t="str">
        <f t="shared" si="8"/>
        <v>fbcgd</v>
      </c>
      <c r="BQ115" s="12" t="str">
        <f>IFERROR(__xludf.DUMMYFUNCTION("CONCATENATE(SORT(TRANSPOSE(SPLIT(REGEXREPLACE(REGEXREPLACE(BP115&amp;"""",""(?s)(.{1})"",""$1""&amp;CHAR(127)),""'"",""''""),CHAR(127))),1,true),""1"")"),"bcdfg1")</f>
        <v>bcdfg1</v>
      </c>
      <c r="BR115" s="16"/>
      <c r="BS115" s="10" t="str">
        <f>IFERROR(__xludf.DUMMYFUNCTION("FILTER(K115:T115,len(K115:T115)=6)"),"dcfgba")</f>
        <v>dcfgba</v>
      </c>
      <c r="BT115" s="6" t="str">
        <f>IFERROR(__xludf.DUMMYFUNCTION("""COMPUTED_VALUE"""),"fdcebg")</f>
        <v>fdcebg</v>
      </c>
      <c r="BU115" s="6" t="str">
        <f>IFERROR(__xludf.DUMMYFUNCTION("""COMPUTED_VALUE"""),"efdgba")</f>
        <v>efdgba</v>
      </c>
      <c r="BV115" s="6" t="str">
        <f>IFERROR(__xludf.DUMMYFUNCTION("REGEXREPLACE( $AR115, CONCATENATE(""["",BS115,""]""), """")"),"")</f>
        <v/>
      </c>
      <c r="BW115" s="6" t="str">
        <f>IFERROR(__xludf.DUMMYFUNCTION("REGEXREPLACE( $AR115, CONCATENATE(""["",BT115,""]""), """")"),"a")</f>
        <v>a</v>
      </c>
      <c r="BX115" s="6" t="str">
        <f>IFERROR(__xludf.DUMMYFUNCTION("REGEXREPLACE( $AR115, CONCATENATE(""["",BU115,""]""), """")"),"")</f>
        <v/>
      </c>
      <c r="BY115" s="12" t="str">
        <f t="shared" si="9"/>
        <v>fdcebg</v>
      </c>
      <c r="BZ115" s="12" t="str">
        <f>IFERROR(__xludf.DUMMYFUNCTION("CONCATENATE(SORT(TRANSPOSE(SPLIT(REGEXREPLACE(REGEXREPLACE(BY115&amp;"""",""(?s)(.{1})"",""$1""&amp;CHAR(127)),""'"",""''""),CHAR(127))),1,true),""1"")"),"bcdefg1")</f>
        <v>bcdefg1</v>
      </c>
      <c r="CA115" s="16"/>
      <c r="CB115" s="12" t="str">
        <f t="shared" si="10"/>
        <v>afg</v>
      </c>
      <c r="CC115" s="12" t="str">
        <f>IFERROR(__xludf.DUMMYFUNCTION("CONCATENATE(SORT(TRANSPOSE(SPLIT(REGEXREPLACE(REGEXREPLACE(CB115&amp;"""",""(?s)(.{1})"",""$1""&amp;CHAR(127)),""'"",""''""),CHAR(127))),1,true),""1"")"),"afg1")</f>
        <v>afg1</v>
      </c>
      <c r="CD115" s="16"/>
      <c r="CE115" s="12" t="str">
        <f t="shared" si="11"/>
        <v>agecdbf</v>
      </c>
      <c r="CF115" s="12" t="str">
        <f>IFERROR(__xludf.DUMMYFUNCTION("CONCATENATE(SORT(TRANSPOSE(SPLIT(REGEXREPLACE(REGEXREPLACE(CE115&amp;"""",""(?s)(.{1})"",""$1""&amp;CHAR(127)),""'"",""''""),CHAR(127))),1,true),""1"")"),"abcdefg1")</f>
        <v>abcdefg1</v>
      </c>
      <c r="CG115" s="16"/>
      <c r="CH115" s="10" t="str">
        <f>IFERROR(__xludf.DUMMYFUNCTION("FILTER(K115:T115,len(K115:T115)=6)"),"dcfgba")</f>
        <v>dcfgba</v>
      </c>
      <c r="CI115" s="6" t="str">
        <f>IFERROR(__xludf.DUMMYFUNCTION("""COMPUTED_VALUE"""),"fdcebg")</f>
        <v>fdcebg</v>
      </c>
      <c r="CJ115" s="6" t="str">
        <f>IFERROR(__xludf.DUMMYFUNCTION("""COMPUTED_VALUE"""),"efdgba")</f>
        <v>efdgba</v>
      </c>
      <c r="CK115" s="6" t="str">
        <f>IFERROR(__xludf.DUMMYFUNCTION("REGEXREPLACE( $BG115, CONCATENATE(""["",CH115,""]""), """")"),"")</f>
        <v/>
      </c>
      <c r="CL115" s="6" t="str">
        <f>IFERROR(__xludf.DUMMYFUNCTION("REGEXREPLACE( $BG115, CONCATENATE(""["",CI115,""]""), """")"),"a")</f>
        <v>a</v>
      </c>
      <c r="CM115" s="6" t="str">
        <f>IFERROR(__xludf.DUMMYFUNCTION("REGEXREPLACE( $BG115, CONCATENATE(""["",CJ115,""]""), """")"),"c")</f>
        <v>c</v>
      </c>
      <c r="CN115" s="12" t="str">
        <f t="shared" si="12"/>
        <v>dcfgba</v>
      </c>
      <c r="CO115" s="12" t="str">
        <f>IFERROR(__xludf.DUMMYFUNCTION("CONCATENATE(SORT(TRANSPOSE(SPLIT(REGEXREPLACE(REGEXREPLACE(CN115&amp;"""",""(?s)(.{1})"",""$1""&amp;CHAR(127)),""'"",""''""),CHAR(127))),1,true),""1"")"),"abcdfg1")</f>
        <v>abcdfg1</v>
      </c>
      <c r="CP115" s="15"/>
    </row>
    <row r="116">
      <c r="A116" s="1" t="s">
        <v>136</v>
      </c>
      <c r="H116" s="6" t="str">
        <f>IFERROR(__xludf.DUMMYFUNCTION("SPLIT(A116,""|"")"),"dfcgae baf cgefa agecfb beag acbfe defbc ab cadgbf gebafdc ")</f>
        <v>dfcgae baf cgefa agecfb beag acbfe defbc ab cadgbf gebafdc </v>
      </c>
      <c r="I116" s="6" t="str">
        <f>IFERROR(__xludf.DUMMYFUNCTION("""COMPUTED_VALUE""")," acedgf ba gfcadbe afgecb")</f>
        <v> acedgf ba gfcadbe afgecb</v>
      </c>
      <c r="J116" s="15"/>
      <c r="K116" s="6" t="str">
        <f>IFERROR(__xludf.DUMMYFUNCTION("split(H116,"" "")"),"dfcgae")</f>
        <v>dfcgae</v>
      </c>
      <c r="L116" s="6" t="str">
        <f>IFERROR(__xludf.DUMMYFUNCTION("""COMPUTED_VALUE"""),"baf")</f>
        <v>baf</v>
      </c>
      <c r="M116" s="6" t="str">
        <f>IFERROR(__xludf.DUMMYFUNCTION("""COMPUTED_VALUE"""),"cgefa")</f>
        <v>cgefa</v>
      </c>
      <c r="N116" s="6" t="str">
        <f>IFERROR(__xludf.DUMMYFUNCTION("""COMPUTED_VALUE"""),"agecfb")</f>
        <v>agecfb</v>
      </c>
      <c r="O116" s="6" t="str">
        <f>IFERROR(__xludf.DUMMYFUNCTION("""COMPUTED_VALUE"""),"beag")</f>
        <v>beag</v>
      </c>
      <c r="P116" s="6" t="str">
        <f>IFERROR(__xludf.DUMMYFUNCTION("""COMPUTED_VALUE"""),"acbfe")</f>
        <v>acbfe</v>
      </c>
      <c r="Q116" s="6" t="str">
        <f>IFERROR(__xludf.DUMMYFUNCTION("""COMPUTED_VALUE"""),"defbc")</f>
        <v>defbc</v>
      </c>
      <c r="R116" s="6" t="str">
        <f>IFERROR(__xludf.DUMMYFUNCTION("""COMPUTED_VALUE"""),"ab")</f>
        <v>ab</v>
      </c>
      <c r="S116" s="6" t="str">
        <f>IFERROR(__xludf.DUMMYFUNCTION("""COMPUTED_VALUE"""),"cadgbf")</f>
        <v>cadgbf</v>
      </c>
      <c r="T116" s="6" t="str">
        <f>IFERROR(__xludf.DUMMYFUNCTION("""COMPUTED_VALUE"""),"gebafdc")</f>
        <v>gebafdc</v>
      </c>
      <c r="U116" s="15"/>
      <c r="V116" s="6" t="str">
        <f>IFERROR(__xludf.DUMMYFUNCTION("split(I116,"" "")"),"acedgf")</f>
        <v>acedgf</v>
      </c>
      <c r="W116" s="6" t="str">
        <f>IFERROR(__xludf.DUMMYFUNCTION("""COMPUTED_VALUE"""),"ba")</f>
        <v>ba</v>
      </c>
      <c r="X116" s="6" t="str">
        <f>IFERROR(__xludf.DUMMYFUNCTION("""COMPUTED_VALUE"""),"gfcadbe")</f>
        <v>gfcadbe</v>
      </c>
      <c r="Y116" s="6" t="str">
        <f>IFERROR(__xludf.DUMMYFUNCTION("""COMPUTED_VALUE"""),"afgecb")</f>
        <v>afgecb</v>
      </c>
      <c r="Z116" s="6" t="str">
        <f>IFERROR(__xludf.DUMMYFUNCTION("CONCATENATE(SORT(TRANSPOSE(SPLIT(REGEXREPLACE(REGEXREPLACE(V116&amp;"""",""(?s)(.{1})"",""$1""&amp;CHAR(127)),""'"",""''""),CHAR(127))),1,true))"),"acdefg")</f>
        <v>acdefg</v>
      </c>
      <c r="AA116" s="6" t="str">
        <f>IFERROR(__xludf.DUMMYFUNCTION("CONCATENATE(SORT(TRANSPOSE(SPLIT(REGEXREPLACE(REGEXREPLACE(W116&amp;"""",""(?s)(.{1})"",""$1""&amp;CHAR(127)),""'"",""''""),CHAR(127))),1,true))"),"ab")</f>
        <v>ab</v>
      </c>
      <c r="AB116" s="6" t="str">
        <f>IFERROR(__xludf.DUMMYFUNCTION("CONCATENATE(SORT(TRANSPOSE(SPLIT(REGEXREPLACE(REGEXREPLACE(X116&amp;"""",""(?s)(.{1})"",""$1""&amp;CHAR(127)),""'"",""''""),CHAR(127))),1,true))"),"abcdefg")</f>
        <v>abcdefg</v>
      </c>
      <c r="AC116" s="6" t="str">
        <f>IFERROR(__xludf.DUMMYFUNCTION("CONCATENATE(SORT(TRANSPOSE(SPLIT(REGEXREPLACE(REGEXREPLACE(Y116&amp;"""",""(?s)(.{1})"",""$1""&amp;CHAR(127)),""'"",""''""),CHAR(127))),1,true))"),"abcefg")</f>
        <v>abcefg</v>
      </c>
      <c r="AD116" s="6">
        <f t="shared" ref="AD116:AG116" si="126">INDEX($AO$1:$CP$1,1,MATCH(CONCATENATE(Z116,"1"),$AO116:$CP116,0)+1)</f>
        <v>6</v>
      </c>
      <c r="AE116" s="6">
        <f t="shared" si="126"/>
        <v>1</v>
      </c>
      <c r="AF116" s="6">
        <f t="shared" si="126"/>
        <v>8</v>
      </c>
      <c r="AG116" s="6">
        <f t="shared" si="126"/>
        <v>9</v>
      </c>
      <c r="AH116" s="6">
        <f t="shared" si="3"/>
        <v>6189</v>
      </c>
      <c r="AI116" s="16"/>
      <c r="AJ116" s="9" t="str">
        <f>IFERROR(__xludf.DUMMYFUNCTION("REGEXREPLACE(AR116,CONCATENATE(""["",BY116,""]""),"""")"),"b")</f>
        <v>b</v>
      </c>
      <c r="AK116" s="10" t="str">
        <f>IFERROR(__xludf.DUMMYFUNCTION("FILTER($K116:$T116,len($K116:$T116)=6,NOT($K116:$T116=BY116))"),"agecfb")</f>
        <v>agecfb</v>
      </c>
      <c r="AL116" s="6" t="str">
        <f>IFERROR(__xludf.DUMMYFUNCTION("""COMPUTED_VALUE"""),"cadgbf")</f>
        <v>cadgbf</v>
      </c>
      <c r="AM116" s="6" t="str">
        <f>IFERROR(__xludf.DUMMYFUNCTION("REGEXREPLACE( $BG116, CONCATENATE(""["",AK116,""]""), """")"),"")</f>
        <v/>
      </c>
      <c r="AN116" s="6" t="str">
        <f>IFERROR(__xludf.DUMMYFUNCTION("REGEXREPLACE( $BG116, CONCATENATE(""["",AL116,""]""), """")"),"e")</f>
        <v>e</v>
      </c>
      <c r="AO116" s="11" t="str">
        <f t="shared" si="4"/>
        <v>cadgbf</v>
      </c>
      <c r="AP116" s="12" t="str">
        <f>IFERROR(__xludf.DUMMYFUNCTION("CONCATENATE(SORT(TRANSPOSE(SPLIT(REGEXREPLACE(REGEXREPLACE(AO116&amp;"""",""(?s)(.{1})"",""$1""&amp;CHAR(127)),""'"",""''""),CHAR(127))),1,true),""1"")"),"abcdfg1")</f>
        <v>abcdfg1</v>
      </c>
      <c r="AQ116" s="16"/>
      <c r="AR116" s="12" t="str">
        <f t="shared" si="5"/>
        <v>ab</v>
      </c>
      <c r="AS116" s="12" t="str">
        <f>IFERROR(__xludf.DUMMYFUNCTION("CONCATENATE(SORT(TRANSPOSE(SPLIT(REGEXREPLACE(REGEXREPLACE(AR116&amp;"""",""(?s)(.{1})"",""$1""&amp;CHAR(127)),""'"",""''""),CHAR(127))),1,true),""1"")"),"ab1")</f>
        <v>ab1</v>
      </c>
      <c r="AT116" s="16"/>
      <c r="AU116" s="13" t="str">
        <f>IFERROR(__xludf.DUMMYFUNCTION("FILTER($K116:$T116,len($K116:$T116)=5,NOT($K116:$T116=BD116),NOT($K116:$T116=BP116))"),"defbc")</f>
        <v>defbc</v>
      </c>
      <c r="AV116" s="12" t="str">
        <f>IFERROR(__xludf.DUMMYFUNCTION("CONCATENATE(SORT(TRANSPOSE(SPLIT(REGEXREPLACE(REGEXREPLACE(AU116&amp;"""",""(?s)(.{1})"",""$1""&amp;CHAR(127)),""'"",""''""),CHAR(127))),1,true),""1"")"),"bcdef1")</f>
        <v>bcdef1</v>
      </c>
      <c r="AW116" s="16"/>
      <c r="AX116" s="10" t="str">
        <f>IFERROR(__xludf.DUMMYFUNCTION("FILTER($K116:$T116,len($K116:$T116)=5)"),"cgefa")</f>
        <v>cgefa</v>
      </c>
      <c r="AY116" s="6" t="str">
        <f>IFERROR(__xludf.DUMMYFUNCTION("""COMPUTED_VALUE"""),"acbfe")</f>
        <v>acbfe</v>
      </c>
      <c r="AZ116" s="6" t="str">
        <f>IFERROR(__xludf.DUMMYFUNCTION("""COMPUTED_VALUE"""),"defbc")</f>
        <v>defbc</v>
      </c>
      <c r="BA116" s="6" t="str">
        <f>IFERROR(__xludf.DUMMYFUNCTION("REGEXREPLACE( $AR116, CONCATENATE(""["",AX116,""]""), """")"),"b")</f>
        <v>b</v>
      </c>
      <c r="BB116" s="6" t="str">
        <f>IFERROR(__xludf.DUMMYFUNCTION("REGEXREPLACE( $AR116, CONCATENATE(""["",AY116,""]""), """")"),"")</f>
        <v/>
      </c>
      <c r="BC116" s="6" t="str">
        <f>IFERROR(__xludf.DUMMYFUNCTION("REGEXREPLACE( $AR116, CONCATENATE(""["",AZ116,""]""), """")"),"a")</f>
        <v>a</v>
      </c>
      <c r="BD116" s="11" t="str">
        <f t="shared" si="6"/>
        <v>acbfe</v>
      </c>
      <c r="BE116" s="12" t="str">
        <f>IFERROR(__xludf.DUMMYFUNCTION("CONCATENATE(SORT(TRANSPOSE(SPLIT(REGEXREPLACE(REGEXREPLACE(BD116&amp;"""",""(?s)(.{1})"",""$1""&amp;CHAR(127)),""'"",""''""),CHAR(127))),1,true),""1"")"),"abcef1")</f>
        <v>abcef1</v>
      </c>
      <c r="BF116" s="16"/>
      <c r="BG116" s="12" t="str">
        <f t="shared" si="7"/>
        <v>beag</v>
      </c>
      <c r="BH116" s="12" t="str">
        <f>IFERROR(__xludf.DUMMYFUNCTION("CONCATENATE(SORT(TRANSPOSE(SPLIT(REGEXREPLACE(REGEXREPLACE(BG116&amp;"""",""(?s)(.{1})"",""$1""&amp;CHAR(127)),""'"",""''""),CHAR(127))),1,true),""1"")"),"abeg1")</f>
        <v>abeg1</v>
      </c>
      <c r="BI116" s="16"/>
      <c r="BJ116" s="10" t="str">
        <f>IFERROR(__xludf.DUMMYFUNCTION("FILTER($K116:$T116,len($K116:$T116)=5)"),"cgefa")</f>
        <v>cgefa</v>
      </c>
      <c r="BK116" s="6" t="str">
        <f>IFERROR(__xludf.DUMMYFUNCTION("""COMPUTED_VALUE"""),"acbfe")</f>
        <v>acbfe</v>
      </c>
      <c r="BL116" s="6" t="str">
        <f>IFERROR(__xludf.DUMMYFUNCTION("""COMPUTED_VALUE"""),"defbc")</f>
        <v>defbc</v>
      </c>
      <c r="BM116" s="14" t="str">
        <f>IFERROR(__xludf.DUMMYFUNCTION("REGEXREPLACE( $BY116, CONCATENATE(""["",BJ116,""]""), """")"),"d")</f>
        <v>d</v>
      </c>
      <c r="BN116" s="14" t="str">
        <f>IFERROR(__xludf.DUMMYFUNCTION("REGEXREPLACE( $BY116, CONCATENATE(""["",BK116,""]""), """")"),"dg")</f>
        <v>dg</v>
      </c>
      <c r="BO116" s="14" t="str">
        <f>IFERROR(__xludf.DUMMYFUNCTION("REGEXREPLACE( $BY116, CONCATENATE(""["",BL116,""]""), """")"),"ga")</f>
        <v>ga</v>
      </c>
      <c r="BP116" s="11" t="str">
        <f t="shared" si="8"/>
        <v>cgefa</v>
      </c>
      <c r="BQ116" s="12" t="str">
        <f>IFERROR(__xludf.DUMMYFUNCTION("CONCATENATE(SORT(TRANSPOSE(SPLIT(REGEXREPLACE(REGEXREPLACE(BP116&amp;"""",""(?s)(.{1})"",""$1""&amp;CHAR(127)),""'"",""''""),CHAR(127))),1,true),""1"")"),"acefg1")</f>
        <v>acefg1</v>
      </c>
      <c r="BR116" s="16"/>
      <c r="BS116" s="10" t="str">
        <f>IFERROR(__xludf.DUMMYFUNCTION("FILTER(K116:T116,len(K116:T116)=6)"),"dfcgae")</f>
        <v>dfcgae</v>
      </c>
      <c r="BT116" s="6" t="str">
        <f>IFERROR(__xludf.DUMMYFUNCTION("""COMPUTED_VALUE"""),"agecfb")</f>
        <v>agecfb</v>
      </c>
      <c r="BU116" s="6" t="str">
        <f>IFERROR(__xludf.DUMMYFUNCTION("""COMPUTED_VALUE"""),"cadgbf")</f>
        <v>cadgbf</v>
      </c>
      <c r="BV116" s="6" t="str">
        <f>IFERROR(__xludf.DUMMYFUNCTION("REGEXREPLACE( $AR116, CONCATENATE(""["",BS116,""]""), """")"),"b")</f>
        <v>b</v>
      </c>
      <c r="BW116" s="6" t="str">
        <f>IFERROR(__xludf.DUMMYFUNCTION("REGEXREPLACE( $AR116, CONCATENATE(""["",BT116,""]""), """")"),"")</f>
        <v/>
      </c>
      <c r="BX116" s="6" t="str">
        <f>IFERROR(__xludf.DUMMYFUNCTION("REGEXREPLACE( $AR116, CONCATENATE(""["",BU116,""]""), """")"),"")</f>
        <v/>
      </c>
      <c r="BY116" s="12" t="str">
        <f t="shared" si="9"/>
        <v>dfcgae</v>
      </c>
      <c r="BZ116" s="12" t="str">
        <f>IFERROR(__xludf.DUMMYFUNCTION("CONCATENATE(SORT(TRANSPOSE(SPLIT(REGEXREPLACE(REGEXREPLACE(BY116&amp;"""",""(?s)(.{1})"",""$1""&amp;CHAR(127)),""'"",""''""),CHAR(127))),1,true),""1"")"),"acdefg1")</f>
        <v>acdefg1</v>
      </c>
      <c r="CA116" s="16"/>
      <c r="CB116" s="12" t="str">
        <f t="shared" si="10"/>
        <v>baf</v>
      </c>
      <c r="CC116" s="12" t="str">
        <f>IFERROR(__xludf.DUMMYFUNCTION("CONCATENATE(SORT(TRANSPOSE(SPLIT(REGEXREPLACE(REGEXREPLACE(CB116&amp;"""",""(?s)(.{1})"",""$1""&amp;CHAR(127)),""'"",""''""),CHAR(127))),1,true),""1"")"),"abf1")</f>
        <v>abf1</v>
      </c>
      <c r="CD116" s="16"/>
      <c r="CE116" s="12" t="str">
        <f t="shared" si="11"/>
        <v>gebafdc</v>
      </c>
      <c r="CF116" s="12" t="str">
        <f>IFERROR(__xludf.DUMMYFUNCTION("CONCATENATE(SORT(TRANSPOSE(SPLIT(REGEXREPLACE(REGEXREPLACE(CE116&amp;"""",""(?s)(.{1})"",""$1""&amp;CHAR(127)),""'"",""''""),CHAR(127))),1,true),""1"")"),"abcdefg1")</f>
        <v>abcdefg1</v>
      </c>
      <c r="CG116" s="16"/>
      <c r="CH116" s="10" t="str">
        <f>IFERROR(__xludf.DUMMYFUNCTION("FILTER(K116:T116,len(K116:T116)=6)"),"dfcgae")</f>
        <v>dfcgae</v>
      </c>
      <c r="CI116" s="6" t="str">
        <f>IFERROR(__xludf.DUMMYFUNCTION("""COMPUTED_VALUE"""),"agecfb")</f>
        <v>agecfb</v>
      </c>
      <c r="CJ116" s="6" t="str">
        <f>IFERROR(__xludf.DUMMYFUNCTION("""COMPUTED_VALUE"""),"cadgbf")</f>
        <v>cadgbf</v>
      </c>
      <c r="CK116" s="6" t="str">
        <f>IFERROR(__xludf.DUMMYFUNCTION("REGEXREPLACE( $BG116, CONCATENATE(""["",CH116,""]""), """")"),"b")</f>
        <v>b</v>
      </c>
      <c r="CL116" s="6" t="str">
        <f>IFERROR(__xludf.DUMMYFUNCTION("REGEXREPLACE( $BG116, CONCATENATE(""["",CI116,""]""), """")"),"")</f>
        <v/>
      </c>
      <c r="CM116" s="6" t="str">
        <f>IFERROR(__xludf.DUMMYFUNCTION("REGEXREPLACE( $BG116, CONCATENATE(""["",CJ116,""]""), """")"),"e")</f>
        <v>e</v>
      </c>
      <c r="CN116" s="12" t="str">
        <f t="shared" si="12"/>
        <v>agecfb</v>
      </c>
      <c r="CO116" s="12" t="str">
        <f>IFERROR(__xludf.DUMMYFUNCTION("CONCATENATE(SORT(TRANSPOSE(SPLIT(REGEXREPLACE(REGEXREPLACE(CN116&amp;"""",""(?s)(.{1})"",""$1""&amp;CHAR(127)),""'"",""''""),CHAR(127))),1,true),""1"")"),"abcefg1")</f>
        <v>abcefg1</v>
      </c>
      <c r="CP116" s="15"/>
    </row>
    <row r="117">
      <c r="A117" s="1" t="s">
        <v>137</v>
      </c>
      <c r="H117" s="6" t="str">
        <f>IFERROR(__xludf.DUMMYFUNCTION("SPLIT(A117,""|"")"),"agebdc eagbdcf fgeabc adfecb defga dc beacg agced dac dcbg ")</f>
        <v>agebdc eagbdcf fgeabc adfecb defga dc beacg agced dac dcbg </v>
      </c>
      <c r="I117" s="6" t="str">
        <f>IFERROR(__xludf.DUMMYFUNCTION("""COMPUTED_VALUE""")," acd geafd dc ecbadg")</f>
        <v> acd geafd dc ecbadg</v>
      </c>
      <c r="J117" s="15"/>
      <c r="K117" s="6" t="str">
        <f>IFERROR(__xludf.DUMMYFUNCTION("split(H117,"" "")"),"agebdc")</f>
        <v>agebdc</v>
      </c>
      <c r="L117" s="6" t="str">
        <f>IFERROR(__xludf.DUMMYFUNCTION("""COMPUTED_VALUE"""),"eagbdcf")</f>
        <v>eagbdcf</v>
      </c>
      <c r="M117" s="6" t="str">
        <f>IFERROR(__xludf.DUMMYFUNCTION("""COMPUTED_VALUE"""),"fgeabc")</f>
        <v>fgeabc</v>
      </c>
      <c r="N117" s="6" t="str">
        <f>IFERROR(__xludf.DUMMYFUNCTION("""COMPUTED_VALUE"""),"adfecb")</f>
        <v>adfecb</v>
      </c>
      <c r="O117" s="6" t="str">
        <f>IFERROR(__xludf.DUMMYFUNCTION("""COMPUTED_VALUE"""),"defga")</f>
        <v>defga</v>
      </c>
      <c r="P117" s="6" t="str">
        <f>IFERROR(__xludf.DUMMYFUNCTION("""COMPUTED_VALUE"""),"dc")</f>
        <v>dc</v>
      </c>
      <c r="Q117" s="6" t="str">
        <f>IFERROR(__xludf.DUMMYFUNCTION("""COMPUTED_VALUE"""),"beacg")</f>
        <v>beacg</v>
      </c>
      <c r="R117" s="6" t="str">
        <f>IFERROR(__xludf.DUMMYFUNCTION("""COMPUTED_VALUE"""),"agced")</f>
        <v>agced</v>
      </c>
      <c r="S117" s="6" t="str">
        <f>IFERROR(__xludf.DUMMYFUNCTION("""COMPUTED_VALUE"""),"dac")</f>
        <v>dac</v>
      </c>
      <c r="T117" s="6" t="str">
        <f>IFERROR(__xludf.DUMMYFUNCTION("""COMPUTED_VALUE"""),"dcbg")</f>
        <v>dcbg</v>
      </c>
      <c r="U117" s="15"/>
      <c r="V117" s="6" t="str">
        <f>IFERROR(__xludf.DUMMYFUNCTION("split(I117,"" "")"),"acd")</f>
        <v>acd</v>
      </c>
      <c r="W117" s="6" t="str">
        <f>IFERROR(__xludf.DUMMYFUNCTION("""COMPUTED_VALUE"""),"geafd")</f>
        <v>geafd</v>
      </c>
      <c r="X117" s="6" t="str">
        <f>IFERROR(__xludf.DUMMYFUNCTION("""COMPUTED_VALUE"""),"dc")</f>
        <v>dc</v>
      </c>
      <c r="Y117" s="6" t="str">
        <f>IFERROR(__xludf.DUMMYFUNCTION("""COMPUTED_VALUE"""),"ecbadg")</f>
        <v>ecbadg</v>
      </c>
      <c r="Z117" s="6" t="str">
        <f>IFERROR(__xludf.DUMMYFUNCTION("CONCATENATE(SORT(TRANSPOSE(SPLIT(REGEXREPLACE(REGEXREPLACE(V117&amp;"""",""(?s)(.{1})"",""$1""&amp;CHAR(127)),""'"",""''""),CHAR(127))),1,true))"),"acd")</f>
        <v>acd</v>
      </c>
      <c r="AA117" s="6" t="str">
        <f>IFERROR(__xludf.DUMMYFUNCTION("CONCATENATE(SORT(TRANSPOSE(SPLIT(REGEXREPLACE(REGEXREPLACE(W117&amp;"""",""(?s)(.{1})"",""$1""&amp;CHAR(127)),""'"",""''""),CHAR(127))),1,true))"),"adefg")</f>
        <v>adefg</v>
      </c>
      <c r="AB117" s="6" t="str">
        <f>IFERROR(__xludf.DUMMYFUNCTION("CONCATENATE(SORT(TRANSPOSE(SPLIT(REGEXREPLACE(REGEXREPLACE(X117&amp;"""",""(?s)(.{1})"",""$1""&amp;CHAR(127)),""'"",""''""),CHAR(127))),1,true))"),"cd")</f>
        <v>cd</v>
      </c>
      <c r="AC117" s="6" t="str">
        <f>IFERROR(__xludf.DUMMYFUNCTION("CONCATENATE(SORT(TRANSPOSE(SPLIT(REGEXREPLACE(REGEXREPLACE(Y117&amp;"""",""(?s)(.{1})"",""$1""&amp;CHAR(127)),""'"",""''""),CHAR(127))),1,true))"),"abcdeg")</f>
        <v>abcdeg</v>
      </c>
      <c r="AD117" s="6">
        <f t="shared" ref="AD117:AG117" si="127">INDEX($AO$1:$CP$1,1,MATCH(CONCATENATE(Z117,"1"),$AO117:$CP117,0)+1)</f>
        <v>7</v>
      </c>
      <c r="AE117" s="6">
        <f t="shared" si="127"/>
        <v>2</v>
      </c>
      <c r="AF117" s="6">
        <f t="shared" si="127"/>
        <v>1</v>
      </c>
      <c r="AG117" s="6">
        <f t="shared" si="127"/>
        <v>9</v>
      </c>
      <c r="AH117" s="6">
        <f t="shared" si="3"/>
        <v>7219</v>
      </c>
      <c r="AI117" s="16"/>
      <c r="AJ117" s="9" t="str">
        <f>IFERROR(__xludf.DUMMYFUNCTION("REGEXREPLACE(AR117,CONCATENATE(""["",BY117,""]""),"""")"),"d")</f>
        <v>d</v>
      </c>
      <c r="AK117" s="10" t="str">
        <f>IFERROR(__xludf.DUMMYFUNCTION("FILTER($K117:$T117,len($K117:$T117)=6,NOT($K117:$T117=BY117))"),"agebdc")</f>
        <v>agebdc</v>
      </c>
      <c r="AL117" s="6" t="str">
        <f>IFERROR(__xludf.DUMMYFUNCTION("""COMPUTED_VALUE"""),"adfecb")</f>
        <v>adfecb</v>
      </c>
      <c r="AM117" s="6" t="str">
        <f>IFERROR(__xludf.DUMMYFUNCTION("REGEXREPLACE( $BG117, CONCATENATE(""["",AK117,""]""), """")"),"")</f>
        <v/>
      </c>
      <c r="AN117" s="6" t="str">
        <f>IFERROR(__xludf.DUMMYFUNCTION("REGEXREPLACE( $BG117, CONCATENATE(""["",AL117,""]""), """")"),"g")</f>
        <v>g</v>
      </c>
      <c r="AO117" s="11" t="str">
        <f t="shared" si="4"/>
        <v>adfecb</v>
      </c>
      <c r="AP117" s="12" t="str">
        <f>IFERROR(__xludf.DUMMYFUNCTION("CONCATENATE(SORT(TRANSPOSE(SPLIT(REGEXREPLACE(REGEXREPLACE(AO117&amp;"""",""(?s)(.{1})"",""$1""&amp;CHAR(127)),""'"",""''""),CHAR(127))),1,true),""1"")"),"abcdef1")</f>
        <v>abcdef1</v>
      </c>
      <c r="AQ117" s="16"/>
      <c r="AR117" s="12" t="str">
        <f t="shared" si="5"/>
        <v>dc</v>
      </c>
      <c r="AS117" s="12" t="str">
        <f>IFERROR(__xludf.DUMMYFUNCTION("CONCATENATE(SORT(TRANSPOSE(SPLIT(REGEXREPLACE(REGEXREPLACE(AR117&amp;"""",""(?s)(.{1})"",""$1""&amp;CHAR(127)),""'"",""''""),CHAR(127))),1,true),""1"")"),"cd1")</f>
        <v>cd1</v>
      </c>
      <c r="AT117" s="16"/>
      <c r="AU117" s="13" t="str">
        <f>IFERROR(__xludf.DUMMYFUNCTION("FILTER($K117:$T117,len($K117:$T117)=5,NOT($K117:$T117=BD117),NOT($K117:$T117=BP117))"),"defga")</f>
        <v>defga</v>
      </c>
      <c r="AV117" s="12" t="str">
        <f>IFERROR(__xludf.DUMMYFUNCTION("CONCATENATE(SORT(TRANSPOSE(SPLIT(REGEXREPLACE(REGEXREPLACE(AU117&amp;"""",""(?s)(.{1})"",""$1""&amp;CHAR(127)),""'"",""''""),CHAR(127))),1,true),""1"")"),"adefg1")</f>
        <v>adefg1</v>
      </c>
      <c r="AW117" s="16"/>
      <c r="AX117" s="10" t="str">
        <f>IFERROR(__xludf.DUMMYFUNCTION("FILTER($K117:$T117,len($K117:$T117)=5)"),"defga")</f>
        <v>defga</v>
      </c>
      <c r="AY117" s="6" t="str">
        <f>IFERROR(__xludf.DUMMYFUNCTION("""COMPUTED_VALUE"""),"beacg")</f>
        <v>beacg</v>
      </c>
      <c r="AZ117" s="6" t="str">
        <f>IFERROR(__xludf.DUMMYFUNCTION("""COMPUTED_VALUE"""),"agced")</f>
        <v>agced</v>
      </c>
      <c r="BA117" s="6" t="str">
        <f>IFERROR(__xludf.DUMMYFUNCTION("REGEXREPLACE( $AR117, CONCATENATE(""["",AX117,""]""), """")"),"c")</f>
        <v>c</v>
      </c>
      <c r="BB117" s="6" t="str">
        <f>IFERROR(__xludf.DUMMYFUNCTION("REGEXREPLACE( $AR117, CONCATENATE(""["",AY117,""]""), """")"),"d")</f>
        <v>d</v>
      </c>
      <c r="BC117" s="6" t="str">
        <f>IFERROR(__xludf.DUMMYFUNCTION("REGEXREPLACE( $AR117, CONCATENATE(""["",AZ117,""]""), """")"),"")</f>
        <v/>
      </c>
      <c r="BD117" s="11" t="str">
        <f t="shared" si="6"/>
        <v>agced</v>
      </c>
      <c r="BE117" s="12" t="str">
        <f>IFERROR(__xludf.DUMMYFUNCTION("CONCATENATE(SORT(TRANSPOSE(SPLIT(REGEXREPLACE(REGEXREPLACE(BD117&amp;"""",""(?s)(.{1})"",""$1""&amp;CHAR(127)),""'"",""''""),CHAR(127))),1,true),""1"")"),"acdeg1")</f>
        <v>acdeg1</v>
      </c>
      <c r="BF117" s="16"/>
      <c r="BG117" s="12" t="str">
        <f t="shared" si="7"/>
        <v>dcbg</v>
      </c>
      <c r="BH117" s="12" t="str">
        <f>IFERROR(__xludf.DUMMYFUNCTION("CONCATENATE(SORT(TRANSPOSE(SPLIT(REGEXREPLACE(REGEXREPLACE(BG117&amp;"""",""(?s)(.{1})"",""$1""&amp;CHAR(127)),""'"",""''""),CHAR(127))),1,true),""1"")"),"bcdg1")</f>
        <v>bcdg1</v>
      </c>
      <c r="BI117" s="16"/>
      <c r="BJ117" s="10" t="str">
        <f>IFERROR(__xludf.DUMMYFUNCTION("FILTER($K117:$T117,len($K117:$T117)=5)"),"defga")</f>
        <v>defga</v>
      </c>
      <c r="BK117" s="6" t="str">
        <f>IFERROR(__xludf.DUMMYFUNCTION("""COMPUTED_VALUE"""),"beacg")</f>
        <v>beacg</v>
      </c>
      <c r="BL117" s="6" t="str">
        <f>IFERROR(__xludf.DUMMYFUNCTION("""COMPUTED_VALUE"""),"agced")</f>
        <v>agced</v>
      </c>
      <c r="BM117" s="14" t="str">
        <f>IFERROR(__xludf.DUMMYFUNCTION("REGEXREPLACE( $BY117, CONCATENATE(""["",BJ117,""]""), """")"),"bc")</f>
        <v>bc</v>
      </c>
      <c r="BN117" s="14" t="str">
        <f>IFERROR(__xludf.DUMMYFUNCTION("REGEXREPLACE( $BY117, CONCATENATE(""["",BK117,""]""), """")"),"f")</f>
        <v>f</v>
      </c>
      <c r="BO117" s="14" t="str">
        <f>IFERROR(__xludf.DUMMYFUNCTION("REGEXREPLACE( $BY117, CONCATENATE(""["",BL117,""]""), """")"),"fb")</f>
        <v>fb</v>
      </c>
      <c r="BP117" s="11" t="str">
        <f t="shared" si="8"/>
        <v>beacg</v>
      </c>
      <c r="BQ117" s="12" t="str">
        <f>IFERROR(__xludf.DUMMYFUNCTION("CONCATENATE(SORT(TRANSPOSE(SPLIT(REGEXREPLACE(REGEXREPLACE(BP117&amp;"""",""(?s)(.{1})"",""$1""&amp;CHAR(127)),""'"",""''""),CHAR(127))),1,true),""1"")"),"abceg1")</f>
        <v>abceg1</v>
      </c>
      <c r="BR117" s="16"/>
      <c r="BS117" s="10" t="str">
        <f>IFERROR(__xludf.DUMMYFUNCTION("FILTER(K117:T117,len(K117:T117)=6)"),"agebdc")</f>
        <v>agebdc</v>
      </c>
      <c r="BT117" s="6" t="str">
        <f>IFERROR(__xludf.DUMMYFUNCTION("""COMPUTED_VALUE"""),"fgeabc")</f>
        <v>fgeabc</v>
      </c>
      <c r="BU117" s="6" t="str">
        <f>IFERROR(__xludf.DUMMYFUNCTION("""COMPUTED_VALUE"""),"adfecb")</f>
        <v>adfecb</v>
      </c>
      <c r="BV117" s="6" t="str">
        <f>IFERROR(__xludf.DUMMYFUNCTION("REGEXREPLACE( $AR117, CONCATENATE(""["",BS117,""]""), """")"),"")</f>
        <v/>
      </c>
      <c r="BW117" s="6" t="str">
        <f>IFERROR(__xludf.DUMMYFUNCTION("REGEXREPLACE( $AR117, CONCATENATE(""["",BT117,""]""), """")"),"d")</f>
        <v>d</v>
      </c>
      <c r="BX117" s="6" t="str">
        <f>IFERROR(__xludf.DUMMYFUNCTION("REGEXREPLACE( $AR117, CONCATENATE(""["",BU117,""]""), """")"),"")</f>
        <v/>
      </c>
      <c r="BY117" s="12" t="str">
        <f t="shared" si="9"/>
        <v>fgeabc</v>
      </c>
      <c r="BZ117" s="12" t="str">
        <f>IFERROR(__xludf.DUMMYFUNCTION("CONCATENATE(SORT(TRANSPOSE(SPLIT(REGEXREPLACE(REGEXREPLACE(BY117&amp;"""",""(?s)(.{1})"",""$1""&amp;CHAR(127)),""'"",""''""),CHAR(127))),1,true),""1"")"),"abcefg1")</f>
        <v>abcefg1</v>
      </c>
      <c r="CA117" s="16"/>
      <c r="CB117" s="12" t="str">
        <f t="shared" si="10"/>
        <v>dac</v>
      </c>
      <c r="CC117" s="12" t="str">
        <f>IFERROR(__xludf.DUMMYFUNCTION("CONCATENATE(SORT(TRANSPOSE(SPLIT(REGEXREPLACE(REGEXREPLACE(CB117&amp;"""",""(?s)(.{1})"",""$1""&amp;CHAR(127)),""'"",""''""),CHAR(127))),1,true),""1"")"),"acd1")</f>
        <v>acd1</v>
      </c>
      <c r="CD117" s="16"/>
      <c r="CE117" s="12" t="str">
        <f t="shared" si="11"/>
        <v>eagbdcf</v>
      </c>
      <c r="CF117" s="12" t="str">
        <f>IFERROR(__xludf.DUMMYFUNCTION("CONCATENATE(SORT(TRANSPOSE(SPLIT(REGEXREPLACE(REGEXREPLACE(CE117&amp;"""",""(?s)(.{1})"",""$1""&amp;CHAR(127)),""'"",""''""),CHAR(127))),1,true),""1"")"),"abcdefg1")</f>
        <v>abcdefg1</v>
      </c>
      <c r="CG117" s="16"/>
      <c r="CH117" s="10" t="str">
        <f>IFERROR(__xludf.DUMMYFUNCTION("FILTER(K117:T117,len(K117:T117)=6)"),"agebdc")</f>
        <v>agebdc</v>
      </c>
      <c r="CI117" s="6" t="str">
        <f>IFERROR(__xludf.DUMMYFUNCTION("""COMPUTED_VALUE"""),"fgeabc")</f>
        <v>fgeabc</v>
      </c>
      <c r="CJ117" s="6" t="str">
        <f>IFERROR(__xludf.DUMMYFUNCTION("""COMPUTED_VALUE"""),"adfecb")</f>
        <v>adfecb</v>
      </c>
      <c r="CK117" s="6" t="str">
        <f>IFERROR(__xludf.DUMMYFUNCTION("REGEXREPLACE( $BG117, CONCATENATE(""["",CH117,""]""), """")"),"")</f>
        <v/>
      </c>
      <c r="CL117" s="6" t="str">
        <f>IFERROR(__xludf.DUMMYFUNCTION("REGEXREPLACE( $BG117, CONCATENATE(""["",CI117,""]""), """")"),"d")</f>
        <v>d</v>
      </c>
      <c r="CM117" s="6" t="str">
        <f>IFERROR(__xludf.DUMMYFUNCTION("REGEXREPLACE( $BG117, CONCATENATE(""["",CJ117,""]""), """")"),"g")</f>
        <v>g</v>
      </c>
      <c r="CN117" s="12" t="str">
        <f t="shared" si="12"/>
        <v>agebdc</v>
      </c>
      <c r="CO117" s="12" t="str">
        <f>IFERROR(__xludf.DUMMYFUNCTION("CONCATENATE(SORT(TRANSPOSE(SPLIT(REGEXREPLACE(REGEXREPLACE(CN117&amp;"""",""(?s)(.{1})"",""$1""&amp;CHAR(127)),""'"",""''""),CHAR(127))),1,true),""1"")"),"abcdeg1")</f>
        <v>abcdeg1</v>
      </c>
      <c r="CP117" s="15"/>
    </row>
    <row r="118">
      <c r="A118" s="1" t="s">
        <v>138</v>
      </c>
      <c r="H118" s="6" t="str">
        <f>IFERROR(__xludf.DUMMYFUNCTION("SPLIT(A118,""|"")"),"gbaedc agfec dacef efabgc cgfd dc dfeba dac eafgdcb aecdfg ")</f>
        <v>gbaedc agfec dacef efabgc cgfd dc dfeba dac eafgdcb aecdfg </v>
      </c>
      <c r="I118" s="6" t="str">
        <f>IFERROR(__xludf.DUMMYFUNCTION("""COMPUTED_VALUE""")," geacfd dac dc ceagbd")</f>
        <v> geacfd dac dc ceagbd</v>
      </c>
      <c r="J118" s="15"/>
      <c r="K118" s="6" t="str">
        <f>IFERROR(__xludf.DUMMYFUNCTION("split(H118,"" "")"),"gbaedc")</f>
        <v>gbaedc</v>
      </c>
      <c r="L118" s="6" t="str">
        <f>IFERROR(__xludf.DUMMYFUNCTION("""COMPUTED_VALUE"""),"agfec")</f>
        <v>agfec</v>
      </c>
      <c r="M118" s="6" t="str">
        <f>IFERROR(__xludf.DUMMYFUNCTION("""COMPUTED_VALUE"""),"dacef")</f>
        <v>dacef</v>
      </c>
      <c r="N118" s="6" t="str">
        <f>IFERROR(__xludf.DUMMYFUNCTION("""COMPUTED_VALUE"""),"efabgc")</f>
        <v>efabgc</v>
      </c>
      <c r="O118" s="6" t="str">
        <f>IFERROR(__xludf.DUMMYFUNCTION("""COMPUTED_VALUE"""),"cgfd")</f>
        <v>cgfd</v>
      </c>
      <c r="P118" s="6" t="str">
        <f>IFERROR(__xludf.DUMMYFUNCTION("""COMPUTED_VALUE"""),"dc")</f>
        <v>dc</v>
      </c>
      <c r="Q118" s="6" t="str">
        <f>IFERROR(__xludf.DUMMYFUNCTION("""COMPUTED_VALUE"""),"dfeba")</f>
        <v>dfeba</v>
      </c>
      <c r="R118" s="6" t="str">
        <f>IFERROR(__xludf.DUMMYFUNCTION("""COMPUTED_VALUE"""),"dac")</f>
        <v>dac</v>
      </c>
      <c r="S118" s="6" t="str">
        <f>IFERROR(__xludf.DUMMYFUNCTION("""COMPUTED_VALUE"""),"eafgdcb")</f>
        <v>eafgdcb</v>
      </c>
      <c r="T118" s="6" t="str">
        <f>IFERROR(__xludf.DUMMYFUNCTION("""COMPUTED_VALUE"""),"aecdfg")</f>
        <v>aecdfg</v>
      </c>
      <c r="U118" s="15"/>
      <c r="V118" s="6" t="str">
        <f>IFERROR(__xludf.DUMMYFUNCTION("split(I118,"" "")"),"geacfd")</f>
        <v>geacfd</v>
      </c>
      <c r="W118" s="6" t="str">
        <f>IFERROR(__xludf.DUMMYFUNCTION("""COMPUTED_VALUE"""),"dac")</f>
        <v>dac</v>
      </c>
      <c r="X118" s="6" t="str">
        <f>IFERROR(__xludf.DUMMYFUNCTION("""COMPUTED_VALUE"""),"dc")</f>
        <v>dc</v>
      </c>
      <c r="Y118" s="6" t="str">
        <f>IFERROR(__xludf.DUMMYFUNCTION("""COMPUTED_VALUE"""),"ceagbd")</f>
        <v>ceagbd</v>
      </c>
      <c r="Z118" s="6" t="str">
        <f>IFERROR(__xludf.DUMMYFUNCTION("CONCATENATE(SORT(TRANSPOSE(SPLIT(REGEXREPLACE(REGEXREPLACE(V118&amp;"""",""(?s)(.{1})"",""$1""&amp;CHAR(127)),""'"",""''""),CHAR(127))),1,true))"),"acdefg")</f>
        <v>acdefg</v>
      </c>
      <c r="AA118" s="6" t="str">
        <f>IFERROR(__xludf.DUMMYFUNCTION("CONCATENATE(SORT(TRANSPOSE(SPLIT(REGEXREPLACE(REGEXREPLACE(W118&amp;"""",""(?s)(.{1})"",""$1""&amp;CHAR(127)),""'"",""''""),CHAR(127))),1,true))"),"acd")</f>
        <v>acd</v>
      </c>
      <c r="AB118" s="6" t="str">
        <f>IFERROR(__xludf.DUMMYFUNCTION("CONCATENATE(SORT(TRANSPOSE(SPLIT(REGEXREPLACE(REGEXREPLACE(X118&amp;"""",""(?s)(.{1})"",""$1""&amp;CHAR(127)),""'"",""''""),CHAR(127))),1,true))"),"cd")</f>
        <v>cd</v>
      </c>
      <c r="AC118" s="6" t="str">
        <f>IFERROR(__xludf.DUMMYFUNCTION("CONCATENATE(SORT(TRANSPOSE(SPLIT(REGEXREPLACE(REGEXREPLACE(Y118&amp;"""",""(?s)(.{1})"",""$1""&amp;CHAR(127)),""'"",""''""),CHAR(127))),1,true))"),"abcdeg")</f>
        <v>abcdeg</v>
      </c>
      <c r="AD118" s="6">
        <f t="shared" ref="AD118:AG118" si="128">INDEX($AO$1:$CP$1,1,MATCH(CONCATENATE(Z118,"1"),$AO118:$CP118,0)+1)</f>
        <v>9</v>
      </c>
      <c r="AE118" s="6">
        <f t="shared" si="128"/>
        <v>7</v>
      </c>
      <c r="AF118" s="6">
        <f t="shared" si="128"/>
        <v>1</v>
      </c>
      <c r="AG118" s="6">
        <f t="shared" si="128"/>
        <v>0</v>
      </c>
      <c r="AH118" s="6">
        <f t="shared" si="3"/>
        <v>9710</v>
      </c>
      <c r="AI118" s="16"/>
      <c r="AJ118" s="9" t="str">
        <f>IFERROR(__xludf.DUMMYFUNCTION("REGEXREPLACE(AR118,CONCATENATE(""["",BY118,""]""),"""")"),"d")</f>
        <v>d</v>
      </c>
      <c r="AK118" s="10" t="str">
        <f>IFERROR(__xludf.DUMMYFUNCTION("FILTER($K118:$T118,len($K118:$T118)=6,NOT($K118:$T118=BY118))"),"gbaedc")</f>
        <v>gbaedc</v>
      </c>
      <c r="AL118" s="6" t="str">
        <f>IFERROR(__xludf.DUMMYFUNCTION("""COMPUTED_VALUE"""),"aecdfg")</f>
        <v>aecdfg</v>
      </c>
      <c r="AM118" s="6" t="str">
        <f>IFERROR(__xludf.DUMMYFUNCTION("REGEXREPLACE( $BG118, CONCATENATE(""["",AK118,""]""), """")"),"f")</f>
        <v>f</v>
      </c>
      <c r="AN118" s="6" t="str">
        <f>IFERROR(__xludf.DUMMYFUNCTION("REGEXREPLACE( $BG118, CONCATENATE(""["",AL118,""]""), """")"),"")</f>
        <v/>
      </c>
      <c r="AO118" s="11" t="str">
        <f t="shared" si="4"/>
        <v>gbaedc</v>
      </c>
      <c r="AP118" s="12" t="str">
        <f>IFERROR(__xludf.DUMMYFUNCTION("CONCATENATE(SORT(TRANSPOSE(SPLIT(REGEXREPLACE(REGEXREPLACE(AO118&amp;"""",""(?s)(.{1})"",""$1""&amp;CHAR(127)),""'"",""''""),CHAR(127))),1,true),""1"")"),"abcdeg1")</f>
        <v>abcdeg1</v>
      </c>
      <c r="AQ118" s="16"/>
      <c r="AR118" s="12" t="str">
        <f t="shared" si="5"/>
        <v>dc</v>
      </c>
      <c r="AS118" s="12" t="str">
        <f>IFERROR(__xludf.DUMMYFUNCTION("CONCATENATE(SORT(TRANSPOSE(SPLIT(REGEXREPLACE(REGEXREPLACE(AR118&amp;"""",""(?s)(.{1})"",""$1""&amp;CHAR(127)),""'"",""''""),CHAR(127))),1,true),""1"")"),"cd1")</f>
        <v>cd1</v>
      </c>
      <c r="AT118" s="16"/>
      <c r="AU118" s="13" t="str">
        <f>IFERROR(__xludf.DUMMYFUNCTION("FILTER($K118:$T118,len($K118:$T118)=5,NOT($K118:$T118=BD118),NOT($K118:$T118=BP118))"),"dfeba")</f>
        <v>dfeba</v>
      </c>
      <c r="AV118" s="12" t="str">
        <f>IFERROR(__xludf.DUMMYFUNCTION("CONCATENATE(SORT(TRANSPOSE(SPLIT(REGEXREPLACE(REGEXREPLACE(AU118&amp;"""",""(?s)(.{1})"",""$1""&amp;CHAR(127)),""'"",""''""),CHAR(127))),1,true),""1"")"),"abdef1")</f>
        <v>abdef1</v>
      </c>
      <c r="AW118" s="16"/>
      <c r="AX118" s="10" t="str">
        <f>IFERROR(__xludf.DUMMYFUNCTION("FILTER($K118:$T118,len($K118:$T118)=5)"),"agfec")</f>
        <v>agfec</v>
      </c>
      <c r="AY118" s="6" t="str">
        <f>IFERROR(__xludf.DUMMYFUNCTION("""COMPUTED_VALUE"""),"dacef")</f>
        <v>dacef</v>
      </c>
      <c r="AZ118" s="6" t="str">
        <f>IFERROR(__xludf.DUMMYFUNCTION("""COMPUTED_VALUE"""),"dfeba")</f>
        <v>dfeba</v>
      </c>
      <c r="BA118" s="6" t="str">
        <f>IFERROR(__xludf.DUMMYFUNCTION("REGEXREPLACE( $AR118, CONCATENATE(""["",AX118,""]""), """")"),"d")</f>
        <v>d</v>
      </c>
      <c r="BB118" s="6" t="str">
        <f>IFERROR(__xludf.DUMMYFUNCTION("REGEXREPLACE( $AR118, CONCATENATE(""["",AY118,""]""), """")"),"")</f>
        <v/>
      </c>
      <c r="BC118" s="6" t="str">
        <f>IFERROR(__xludf.DUMMYFUNCTION("REGEXREPLACE( $AR118, CONCATENATE(""["",AZ118,""]""), """")"),"c")</f>
        <v>c</v>
      </c>
      <c r="BD118" s="11" t="str">
        <f t="shared" si="6"/>
        <v>dacef</v>
      </c>
      <c r="BE118" s="12" t="str">
        <f>IFERROR(__xludf.DUMMYFUNCTION("CONCATENATE(SORT(TRANSPOSE(SPLIT(REGEXREPLACE(REGEXREPLACE(BD118&amp;"""",""(?s)(.{1})"",""$1""&amp;CHAR(127)),""'"",""''""),CHAR(127))),1,true),""1"")"),"acdef1")</f>
        <v>acdef1</v>
      </c>
      <c r="BF118" s="16"/>
      <c r="BG118" s="12" t="str">
        <f t="shared" si="7"/>
        <v>cgfd</v>
      </c>
      <c r="BH118" s="12" t="str">
        <f>IFERROR(__xludf.DUMMYFUNCTION("CONCATENATE(SORT(TRANSPOSE(SPLIT(REGEXREPLACE(REGEXREPLACE(BG118&amp;"""",""(?s)(.{1})"",""$1""&amp;CHAR(127)),""'"",""''""),CHAR(127))),1,true),""1"")"),"cdfg1")</f>
        <v>cdfg1</v>
      </c>
      <c r="BI118" s="16"/>
      <c r="BJ118" s="10" t="str">
        <f>IFERROR(__xludf.DUMMYFUNCTION("FILTER($K118:$T118,len($K118:$T118)=5)"),"agfec")</f>
        <v>agfec</v>
      </c>
      <c r="BK118" s="6" t="str">
        <f>IFERROR(__xludf.DUMMYFUNCTION("""COMPUTED_VALUE"""),"dacef")</f>
        <v>dacef</v>
      </c>
      <c r="BL118" s="6" t="str">
        <f>IFERROR(__xludf.DUMMYFUNCTION("""COMPUTED_VALUE"""),"dfeba")</f>
        <v>dfeba</v>
      </c>
      <c r="BM118" s="14" t="str">
        <f>IFERROR(__xludf.DUMMYFUNCTION("REGEXREPLACE( $BY118, CONCATENATE(""["",BJ118,""]""), """")"),"b")</f>
        <v>b</v>
      </c>
      <c r="BN118" s="14" t="str">
        <f>IFERROR(__xludf.DUMMYFUNCTION("REGEXREPLACE( $BY118, CONCATENATE(""["",BK118,""]""), """")"),"bg")</f>
        <v>bg</v>
      </c>
      <c r="BO118" s="14" t="str">
        <f>IFERROR(__xludf.DUMMYFUNCTION("REGEXREPLACE( $BY118, CONCATENATE(""["",BL118,""]""), """")"),"gc")</f>
        <v>gc</v>
      </c>
      <c r="BP118" s="11" t="str">
        <f t="shared" si="8"/>
        <v>agfec</v>
      </c>
      <c r="BQ118" s="12" t="str">
        <f>IFERROR(__xludf.DUMMYFUNCTION("CONCATENATE(SORT(TRANSPOSE(SPLIT(REGEXREPLACE(REGEXREPLACE(BP118&amp;"""",""(?s)(.{1})"",""$1""&amp;CHAR(127)),""'"",""''""),CHAR(127))),1,true),""1"")"),"acefg1")</f>
        <v>acefg1</v>
      </c>
      <c r="BR118" s="16"/>
      <c r="BS118" s="10" t="str">
        <f>IFERROR(__xludf.DUMMYFUNCTION("FILTER(K118:T118,len(K118:T118)=6)"),"gbaedc")</f>
        <v>gbaedc</v>
      </c>
      <c r="BT118" s="6" t="str">
        <f>IFERROR(__xludf.DUMMYFUNCTION("""COMPUTED_VALUE"""),"efabgc")</f>
        <v>efabgc</v>
      </c>
      <c r="BU118" s="6" t="str">
        <f>IFERROR(__xludf.DUMMYFUNCTION("""COMPUTED_VALUE"""),"aecdfg")</f>
        <v>aecdfg</v>
      </c>
      <c r="BV118" s="6" t="str">
        <f>IFERROR(__xludf.DUMMYFUNCTION("REGEXREPLACE( $AR118, CONCATENATE(""["",BS118,""]""), """")"),"")</f>
        <v/>
      </c>
      <c r="BW118" s="6" t="str">
        <f>IFERROR(__xludf.DUMMYFUNCTION("REGEXREPLACE( $AR118, CONCATENATE(""["",BT118,""]""), """")"),"d")</f>
        <v>d</v>
      </c>
      <c r="BX118" s="6" t="str">
        <f>IFERROR(__xludf.DUMMYFUNCTION("REGEXREPLACE( $AR118, CONCATENATE(""["",BU118,""]""), """")"),"")</f>
        <v/>
      </c>
      <c r="BY118" s="12" t="str">
        <f t="shared" si="9"/>
        <v>efabgc</v>
      </c>
      <c r="BZ118" s="12" t="str">
        <f>IFERROR(__xludf.DUMMYFUNCTION("CONCATENATE(SORT(TRANSPOSE(SPLIT(REGEXREPLACE(REGEXREPLACE(BY118&amp;"""",""(?s)(.{1})"",""$1""&amp;CHAR(127)),""'"",""''""),CHAR(127))),1,true),""1"")"),"abcefg1")</f>
        <v>abcefg1</v>
      </c>
      <c r="CA118" s="16"/>
      <c r="CB118" s="12" t="str">
        <f t="shared" si="10"/>
        <v>dac</v>
      </c>
      <c r="CC118" s="12" t="str">
        <f>IFERROR(__xludf.DUMMYFUNCTION("CONCATENATE(SORT(TRANSPOSE(SPLIT(REGEXREPLACE(REGEXREPLACE(CB118&amp;"""",""(?s)(.{1})"",""$1""&amp;CHAR(127)),""'"",""''""),CHAR(127))),1,true),""1"")"),"acd1")</f>
        <v>acd1</v>
      </c>
      <c r="CD118" s="16"/>
      <c r="CE118" s="12" t="str">
        <f t="shared" si="11"/>
        <v>eafgdcb</v>
      </c>
      <c r="CF118" s="12" t="str">
        <f>IFERROR(__xludf.DUMMYFUNCTION("CONCATENATE(SORT(TRANSPOSE(SPLIT(REGEXREPLACE(REGEXREPLACE(CE118&amp;"""",""(?s)(.{1})"",""$1""&amp;CHAR(127)),""'"",""''""),CHAR(127))),1,true),""1"")"),"abcdefg1")</f>
        <v>abcdefg1</v>
      </c>
      <c r="CG118" s="16"/>
      <c r="CH118" s="10" t="str">
        <f>IFERROR(__xludf.DUMMYFUNCTION("FILTER(K118:T118,len(K118:T118)=6)"),"gbaedc")</f>
        <v>gbaedc</v>
      </c>
      <c r="CI118" s="6" t="str">
        <f>IFERROR(__xludf.DUMMYFUNCTION("""COMPUTED_VALUE"""),"efabgc")</f>
        <v>efabgc</v>
      </c>
      <c r="CJ118" s="6" t="str">
        <f>IFERROR(__xludf.DUMMYFUNCTION("""COMPUTED_VALUE"""),"aecdfg")</f>
        <v>aecdfg</v>
      </c>
      <c r="CK118" s="6" t="str">
        <f>IFERROR(__xludf.DUMMYFUNCTION("REGEXREPLACE( $BG118, CONCATENATE(""["",CH118,""]""), """")"),"f")</f>
        <v>f</v>
      </c>
      <c r="CL118" s="6" t="str">
        <f>IFERROR(__xludf.DUMMYFUNCTION("REGEXREPLACE( $BG118, CONCATENATE(""["",CI118,""]""), """")"),"d")</f>
        <v>d</v>
      </c>
      <c r="CM118" s="6" t="str">
        <f>IFERROR(__xludf.DUMMYFUNCTION("REGEXREPLACE( $BG118, CONCATENATE(""["",CJ118,""]""), """")"),"")</f>
        <v/>
      </c>
      <c r="CN118" s="12" t="str">
        <f t="shared" si="12"/>
        <v>aecdfg</v>
      </c>
      <c r="CO118" s="12" t="str">
        <f>IFERROR(__xludf.DUMMYFUNCTION("CONCATENATE(SORT(TRANSPOSE(SPLIT(REGEXREPLACE(REGEXREPLACE(CN118&amp;"""",""(?s)(.{1})"",""$1""&amp;CHAR(127)),""'"",""''""),CHAR(127))),1,true),""1"")"),"acdefg1")</f>
        <v>acdefg1</v>
      </c>
      <c r="CP118" s="15"/>
    </row>
    <row r="119">
      <c r="A119" s="1" t="s">
        <v>139</v>
      </c>
      <c r="H119" s="6" t="str">
        <f>IFERROR(__xludf.DUMMYFUNCTION("SPLIT(A119,""|"")"),"bdafe dacbgf edcg gedfcb egf eg agbdcfe gbcafe bfcgd fbdeg ")</f>
        <v>bdafe dacbgf edcg gedfcb egf eg agbdcfe gbcafe bfcgd fbdeg </v>
      </c>
      <c r="I119" s="6" t="str">
        <f>IFERROR(__xludf.DUMMYFUNCTION("""COMPUTED_VALUE""")," dfeab abgfced gdec dbfecga")</f>
        <v> dfeab abgfced gdec dbfecga</v>
      </c>
      <c r="J119" s="15"/>
      <c r="K119" s="6" t="str">
        <f>IFERROR(__xludf.DUMMYFUNCTION("split(H119,"" "")"),"bdafe")</f>
        <v>bdafe</v>
      </c>
      <c r="L119" s="6" t="str">
        <f>IFERROR(__xludf.DUMMYFUNCTION("""COMPUTED_VALUE"""),"dacbgf")</f>
        <v>dacbgf</v>
      </c>
      <c r="M119" s="6" t="str">
        <f>IFERROR(__xludf.DUMMYFUNCTION("""COMPUTED_VALUE"""),"edcg")</f>
        <v>edcg</v>
      </c>
      <c r="N119" s="6" t="str">
        <f>IFERROR(__xludf.DUMMYFUNCTION("""COMPUTED_VALUE"""),"gedfcb")</f>
        <v>gedfcb</v>
      </c>
      <c r="O119" s="6" t="str">
        <f>IFERROR(__xludf.DUMMYFUNCTION("""COMPUTED_VALUE"""),"egf")</f>
        <v>egf</v>
      </c>
      <c r="P119" s="6" t="str">
        <f>IFERROR(__xludf.DUMMYFUNCTION("""COMPUTED_VALUE"""),"eg")</f>
        <v>eg</v>
      </c>
      <c r="Q119" s="6" t="str">
        <f>IFERROR(__xludf.DUMMYFUNCTION("""COMPUTED_VALUE"""),"agbdcfe")</f>
        <v>agbdcfe</v>
      </c>
      <c r="R119" s="6" t="str">
        <f>IFERROR(__xludf.DUMMYFUNCTION("""COMPUTED_VALUE"""),"gbcafe")</f>
        <v>gbcafe</v>
      </c>
      <c r="S119" s="6" t="str">
        <f>IFERROR(__xludf.DUMMYFUNCTION("""COMPUTED_VALUE"""),"bfcgd")</f>
        <v>bfcgd</v>
      </c>
      <c r="T119" s="6" t="str">
        <f>IFERROR(__xludf.DUMMYFUNCTION("""COMPUTED_VALUE"""),"fbdeg")</f>
        <v>fbdeg</v>
      </c>
      <c r="U119" s="15"/>
      <c r="V119" s="6" t="str">
        <f>IFERROR(__xludf.DUMMYFUNCTION("split(I119,"" "")"),"dfeab")</f>
        <v>dfeab</v>
      </c>
      <c r="W119" s="6" t="str">
        <f>IFERROR(__xludf.DUMMYFUNCTION("""COMPUTED_VALUE"""),"abgfced")</f>
        <v>abgfced</v>
      </c>
      <c r="X119" s="6" t="str">
        <f>IFERROR(__xludf.DUMMYFUNCTION("""COMPUTED_VALUE"""),"gdec")</f>
        <v>gdec</v>
      </c>
      <c r="Y119" s="6" t="str">
        <f>IFERROR(__xludf.DUMMYFUNCTION("""COMPUTED_VALUE"""),"dbfecga")</f>
        <v>dbfecga</v>
      </c>
      <c r="Z119" s="6" t="str">
        <f>IFERROR(__xludf.DUMMYFUNCTION("CONCATENATE(SORT(TRANSPOSE(SPLIT(REGEXREPLACE(REGEXREPLACE(V119&amp;"""",""(?s)(.{1})"",""$1""&amp;CHAR(127)),""'"",""''""),CHAR(127))),1,true))"),"abdef")</f>
        <v>abdef</v>
      </c>
      <c r="AA119" s="6" t="str">
        <f>IFERROR(__xludf.DUMMYFUNCTION("CONCATENATE(SORT(TRANSPOSE(SPLIT(REGEXREPLACE(REGEXREPLACE(W119&amp;"""",""(?s)(.{1})"",""$1""&amp;CHAR(127)),""'"",""''""),CHAR(127))),1,true))"),"abcdefg")</f>
        <v>abcdefg</v>
      </c>
      <c r="AB119" s="6" t="str">
        <f>IFERROR(__xludf.DUMMYFUNCTION("CONCATENATE(SORT(TRANSPOSE(SPLIT(REGEXREPLACE(REGEXREPLACE(X119&amp;"""",""(?s)(.{1})"",""$1""&amp;CHAR(127)),""'"",""''""),CHAR(127))),1,true))"),"cdeg")</f>
        <v>cdeg</v>
      </c>
      <c r="AC119" s="6" t="str">
        <f>IFERROR(__xludf.DUMMYFUNCTION("CONCATENATE(SORT(TRANSPOSE(SPLIT(REGEXREPLACE(REGEXREPLACE(Y119&amp;"""",""(?s)(.{1})"",""$1""&amp;CHAR(127)),""'"",""''""),CHAR(127))),1,true))"),"abcdefg")</f>
        <v>abcdefg</v>
      </c>
      <c r="AD119" s="6">
        <f t="shared" ref="AD119:AG119" si="129">INDEX($AO$1:$CP$1,1,MATCH(CONCATENATE(Z119,"1"),$AO119:$CP119,0)+1)</f>
        <v>2</v>
      </c>
      <c r="AE119" s="6">
        <f t="shared" si="129"/>
        <v>8</v>
      </c>
      <c r="AF119" s="6">
        <f t="shared" si="129"/>
        <v>4</v>
      </c>
      <c r="AG119" s="6">
        <f t="shared" si="129"/>
        <v>8</v>
      </c>
      <c r="AH119" s="6">
        <f t="shared" si="3"/>
        <v>2848</v>
      </c>
      <c r="AI119" s="16"/>
      <c r="AJ119" s="9" t="str">
        <f>IFERROR(__xludf.DUMMYFUNCTION("REGEXREPLACE(AR119,CONCATENATE(""["",BY119,""]""),"""")"),"e")</f>
        <v>e</v>
      </c>
      <c r="AK119" s="10" t="str">
        <f>IFERROR(__xludf.DUMMYFUNCTION("FILTER($K119:$T119,len($K119:$T119)=6,NOT($K119:$T119=BY119))"),"gedfcb")</f>
        <v>gedfcb</v>
      </c>
      <c r="AL119" s="6" t="str">
        <f>IFERROR(__xludf.DUMMYFUNCTION("""COMPUTED_VALUE"""),"gbcafe")</f>
        <v>gbcafe</v>
      </c>
      <c r="AM119" s="6" t="str">
        <f>IFERROR(__xludf.DUMMYFUNCTION("REGEXREPLACE( $BG119, CONCATENATE(""["",AK119,""]""), """")"),"")</f>
        <v/>
      </c>
      <c r="AN119" s="6" t="str">
        <f>IFERROR(__xludf.DUMMYFUNCTION("REGEXREPLACE( $BG119, CONCATENATE(""["",AL119,""]""), """")"),"d")</f>
        <v>d</v>
      </c>
      <c r="AO119" s="11" t="str">
        <f t="shared" si="4"/>
        <v>gbcafe</v>
      </c>
      <c r="AP119" s="12" t="str">
        <f>IFERROR(__xludf.DUMMYFUNCTION("CONCATENATE(SORT(TRANSPOSE(SPLIT(REGEXREPLACE(REGEXREPLACE(AO119&amp;"""",""(?s)(.{1})"",""$1""&amp;CHAR(127)),""'"",""''""),CHAR(127))),1,true),""1"")"),"abcefg1")</f>
        <v>abcefg1</v>
      </c>
      <c r="AQ119" s="16"/>
      <c r="AR119" s="12" t="str">
        <f t="shared" si="5"/>
        <v>eg</v>
      </c>
      <c r="AS119" s="12" t="str">
        <f>IFERROR(__xludf.DUMMYFUNCTION("CONCATENATE(SORT(TRANSPOSE(SPLIT(REGEXREPLACE(REGEXREPLACE(AR119&amp;"""",""(?s)(.{1})"",""$1""&amp;CHAR(127)),""'"",""''""),CHAR(127))),1,true),""1"")"),"eg1")</f>
        <v>eg1</v>
      </c>
      <c r="AT119" s="16"/>
      <c r="AU119" s="13" t="str">
        <f>IFERROR(__xludf.DUMMYFUNCTION("FILTER($K119:$T119,len($K119:$T119)=5,NOT($K119:$T119=BD119),NOT($K119:$T119=BP119))"),"bdafe")</f>
        <v>bdafe</v>
      </c>
      <c r="AV119" s="12" t="str">
        <f>IFERROR(__xludf.DUMMYFUNCTION("CONCATENATE(SORT(TRANSPOSE(SPLIT(REGEXREPLACE(REGEXREPLACE(AU119&amp;"""",""(?s)(.{1})"",""$1""&amp;CHAR(127)),""'"",""''""),CHAR(127))),1,true),""1"")"),"abdef1")</f>
        <v>abdef1</v>
      </c>
      <c r="AW119" s="16"/>
      <c r="AX119" s="10" t="str">
        <f>IFERROR(__xludf.DUMMYFUNCTION("FILTER($K119:$T119,len($K119:$T119)=5)"),"bdafe")</f>
        <v>bdafe</v>
      </c>
      <c r="AY119" s="6" t="str">
        <f>IFERROR(__xludf.DUMMYFUNCTION("""COMPUTED_VALUE"""),"bfcgd")</f>
        <v>bfcgd</v>
      </c>
      <c r="AZ119" s="6" t="str">
        <f>IFERROR(__xludf.DUMMYFUNCTION("""COMPUTED_VALUE"""),"fbdeg")</f>
        <v>fbdeg</v>
      </c>
      <c r="BA119" s="6" t="str">
        <f>IFERROR(__xludf.DUMMYFUNCTION("REGEXREPLACE( $AR119, CONCATENATE(""["",AX119,""]""), """")"),"g")</f>
        <v>g</v>
      </c>
      <c r="BB119" s="6" t="str">
        <f>IFERROR(__xludf.DUMMYFUNCTION("REGEXREPLACE( $AR119, CONCATENATE(""["",AY119,""]""), """")"),"e")</f>
        <v>e</v>
      </c>
      <c r="BC119" s="6" t="str">
        <f>IFERROR(__xludf.DUMMYFUNCTION("REGEXREPLACE( $AR119, CONCATENATE(""["",AZ119,""]""), """")"),"")</f>
        <v/>
      </c>
      <c r="BD119" s="11" t="str">
        <f t="shared" si="6"/>
        <v>fbdeg</v>
      </c>
      <c r="BE119" s="12" t="str">
        <f>IFERROR(__xludf.DUMMYFUNCTION("CONCATENATE(SORT(TRANSPOSE(SPLIT(REGEXREPLACE(REGEXREPLACE(BD119&amp;"""",""(?s)(.{1})"",""$1""&amp;CHAR(127)),""'"",""''""),CHAR(127))),1,true),""1"")"),"bdefg1")</f>
        <v>bdefg1</v>
      </c>
      <c r="BF119" s="16"/>
      <c r="BG119" s="12" t="str">
        <f t="shared" si="7"/>
        <v>edcg</v>
      </c>
      <c r="BH119" s="12" t="str">
        <f>IFERROR(__xludf.DUMMYFUNCTION("CONCATENATE(SORT(TRANSPOSE(SPLIT(REGEXREPLACE(REGEXREPLACE(BG119&amp;"""",""(?s)(.{1})"",""$1""&amp;CHAR(127)),""'"",""''""),CHAR(127))),1,true),""1"")"),"cdeg1")</f>
        <v>cdeg1</v>
      </c>
      <c r="BI119" s="16"/>
      <c r="BJ119" s="10" t="str">
        <f>IFERROR(__xludf.DUMMYFUNCTION("FILTER($K119:$T119,len($K119:$T119)=5)"),"bdafe")</f>
        <v>bdafe</v>
      </c>
      <c r="BK119" s="6" t="str">
        <f>IFERROR(__xludf.DUMMYFUNCTION("""COMPUTED_VALUE"""),"bfcgd")</f>
        <v>bfcgd</v>
      </c>
      <c r="BL119" s="6" t="str">
        <f>IFERROR(__xludf.DUMMYFUNCTION("""COMPUTED_VALUE"""),"fbdeg")</f>
        <v>fbdeg</v>
      </c>
      <c r="BM119" s="14" t="str">
        <f>IFERROR(__xludf.DUMMYFUNCTION("REGEXREPLACE( $BY119, CONCATENATE(""["",BJ119,""]""), """")"),"cg")</f>
        <v>cg</v>
      </c>
      <c r="BN119" s="14" t="str">
        <f>IFERROR(__xludf.DUMMYFUNCTION("REGEXREPLACE( $BY119, CONCATENATE(""["",BK119,""]""), """")"),"a")</f>
        <v>a</v>
      </c>
      <c r="BO119" s="14" t="str">
        <f>IFERROR(__xludf.DUMMYFUNCTION("REGEXREPLACE( $BY119, CONCATENATE(""["",BL119,""]""), """")"),"ac")</f>
        <v>ac</v>
      </c>
      <c r="BP119" s="11" t="str">
        <f t="shared" si="8"/>
        <v>bfcgd</v>
      </c>
      <c r="BQ119" s="12" t="str">
        <f>IFERROR(__xludf.DUMMYFUNCTION("CONCATENATE(SORT(TRANSPOSE(SPLIT(REGEXREPLACE(REGEXREPLACE(BP119&amp;"""",""(?s)(.{1})"",""$1""&amp;CHAR(127)),""'"",""''""),CHAR(127))),1,true),""1"")"),"bcdfg1")</f>
        <v>bcdfg1</v>
      </c>
      <c r="BR119" s="16"/>
      <c r="BS119" s="10" t="str">
        <f>IFERROR(__xludf.DUMMYFUNCTION("FILTER(K119:T119,len(K119:T119)=6)"),"dacbgf")</f>
        <v>dacbgf</v>
      </c>
      <c r="BT119" s="6" t="str">
        <f>IFERROR(__xludf.DUMMYFUNCTION("""COMPUTED_VALUE"""),"gedfcb")</f>
        <v>gedfcb</v>
      </c>
      <c r="BU119" s="6" t="str">
        <f>IFERROR(__xludf.DUMMYFUNCTION("""COMPUTED_VALUE"""),"gbcafe")</f>
        <v>gbcafe</v>
      </c>
      <c r="BV119" s="6" t="str">
        <f>IFERROR(__xludf.DUMMYFUNCTION("REGEXREPLACE( $AR119, CONCATENATE(""["",BS119,""]""), """")"),"e")</f>
        <v>e</v>
      </c>
      <c r="BW119" s="6" t="str">
        <f>IFERROR(__xludf.DUMMYFUNCTION("REGEXREPLACE( $AR119, CONCATENATE(""["",BT119,""]""), """")"),"")</f>
        <v/>
      </c>
      <c r="BX119" s="6" t="str">
        <f>IFERROR(__xludf.DUMMYFUNCTION("REGEXREPLACE( $AR119, CONCATENATE(""["",BU119,""]""), """")"),"")</f>
        <v/>
      </c>
      <c r="BY119" s="12" t="str">
        <f t="shared" si="9"/>
        <v>dacbgf</v>
      </c>
      <c r="BZ119" s="12" t="str">
        <f>IFERROR(__xludf.DUMMYFUNCTION("CONCATENATE(SORT(TRANSPOSE(SPLIT(REGEXREPLACE(REGEXREPLACE(BY119&amp;"""",""(?s)(.{1})"",""$1""&amp;CHAR(127)),""'"",""''""),CHAR(127))),1,true),""1"")"),"abcdfg1")</f>
        <v>abcdfg1</v>
      </c>
      <c r="CA119" s="16"/>
      <c r="CB119" s="12" t="str">
        <f t="shared" si="10"/>
        <v>egf</v>
      </c>
      <c r="CC119" s="12" t="str">
        <f>IFERROR(__xludf.DUMMYFUNCTION("CONCATENATE(SORT(TRANSPOSE(SPLIT(REGEXREPLACE(REGEXREPLACE(CB119&amp;"""",""(?s)(.{1})"",""$1""&amp;CHAR(127)),""'"",""''""),CHAR(127))),1,true),""1"")"),"efg1")</f>
        <v>efg1</v>
      </c>
      <c r="CD119" s="16"/>
      <c r="CE119" s="12" t="str">
        <f t="shared" si="11"/>
        <v>agbdcfe</v>
      </c>
      <c r="CF119" s="12" t="str">
        <f>IFERROR(__xludf.DUMMYFUNCTION("CONCATENATE(SORT(TRANSPOSE(SPLIT(REGEXREPLACE(REGEXREPLACE(CE119&amp;"""",""(?s)(.{1})"",""$1""&amp;CHAR(127)),""'"",""''""),CHAR(127))),1,true),""1"")"),"abcdefg1")</f>
        <v>abcdefg1</v>
      </c>
      <c r="CG119" s="16"/>
      <c r="CH119" s="10" t="str">
        <f>IFERROR(__xludf.DUMMYFUNCTION("FILTER(K119:T119,len(K119:T119)=6)"),"dacbgf")</f>
        <v>dacbgf</v>
      </c>
      <c r="CI119" s="6" t="str">
        <f>IFERROR(__xludf.DUMMYFUNCTION("""COMPUTED_VALUE"""),"gedfcb")</f>
        <v>gedfcb</v>
      </c>
      <c r="CJ119" s="6" t="str">
        <f>IFERROR(__xludf.DUMMYFUNCTION("""COMPUTED_VALUE"""),"gbcafe")</f>
        <v>gbcafe</v>
      </c>
      <c r="CK119" s="6" t="str">
        <f>IFERROR(__xludf.DUMMYFUNCTION("REGEXREPLACE( $BG119, CONCATENATE(""["",CH119,""]""), """")"),"e")</f>
        <v>e</v>
      </c>
      <c r="CL119" s="6" t="str">
        <f>IFERROR(__xludf.DUMMYFUNCTION("REGEXREPLACE( $BG119, CONCATENATE(""["",CI119,""]""), """")"),"")</f>
        <v/>
      </c>
      <c r="CM119" s="6" t="str">
        <f>IFERROR(__xludf.DUMMYFUNCTION("REGEXREPLACE( $BG119, CONCATENATE(""["",CJ119,""]""), """")"),"d")</f>
        <v>d</v>
      </c>
      <c r="CN119" s="12" t="str">
        <f t="shared" si="12"/>
        <v>gedfcb</v>
      </c>
      <c r="CO119" s="12" t="str">
        <f>IFERROR(__xludf.DUMMYFUNCTION("CONCATENATE(SORT(TRANSPOSE(SPLIT(REGEXREPLACE(REGEXREPLACE(CN119&amp;"""",""(?s)(.{1})"",""$1""&amp;CHAR(127)),""'"",""''""),CHAR(127))),1,true),""1"")"),"bcdefg1")</f>
        <v>bcdefg1</v>
      </c>
      <c r="CP119" s="15"/>
    </row>
    <row r="120">
      <c r="A120" s="1" t="s">
        <v>140</v>
      </c>
      <c r="H120" s="6" t="str">
        <f>IFERROR(__xludf.DUMMYFUNCTION("SPLIT(A120,""|"")"),"abgfc becgfa cadbfg fega cef fegbc dbeacf abgdefc ef cbedg ")</f>
        <v>abgfc becgfa cadbfg fega cef fegbc dbeacf abgdefc ef cbedg </v>
      </c>
      <c r="I120" s="6" t="str">
        <f>IFERROR(__xludf.DUMMYFUNCTION("""COMPUTED_VALUE""")," abfcdg acefbg bcaefg cef")</f>
        <v> abfcdg acefbg bcaefg cef</v>
      </c>
      <c r="J120" s="15"/>
      <c r="K120" s="6" t="str">
        <f>IFERROR(__xludf.DUMMYFUNCTION("split(H120,"" "")"),"abgfc")</f>
        <v>abgfc</v>
      </c>
      <c r="L120" s="6" t="str">
        <f>IFERROR(__xludf.DUMMYFUNCTION("""COMPUTED_VALUE"""),"becgfa")</f>
        <v>becgfa</v>
      </c>
      <c r="M120" s="6" t="str">
        <f>IFERROR(__xludf.DUMMYFUNCTION("""COMPUTED_VALUE"""),"cadbfg")</f>
        <v>cadbfg</v>
      </c>
      <c r="N120" s="6" t="str">
        <f>IFERROR(__xludf.DUMMYFUNCTION("""COMPUTED_VALUE"""),"fega")</f>
        <v>fega</v>
      </c>
      <c r="O120" s="6" t="str">
        <f>IFERROR(__xludf.DUMMYFUNCTION("""COMPUTED_VALUE"""),"cef")</f>
        <v>cef</v>
      </c>
      <c r="P120" s="6" t="str">
        <f>IFERROR(__xludf.DUMMYFUNCTION("""COMPUTED_VALUE"""),"fegbc")</f>
        <v>fegbc</v>
      </c>
      <c r="Q120" s="6" t="str">
        <f>IFERROR(__xludf.DUMMYFUNCTION("""COMPUTED_VALUE"""),"dbeacf")</f>
        <v>dbeacf</v>
      </c>
      <c r="R120" s="6" t="str">
        <f>IFERROR(__xludf.DUMMYFUNCTION("""COMPUTED_VALUE"""),"abgdefc")</f>
        <v>abgdefc</v>
      </c>
      <c r="S120" s="6" t="str">
        <f>IFERROR(__xludf.DUMMYFUNCTION("""COMPUTED_VALUE"""),"ef")</f>
        <v>ef</v>
      </c>
      <c r="T120" s="6" t="str">
        <f>IFERROR(__xludf.DUMMYFUNCTION("""COMPUTED_VALUE"""),"cbedg")</f>
        <v>cbedg</v>
      </c>
      <c r="U120" s="15"/>
      <c r="V120" s="6" t="str">
        <f>IFERROR(__xludf.DUMMYFUNCTION("split(I120,"" "")"),"abfcdg")</f>
        <v>abfcdg</v>
      </c>
      <c r="W120" s="6" t="str">
        <f>IFERROR(__xludf.DUMMYFUNCTION("""COMPUTED_VALUE"""),"acefbg")</f>
        <v>acefbg</v>
      </c>
      <c r="X120" s="6" t="str">
        <f>IFERROR(__xludf.DUMMYFUNCTION("""COMPUTED_VALUE"""),"bcaefg")</f>
        <v>bcaefg</v>
      </c>
      <c r="Y120" s="6" t="str">
        <f>IFERROR(__xludf.DUMMYFUNCTION("""COMPUTED_VALUE"""),"cef")</f>
        <v>cef</v>
      </c>
      <c r="Z120" s="6" t="str">
        <f>IFERROR(__xludf.DUMMYFUNCTION("CONCATENATE(SORT(TRANSPOSE(SPLIT(REGEXREPLACE(REGEXREPLACE(V120&amp;"""",""(?s)(.{1})"",""$1""&amp;CHAR(127)),""'"",""''""),CHAR(127))),1,true))"),"abcdfg")</f>
        <v>abcdfg</v>
      </c>
      <c r="AA120" s="6" t="str">
        <f>IFERROR(__xludf.DUMMYFUNCTION("CONCATENATE(SORT(TRANSPOSE(SPLIT(REGEXREPLACE(REGEXREPLACE(W120&amp;"""",""(?s)(.{1})"",""$1""&amp;CHAR(127)),""'"",""''""),CHAR(127))),1,true))"),"abcefg")</f>
        <v>abcefg</v>
      </c>
      <c r="AB120" s="6" t="str">
        <f>IFERROR(__xludf.DUMMYFUNCTION("CONCATENATE(SORT(TRANSPOSE(SPLIT(REGEXREPLACE(REGEXREPLACE(X120&amp;"""",""(?s)(.{1})"",""$1""&amp;CHAR(127)),""'"",""''""),CHAR(127))),1,true))"),"abcefg")</f>
        <v>abcefg</v>
      </c>
      <c r="AC120" s="6" t="str">
        <f>IFERROR(__xludf.DUMMYFUNCTION("CONCATENATE(SORT(TRANSPOSE(SPLIT(REGEXREPLACE(REGEXREPLACE(Y120&amp;"""",""(?s)(.{1})"",""$1""&amp;CHAR(127)),""'"",""''""),CHAR(127))),1,true))"),"cef")</f>
        <v>cef</v>
      </c>
      <c r="AD120" s="6">
        <f t="shared" ref="AD120:AG120" si="130">INDEX($AO$1:$CP$1,1,MATCH(CONCATENATE(Z120,"1"),$AO120:$CP120,0)+1)</f>
        <v>6</v>
      </c>
      <c r="AE120" s="6">
        <f t="shared" si="130"/>
        <v>9</v>
      </c>
      <c r="AF120" s="6">
        <f t="shared" si="130"/>
        <v>9</v>
      </c>
      <c r="AG120" s="6">
        <f t="shared" si="130"/>
        <v>7</v>
      </c>
      <c r="AH120" s="6">
        <f t="shared" si="3"/>
        <v>6997</v>
      </c>
      <c r="AI120" s="16"/>
      <c r="AJ120" s="9" t="str">
        <f>IFERROR(__xludf.DUMMYFUNCTION("REGEXREPLACE(AR120,CONCATENATE(""["",BY120,""]""),"""")"),"e")</f>
        <v>e</v>
      </c>
      <c r="AK120" s="10" t="str">
        <f>IFERROR(__xludf.DUMMYFUNCTION("FILTER($K120:$T120,len($K120:$T120)=6,NOT($K120:$T120=BY120))"),"becgfa")</f>
        <v>becgfa</v>
      </c>
      <c r="AL120" s="6" t="str">
        <f>IFERROR(__xludf.DUMMYFUNCTION("""COMPUTED_VALUE"""),"dbeacf")</f>
        <v>dbeacf</v>
      </c>
      <c r="AM120" s="6" t="str">
        <f>IFERROR(__xludf.DUMMYFUNCTION("REGEXREPLACE( $BG120, CONCATENATE(""["",AK120,""]""), """")"),"")</f>
        <v/>
      </c>
      <c r="AN120" s="6" t="str">
        <f>IFERROR(__xludf.DUMMYFUNCTION("REGEXREPLACE( $BG120, CONCATENATE(""["",AL120,""]""), """")"),"g")</f>
        <v>g</v>
      </c>
      <c r="AO120" s="11" t="str">
        <f t="shared" si="4"/>
        <v>dbeacf</v>
      </c>
      <c r="AP120" s="12" t="str">
        <f>IFERROR(__xludf.DUMMYFUNCTION("CONCATENATE(SORT(TRANSPOSE(SPLIT(REGEXREPLACE(REGEXREPLACE(AO120&amp;"""",""(?s)(.{1})"",""$1""&amp;CHAR(127)),""'"",""''""),CHAR(127))),1,true),""1"")"),"abcdef1")</f>
        <v>abcdef1</v>
      </c>
      <c r="AQ120" s="16"/>
      <c r="AR120" s="12" t="str">
        <f t="shared" si="5"/>
        <v>ef</v>
      </c>
      <c r="AS120" s="12" t="str">
        <f>IFERROR(__xludf.DUMMYFUNCTION("CONCATENATE(SORT(TRANSPOSE(SPLIT(REGEXREPLACE(REGEXREPLACE(AR120&amp;"""",""(?s)(.{1})"",""$1""&amp;CHAR(127)),""'"",""''""),CHAR(127))),1,true),""1"")"),"ef1")</f>
        <v>ef1</v>
      </c>
      <c r="AT120" s="16"/>
      <c r="AU120" s="13" t="str">
        <f>IFERROR(__xludf.DUMMYFUNCTION("FILTER($K120:$T120,len($K120:$T120)=5,NOT($K120:$T120=BD120),NOT($K120:$T120=BP120))"),"cbedg")</f>
        <v>cbedg</v>
      </c>
      <c r="AV120" s="12" t="str">
        <f>IFERROR(__xludf.DUMMYFUNCTION("CONCATENATE(SORT(TRANSPOSE(SPLIT(REGEXREPLACE(REGEXREPLACE(AU120&amp;"""",""(?s)(.{1})"",""$1""&amp;CHAR(127)),""'"",""''""),CHAR(127))),1,true),""1"")"),"bcdeg1")</f>
        <v>bcdeg1</v>
      </c>
      <c r="AW120" s="16"/>
      <c r="AX120" s="10" t="str">
        <f>IFERROR(__xludf.DUMMYFUNCTION("FILTER($K120:$T120,len($K120:$T120)=5)"),"abgfc")</f>
        <v>abgfc</v>
      </c>
      <c r="AY120" s="6" t="str">
        <f>IFERROR(__xludf.DUMMYFUNCTION("""COMPUTED_VALUE"""),"fegbc")</f>
        <v>fegbc</v>
      </c>
      <c r="AZ120" s="6" t="str">
        <f>IFERROR(__xludf.DUMMYFUNCTION("""COMPUTED_VALUE"""),"cbedg")</f>
        <v>cbedg</v>
      </c>
      <c r="BA120" s="6" t="str">
        <f>IFERROR(__xludf.DUMMYFUNCTION("REGEXREPLACE( $AR120, CONCATENATE(""["",AX120,""]""), """")"),"e")</f>
        <v>e</v>
      </c>
      <c r="BB120" s="6" t="str">
        <f>IFERROR(__xludf.DUMMYFUNCTION("REGEXREPLACE( $AR120, CONCATENATE(""["",AY120,""]""), """")"),"")</f>
        <v/>
      </c>
      <c r="BC120" s="6" t="str">
        <f>IFERROR(__xludf.DUMMYFUNCTION("REGEXREPLACE( $AR120, CONCATENATE(""["",AZ120,""]""), """")"),"f")</f>
        <v>f</v>
      </c>
      <c r="BD120" s="11" t="str">
        <f t="shared" si="6"/>
        <v>fegbc</v>
      </c>
      <c r="BE120" s="12" t="str">
        <f>IFERROR(__xludf.DUMMYFUNCTION("CONCATENATE(SORT(TRANSPOSE(SPLIT(REGEXREPLACE(REGEXREPLACE(BD120&amp;"""",""(?s)(.{1})"",""$1""&amp;CHAR(127)),""'"",""''""),CHAR(127))),1,true),""1"")"),"bcefg1")</f>
        <v>bcefg1</v>
      </c>
      <c r="BF120" s="16"/>
      <c r="BG120" s="12" t="str">
        <f t="shared" si="7"/>
        <v>fega</v>
      </c>
      <c r="BH120" s="12" t="str">
        <f>IFERROR(__xludf.DUMMYFUNCTION("CONCATENATE(SORT(TRANSPOSE(SPLIT(REGEXREPLACE(REGEXREPLACE(BG120&amp;"""",""(?s)(.{1})"",""$1""&amp;CHAR(127)),""'"",""''""),CHAR(127))),1,true),""1"")"),"aefg1")</f>
        <v>aefg1</v>
      </c>
      <c r="BI120" s="16"/>
      <c r="BJ120" s="10" t="str">
        <f>IFERROR(__xludf.DUMMYFUNCTION("FILTER($K120:$T120,len($K120:$T120)=5)"),"abgfc")</f>
        <v>abgfc</v>
      </c>
      <c r="BK120" s="6" t="str">
        <f>IFERROR(__xludf.DUMMYFUNCTION("""COMPUTED_VALUE"""),"fegbc")</f>
        <v>fegbc</v>
      </c>
      <c r="BL120" s="6" t="str">
        <f>IFERROR(__xludf.DUMMYFUNCTION("""COMPUTED_VALUE"""),"cbedg")</f>
        <v>cbedg</v>
      </c>
      <c r="BM120" s="14" t="str">
        <f>IFERROR(__xludf.DUMMYFUNCTION("REGEXREPLACE( $BY120, CONCATENATE(""["",BJ120,""]""), """")"),"d")</f>
        <v>d</v>
      </c>
      <c r="BN120" s="14" t="str">
        <f>IFERROR(__xludf.DUMMYFUNCTION("REGEXREPLACE( $BY120, CONCATENATE(""["",BK120,""]""), """")"),"ad")</f>
        <v>ad</v>
      </c>
      <c r="BO120" s="14" t="str">
        <f>IFERROR(__xludf.DUMMYFUNCTION("REGEXREPLACE( $BY120, CONCATENATE(""["",BL120,""]""), """")"),"af")</f>
        <v>af</v>
      </c>
      <c r="BP120" s="11" t="str">
        <f t="shared" si="8"/>
        <v>abgfc</v>
      </c>
      <c r="BQ120" s="12" t="str">
        <f>IFERROR(__xludf.DUMMYFUNCTION("CONCATENATE(SORT(TRANSPOSE(SPLIT(REGEXREPLACE(REGEXREPLACE(BP120&amp;"""",""(?s)(.{1})"",""$1""&amp;CHAR(127)),""'"",""''""),CHAR(127))),1,true),""1"")"),"abcfg1")</f>
        <v>abcfg1</v>
      </c>
      <c r="BR120" s="16"/>
      <c r="BS120" s="10" t="str">
        <f>IFERROR(__xludf.DUMMYFUNCTION("FILTER(K120:T120,len(K120:T120)=6)"),"becgfa")</f>
        <v>becgfa</v>
      </c>
      <c r="BT120" s="6" t="str">
        <f>IFERROR(__xludf.DUMMYFUNCTION("""COMPUTED_VALUE"""),"cadbfg")</f>
        <v>cadbfg</v>
      </c>
      <c r="BU120" s="6" t="str">
        <f>IFERROR(__xludf.DUMMYFUNCTION("""COMPUTED_VALUE"""),"dbeacf")</f>
        <v>dbeacf</v>
      </c>
      <c r="BV120" s="6" t="str">
        <f>IFERROR(__xludf.DUMMYFUNCTION("REGEXREPLACE( $AR120, CONCATENATE(""["",BS120,""]""), """")"),"")</f>
        <v/>
      </c>
      <c r="BW120" s="6" t="str">
        <f>IFERROR(__xludf.DUMMYFUNCTION("REGEXREPLACE( $AR120, CONCATENATE(""["",BT120,""]""), """")"),"e")</f>
        <v>e</v>
      </c>
      <c r="BX120" s="6" t="str">
        <f>IFERROR(__xludf.DUMMYFUNCTION("REGEXREPLACE( $AR120, CONCATENATE(""["",BU120,""]""), """")"),"")</f>
        <v/>
      </c>
      <c r="BY120" s="12" t="str">
        <f t="shared" si="9"/>
        <v>cadbfg</v>
      </c>
      <c r="BZ120" s="12" t="str">
        <f>IFERROR(__xludf.DUMMYFUNCTION("CONCATENATE(SORT(TRANSPOSE(SPLIT(REGEXREPLACE(REGEXREPLACE(BY120&amp;"""",""(?s)(.{1})"",""$1""&amp;CHAR(127)),""'"",""''""),CHAR(127))),1,true),""1"")"),"abcdfg1")</f>
        <v>abcdfg1</v>
      </c>
      <c r="CA120" s="16"/>
      <c r="CB120" s="12" t="str">
        <f t="shared" si="10"/>
        <v>cef</v>
      </c>
      <c r="CC120" s="12" t="str">
        <f>IFERROR(__xludf.DUMMYFUNCTION("CONCATENATE(SORT(TRANSPOSE(SPLIT(REGEXREPLACE(REGEXREPLACE(CB120&amp;"""",""(?s)(.{1})"",""$1""&amp;CHAR(127)),""'"",""''""),CHAR(127))),1,true),""1"")"),"cef1")</f>
        <v>cef1</v>
      </c>
      <c r="CD120" s="16"/>
      <c r="CE120" s="12" t="str">
        <f t="shared" si="11"/>
        <v>abgdefc</v>
      </c>
      <c r="CF120" s="12" t="str">
        <f>IFERROR(__xludf.DUMMYFUNCTION("CONCATENATE(SORT(TRANSPOSE(SPLIT(REGEXREPLACE(REGEXREPLACE(CE120&amp;"""",""(?s)(.{1})"",""$1""&amp;CHAR(127)),""'"",""''""),CHAR(127))),1,true),""1"")"),"abcdefg1")</f>
        <v>abcdefg1</v>
      </c>
      <c r="CG120" s="16"/>
      <c r="CH120" s="10" t="str">
        <f>IFERROR(__xludf.DUMMYFUNCTION("FILTER(K120:T120,len(K120:T120)=6)"),"becgfa")</f>
        <v>becgfa</v>
      </c>
      <c r="CI120" s="6" t="str">
        <f>IFERROR(__xludf.DUMMYFUNCTION("""COMPUTED_VALUE"""),"cadbfg")</f>
        <v>cadbfg</v>
      </c>
      <c r="CJ120" s="6" t="str">
        <f>IFERROR(__xludf.DUMMYFUNCTION("""COMPUTED_VALUE"""),"dbeacf")</f>
        <v>dbeacf</v>
      </c>
      <c r="CK120" s="6" t="str">
        <f>IFERROR(__xludf.DUMMYFUNCTION("REGEXREPLACE( $BG120, CONCATENATE(""["",CH120,""]""), """")"),"")</f>
        <v/>
      </c>
      <c r="CL120" s="6" t="str">
        <f>IFERROR(__xludf.DUMMYFUNCTION("REGEXREPLACE( $BG120, CONCATENATE(""["",CI120,""]""), """")"),"e")</f>
        <v>e</v>
      </c>
      <c r="CM120" s="6" t="str">
        <f>IFERROR(__xludf.DUMMYFUNCTION("REGEXREPLACE( $BG120, CONCATENATE(""["",CJ120,""]""), """")"),"g")</f>
        <v>g</v>
      </c>
      <c r="CN120" s="12" t="str">
        <f t="shared" si="12"/>
        <v>becgfa</v>
      </c>
      <c r="CO120" s="12" t="str">
        <f>IFERROR(__xludf.DUMMYFUNCTION("CONCATENATE(SORT(TRANSPOSE(SPLIT(REGEXREPLACE(REGEXREPLACE(CN120&amp;"""",""(?s)(.{1})"",""$1""&amp;CHAR(127)),""'"",""''""),CHAR(127))),1,true),""1"")"),"abcefg1")</f>
        <v>abcefg1</v>
      </c>
      <c r="CP120" s="15"/>
    </row>
    <row r="121">
      <c r="A121" s="1" t="s">
        <v>141</v>
      </c>
      <c r="H121" s="6" t="str">
        <f>IFERROR(__xludf.DUMMYFUNCTION("SPLIT(A121,""|"")"),"adcfe dgec ecdgaf cgfbead eg fdbcea degfa eag cfgeab dbagf ")</f>
        <v>adcfe dgec ecdgaf cgfbead eg fdbcea degfa eag cfgeab dbagf </v>
      </c>
      <c r="I121" s="6" t="str">
        <f>IFERROR(__xludf.DUMMYFUNCTION("""COMPUTED_VALUE""")," ge edgc fgecbda dcbafe")</f>
        <v> ge edgc fgecbda dcbafe</v>
      </c>
      <c r="J121" s="15"/>
      <c r="K121" s="6" t="str">
        <f>IFERROR(__xludf.DUMMYFUNCTION("split(H121,"" "")"),"adcfe")</f>
        <v>adcfe</v>
      </c>
      <c r="L121" s="6" t="str">
        <f>IFERROR(__xludf.DUMMYFUNCTION("""COMPUTED_VALUE"""),"dgec")</f>
        <v>dgec</v>
      </c>
      <c r="M121" s="6" t="str">
        <f>IFERROR(__xludf.DUMMYFUNCTION("""COMPUTED_VALUE"""),"ecdgaf")</f>
        <v>ecdgaf</v>
      </c>
      <c r="N121" s="6" t="str">
        <f>IFERROR(__xludf.DUMMYFUNCTION("""COMPUTED_VALUE"""),"cgfbead")</f>
        <v>cgfbead</v>
      </c>
      <c r="O121" s="6" t="str">
        <f>IFERROR(__xludf.DUMMYFUNCTION("""COMPUTED_VALUE"""),"eg")</f>
        <v>eg</v>
      </c>
      <c r="P121" s="6" t="str">
        <f>IFERROR(__xludf.DUMMYFUNCTION("""COMPUTED_VALUE"""),"fdbcea")</f>
        <v>fdbcea</v>
      </c>
      <c r="Q121" s="6" t="str">
        <f>IFERROR(__xludf.DUMMYFUNCTION("""COMPUTED_VALUE"""),"degfa")</f>
        <v>degfa</v>
      </c>
      <c r="R121" s="6" t="str">
        <f>IFERROR(__xludf.DUMMYFUNCTION("""COMPUTED_VALUE"""),"eag")</f>
        <v>eag</v>
      </c>
      <c r="S121" s="6" t="str">
        <f>IFERROR(__xludf.DUMMYFUNCTION("""COMPUTED_VALUE"""),"cfgeab")</f>
        <v>cfgeab</v>
      </c>
      <c r="T121" s="6" t="str">
        <f>IFERROR(__xludf.DUMMYFUNCTION("""COMPUTED_VALUE"""),"dbagf")</f>
        <v>dbagf</v>
      </c>
      <c r="U121" s="15"/>
      <c r="V121" s="6" t="str">
        <f>IFERROR(__xludf.DUMMYFUNCTION("split(I121,"" "")"),"ge")</f>
        <v>ge</v>
      </c>
      <c r="W121" s="6" t="str">
        <f>IFERROR(__xludf.DUMMYFUNCTION("""COMPUTED_VALUE"""),"edgc")</f>
        <v>edgc</v>
      </c>
      <c r="X121" s="6" t="str">
        <f>IFERROR(__xludf.DUMMYFUNCTION("""COMPUTED_VALUE"""),"fgecbda")</f>
        <v>fgecbda</v>
      </c>
      <c r="Y121" s="6" t="str">
        <f>IFERROR(__xludf.DUMMYFUNCTION("""COMPUTED_VALUE"""),"dcbafe")</f>
        <v>dcbafe</v>
      </c>
      <c r="Z121" s="6" t="str">
        <f>IFERROR(__xludf.DUMMYFUNCTION("CONCATENATE(SORT(TRANSPOSE(SPLIT(REGEXREPLACE(REGEXREPLACE(V121&amp;"""",""(?s)(.{1})"",""$1""&amp;CHAR(127)),""'"",""''""),CHAR(127))),1,true))"),"eg")</f>
        <v>eg</v>
      </c>
      <c r="AA121" s="6" t="str">
        <f>IFERROR(__xludf.DUMMYFUNCTION("CONCATENATE(SORT(TRANSPOSE(SPLIT(REGEXREPLACE(REGEXREPLACE(W121&amp;"""",""(?s)(.{1})"",""$1""&amp;CHAR(127)),""'"",""''""),CHAR(127))),1,true))"),"cdeg")</f>
        <v>cdeg</v>
      </c>
      <c r="AB121" s="6" t="str">
        <f>IFERROR(__xludf.DUMMYFUNCTION("CONCATENATE(SORT(TRANSPOSE(SPLIT(REGEXREPLACE(REGEXREPLACE(X121&amp;"""",""(?s)(.{1})"",""$1""&amp;CHAR(127)),""'"",""''""),CHAR(127))),1,true))"),"abcdefg")</f>
        <v>abcdefg</v>
      </c>
      <c r="AC121" s="6" t="str">
        <f>IFERROR(__xludf.DUMMYFUNCTION("CONCATENATE(SORT(TRANSPOSE(SPLIT(REGEXREPLACE(REGEXREPLACE(Y121&amp;"""",""(?s)(.{1})"",""$1""&amp;CHAR(127)),""'"",""''""),CHAR(127))),1,true))"),"abcdef")</f>
        <v>abcdef</v>
      </c>
      <c r="AD121" s="6">
        <f t="shared" ref="AD121:AG121" si="131">INDEX($AO$1:$CP$1,1,MATCH(CONCATENATE(Z121,"1"),$AO121:$CP121,0)+1)</f>
        <v>1</v>
      </c>
      <c r="AE121" s="6">
        <f t="shared" si="131"/>
        <v>4</v>
      </c>
      <c r="AF121" s="6">
        <f t="shared" si="131"/>
        <v>8</v>
      </c>
      <c r="AG121" s="6">
        <f t="shared" si="131"/>
        <v>6</v>
      </c>
      <c r="AH121" s="6">
        <f t="shared" si="3"/>
        <v>1486</v>
      </c>
      <c r="AI121" s="16"/>
      <c r="AJ121" s="9" t="str">
        <f>IFERROR(__xludf.DUMMYFUNCTION("REGEXREPLACE(AR121,CONCATENATE(""["",BY121,""]""),"""")"),"g")</f>
        <v>g</v>
      </c>
      <c r="AK121" s="10" t="str">
        <f>IFERROR(__xludf.DUMMYFUNCTION("FILTER($K121:$T121,len($K121:$T121)=6,NOT($K121:$T121=BY121))"),"ecdgaf")</f>
        <v>ecdgaf</v>
      </c>
      <c r="AL121" s="6" t="str">
        <f>IFERROR(__xludf.DUMMYFUNCTION("""COMPUTED_VALUE"""),"cfgeab")</f>
        <v>cfgeab</v>
      </c>
      <c r="AM121" s="6" t="str">
        <f>IFERROR(__xludf.DUMMYFUNCTION("REGEXREPLACE( $BG121, CONCATENATE(""["",AK121,""]""), """")"),"")</f>
        <v/>
      </c>
      <c r="AN121" s="6" t="str">
        <f>IFERROR(__xludf.DUMMYFUNCTION("REGEXREPLACE( $BG121, CONCATENATE(""["",AL121,""]""), """")"),"d")</f>
        <v>d</v>
      </c>
      <c r="AO121" s="11" t="str">
        <f t="shared" si="4"/>
        <v>cfgeab</v>
      </c>
      <c r="AP121" s="12" t="str">
        <f>IFERROR(__xludf.DUMMYFUNCTION("CONCATENATE(SORT(TRANSPOSE(SPLIT(REGEXREPLACE(REGEXREPLACE(AO121&amp;"""",""(?s)(.{1})"",""$1""&amp;CHAR(127)),""'"",""''""),CHAR(127))),1,true),""1"")"),"abcefg1")</f>
        <v>abcefg1</v>
      </c>
      <c r="AQ121" s="16"/>
      <c r="AR121" s="12" t="str">
        <f t="shared" si="5"/>
        <v>eg</v>
      </c>
      <c r="AS121" s="12" t="str">
        <f>IFERROR(__xludf.DUMMYFUNCTION("CONCATENATE(SORT(TRANSPOSE(SPLIT(REGEXREPLACE(REGEXREPLACE(AR121&amp;"""",""(?s)(.{1})"",""$1""&amp;CHAR(127)),""'"",""''""),CHAR(127))),1,true),""1"")"),"eg1")</f>
        <v>eg1</v>
      </c>
      <c r="AT121" s="16"/>
      <c r="AU121" s="13" t="str">
        <f>IFERROR(__xludf.DUMMYFUNCTION("FILTER($K121:$T121,len($K121:$T121)=5,NOT($K121:$T121=BD121),NOT($K121:$T121=BP121))"),"dbagf")</f>
        <v>dbagf</v>
      </c>
      <c r="AV121" s="12" t="str">
        <f>IFERROR(__xludf.DUMMYFUNCTION("CONCATENATE(SORT(TRANSPOSE(SPLIT(REGEXREPLACE(REGEXREPLACE(AU121&amp;"""",""(?s)(.{1})"",""$1""&amp;CHAR(127)),""'"",""''""),CHAR(127))),1,true),""1"")"),"abdfg1")</f>
        <v>abdfg1</v>
      </c>
      <c r="AW121" s="16"/>
      <c r="AX121" s="10" t="str">
        <f>IFERROR(__xludf.DUMMYFUNCTION("FILTER($K121:$T121,len($K121:$T121)=5)"),"adcfe")</f>
        <v>adcfe</v>
      </c>
      <c r="AY121" s="6" t="str">
        <f>IFERROR(__xludf.DUMMYFUNCTION("""COMPUTED_VALUE"""),"degfa")</f>
        <v>degfa</v>
      </c>
      <c r="AZ121" s="6" t="str">
        <f>IFERROR(__xludf.DUMMYFUNCTION("""COMPUTED_VALUE"""),"dbagf")</f>
        <v>dbagf</v>
      </c>
      <c r="BA121" s="6" t="str">
        <f>IFERROR(__xludf.DUMMYFUNCTION("REGEXREPLACE( $AR121, CONCATENATE(""["",AX121,""]""), """")"),"g")</f>
        <v>g</v>
      </c>
      <c r="BB121" s="6" t="str">
        <f>IFERROR(__xludf.DUMMYFUNCTION("REGEXREPLACE( $AR121, CONCATENATE(""["",AY121,""]""), """")"),"")</f>
        <v/>
      </c>
      <c r="BC121" s="6" t="str">
        <f>IFERROR(__xludf.DUMMYFUNCTION("REGEXREPLACE( $AR121, CONCATENATE(""["",AZ121,""]""), """")"),"e")</f>
        <v>e</v>
      </c>
      <c r="BD121" s="11" t="str">
        <f t="shared" si="6"/>
        <v>degfa</v>
      </c>
      <c r="BE121" s="12" t="str">
        <f>IFERROR(__xludf.DUMMYFUNCTION("CONCATENATE(SORT(TRANSPOSE(SPLIT(REGEXREPLACE(REGEXREPLACE(BD121&amp;"""",""(?s)(.{1})"",""$1""&amp;CHAR(127)),""'"",""''""),CHAR(127))),1,true),""1"")"),"adefg1")</f>
        <v>adefg1</v>
      </c>
      <c r="BF121" s="16"/>
      <c r="BG121" s="12" t="str">
        <f t="shared" si="7"/>
        <v>dgec</v>
      </c>
      <c r="BH121" s="12" t="str">
        <f>IFERROR(__xludf.DUMMYFUNCTION("CONCATENATE(SORT(TRANSPOSE(SPLIT(REGEXREPLACE(REGEXREPLACE(BG121&amp;"""",""(?s)(.{1})"",""$1""&amp;CHAR(127)),""'"",""''""),CHAR(127))),1,true),""1"")"),"cdeg1")</f>
        <v>cdeg1</v>
      </c>
      <c r="BI121" s="16"/>
      <c r="BJ121" s="10" t="str">
        <f>IFERROR(__xludf.DUMMYFUNCTION("FILTER($K121:$T121,len($K121:$T121)=5)"),"adcfe")</f>
        <v>adcfe</v>
      </c>
      <c r="BK121" s="6" t="str">
        <f>IFERROR(__xludf.DUMMYFUNCTION("""COMPUTED_VALUE"""),"degfa")</f>
        <v>degfa</v>
      </c>
      <c r="BL121" s="6" t="str">
        <f>IFERROR(__xludf.DUMMYFUNCTION("""COMPUTED_VALUE"""),"dbagf")</f>
        <v>dbagf</v>
      </c>
      <c r="BM121" s="14" t="str">
        <f>IFERROR(__xludf.DUMMYFUNCTION("REGEXREPLACE( $BY121, CONCATENATE(""["",BJ121,""]""), """")"),"b")</f>
        <v>b</v>
      </c>
      <c r="BN121" s="14" t="str">
        <f>IFERROR(__xludf.DUMMYFUNCTION("REGEXREPLACE( $BY121, CONCATENATE(""["",BK121,""]""), """")"),"bc")</f>
        <v>bc</v>
      </c>
      <c r="BO121" s="14" t="str">
        <f>IFERROR(__xludf.DUMMYFUNCTION("REGEXREPLACE( $BY121, CONCATENATE(""["",BL121,""]""), """")"),"ce")</f>
        <v>ce</v>
      </c>
      <c r="BP121" s="11" t="str">
        <f t="shared" si="8"/>
        <v>adcfe</v>
      </c>
      <c r="BQ121" s="12" t="str">
        <f>IFERROR(__xludf.DUMMYFUNCTION("CONCATENATE(SORT(TRANSPOSE(SPLIT(REGEXREPLACE(REGEXREPLACE(BP121&amp;"""",""(?s)(.{1})"",""$1""&amp;CHAR(127)),""'"",""''""),CHAR(127))),1,true),""1"")"),"acdef1")</f>
        <v>acdef1</v>
      </c>
      <c r="BR121" s="16"/>
      <c r="BS121" s="10" t="str">
        <f>IFERROR(__xludf.DUMMYFUNCTION("FILTER(K121:T121,len(K121:T121)=6)"),"ecdgaf")</f>
        <v>ecdgaf</v>
      </c>
      <c r="BT121" s="6" t="str">
        <f>IFERROR(__xludf.DUMMYFUNCTION("""COMPUTED_VALUE"""),"fdbcea")</f>
        <v>fdbcea</v>
      </c>
      <c r="BU121" s="6" t="str">
        <f>IFERROR(__xludf.DUMMYFUNCTION("""COMPUTED_VALUE"""),"cfgeab")</f>
        <v>cfgeab</v>
      </c>
      <c r="BV121" s="6" t="str">
        <f>IFERROR(__xludf.DUMMYFUNCTION("REGEXREPLACE( $AR121, CONCATENATE(""["",BS121,""]""), """")"),"")</f>
        <v/>
      </c>
      <c r="BW121" s="6" t="str">
        <f>IFERROR(__xludf.DUMMYFUNCTION("REGEXREPLACE( $AR121, CONCATENATE(""["",BT121,""]""), """")"),"g")</f>
        <v>g</v>
      </c>
      <c r="BX121" s="6" t="str">
        <f>IFERROR(__xludf.DUMMYFUNCTION("REGEXREPLACE( $AR121, CONCATENATE(""["",BU121,""]""), """")"),"")</f>
        <v/>
      </c>
      <c r="BY121" s="12" t="str">
        <f t="shared" si="9"/>
        <v>fdbcea</v>
      </c>
      <c r="BZ121" s="12" t="str">
        <f>IFERROR(__xludf.DUMMYFUNCTION("CONCATENATE(SORT(TRANSPOSE(SPLIT(REGEXREPLACE(REGEXREPLACE(BY121&amp;"""",""(?s)(.{1})"",""$1""&amp;CHAR(127)),""'"",""''""),CHAR(127))),1,true),""1"")"),"abcdef1")</f>
        <v>abcdef1</v>
      </c>
      <c r="CA121" s="16"/>
      <c r="CB121" s="12" t="str">
        <f t="shared" si="10"/>
        <v>eag</v>
      </c>
      <c r="CC121" s="12" t="str">
        <f>IFERROR(__xludf.DUMMYFUNCTION("CONCATENATE(SORT(TRANSPOSE(SPLIT(REGEXREPLACE(REGEXREPLACE(CB121&amp;"""",""(?s)(.{1})"",""$1""&amp;CHAR(127)),""'"",""''""),CHAR(127))),1,true),""1"")"),"aeg1")</f>
        <v>aeg1</v>
      </c>
      <c r="CD121" s="16"/>
      <c r="CE121" s="12" t="str">
        <f t="shared" si="11"/>
        <v>cgfbead</v>
      </c>
      <c r="CF121" s="12" t="str">
        <f>IFERROR(__xludf.DUMMYFUNCTION("CONCATENATE(SORT(TRANSPOSE(SPLIT(REGEXREPLACE(REGEXREPLACE(CE121&amp;"""",""(?s)(.{1})"",""$1""&amp;CHAR(127)),""'"",""''""),CHAR(127))),1,true),""1"")"),"abcdefg1")</f>
        <v>abcdefg1</v>
      </c>
      <c r="CG121" s="16"/>
      <c r="CH121" s="10" t="str">
        <f>IFERROR(__xludf.DUMMYFUNCTION("FILTER(K121:T121,len(K121:T121)=6)"),"ecdgaf")</f>
        <v>ecdgaf</v>
      </c>
      <c r="CI121" s="6" t="str">
        <f>IFERROR(__xludf.DUMMYFUNCTION("""COMPUTED_VALUE"""),"fdbcea")</f>
        <v>fdbcea</v>
      </c>
      <c r="CJ121" s="6" t="str">
        <f>IFERROR(__xludf.DUMMYFUNCTION("""COMPUTED_VALUE"""),"cfgeab")</f>
        <v>cfgeab</v>
      </c>
      <c r="CK121" s="6" t="str">
        <f>IFERROR(__xludf.DUMMYFUNCTION("REGEXREPLACE( $BG121, CONCATENATE(""["",CH121,""]""), """")"),"")</f>
        <v/>
      </c>
      <c r="CL121" s="6" t="str">
        <f>IFERROR(__xludf.DUMMYFUNCTION("REGEXREPLACE( $BG121, CONCATENATE(""["",CI121,""]""), """")"),"g")</f>
        <v>g</v>
      </c>
      <c r="CM121" s="6" t="str">
        <f>IFERROR(__xludf.DUMMYFUNCTION("REGEXREPLACE( $BG121, CONCATENATE(""["",CJ121,""]""), """")"),"d")</f>
        <v>d</v>
      </c>
      <c r="CN121" s="12" t="str">
        <f t="shared" si="12"/>
        <v>ecdgaf</v>
      </c>
      <c r="CO121" s="12" t="str">
        <f>IFERROR(__xludf.DUMMYFUNCTION("CONCATENATE(SORT(TRANSPOSE(SPLIT(REGEXREPLACE(REGEXREPLACE(CN121&amp;"""",""(?s)(.{1})"",""$1""&amp;CHAR(127)),""'"",""''""),CHAR(127))),1,true),""1"")"),"acdefg1")</f>
        <v>acdefg1</v>
      </c>
      <c r="CP121" s="15"/>
    </row>
    <row r="122">
      <c r="A122" s="1" t="s">
        <v>142</v>
      </c>
      <c r="H122" s="6" t="str">
        <f>IFERROR(__xludf.DUMMYFUNCTION("SPLIT(A122,""|"")"),"fcebad eagcd cfbe dacgbf egbcfda fbaed fdc cf gbfead eadfc ")</f>
        <v>fcebad eagcd cfbe dacgbf egbcfda fbaed fdc cf gbfead eadfc </v>
      </c>
      <c r="I122" s="6" t="str">
        <f>IFERROR(__xludf.DUMMYFUNCTION("""COMPUTED_VALUE""")," abedf fbdaec bfaecd cbef")</f>
        <v> abedf fbdaec bfaecd cbef</v>
      </c>
      <c r="J122" s="15"/>
      <c r="K122" s="6" t="str">
        <f>IFERROR(__xludf.DUMMYFUNCTION("split(H122,"" "")"),"fcebad")</f>
        <v>fcebad</v>
      </c>
      <c r="L122" s="6" t="str">
        <f>IFERROR(__xludf.DUMMYFUNCTION("""COMPUTED_VALUE"""),"eagcd")</f>
        <v>eagcd</v>
      </c>
      <c r="M122" s="6" t="str">
        <f>IFERROR(__xludf.DUMMYFUNCTION("""COMPUTED_VALUE"""),"cfbe")</f>
        <v>cfbe</v>
      </c>
      <c r="N122" s="6" t="str">
        <f>IFERROR(__xludf.DUMMYFUNCTION("""COMPUTED_VALUE"""),"dacgbf")</f>
        <v>dacgbf</v>
      </c>
      <c r="O122" s="6" t="str">
        <f>IFERROR(__xludf.DUMMYFUNCTION("""COMPUTED_VALUE"""),"egbcfda")</f>
        <v>egbcfda</v>
      </c>
      <c r="P122" s="6" t="str">
        <f>IFERROR(__xludf.DUMMYFUNCTION("""COMPUTED_VALUE"""),"fbaed")</f>
        <v>fbaed</v>
      </c>
      <c r="Q122" s="6" t="str">
        <f>IFERROR(__xludf.DUMMYFUNCTION("""COMPUTED_VALUE"""),"fdc")</f>
        <v>fdc</v>
      </c>
      <c r="R122" s="6" t="str">
        <f>IFERROR(__xludf.DUMMYFUNCTION("""COMPUTED_VALUE"""),"cf")</f>
        <v>cf</v>
      </c>
      <c r="S122" s="6" t="str">
        <f>IFERROR(__xludf.DUMMYFUNCTION("""COMPUTED_VALUE"""),"gbfead")</f>
        <v>gbfead</v>
      </c>
      <c r="T122" s="6" t="str">
        <f>IFERROR(__xludf.DUMMYFUNCTION("""COMPUTED_VALUE"""),"eadfc")</f>
        <v>eadfc</v>
      </c>
      <c r="U122" s="15"/>
      <c r="V122" s="6" t="str">
        <f>IFERROR(__xludf.DUMMYFUNCTION("split(I122,"" "")"),"abedf")</f>
        <v>abedf</v>
      </c>
      <c r="W122" s="6" t="str">
        <f>IFERROR(__xludf.DUMMYFUNCTION("""COMPUTED_VALUE"""),"fbdaec")</f>
        <v>fbdaec</v>
      </c>
      <c r="X122" s="6" t="str">
        <f>IFERROR(__xludf.DUMMYFUNCTION("""COMPUTED_VALUE"""),"bfaecd")</f>
        <v>bfaecd</v>
      </c>
      <c r="Y122" s="6" t="str">
        <f>IFERROR(__xludf.DUMMYFUNCTION("""COMPUTED_VALUE"""),"cbef")</f>
        <v>cbef</v>
      </c>
      <c r="Z122" s="6" t="str">
        <f>IFERROR(__xludf.DUMMYFUNCTION("CONCATENATE(SORT(TRANSPOSE(SPLIT(REGEXREPLACE(REGEXREPLACE(V122&amp;"""",""(?s)(.{1})"",""$1""&amp;CHAR(127)),""'"",""''""),CHAR(127))),1,true))"),"abdef")</f>
        <v>abdef</v>
      </c>
      <c r="AA122" s="6" t="str">
        <f>IFERROR(__xludf.DUMMYFUNCTION("CONCATENATE(SORT(TRANSPOSE(SPLIT(REGEXREPLACE(REGEXREPLACE(W122&amp;"""",""(?s)(.{1})"",""$1""&amp;CHAR(127)),""'"",""''""),CHAR(127))),1,true))"),"abcdef")</f>
        <v>abcdef</v>
      </c>
      <c r="AB122" s="6" t="str">
        <f>IFERROR(__xludf.DUMMYFUNCTION("CONCATENATE(SORT(TRANSPOSE(SPLIT(REGEXREPLACE(REGEXREPLACE(X122&amp;"""",""(?s)(.{1})"",""$1""&amp;CHAR(127)),""'"",""''""),CHAR(127))),1,true))"),"abcdef")</f>
        <v>abcdef</v>
      </c>
      <c r="AC122" s="6" t="str">
        <f>IFERROR(__xludf.DUMMYFUNCTION("CONCATENATE(SORT(TRANSPOSE(SPLIT(REGEXREPLACE(REGEXREPLACE(Y122&amp;"""",""(?s)(.{1})"",""$1""&amp;CHAR(127)),""'"",""''""),CHAR(127))),1,true))"),"bcef")</f>
        <v>bcef</v>
      </c>
      <c r="AD122" s="6">
        <f t="shared" ref="AD122:AG122" si="132">INDEX($AO$1:$CP$1,1,MATCH(CONCATENATE(Z122,"1"),$AO122:$CP122,0)+1)</f>
        <v>5</v>
      </c>
      <c r="AE122" s="6">
        <f t="shared" si="132"/>
        <v>9</v>
      </c>
      <c r="AF122" s="6">
        <f t="shared" si="132"/>
        <v>9</v>
      </c>
      <c r="AG122" s="6">
        <f t="shared" si="132"/>
        <v>4</v>
      </c>
      <c r="AH122" s="6">
        <f t="shared" si="3"/>
        <v>5994</v>
      </c>
      <c r="AI122" s="16"/>
      <c r="AJ122" s="9" t="str">
        <f>IFERROR(__xludf.DUMMYFUNCTION("REGEXREPLACE(AR122,CONCATENATE(""["",BY122,""]""),"""")"),"c")</f>
        <v>c</v>
      </c>
      <c r="AK122" s="10" t="str">
        <f>IFERROR(__xludf.DUMMYFUNCTION("FILTER($K122:$T122,len($K122:$T122)=6,NOT($K122:$T122=BY122))"),"fcebad")</f>
        <v>fcebad</v>
      </c>
      <c r="AL122" s="6" t="str">
        <f>IFERROR(__xludf.DUMMYFUNCTION("""COMPUTED_VALUE"""),"dacgbf")</f>
        <v>dacgbf</v>
      </c>
      <c r="AM122" s="6" t="str">
        <f>IFERROR(__xludf.DUMMYFUNCTION("REGEXREPLACE( $BG122, CONCATENATE(""["",AK122,""]""), """")"),"")</f>
        <v/>
      </c>
      <c r="AN122" s="6" t="str">
        <f>IFERROR(__xludf.DUMMYFUNCTION("REGEXREPLACE( $BG122, CONCATENATE(""["",AL122,""]""), """")"),"e")</f>
        <v>e</v>
      </c>
      <c r="AO122" s="11" t="str">
        <f t="shared" si="4"/>
        <v>dacgbf</v>
      </c>
      <c r="AP122" s="12" t="str">
        <f>IFERROR(__xludf.DUMMYFUNCTION("CONCATENATE(SORT(TRANSPOSE(SPLIT(REGEXREPLACE(REGEXREPLACE(AO122&amp;"""",""(?s)(.{1})"",""$1""&amp;CHAR(127)),""'"",""''""),CHAR(127))),1,true),""1"")"),"abcdfg1")</f>
        <v>abcdfg1</v>
      </c>
      <c r="AQ122" s="16"/>
      <c r="AR122" s="12" t="str">
        <f t="shared" si="5"/>
        <v>cf</v>
      </c>
      <c r="AS122" s="12" t="str">
        <f>IFERROR(__xludf.DUMMYFUNCTION("CONCATENATE(SORT(TRANSPOSE(SPLIT(REGEXREPLACE(REGEXREPLACE(AR122&amp;"""",""(?s)(.{1})"",""$1""&amp;CHAR(127)),""'"",""''""),CHAR(127))),1,true),""1"")"),"cf1")</f>
        <v>cf1</v>
      </c>
      <c r="AT122" s="16"/>
      <c r="AU122" s="13" t="str">
        <f>IFERROR(__xludf.DUMMYFUNCTION("FILTER($K122:$T122,len($K122:$T122)=5,NOT($K122:$T122=BD122),NOT($K122:$T122=BP122))"),"eagcd")</f>
        <v>eagcd</v>
      </c>
      <c r="AV122" s="12" t="str">
        <f>IFERROR(__xludf.DUMMYFUNCTION("CONCATENATE(SORT(TRANSPOSE(SPLIT(REGEXREPLACE(REGEXREPLACE(AU122&amp;"""",""(?s)(.{1})"",""$1""&amp;CHAR(127)),""'"",""''""),CHAR(127))),1,true),""1"")"),"acdeg1")</f>
        <v>acdeg1</v>
      </c>
      <c r="AW122" s="16"/>
      <c r="AX122" s="10" t="str">
        <f>IFERROR(__xludf.DUMMYFUNCTION("FILTER($K122:$T122,len($K122:$T122)=5)"),"eagcd")</f>
        <v>eagcd</v>
      </c>
      <c r="AY122" s="6" t="str">
        <f>IFERROR(__xludf.DUMMYFUNCTION("""COMPUTED_VALUE"""),"fbaed")</f>
        <v>fbaed</v>
      </c>
      <c r="AZ122" s="6" t="str">
        <f>IFERROR(__xludf.DUMMYFUNCTION("""COMPUTED_VALUE"""),"eadfc")</f>
        <v>eadfc</v>
      </c>
      <c r="BA122" s="6" t="str">
        <f>IFERROR(__xludf.DUMMYFUNCTION("REGEXREPLACE( $AR122, CONCATENATE(""["",AX122,""]""), """")"),"f")</f>
        <v>f</v>
      </c>
      <c r="BB122" s="6" t="str">
        <f>IFERROR(__xludf.DUMMYFUNCTION("REGEXREPLACE( $AR122, CONCATENATE(""["",AY122,""]""), """")"),"c")</f>
        <v>c</v>
      </c>
      <c r="BC122" s="6" t="str">
        <f>IFERROR(__xludf.DUMMYFUNCTION("REGEXREPLACE( $AR122, CONCATENATE(""["",AZ122,""]""), """")"),"")</f>
        <v/>
      </c>
      <c r="BD122" s="11" t="str">
        <f t="shared" si="6"/>
        <v>eadfc</v>
      </c>
      <c r="BE122" s="12" t="str">
        <f>IFERROR(__xludf.DUMMYFUNCTION("CONCATENATE(SORT(TRANSPOSE(SPLIT(REGEXREPLACE(REGEXREPLACE(BD122&amp;"""",""(?s)(.{1})"",""$1""&amp;CHAR(127)),""'"",""''""),CHAR(127))),1,true),""1"")"),"acdef1")</f>
        <v>acdef1</v>
      </c>
      <c r="BF122" s="16"/>
      <c r="BG122" s="12" t="str">
        <f t="shared" si="7"/>
        <v>cfbe</v>
      </c>
      <c r="BH122" s="12" t="str">
        <f>IFERROR(__xludf.DUMMYFUNCTION("CONCATENATE(SORT(TRANSPOSE(SPLIT(REGEXREPLACE(REGEXREPLACE(BG122&amp;"""",""(?s)(.{1})"",""$1""&amp;CHAR(127)),""'"",""''""),CHAR(127))),1,true),""1"")"),"bcef1")</f>
        <v>bcef1</v>
      </c>
      <c r="BI122" s="16"/>
      <c r="BJ122" s="10" t="str">
        <f>IFERROR(__xludf.DUMMYFUNCTION("FILTER($K122:$T122,len($K122:$T122)=5)"),"eagcd")</f>
        <v>eagcd</v>
      </c>
      <c r="BK122" s="6" t="str">
        <f>IFERROR(__xludf.DUMMYFUNCTION("""COMPUTED_VALUE"""),"fbaed")</f>
        <v>fbaed</v>
      </c>
      <c r="BL122" s="6" t="str">
        <f>IFERROR(__xludf.DUMMYFUNCTION("""COMPUTED_VALUE"""),"eadfc")</f>
        <v>eadfc</v>
      </c>
      <c r="BM122" s="14" t="str">
        <f>IFERROR(__xludf.DUMMYFUNCTION("REGEXREPLACE( $BY122, CONCATENATE(""["",BJ122,""]""), """")"),"bf")</f>
        <v>bf</v>
      </c>
      <c r="BN122" s="14" t="str">
        <f>IFERROR(__xludf.DUMMYFUNCTION("REGEXREPLACE( $BY122, CONCATENATE(""["",BK122,""]""), """")"),"g")</f>
        <v>g</v>
      </c>
      <c r="BO122" s="14" t="str">
        <f>IFERROR(__xludf.DUMMYFUNCTION("REGEXREPLACE( $BY122, CONCATENATE(""["",BL122,""]""), """")"),"gb")</f>
        <v>gb</v>
      </c>
      <c r="BP122" s="11" t="str">
        <f t="shared" si="8"/>
        <v>fbaed</v>
      </c>
      <c r="BQ122" s="12" t="str">
        <f>IFERROR(__xludf.DUMMYFUNCTION("CONCATENATE(SORT(TRANSPOSE(SPLIT(REGEXREPLACE(REGEXREPLACE(BP122&amp;"""",""(?s)(.{1})"",""$1""&amp;CHAR(127)),""'"",""''""),CHAR(127))),1,true),""1"")"),"abdef1")</f>
        <v>abdef1</v>
      </c>
      <c r="BR122" s="16"/>
      <c r="BS122" s="10" t="str">
        <f>IFERROR(__xludf.DUMMYFUNCTION("FILTER(K122:T122,len(K122:T122)=6)"),"fcebad")</f>
        <v>fcebad</v>
      </c>
      <c r="BT122" s="6" t="str">
        <f>IFERROR(__xludf.DUMMYFUNCTION("""COMPUTED_VALUE"""),"dacgbf")</f>
        <v>dacgbf</v>
      </c>
      <c r="BU122" s="6" t="str">
        <f>IFERROR(__xludf.DUMMYFUNCTION("""COMPUTED_VALUE"""),"gbfead")</f>
        <v>gbfead</v>
      </c>
      <c r="BV122" s="6" t="str">
        <f>IFERROR(__xludf.DUMMYFUNCTION("REGEXREPLACE( $AR122, CONCATENATE(""["",BS122,""]""), """")"),"")</f>
        <v/>
      </c>
      <c r="BW122" s="6" t="str">
        <f>IFERROR(__xludf.DUMMYFUNCTION("REGEXREPLACE( $AR122, CONCATENATE(""["",BT122,""]""), """")"),"")</f>
        <v/>
      </c>
      <c r="BX122" s="6" t="str">
        <f>IFERROR(__xludf.DUMMYFUNCTION("REGEXREPLACE( $AR122, CONCATENATE(""["",BU122,""]""), """")"),"c")</f>
        <v>c</v>
      </c>
      <c r="BY122" s="12" t="str">
        <f t="shared" si="9"/>
        <v>gbfead</v>
      </c>
      <c r="BZ122" s="12" t="str">
        <f>IFERROR(__xludf.DUMMYFUNCTION("CONCATENATE(SORT(TRANSPOSE(SPLIT(REGEXREPLACE(REGEXREPLACE(BY122&amp;"""",""(?s)(.{1})"",""$1""&amp;CHAR(127)),""'"",""''""),CHAR(127))),1,true),""1"")"),"abdefg1")</f>
        <v>abdefg1</v>
      </c>
      <c r="CA122" s="16"/>
      <c r="CB122" s="12" t="str">
        <f t="shared" si="10"/>
        <v>fdc</v>
      </c>
      <c r="CC122" s="12" t="str">
        <f>IFERROR(__xludf.DUMMYFUNCTION("CONCATENATE(SORT(TRANSPOSE(SPLIT(REGEXREPLACE(REGEXREPLACE(CB122&amp;"""",""(?s)(.{1})"",""$1""&amp;CHAR(127)),""'"",""''""),CHAR(127))),1,true),""1"")"),"cdf1")</f>
        <v>cdf1</v>
      </c>
      <c r="CD122" s="16"/>
      <c r="CE122" s="12" t="str">
        <f t="shared" si="11"/>
        <v>egbcfda</v>
      </c>
      <c r="CF122" s="12" t="str">
        <f>IFERROR(__xludf.DUMMYFUNCTION("CONCATENATE(SORT(TRANSPOSE(SPLIT(REGEXREPLACE(REGEXREPLACE(CE122&amp;"""",""(?s)(.{1})"",""$1""&amp;CHAR(127)),""'"",""''""),CHAR(127))),1,true),""1"")"),"abcdefg1")</f>
        <v>abcdefg1</v>
      </c>
      <c r="CG122" s="16"/>
      <c r="CH122" s="10" t="str">
        <f>IFERROR(__xludf.DUMMYFUNCTION("FILTER(K122:T122,len(K122:T122)=6)"),"fcebad")</f>
        <v>fcebad</v>
      </c>
      <c r="CI122" s="6" t="str">
        <f>IFERROR(__xludf.DUMMYFUNCTION("""COMPUTED_VALUE"""),"dacgbf")</f>
        <v>dacgbf</v>
      </c>
      <c r="CJ122" s="6" t="str">
        <f>IFERROR(__xludf.DUMMYFUNCTION("""COMPUTED_VALUE"""),"gbfead")</f>
        <v>gbfead</v>
      </c>
      <c r="CK122" s="6" t="str">
        <f>IFERROR(__xludf.DUMMYFUNCTION("REGEXREPLACE( $BG122, CONCATENATE(""["",CH122,""]""), """")"),"")</f>
        <v/>
      </c>
      <c r="CL122" s="6" t="str">
        <f>IFERROR(__xludf.DUMMYFUNCTION("REGEXREPLACE( $BG122, CONCATENATE(""["",CI122,""]""), """")"),"e")</f>
        <v>e</v>
      </c>
      <c r="CM122" s="6" t="str">
        <f>IFERROR(__xludf.DUMMYFUNCTION("REGEXREPLACE( $BG122, CONCATENATE(""["",CJ122,""]""), """")"),"c")</f>
        <v>c</v>
      </c>
      <c r="CN122" s="12" t="str">
        <f t="shared" si="12"/>
        <v>fcebad</v>
      </c>
      <c r="CO122" s="12" t="str">
        <f>IFERROR(__xludf.DUMMYFUNCTION("CONCATENATE(SORT(TRANSPOSE(SPLIT(REGEXREPLACE(REGEXREPLACE(CN122&amp;"""",""(?s)(.{1})"",""$1""&amp;CHAR(127)),""'"",""''""),CHAR(127))),1,true),""1"")"),"abcdef1")</f>
        <v>abcdef1</v>
      </c>
      <c r="CP122" s="15"/>
    </row>
    <row r="123">
      <c r="A123" s="1" t="s">
        <v>143</v>
      </c>
      <c r="H123" s="6" t="str">
        <f>IFERROR(__xludf.DUMMYFUNCTION("SPLIT(A123,""|"")"),"afbde abg bcfead cdgeab gfeb gb eafcdbg gfadb efadbg dfcag ")</f>
        <v>afbde abg bcfead cdgeab gfeb gb eafcdbg gfadb efadbg dfcag </v>
      </c>
      <c r="I123" s="6" t="str">
        <f>IFERROR(__xludf.DUMMYFUNCTION("""COMPUTED_VALUE""")," gadbecf gb aedgbf gdbeafc")</f>
        <v> gadbecf gb aedgbf gdbeafc</v>
      </c>
      <c r="J123" s="15"/>
      <c r="K123" s="6" t="str">
        <f>IFERROR(__xludf.DUMMYFUNCTION("split(H123,"" "")"),"afbde")</f>
        <v>afbde</v>
      </c>
      <c r="L123" s="6" t="str">
        <f>IFERROR(__xludf.DUMMYFUNCTION("""COMPUTED_VALUE"""),"abg")</f>
        <v>abg</v>
      </c>
      <c r="M123" s="6" t="str">
        <f>IFERROR(__xludf.DUMMYFUNCTION("""COMPUTED_VALUE"""),"bcfead")</f>
        <v>bcfead</v>
      </c>
      <c r="N123" s="6" t="str">
        <f>IFERROR(__xludf.DUMMYFUNCTION("""COMPUTED_VALUE"""),"cdgeab")</f>
        <v>cdgeab</v>
      </c>
      <c r="O123" s="6" t="str">
        <f>IFERROR(__xludf.DUMMYFUNCTION("""COMPUTED_VALUE"""),"gfeb")</f>
        <v>gfeb</v>
      </c>
      <c r="P123" s="6" t="str">
        <f>IFERROR(__xludf.DUMMYFUNCTION("""COMPUTED_VALUE"""),"gb")</f>
        <v>gb</v>
      </c>
      <c r="Q123" s="6" t="str">
        <f>IFERROR(__xludf.DUMMYFUNCTION("""COMPUTED_VALUE"""),"eafcdbg")</f>
        <v>eafcdbg</v>
      </c>
      <c r="R123" s="6" t="str">
        <f>IFERROR(__xludf.DUMMYFUNCTION("""COMPUTED_VALUE"""),"gfadb")</f>
        <v>gfadb</v>
      </c>
      <c r="S123" s="6" t="str">
        <f>IFERROR(__xludf.DUMMYFUNCTION("""COMPUTED_VALUE"""),"efadbg")</f>
        <v>efadbg</v>
      </c>
      <c r="T123" s="6" t="str">
        <f>IFERROR(__xludf.DUMMYFUNCTION("""COMPUTED_VALUE"""),"dfcag")</f>
        <v>dfcag</v>
      </c>
      <c r="U123" s="15"/>
      <c r="V123" s="6" t="str">
        <f>IFERROR(__xludf.DUMMYFUNCTION("split(I123,"" "")"),"gadbecf")</f>
        <v>gadbecf</v>
      </c>
      <c r="W123" s="6" t="str">
        <f>IFERROR(__xludf.DUMMYFUNCTION("""COMPUTED_VALUE"""),"gb")</f>
        <v>gb</v>
      </c>
      <c r="X123" s="6" t="str">
        <f>IFERROR(__xludf.DUMMYFUNCTION("""COMPUTED_VALUE"""),"aedgbf")</f>
        <v>aedgbf</v>
      </c>
      <c r="Y123" s="6" t="str">
        <f>IFERROR(__xludf.DUMMYFUNCTION("""COMPUTED_VALUE"""),"gdbeafc")</f>
        <v>gdbeafc</v>
      </c>
      <c r="Z123" s="6" t="str">
        <f>IFERROR(__xludf.DUMMYFUNCTION("CONCATENATE(SORT(TRANSPOSE(SPLIT(REGEXREPLACE(REGEXREPLACE(V123&amp;"""",""(?s)(.{1})"",""$1""&amp;CHAR(127)),""'"",""''""),CHAR(127))),1,true))"),"abcdefg")</f>
        <v>abcdefg</v>
      </c>
      <c r="AA123" s="6" t="str">
        <f>IFERROR(__xludf.DUMMYFUNCTION("CONCATENATE(SORT(TRANSPOSE(SPLIT(REGEXREPLACE(REGEXREPLACE(W123&amp;"""",""(?s)(.{1})"",""$1""&amp;CHAR(127)),""'"",""''""),CHAR(127))),1,true))"),"bg")</f>
        <v>bg</v>
      </c>
      <c r="AB123" s="6" t="str">
        <f>IFERROR(__xludf.DUMMYFUNCTION("CONCATENATE(SORT(TRANSPOSE(SPLIT(REGEXREPLACE(REGEXREPLACE(X123&amp;"""",""(?s)(.{1})"",""$1""&amp;CHAR(127)),""'"",""''""),CHAR(127))),1,true))"),"abdefg")</f>
        <v>abdefg</v>
      </c>
      <c r="AC123" s="6" t="str">
        <f>IFERROR(__xludf.DUMMYFUNCTION("CONCATENATE(SORT(TRANSPOSE(SPLIT(REGEXREPLACE(REGEXREPLACE(Y123&amp;"""",""(?s)(.{1})"",""$1""&amp;CHAR(127)),""'"",""''""),CHAR(127))),1,true))"),"abcdefg")</f>
        <v>abcdefg</v>
      </c>
      <c r="AD123" s="6">
        <f t="shared" ref="AD123:AG123" si="133">INDEX($AO$1:$CP$1,1,MATCH(CONCATENATE(Z123,"1"),$AO123:$CP123,0)+1)</f>
        <v>8</v>
      </c>
      <c r="AE123" s="6">
        <f t="shared" si="133"/>
        <v>1</v>
      </c>
      <c r="AF123" s="6">
        <f t="shared" si="133"/>
        <v>9</v>
      </c>
      <c r="AG123" s="6">
        <f t="shared" si="133"/>
        <v>8</v>
      </c>
      <c r="AH123" s="6">
        <f t="shared" si="3"/>
        <v>8198</v>
      </c>
      <c r="AI123" s="16"/>
      <c r="AJ123" s="9" t="str">
        <f>IFERROR(__xludf.DUMMYFUNCTION("REGEXREPLACE(AR123,CONCATENATE(""["",BY123,""]""),"""")"),"g")</f>
        <v>g</v>
      </c>
      <c r="AK123" s="10" t="str">
        <f>IFERROR(__xludf.DUMMYFUNCTION("FILTER($K123:$T123,len($K123:$T123)=6,NOT($K123:$T123=BY123))"),"cdgeab")</f>
        <v>cdgeab</v>
      </c>
      <c r="AL123" s="6" t="str">
        <f>IFERROR(__xludf.DUMMYFUNCTION("""COMPUTED_VALUE"""),"efadbg")</f>
        <v>efadbg</v>
      </c>
      <c r="AM123" s="6" t="str">
        <f>IFERROR(__xludf.DUMMYFUNCTION("REGEXREPLACE( $BG123, CONCATENATE(""["",AK123,""]""), """")"),"f")</f>
        <v>f</v>
      </c>
      <c r="AN123" s="6" t="str">
        <f>IFERROR(__xludf.DUMMYFUNCTION("REGEXREPLACE( $BG123, CONCATENATE(""["",AL123,""]""), """")"),"")</f>
        <v/>
      </c>
      <c r="AO123" s="11" t="str">
        <f t="shared" si="4"/>
        <v>cdgeab</v>
      </c>
      <c r="AP123" s="12" t="str">
        <f>IFERROR(__xludf.DUMMYFUNCTION("CONCATENATE(SORT(TRANSPOSE(SPLIT(REGEXREPLACE(REGEXREPLACE(AO123&amp;"""",""(?s)(.{1})"",""$1""&amp;CHAR(127)),""'"",""''""),CHAR(127))),1,true),""1"")"),"abcdeg1")</f>
        <v>abcdeg1</v>
      </c>
      <c r="AQ123" s="16"/>
      <c r="AR123" s="12" t="str">
        <f t="shared" si="5"/>
        <v>gb</v>
      </c>
      <c r="AS123" s="12" t="str">
        <f>IFERROR(__xludf.DUMMYFUNCTION("CONCATENATE(SORT(TRANSPOSE(SPLIT(REGEXREPLACE(REGEXREPLACE(AR123&amp;"""",""(?s)(.{1})"",""$1""&amp;CHAR(127)),""'"",""''""),CHAR(127))),1,true),""1"")"),"bg1")</f>
        <v>bg1</v>
      </c>
      <c r="AT123" s="16"/>
      <c r="AU123" s="13" t="str">
        <f>IFERROR(__xludf.DUMMYFUNCTION("FILTER($K123:$T123,len($K123:$T123)=5,NOT($K123:$T123=BD123),NOT($K123:$T123=BP123))"),"dfcag")</f>
        <v>dfcag</v>
      </c>
      <c r="AV123" s="12" t="str">
        <f>IFERROR(__xludf.DUMMYFUNCTION("CONCATENATE(SORT(TRANSPOSE(SPLIT(REGEXREPLACE(REGEXREPLACE(AU123&amp;"""",""(?s)(.{1})"",""$1""&amp;CHAR(127)),""'"",""''""),CHAR(127))),1,true),""1"")"),"acdfg1")</f>
        <v>acdfg1</v>
      </c>
      <c r="AW123" s="16"/>
      <c r="AX123" s="10" t="str">
        <f>IFERROR(__xludf.DUMMYFUNCTION("FILTER($K123:$T123,len($K123:$T123)=5)"),"afbde")</f>
        <v>afbde</v>
      </c>
      <c r="AY123" s="6" t="str">
        <f>IFERROR(__xludf.DUMMYFUNCTION("""COMPUTED_VALUE"""),"gfadb")</f>
        <v>gfadb</v>
      </c>
      <c r="AZ123" s="6" t="str">
        <f>IFERROR(__xludf.DUMMYFUNCTION("""COMPUTED_VALUE"""),"dfcag")</f>
        <v>dfcag</v>
      </c>
      <c r="BA123" s="6" t="str">
        <f>IFERROR(__xludf.DUMMYFUNCTION("REGEXREPLACE( $AR123, CONCATENATE(""["",AX123,""]""), """")"),"g")</f>
        <v>g</v>
      </c>
      <c r="BB123" s="6" t="str">
        <f>IFERROR(__xludf.DUMMYFUNCTION("REGEXREPLACE( $AR123, CONCATENATE(""["",AY123,""]""), """")"),"")</f>
        <v/>
      </c>
      <c r="BC123" s="6" t="str">
        <f>IFERROR(__xludf.DUMMYFUNCTION("REGEXREPLACE( $AR123, CONCATENATE(""["",AZ123,""]""), """")"),"b")</f>
        <v>b</v>
      </c>
      <c r="BD123" s="11" t="str">
        <f t="shared" si="6"/>
        <v>gfadb</v>
      </c>
      <c r="BE123" s="12" t="str">
        <f>IFERROR(__xludf.DUMMYFUNCTION("CONCATENATE(SORT(TRANSPOSE(SPLIT(REGEXREPLACE(REGEXREPLACE(BD123&amp;"""",""(?s)(.{1})"",""$1""&amp;CHAR(127)),""'"",""''""),CHAR(127))),1,true),""1"")"),"abdfg1")</f>
        <v>abdfg1</v>
      </c>
      <c r="BF123" s="16"/>
      <c r="BG123" s="12" t="str">
        <f t="shared" si="7"/>
        <v>gfeb</v>
      </c>
      <c r="BH123" s="12" t="str">
        <f>IFERROR(__xludf.DUMMYFUNCTION("CONCATENATE(SORT(TRANSPOSE(SPLIT(REGEXREPLACE(REGEXREPLACE(BG123&amp;"""",""(?s)(.{1})"",""$1""&amp;CHAR(127)),""'"",""''""),CHAR(127))),1,true),""1"")"),"befg1")</f>
        <v>befg1</v>
      </c>
      <c r="BI123" s="16"/>
      <c r="BJ123" s="10" t="str">
        <f>IFERROR(__xludf.DUMMYFUNCTION("FILTER($K123:$T123,len($K123:$T123)=5)"),"afbde")</f>
        <v>afbde</v>
      </c>
      <c r="BK123" s="6" t="str">
        <f>IFERROR(__xludf.DUMMYFUNCTION("""COMPUTED_VALUE"""),"gfadb")</f>
        <v>gfadb</v>
      </c>
      <c r="BL123" s="6" t="str">
        <f>IFERROR(__xludf.DUMMYFUNCTION("""COMPUTED_VALUE"""),"dfcag")</f>
        <v>dfcag</v>
      </c>
      <c r="BM123" s="14" t="str">
        <f>IFERROR(__xludf.DUMMYFUNCTION("REGEXREPLACE( $BY123, CONCATENATE(""["",BJ123,""]""), """")"),"c")</f>
        <v>c</v>
      </c>
      <c r="BN123" s="14" t="str">
        <f>IFERROR(__xludf.DUMMYFUNCTION("REGEXREPLACE( $BY123, CONCATENATE(""["",BK123,""]""), """")"),"ce")</f>
        <v>ce</v>
      </c>
      <c r="BO123" s="14" t="str">
        <f>IFERROR(__xludf.DUMMYFUNCTION("REGEXREPLACE( $BY123, CONCATENATE(""["",BL123,""]""), """")"),"be")</f>
        <v>be</v>
      </c>
      <c r="BP123" s="11" t="str">
        <f t="shared" si="8"/>
        <v>afbde</v>
      </c>
      <c r="BQ123" s="12" t="str">
        <f>IFERROR(__xludf.DUMMYFUNCTION("CONCATENATE(SORT(TRANSPOSE(SPLIT(REGEXREPLACE(REGEXREPLACE(BP123&amp;"""",""(?s)(.{1})"",""$1""&amp;CHAR(127)),""'"",""''""),CHAR(127))),1,true),""1"")"),"abdef1")</f>
        <v>abdef1</v>
      </c>
      <c r="BR123" s="16"/>
      <c r="BS123" s="10" t="str">
        <f>IFERROR(__xludf.DUMMYFUNCTION("FILTER(K123:T123,len(K123:T123)=6)"),"bcfead")</f>
        <v>bcfead</v>
      </c>
      <c r="BT123" s="6" t="str">
        <f>IFERROR(__xludf.DUMMYFUNCTION("""COMPUTED_VALUE"""),"cdgeab")</f>
        <v>cdgeab</v>
      </c>
      <c r="BU123" s="6" t="str">
        <f>IFERROR(__xludf.DUMMYFUNCTION("""COMPUTED_VALUE"""),"efadbg")</f>
        <v>efadbg</v>
      </c>
      <c r="BV123" s="6" t="str">
        <f>IFERROR(__xludf.DUMMYFUNCTION("REGEXREPLACE( $AR123, CONCATENATE(""["",BS123,""]""), """")"),"g")</f>
        <v>g</v>
      </c>
      <c r="BW123" s="6" t="str">
        <f>IFERROR(__xludf.DUMMYFUNCTION("REGEXREPLACE( $AR123, CONCATENATE(""["",BT123,""]""), """")"),"")</f>
        <v/>
      </c>
      <c r="BX123" s="6" t="str">
        <f>IFERROR(__xludf.DUMMYFUNCTION("REGEXREPLACE( $AR123, CONCATENATE(""["",BU123,""]""), """")"),"")</f>
        <v/>
      </c>
      <c r="BY123" s="12" t="str">
        <f t="shared" si="9"/>
        <v>bcfead</v>
      </c>
      <c r="BZ123" s="12" t="str">
        <f>IFERROR(__xludf.DUMMYFUNCTION("CONCATENATE(SORT(TRANSPOSE(SPLIT(REGEXREPLACE(REGEXREPLACE(BY123&amp;"""",""(?s)(.{1})"",""$1""&amp;CHAR(127)),""'"",""''""),CHAR(127))),1,true),""1"")"),"abcdef1")</f>
        <v>abcdef1</v>
      </c>
      <c r="CA123" s="16"/>
      <c r="CB123" s="12" t="str">
        <f t="shared" si="10"/>
        <v>abg</v>
      </c>
      <c r="CC123" s="12" t="str">
        <f>IFERROR(__xludf.DUMMYFUNCTION("CONCATENATE(SORT(TRANSPOSE(SPLIT(REGEXREPLACE(REGEXREPLACE(CB123&amp;"""",""(?s)(.{1})"",""$1""&amp;CHAR(127)),""'"",""''""),CHAR(127))),1,true),""1"")"),"abg1")</f>
        <v>abg1</v>
      </c>
      <c r="CD123" s="16"/>
      <c r="CE123" s="12" t="str">
        <f t="shared" si="11"/>
        <v>eafcdbg</v>
      </c>
      <c r="CF123" s="12" t="str">
        <f>IFERROR(__xludf.DUMMYFUNCTION("CONCATENATE(SORT(TRANSPOSE(SPLIT(REGEXREPLACE(REGEXREPLACE(CE123&amp;"""",""(?s)(.{1})"",""$1""&amp;CHAR(127)),""'"",""''""),CHAR(127))),1,true),""1"")"),"abcdefg1")</f>
        <v>abcdefg1</v>
      </c>
      <c r="CG123" s="16"/>
      <c r="CH123" s="10" t="str">
        <f>IFERROR(__xludf.DUMMYFUNCTION("FILTER(K123:T123,len(K123:T123)=6)"),"bcfead")</f>
        <v>bcfead</v>
      </c>
      <c r="CI123" s="6" t="str">
        <f>IFERROR(__xludf.DUMMYFUNCTION("""COMPUTED_VALUE"""),"cdgeab")</f>
        <v>cdgeab</v>
      </c>
      <c r="CJ123" s="6" t="str">
        <f>IFERROR(__xludf.DUMMYFUNCTION("""COMPUTED_VALUE"""),"efadbg")</f>
        <v>efadbg</v>
      </c>
      <c r="CK123" s="6" t="str">
        <f>IFERROR(__xludf.DUMMYFUNCTION("REGEXREPLACE( $BG123, CONCATENATE(""["",CH123,""]""), """")"),"g")</f>
        <v>g</v>
      </c>
      <c r="CL123" s="6" t="str">
        <f>IFERROR(__xludf.DUMMYFUNCTION("REGEXREPLACE( $BG123, CONCATENATE(""["",CI123,""]""), """")"),"f")</f>
        <v>f</v>
      </c>
      <c r="CM123" s="6" t="str">
        <f>IFERROR(__xludf.DUMMYFUNCTION("REGEXREPLACE( $BG123, CONCATENATE(""["",CJ123,""]""), """")"),"")</f>
        <v/>
      </c>
      <c r="CN123" s="12" t="str">
        <f t="shared" si="12"/>
        <v>efadbg</v>
      </c>
      <c r="CO123" s="12" t="str">
        <f>IFERROR(__xludf.DUMMYFUNCTION("CONCATENATE(SORT(TRANSPOSE(SPLIT(REGEXREPLACE(REGEXREPLACE(CN123&amp;"""",""(?s)(.{1})"",""$1""&amp;CHAR(127)),""'"",""''""),CHAR(127))),1,true),""1"")"),"abdefg1")</f>
        <v>abdefg1</v>
      </c>
      <c r="CP123" s="15"/>
    </row>
    <row r="124">
      <c r="A124" s="1" t="s">
        <v>144</v>
      </c>
      <c r="H124" s="6" t="str">
        <f>IFERROR(__xludf.DUMMYFUNCTION("SPLIT(A124,""|"")"),"gcb edagc gb gbdf dcgbe bfced gebfcd efcdba cfegbad afbcge ")</f>
        <v>gcb edagc gb gbdf dcgbe bfced gebfcd efcdba cfegbad afbcge </v>
      </c>
      <c r="I124" s="6" t="str">
        <f>IFERROR(__xludf.DUMMYFUNCTION("""COMPUTED_VALUE""")," gb bg adceg gcb")</f>
        <v> gb bg adceg gcb</v>
      </c>
      <c r="J124" s="15"/>
      <c r="K124" s="6" t="str">
        <f>IFERROR(__xludf.DUMMYFUNCTION("split(H124,"" "")"),"gcb")</f>
        <v>gcb</v>
      </c>
      <c r="L124" s="6" t="str">
        <f>IFERROR(__xludf.DUMMYFUNCTION("""COMPUTED_VALUE"""),"edagc")</f>
        <v>edagc</v>
      </c>
      <c r="M124" s="6" t="str">
        <f>IFERROR(__xludf.DUMMYFUNCTION("""COMPUTED_VALUE"""),"gb")</f>
        <v>gb</v>
      </c>
      <c r="N124" s="6" t="str">
        <f>IFERROR(__xludf.DUMMYFUNCTION("""COMPUTED_VALUE"""),"gbdf")</f>
        <v>gbdf</v>
      </c>
      <c r="O124" s="6" t="str">
        <f>IFERROR(__xludf.DUMMYFUNCTION("""COMPUTED_VALUE"""),"dcgbe")</f>
        <v>dcgbe</v>
      </c>
      <c r="P124" s="6" t="str">
        <f>IFERROR(__xludf.DUMMYFUNCTION("""COMPUTED_VALUE"""),"bfced")</f>
        <v>bfced</v>
      </c>
      <c r="Q124" s="6" t="str">
        <f>IFERROR(__xludf.DUMMYFUNCTION("""COMPUTED_VALUE"""),"gebfcd")</f>
        <v>gebfcd</v>
      </c>
      <c r="R124" s="6" t="str">
        <f>IFERROR(__xludf.DUMMYFUNCTION("""COMPUTED_VALUE"""),"efcdba")</f>
        <v>efcdba</v>
      </c>
      <c r="S124" s="6" t="str">
        <f>IFERROR(__xludf.DUMMYFUNCTION("""COMPUTED_VALUE"""),"cfegbad")</f>
        <v>cfegbad</v>
      </c>
      <c r="T124" s="6" t="str">
        <f>IFERROR(__xludf.DUMMYFUNCTION("""COMPUTED_VALUE"""),"afbcge")</f>
        <v>afbcge</v>
      </c>
      <c r="U124" s="15"/>
      <c r="V124" s="6" t="str">
        <f>IFERROR(__xludf.DUMMYFUNCTION("split(I124,"" "")"),"gb")</f>
        <v>gb</v>
      </c>
      <c r="W124" s="6" t="str">
        <f>IFERROR(__xludf.DUMMYFUNCTION("""COMPUTED_VALUE"""),"bg")</f>
        <v>bg</v>
      </c>
      <c r="X124" s="6" t="str">
        <f>IFERROR(__xludf.DUMMYFUNCTION("""COMPUTED_VALUE"""),"adceg")</f>
        <v>adceg</v>
      </c>
      <c r="Y124" s="6" t="str">
        <f>IFERROR(__xludf.DUMMYFUNCTION("""COMPUTED_VALUE"""),"gcb")</f>
        <v>gcb</v>
      </c>
      <c r="Z124" s="6" t="str">
        <f>IFERROR(__xludf.DUMMYFUNCTION("CONCATENATE(SORT(TRANSPOSE(SPLIT(REGEXREPLACE(REGEXREPLACE(V124&amp;"""",""(?s)(.{1})"",""$1""&amp;CHAR(127)),""'"",""''""),CHAR(127))),1,true))"),"bg")</f>
        <v>bg</v>
      </c>
      <c r="AA124" s="6" t="str">
        <f>IFERROR(__xludf.DUMMYFUNCTION("CONCATENATE(SORT(TRANSPOSE(SPLIT(REGEXREPLACE(REGEXREPLACE(W124&amp;"""",""(?s)(.{1})"",""$1""&amp;CHAR(127)),""'"",""''""),CHAR(127))),1,true))"),"bg")</f>
        <v>bg</v>
      </c>
      <c r="AB124" s="6" t="str">
        <f>IFERROR(__xludf.DUMMYFUNCTION("CONCATENATE(SORT(TRANSPOSE(SPLIT(REGEXREPLACE(REGEXREPLACE(X124&amp;"""",""(?s)(.{1})"",""$1""&amp;CHAR(127)),""'"",""''""),CHAR(127))),1,true))"),"acdeg")</f>
        <v>acdeg</v>
      </c>
      <c r="AC124" s="6" t="str">
        <f>IFERROR(__xludf.DUMMYFUNCTION("CONCATENATE(SORT(TRANSPOSE(SPLIT(REGEXREPLACE(REGEXREPLACE(Y124&amp;"""",""(?s)(.{1})"",""$1""&amp;CHAR(127)),""'"",""''""),CHAR(127))),1,true))"),"bcg")</f>
        <v>bcg</v>
      </c>
      <c r="AD124" s="6">
        <f t="shared" ref="AD124:AG124" si="134">INDEX($AO$1:$CP$1,1,MATCH(CONCATENATE(Z124,"1"),$AO124:$CP124,0)+1)</f>
        <v>1</v>
      </c>
      <c r="AE124" s="6">
        <f t="shared" si="134"/>
        <v>1</v>
      </c>
      <c r="AF124" s="6">
        <f t="shared" si="134"/>
        <v>2</v>
      </c>
      <c r="AG124" s="6">
        <f t="shared" si="134"/>
        <v>7</v>
      </c>
      <c r="AH124" s="6">
        <f t="shared" si="3"/>
        <v>1127</v>
      </c>
      <c r="AI124" s="16"/>
      <c r="AJ124" s="9" t="str">
        <f>IFERROR(__xludf.DUMMYFUNCTION("REGEXREPLACE(AR124,CONCATENATE(""["",BY124,""]""),"""")"),"g")</f>
        <v>g</v>
      </c>
      <c r="AK124" s="10" t="str">
        <f>IFERROR(__xludf.DUMMYFUNCTION("FILTER($K124:$T124,len($K124:$T124)=6,NOT($K124:$T124=BY124))"),"gebfcd")</f>
        <v>gebfcd</v>
      </c>
      <c r="AL124" s="6" t="str">
        <f>IFERROR(__xludf.DUMMYFUNCTION("""COMPUTED_VALUE"""),"afbcge")</f>
        <v>afbcge</v>
      </c>
      <c r="AM124" s="6" t="str">
        <f>IFERROR(__xludf.DUMMYFUNCTION("REGEXREPLACE( $BG124, CONCATENATE(""["",AK124,""]""), """")"),"")</f>
        <v/>
      </c>
      <c r="AN124" s="6" t="str">
        <f>IFERROR(__xludf.DUMMYFUNCTION("REGEXREPLACE( $BG124, CONCATENATE(""["",AL124,""]""), """")"),"d")</f>
        <v>d</v>
      </c>
      <c r="AO124" s="11" t="str">
        <f t="shared" si="4"/>
        <v>afbcge</v>
      </c>
      <c r="AP124" s="12" t="str">
        <f>IFERROR(__xludf.DUMMYFUNCTION("CONCATENATE(SORT(TRANSPOSE(SPLIT(REGEXREPLACE(REGEXREPLACE(AO124&amp;"""",""(?s)(.{1})"",""$1""&amp;CHAR(127)),""'"",""''""),CHAR(127))),1,true),""1"")"),"abcefg1")</f>
        <v>abcefg1</v>
      </c>
      <c r="AQ124" s="16"/>
      <c r="AR124" s="12" t="str">
        <f t="shared" si="5"/>
        <v>gb</v>
      </c>
      <c r="AS124" s="12" t="str">
        <f>IFERROR(__xludf.DUMMYFUNCTION("CONCATENATE(SORT(TRANSPOSE(SPLIT(REGEXREPLACE(REGEXREPLACE(AR124&amp;"""",""(?s)(.{1})"",""$1""&amp;CHAR(127)),""'"",""''""),CHAR(127))),1,true),""1"")"),"bg1")</f>
        <v>bg1</v>
      </c>
      <c r="AT124" s="16"/>
      <c r="AU124" s="13" t="str">
        <f>IFERROR(__xludf.DUMMYFUNCTION("FILTER($K124:$T124,len($K124:$T124)=5,NOT($K124:$T124=BD124),NOT($K124:$T124=BP124))"),"edagc")</f>
        <v>edagc</v>
      </c>
      <c r="AV124" s="12" t="str">
        <f>IFERROR(__xludf.DUMMYFUNCTION("CONCATENATE(SORT(TRANSPOSE(SPLIT(REGEXREPLACE(REGEXREPLACE(AU124&amp;"""",""(?s)(.{1})"",""$1""&amp;CHAR(127)),""'"",""''""),CHAR(127))),1,true),""1"")"),"acdeg1")</f>
        <v>acdeg1</v>
      </c>
      <c r="AW124" s="16"/>
      <c r="AX124" s="10" t="str">
        <f>IFERROR(__xludf.DUMMYFUNCTION("FILTER($K124:$T124,len($K124:$T124)=5)"),"edagc")</f>
        <v>edagc</v>
      </c>
      <c r="AY124" s="6" t="str">
        <f>IFERROR(__xludf.DUMMYFUNCTION("""COMPUTED_VALUE"""),"dcgbe")</f>
        <v>dcgbe</v>
      </c>
      <c r="AZ124" s="6" t="str">
        <f>IFERROR(__xludf.DUMMYFUNCTION("""COMPUTED_VALUE"""),"bfced")</f>
        <v>bfced</v>
      </c>
      <c r="BA124" s="6" t="str">
        <f>IFERROR(__xludf.DUMMYFUNCTION("REGEXREPLACE( $AR124, CONCATENATE(""["",AX124,""]""), """")"),"b")</f>
        <v>b</v>
      </c>
      <c r="BB124" s="6" t="str">
        <f>IFERROR(__xludf.DUMMYFUNCTION("REGEXREPLACE( $AR124, CONCATENATE(""["",AY124,""]""), """")"),"")</f>
        <v/>
      </c>
      <c r="BC124" s="6" t="str">
        <f>IFERROR(__xludf.DUMMYFUNCTION("REGEXREPLACE( $AR124, CONCATENATE(""["",AZ124,""]""), """")"),"g")</f>
        <v>g</v>
      </c>
      <c r="BD124" s="11" t="str">
        <f t="shared" si="6"/>
        <v>dcgbe</v>
      </c>
      <c r="BE124" s="12" t="str">
        <f>IFERROR(__xludf.DUMMYFUNCTION("CONCATENATE(SORT(TRANSPOSE(SPLIT(REGEXREPLACE(REGEXREPLACE(BD124&amp;"""",""(?s)(.{1})"",""$1""&amp;CHAR(127)),""'"",""''""),CHAR(127))),1,true),""1"")"),"bcdeg1")</f>
        <v>bcdeg1</v>
      </c>
      <c r="BF124" s="16"/>
      <c r="BG124" s="12" t="str">
        <f t="shared" si="7"/>
        <v>gbdf</v>
      </c>
      <c r="BH124" s="12" t="str">
        <f>IFERROR(__xludf.DUMMYFUNCTION("CONCATENATE(SORT(TRANSPOSE(SPLIT(REGEXREPLACE(REGEXREPLACE(BG124&amp;"""",""(?s)(.{1})"",""$1""&amp;CHAR(127)),""'"",""''""),CHAR(127))),1,true),""1"")"),"bdfg1")</f>
        <v>bdfg1</v>
      </c>
      <c r="BI124" s="16"/>
      <c r="BJ124" s="10" t="str">
        <f>IFERROR(__xludf.DUMMYFUNCTION("FILTER($K124:$T124,len($K124:$T124)=5)"),"edagc")</f>
        <v>edagc</v>
      </c>
      <c r="BK124" s="6" t="str">
        <f>IFERROR(__xludf.DUMMYFUNCTION("""COMPUTED_VALUE"""),"dcgbe")</f>
        <v>dcgbe</v>
      </c>
      <c r="BL124" s="6" t="str">
        <f>IFERROR(__xludf.DUMMYFUNCTION("""COMPUTED_VALUE"""),"bfced")</f>
        <v>bfced</v>
      </c>
      <c r="BM124" s="14" t="str">
        <f>IFERROR(__xludf.DUMMYFUNCTION("REGEXREPLACE( $BY124, CONCATENATE(""["",BJ124,""]""), """")"),"fb")</f>
        <v>fb</v>
      </c>
      <c r="BN124" s="14" t="str">
        <f>IFERROR(__xludf.DUMMYFUNCTION("REGEXREPLACE( $BY124, CONCATENATE(""["",BK124,""]""), """")"),"fa")</f>
        <v>fa</v>
      </c>
      <c r="BO124" s="14" t="str">
        <f>IFERROR(__xludf.DUMMYFUNCTION("REGEXREPLACE( $BY124, CONCATENATE(""["",BL124,""]""), """")"),"a")</f>
        <v>a</v>
      </c>
      <c r="BP124" s="11" t="str">
        <f t="shared" si="8"/>
        <v>bfced</v>
      </c>
      <c r="BQ124" s="12" t="str">
        <f>IFERROR(__xludf.DUMMYFUNCTION("CONCATENATE(SORT(TRANSPOSE(SPLIT(REGEXREPLACE(REGEXREPLACE(BP124&amp;"""",""(?s)(.{1})"",""$1""&amp;CHAR(127)),""'"",""''""),CHAR(127))),1,true),""1"")"),"bcdef1")</f>
        <v>bcdef1</v>
      </c>
      <c r="BR124" s="16"/>
      <c r="BS124" s="10" t="str">
        <f>IFERROR(__xludf.DUMMYFUNCTION("FILTER(K124:T124,len(K124:T124)=6)"),"gebfcd")</f>
        <v>gebfcd</v>
      </c>
      <c r="BT124" s="6" t="str">
        <f>IFERROR(__xludf.DUMMYFUNCTION("""COMPUTED_VALUE"""),"efcdba")</f>
        <v>efcdba</v>
      </c>
      <c r="BU124" s="6" t="str">
        <f>IFERROR(__xludf.DUMMYFUNCTION("""COMPUTED_VALUE"""),"afbcge")</f>
        <v>afbcge</v>
      </c>
      <c r="BV124" s="6" t="str">
        <f>IFERROR(__xludf.DUMMYFUNCTION("REGEXREPLACE( $AR124, CONCATENATE(""["",BS124,""]""), """")"),"")</f>
        <v/>
      </c>
      <c r="BW124" s="6" t="str">
        <f>IFERROR(__xludf.DUMMYFUNCTION("REGEXREPLACE( $AR124, CONCATENATE(""["",BT124,""]""), """")"),"g")</f>
        <v>g</v>
      </c>
      <c r="BX124" s="6" t="str">
        <f>IFERROR(__xludf.DUMMYFUNCTION("REGEXREPLACE( $AR124, CONCATENATE(""["",BU124,""]""), """")"),"")</f>
        <v/>
      </c>
      <c r="BY124" s="12" t="str">
        <f t="shared" si="9"/>
        <v>efcdba</v>
      </c>
      <c r="BZ124" s="12" t="str">
        <f>IFERROR(__xludf.DUMMYFUNCTION("CONCATENATE(SORT(TRANSPOSE(SPLIT(REGEXREPLACE(REGEXREPLACE(BY124&amp;"""",""(?s)(.{1})"",""$1""&amp;CHAR(127)),""'"",""''""),CHAR(127))),1,true),""1"")"),"abcdef1")</f>
        <v>abcdef1</v>
      </c>
      <c r="CA124" s="16"/>
      <c r="CB124" s="12" t="str">
        <f t="shared" si="10"/>
        <v>gcb</v>
      </c>
      <c r="CC124" s="12" t="str">
        <f>IFERROR(__xludf.DUMMYFUNCTION("CONCATENATE(SORT(TRANSPOSE(SPLIT(REGEXREPLACE(REGEXREPLACE(CB124&amp;"""",""(?s)(.{1})"",""$1""&amp;CHAR(127)),""'"",""''""),CHAR(127))),1,true),""1"")"),"bcg1")</f>
        <v>bcg1</v>
      </c>
      <c r="CD124" s="16"/>
      <c r="CE124" s="12" t="str">
        <f t="shared" si="11"/>
        <v>cfegbad</v>
      </c>
      <c r="CF124" s="12" t="str">
        <f>IFERROR(__xludf.DUMMYFUNCTION("CONCATENATE(SORT(TRANSPOSE(SPLIT(REGEXREPLACE(REGEXREPLACE(CE124&amp;"""",""(?s)(.{1})"",""$1""&amp;CHAR(127)),""'"",""''""),CHAR(127))),1,true),""1"")"),"abcdefg1")</f>
        <v>abcdefg1</v>
      </c>
      <c r="CG124" s="16"/>
      <c r="CH124" s="10" t="str">
        <f>IFERROR(__xludf.DUMMYFUNCTION("FILTER(K124:T124,len(K124:T124)=6)"),"gebfcd")</f>
        <v>gebfcd</v>
      </c>
      <c r="CI124" s="6" t="str">
        <f>IFERROR(__xludf.DUMMYFUNCTION("""COMPUTED_VALUE"""),"efcdba")</f>
        <v>efcdba</v>
      </c>
      <c r="CJ124" s="6" t="str">
        <f>IFERROR(__xludf.DUMMYFUNCTION("""COMPUTED_VALUE"""),"afbcge")</f>
        <v>afbcge</v>
      </c>
      <c r="CK124" s="6" t="str">
        <f>IFERROR(__xludf.DUMMYFUNCTION("REGEXREPLACE( $BG124, CONCATENATE(""["",CH124,""]""), """")"),"")</f>
        <v/>
      </c>
      <c r="CL124" s="6" t="str">
        <f>IFERROR(__xludf.DUMMYFUNCTION("REGEXREPLACE( $BG124, CONCATENATE(""["",CI124,""]""), """")"),"g")</f>
        <v>g</v>
      </c>
      <c r="CM124" s="6" t="str">
        <f>IFERROR(__xludf.DUMMYFUNCTION("REGEXREPLACE( $BG124, CONCATENATE(""["",CJ124,""]""), """")"),"d")</f>
        <v>d</v>
      </c>
      <c r="CN124" s="12" t="str">
        <f t="shared" si="12"/>
        <v>gebfcd</v>
      </c>
      <c r="CO124" s="12" t="str">
        <f>IFERROR(__xludf.DUMMYFUNCTION("CONCATENATE(SORT(TRANSPOSE(SPLIT(REGEXREPLACE(REGEXREPLACE(CN124&amp;"""",""(?s)(.{1})"",""$1""&amp;CHAR(127)),""'"",""''""),CHAR(127))),1,true),""1"")"),"bcdefg1")</f>
        <v>bcdefg1</v>
      </c>
      <c r="CP124" s="15"/>
    </row>
    <row r="125">
      <c r="A125" s="1" t="s">
        <v>145</v>
      </c>
      <c r="H125" s="6" t="str">
        <f>IFERROR(__xludf.DUMMYFUNCTION("SPLIT(A125,""|"")"),"cfdbgae cga cg dgcbea egabfd cefg fgaedc cfabd dgcfa efagd ")</f>
        <v>cfdbgae cga cg dgcbea egabfd cefg fgaedc cfabd dgcfa efagd </v>
      </c>
      <c r="I125" s="6" t="str">
        <f>IFERROR(__xludf.DUMMYFUNCTION("""COMPUTED_VALUE""")," gac cebfadg adfegb adcfeg")</f>
        <v> gac cebfadg adfegb adcfeg</v>
      </c>
      <c r="J125" s="15"/>
      <c r="K125" s="6" t="str">
        <f>IFERROR(__xludf.DUMMYFUNCTION("split(H125,"" "")"),"cfdbgae")</f>
        <v>cfdbgae</v>
      </c>
      <c r="L125" s="6" t="str">
        <f>IFERROR(__xludf.DUMMYFUNCTION("""COMPUTED_VALUE"""),"cga")</f>
        <v>cga</v>
      </c>
      <c r="M125" s="6" t="str">
        <f>IFERROR(__xludf.DUMMYFUNCTION("""COMPUTED_VALUE"""),"cg")</f>
        <v>cg</v>
      </c>
      <c r="N125" s="6" t="str">
        <f>IFERROR(__xludf.DUMMYFUNCTION("""COMPUTED_VALUE"""),"dgcbea")</f>
        <v>dgcbea</v>
      </c>
      <c r="O125" s="6" t="str">
        <f>IFERROR(__xludf.DUMMYFUNCTION("""COMPUTED_VALUE"""),"egabfd")</f>
        <v>egabfd</v>
      </c>
      <c r="P125" s="6" t="str">
        <f>IFERROR(__xludf.DUMMYFUNCTION("""COMPUTED_VALUE"""),"cefg")</f>
        <v>cefg</v>
      </c>
      <c r="Q125" s="6" t="str">
        <f>IFERROR(__xludf.DUMMYFUNCTION("""COMPUTED_VALUE"""),"fgaedc")</f>
        <v>fgaedc</v>
      </c>
      <c r="R125" s="6" t="str">
        <f>IFERROR(__xludf.DUMMYFUNCTION("""COMPUTED_VALUE"""),"cfabd")</f>
        <v>cfabd</v>
      </c>
      <c r="S125" s="6" t="str">
        <f>IFERROR(__xludf.DUMMYFUNCTION("""COMPUTED_VALUE"""),"dgcfa")</f>
        <v>dgcfa</v>
      </c>
      <c r="T125" s="6" t="str">
        <f>IFERROR(__xludf.DUMMYFUNCTION("""COMPUTED_VALUE"""),"efagd")</f>
        <v>efagd</v>
      </c>
      <c r="U125" s="15"/>
      <c r="V125" s="6" t="str">
        <f>IFERROR(__xludf.DUMMYFUNCTION("split(I125,"" "")"),"gac")</f>
        <v>gac</v>
      </c>
      <c r="W125" s="6" t="str">
        <f>IFERROR(__xludf.DUMMYFUNCTION("""COMPUTED_VALUE"""),"cebfadg")</f>
        <v>cebfadg</v>
      </c>
      <c r="X125" s="6" t="str">
        <f>IFERROR(__xludf.DUMMYFUNCTION("""COMPUTED_VALUE"""),"adfegb")</f>
        <v>adfegb</v>
      </c>
      <c r="Y125" s="6" t="str">
        <f>IFERROR(__xludf.DUMMYFUNCTION("""COMPUTED_VALUE"""),"adcfeg")</f>
        <v>adcfeg</v>
      </c>
      <c r="Z125" s="6" t="str">
        <f>IFERROR(__xludf.DUMMYFUNCTION("CONCATENATE(SORT(TRANSPOSE(SPLIT(REGEXREPLACE(REGEXREPLACE(V125&amp;"""",""(?s)(.{1})"",""$1""&amp;CHAR(127)),""'"",""''""),CHAR(127))),1,true))"),"acg")</f>
        <v>acg</v>
      </c>
      <c r="AA125" s="6" t="str">
        <f>IFERROR(__xludf.DUMMYFUNCTION("CONCATENATE(SORT(TRANSPOSE(SPLIT(REGEXREPLACE(REGEXREPLACE(W125&amp;"""",""(?s)(.{1})"",""$1""&amp;CHAR(127)),""'"",""''""),CHAR(127))),1,true))"),"abcdefg")</f>
        <v>abcdefg</v>
      </c>
      <c r="AB125" s="6" t="str">
        <f>IFERROR(__xludf.DUMMYFUNCTION("CONCATENATE(SORT(TRANSPOSE(SPLIT(REGEXREPLACE(REGEXREPLACE(X125&amp;"""",""(?s)(.{1})"",""$1""&amp;CHAR(127)),""'"",""''""),CHAR(127))),1,true))"),"abdefg")</f>
        <v>abdefg</v>
      </c>
      <c r="AC125" s="6" t="str">
        <f>IFERROR(__xludf.DUMMYFUNCTION("CONCATENATE(SORT(TRANSPOSE(SPLIT(REGEXREPLACE(REGEXREPLACE(Y125&amp;"""",""(?s)(.{1})"",""$1""&amp;CHAR(127)),""'"",""''""),CHAR(127))),1,true))"),"acdefg")</f>
        <v>acdefg</v>
      </c>
      <c r="AD125" s="6">
        <f t="shared" ref="AD125:AG125" si="135">INDEX($AO$1:$CP$1,1,MATCH(CONCATENATE(Z125,"1"),$AO125:$CP125,0)+1)</f>
        <v>7</v>
      </c>
      <c r="AE125" s="6">
        <f t="shared" si="135"/>
        <v>8</v>
      </c>
      <c r="AF125" s="6">
        <f t="shared" si="135"/>
        <v>6</v>
      </c>
      <c r="AG125" s="6">
        <f t="shared" si="135"/>
        <v>9</v>
      </c>
      <c r="AH125" s="6">
        <f t="shared" si="3"/>
        <v>7869</v>
      </c>
      <c r="AI125" s="16"/>
      <c r="AJ125" s="9" t="str">
        <f>IFERROR(__xludf.DUMMYFUNCTION("REGEXREPLACE(AR125,CONCATENATE(""["",BY125,""]""),"""")"),"c")</f>
        <v>c</v>
      </c>
      <c r="AK125" s="10" t="str">
        <f>IFERROR(__xludf.DUMMYFUNCTION("FILTER($K125:$T125,len($K125:$T125)=6,NOT($K125:$T125=BY125))"),"dgcbea")</f>
        <v>dgcbea</v>
      </c>
      <c r="AL125" s="6" t="str">
        <f>IFERROR(__xludf.DUMMYFUNCTION("""COMPUTED_VALUE"""),"fgaedc")</f>
        <v>fgaedc</v>
      </c>
      <c r="AM125" s="6" t="str">
        <f>IFERROR(__xludf.DUMMYFUNCTION("REGEXREPLACE( $BG125, CONCATENATE(""["",AK125,""]""), """")"),"f")</f>
        <v>f</v>
      </c>
      <c r="AN125" s="6" t="str">
        <f>IFERROR(__xludf.DUMMYFUNCTION("REGEXREPLACE( $BG125, CONCATENATE(""["",AL125,""]""), """")"),"")</f>
        <v/>
      </c>
      <c r="AO125" s="11" t="str">
        <f t="shared" si="4"/>
        <v>dgcbea</v>
      </c>
      <c r="AP125" s="12" t="str">
        <f>IFERROR(__xludf.DUMMYFUNCTION("CONCATENATE(SORT(TRANSPOSE(SPLIT(REGEXREPLACE(REGEXREPLACE(AO125&amp;"""",""(?s)(.{1})"",""$1""&amp;CHAR(127)),""'"",""''""),CHAR(127))),1,true),""1"")"),"abcdeg1")</f>
        <v>abcdeg1</v>
      </c>
      <c r="AQ125" s="16"/>
      <c r="AR125" s="12" t="str">
        <f t="shared" si="5"/>
        <v>cg</v>
      </c>
      <c r="AS125" s="12" t="str">
        <f>IFERROR(__xludf.DUMMYFUNCTION("CONCATENATE(SORT(TRANSPOSE(SPLIT(REGEXREPLACE(REGEXREPLACE(AR125&amp;"""",""(?s)(.{1})"",""$1""&amp;CHAR(127)),""'"",""''""),CHAR(127))),1,true),""1"")"),"cg1")</f>
        <v>cg1</v>
      </c>
      <c r="AT125" s="16"/>
      <c r="AU125" s="13" t="str">
        <f>IFERROR(__xludf.DUMMYFUNCTION("FILTER($K125:$T125,len($K125:$T125)=5,NOT($K125:$T125=BD125),NOT($K125:$T125=BP125))"),"cfabd")</f>
        <v>cfabd</v>
      </c>
      <c r="AV125" s="12" t="str">
        <f>IFERROR(__xludf.DUMMYFUNCTION("CONCATENATE(SORT(TRANSPOSE(SPLIT(REGEXREPLACE(REGEXREPLACE(AU125&amp;"""",""(?s)(.{1})"",""$1""&amp;CHAR(127)),""'"",""''""),CHAR(127))),1,true),""1"")"),"abcdf1")</f>
        <v>abcdf1</v>
      </c>
      <c r="AW125" s="16"/>
      <c r="AX125" s="10" t="str">
        <f>IFERROR(__xludf.DUMMYFUNCTION("FILTER($K125:$T125,len($K125:$T125)=5)"),"cfabd")</f>
        <v>cfabd</v>
      </c>
      <c r="AY125" s="6" t="str">
        <f>IFERROR(__xludf.DUMMYFUNCTION("""COMPUTED_VALUE"""),"dgcfa")</f>
        <v>dgcfa</v>
      </c>
      <c r="AZ125" s="6" t="str">
        <f>IFERROR(__xludf.DUMMYFUNCTION("""COMPUTED_VALUE"""),"efagd")</f>
        <v>efagd</v>
      </c>
      <c r="BA125" s="6" t="str">
        <f>IFERROR(__xludf.DUMMYFUNCTION("REGEXREPLACE( $AR125, CONCATENATE(""["",AX125,""]""), """")"),"g")</f>
        <v>g</v>
      </c>
      <c r="BB125" s="6" t="str">
        <f>IFERROR(__xludf.DUMMYFUNCTION("REGEXREPLACE( $AR125, CONCATENATE(""["",AY125,""]""), """")"),"")</f>
        <v/>
      </c>
      <c r="BC125" s="6" t="str">
        <f>IFERROR(__xludf.DUMMYFUNCTION("REGEXREPLACE( $AR125, CONCATENATE(""["",AZ125,""]""), """")"),"c")</f>
        <v>c</v>
      </c>
      <c r="BD125" s="11" t="str">
        <f t="shared" si="6"/>
        <v>dgcfa</v>
      </c>
      <c r="BE125" s="12" t="str">
        <f>IFERROR(__xludf.DUMMYFUNCTION("CONCATENATE(SORT(TRANSPOSE(SPLIT(REGEXREPLACE(REGEXREPLACE(BD125&amp;"""",""(?s)(.{1})"",""$1""&amp;CHAR(127)),""'"",""''""),CHAR(127))),1,true),""1"")"),"acdfg1")</f>
        <v>acdfg1</v>
      </c>
      <c r="BF125" s="16"/>
      <c r="BG125" s="12" t="str">
        <f t="shared" si="7"/>
        <v>cefg</v>
      </c>
      <c r="BH125" s="12" t="str">
        <f>IFERROR(__xludf.DUMMYFUNCTION("CONCATENATE(SORT(TRANSPOSE(SPLIT(REGEXREPLACE(REGEXREPLACE(BG125&amp;"""",""(?s)(.{1})"",""$1""&amp;CHAR(127)),""'"",""''""),CHAR(127))),1,true),""1"")"),"cefg1")</f>
        <v>cefg1</v>
      </c>
      <c r="BI125" s="16"/>
      <c r="BJ125" s="10" t="str">
        <f>IFERROR(__xludf.DUMMYFUNCTION("FILTER($K125:$T125,len($K125:$T125)=5)"),"cfabd")</f>
        <v>cfabd</v>
      </c>
      <c r="BK125" s="6" t="str">
        <f>IFERROR(__xludf.DUMMYFUNCTION("""COMPUTED_VALUE"""),"dgcfa")</f>
        <v>dgcfa</v>
      </c>
      <c r="BL125" s="6" t="str">
        <f>IFERROR(__xludf.DUMMYFUNCTION("""COMPUTED_VALUE"""),"efagd")</f>
        <v>efagd</v>
      </c>
      <c r="BM125" s="14" t="str">
        <f>IFERROR(__xludf.DUMMYFUNCTION("REGEXREPLACE( $BY125, CONCATENATE(""["",BJ125,""]""), """")"),"eg")</f>
        <v>eg</v>
      </c>
      <c r="BN125" s="14" t="str">
        <f>IFERROR(__xludf.DUMMYFUNCTION("REGEXREPLACE( $BY125, CONCATENATE(""["",BK125,""]""), """")"),"eb")</f>
        <v>eb</v>
      </c>
      <c r="BO125" s="14" t="str">
        <f>IFERROR(__xludf.DUMMYFUNCTION("REGEXREPLACE( $BY125, CONCATENATE(""["",BL125,""]""), """")"),"b")</f>
        <v>b</v>
      </c>
      <c r="BP125" s="11" t="str">
        <f t="shared" si="8"/>
        <v>efagd</v>
      </c>
      <c r="BQ125" s="12" t="str">
        <f>IFERROR(__xludf.DUMMYFUNCTION("CONCATENATE(SORT(TRANSPOSE(SPLIT(REGEXREPLACE(REGEXREPLACE(BP125&amp;"""",""(?s)(.{1})"",""$1""&amp;CHAR(127)),""'"",""''""),CHAR(127))),1,true),""1"")"),"adefg1")</f>
        <v>adefg1</v>
      </c>
      <c r="BR125" s="16"/>
      <c r="BS125" s="10" t="str">
        <f>IFERROR(__xludf.DUMMYFUNCTION("FILTER(K125:T125,len(K125:T125)=6)"),"dgcbea")</f>
        <v>dgcbea</v>
      </c>
      <c r="BT125" s="6" t="str">
        <f>IFERROR(__xludf.DUMMYFUNCTION("""COMPUTED_VALUE"""),"egabfd")</f>
        <v>egabfd</v>
      </c>
      <c r="BU125" s="6" t="str">
        <f>IFERROR(__xludf.DUMMYFUNCTION("""COMPUTED_VALUE"""),"fgaedc")</f>
        <v>fgaedc</v>
      </c>
      <c r="BV125" s="6" t="str">
        <f>IFERROR(__xludf.DUMMYFUNCTION("REGEXREPLACE( $AR125, CONCATENATE(""["",BS125,""]""), """")"),"")</f>
        <v/>
      </c>
      <c r="BW125" s="6" t="str">
        <f>IFERROR(__xludf.DUMMYFUNCTION("REGEXREPLACE( $AR125, CONCATENATE(""["",BT125,""]""), """")"),"c")</f>
        <v>c</v>
      </c>
      <c r="BX125" s="6" t="str">
        <f>IFERROR(__xludf.DUMMYFUNCTION("REGEXREPLACE( $AR125, CONCATENATE(""["",BU125,""]""), """")"),"")</f>
        <v/>
      </c>
      <c r="BY125" s="12" t="str">
        <f t="shared" si="9"/>
        <v>egabfd</v>
      </c>
      <c r="BZ125" s="12" t="str">
        <f>IFERROR(__xludf.DUMMYFUNCTION("CONCATENATE(SORT(TRANSPOSE(SPLIT(REGEXREPLACE(REGEXREPLACE(BY125&amp;"""",""(?s)(.{1})"",""$1""&amp;CHAR(127)),""'"",""''""),CHAR(127))),1,true),""1"")"),"abdefg1")</f>
        <v>abdefg1</v>
      </c>
      <c r="CA125" s="16"/>
      <c r="CB125" s="12" t="str">
        <f t="shared" si="10"/>
        <v>cga</v>
      </c>
      <c r="CC125" s="12" t="str">
        <f>IFERROR(__xludf.DUMMYFUNCTION("CONCATENATE(SORT(TRANSPOSE(SPLIT(REGEXREPLACE(REGEXREPLACE(CB125&amp;"""",""(?s)(.{1})"",""$1""&amp;CHAR(127)),""'"",""''""),CHAR(127))),1,true),""1"")"),"acg1")</f>
        <v>acg1</v>
      </c>
      <c r="CD125" s="16"/>
      <c r="CE125" s="12" t="str">
        <f t="shared" si="11"/>
        <v>cfdbgae</v>
      </c>
      <c r="CF125" s="12" t="str">
        <f>IFERROR(__xludf.DUMMYFUNCTION("CONCATENATE(SORT(TRANSPOSE(SPLIT(REGEXREPLACE(REGEXREPLACE(CE125&amp;"""",""(?s)(.{1})"",""$1""&amp;CHAR(127)),""'"",""''""),CHAR(127))),1,true),""1"")"),"abcdefg1")</f>
        <v>abcdefg1</v>
      </c>
      <c r="CG125" s="16"/>
      <c r="CH125" s="10" t="str">
        <f>IFERROR(__xludf.DUMMYFUNCTION("FILTER(K125:T125,len(K125:T125)=6)"),"dgcbea")</f>
        <v>dgcbea</v>
      </c>
      <c r="CI125" s="6" t="str">
        <f>IFERROR(__xludf.DUMMYFUNCTION("""COMPUTED_VALUE"""),"egabfd")</f>
        <v>egabfd</v>
      </c>
      <c r="CJ125" s="6" t="str">
        <f>IFERROR(__xludf.DUMMYFUNCTION("""COMPUTED_VALUE"""),"fgaedc")</f>
        <v>fgaedc</v>
      </c>
      <c r="CK125" s="6" t="str">
        <f>IFERROR(__xludf.DUMMYFUNCTION("REGEXREPLACE( $BG125, CONCATENATE(""["",CH125,""]""), """")"),"f")</f>
        <v>f</v>
      </c>
      <c r="CL125" s="6" t="str">
        <f>IFERROR(__xludf.DUMMYFUNCTION("REGEXREPLACE( $BG125, CONCATENATE(""["",CI125,""]""), """")"),"c")</f>
        <v>c</v>
      </c>
      <c r="CM125" s="6" t="str">
        <f>IFERROR(__xludf.DUMMYFUNCTION("REGEXREPLACE( $BG125, CONCATENATE(""["",CJ125,""]""), """")"),"")</f>
        <v/>
      </c>
      <c r="CN125" s="12" t="str">
        <f t="shared" si="12"/>
        <v>fgaedc</v>
      </c>
      <c r="CO125" s="12" t="str">
        <f>IFERROR(__xludf.DUMMYFUNCTION("CONCATENATE(SORT(TRANSPOSE(SPLIT(REGEXREPLACE(REGEXREPLACE(CN125&amp;"""",""(?s)(.{1})"",""$1""&amp;CHAR(127)),""'"",""''""),CHAR(127))),1,true),""1"")"),"acdefg1")</f>
        <v>acdefg1</v>
      </c>
      <c r="CP125" s="15"/>
    </row>
    <row r="126">
      <c r="A126" s="1" t="s">
        <v>146</v>
      </c>
      <c r="H126" s="6" t="str">
        <f>IFERROR(__xludf.DUMMYFUNCTION("SPLIT(A126,""|"")"),"cbga aefbd gb adcgfe edcbfg deabcfg bcagfe feagc febga geb ")</f>
        <v>cbga aefbd gb adcgfe edcbfg deabcfg bcagfe feagc febga geb </v>
      </c>
      <c r="I126" s="6" t="str">
        <f>IFERROR(__xludf.DUMMYFUNCTION("""COMPUTED_VALUE""")," agbc cfeagd gbe dcefgb")</f>
        <v> agbc cfeagd gbe dcefgb</v>
      </c>
      <c r="J126" s="15"/>
      <c r="K126" s="6" t="str">
        <f>IFERROR(__xludf.DUMMYFUNCTION("split(H126,"" "")"),"cbga")</f>
        <v>cbga</v>
      </c>
      <c r="L126" s="6" t="str">
        <f>IFERROR(__xludf.DUMMYFUNCTION("""COMPUTED_VALUE"""),"aefbd")</f>
        <v>aefbd</v>
      </c>
      <c r="M126" s="6" t="str">
        <f>IFERROR(__xludf.DUMMYFUNCTION("""COMPUTED_VALUE"""),"gb")</f>
        <v>gb</v>
      </c>
      <c r="N126" s="6" t="str">
        <f>IFERROR(__xludf.DUMMYFUNCTION("""COMPUTED_VALUE"""),"adcgfe")</f>
        <v>adcgfe</v>
      </c>
      <c r="O126" s="6" t="str">
        <f>IFERROR(__xludf.DUMMYFUNCTION("""COMPUTED_VALUE"""),"edcbfg")</f>
        <v>edcbfg</v>
      </c>
      <c r="P126" s="6" t="str">
        <f>IFERROR(__xludf.DUMMYFUNCTION("""COMPUTED_VALUE"""),"deabcfg")</f>
        <v>deabcfg</v>
      </c>
      <c r="Q126" s="6" t="str">
        <f>IFERROR(__xludf.DUMMYFUNCTION("""COMPUTED_VALUE"""),"bcagfe")</f>
        <v>bcagfe</v>
      </c>
      <c r="R126" s="6" t="str">
        <f>IFERROR(__xludf.DUMMYFUNCTION("""COMPUTED_VALUE"""),"feagc")</f>
        <v>feagc</v>
      </c>
      <c r="S126" s="6" t="str">
        <f>IFERROR(__xludf.DUMMYFUNCTION("""COMPUTED_VALUE"""),"febga")</f>
        <v>febga</v>
      </c>
      <c r="T126" s="6" t="str">
        <f>IFERROR(__xludf.DUMMYFUNCTION("""COMPUTED_VALUE"""),"geb")</f>
        <v>geb</v>
      </c>
      <c r="U126" s="15"/>
      <c r="V126" s="6" t="str">
        <f>IFERROR(__xludf.DUMMYFUNCTION("split(I126,"" "")"),"agbc")</f>
        <v>agbc</v>
      </c>
      <c r="W126" s="6" t="str">
        <f>IFERROR(__xludf.DUMMYFUNCTION("""COMPUTED_VALUE"""),"cfeagd")</f>
        <v>cfeagd</v>
      </c>
      <c r="X126" s="6" t="str">
        <f>IFERROR(__xludf.DUMMYFUNCTION("""COMPUTED_VALUE"""),"gbe")</f>
        <v>gbe</v>
      </c>
      <c r="Y126" s="6" t="str">
        <f>IFERROR(__xludf.DUMMYFUNCTION("""COMPUTED_VALUE"""),"dcefgb")</f>
        <v>dcefgb</v>
      </c>
      <c r="Z126" s="6" t="str">
        <f>IFERROR(__xludf.DUMMYFUNCTION("CONCATENATE(SORT(TRANSPOSE(SPLIT(REGEXREPLACE(REGEXREPLACE(V126&amp;"""",""(?s)(.{1})"",""$1""&amp;CHAR(127)),""'"",""''""),CHAR(127))),1,true))"),"abcg")</f>
        <v>abcg</v>
      </c>
      <c r="AA126" s="6" t="str">
        <f>IFERROR(__xludf.DUMMYFUNCTION("CONCATENATE(SORT(TRANSPOSE(SPLIT(REGEXREPLACE(REGEXREPLACE(W126&amp;"""",""(?s)(.{1})"",""$1""&amp;CHAR(127)),""'"",""''""),CHAR(127))),1,true))"),"acdefg")</f>
        <v>acdefg</v>
      </c>
      <c r="AB126" s="6" t="str">
        <f>IFERROR(__xludf.DUMMYFUNCTION("CONCATENATE(SORT(TRANSPOSE(SPLIT(REGEXREPLACE(REGEXREPLACE(X126&amp;"""",""(?s)(.{1})"",""$1""&amp;CHAR(127)),""'"",""''""),CHAR(127))),1,true))"),"beg")</f>
        <v>beg</v>
      </c>
      <c r="AC126" s="6" t="str">
        <f>IFERROR(__xludf.DUMMYFUNCTION("CONCATENATE(SORT(TRANSPOSE(SPLIT(REGEXREPLACE(REGEXREPLACE(Y126&amp;"""",""(?s)(.{1})"",""$1""&amp;CHAR(127)),""'"",""''""),CHAR(127))),1,true))"),"bcdefg")</f>
        <v>bcdefg</v>
      </c>
      <c r="AD126" s="6">
        <f t="shared" ref="AD126:AG126" si="136">INDEX($AO$1:$CP$1,1,MATCH(CONCATENATE(Z126,"1"),$AO126:$CP126,0)+1)</f>
        <v>4</v>
      </c>
      <c r="AE126" s="6">
        <f t="shared" si="136"/>
        <v>6</v>
      </c>
      <c r="AF126" s="6">
        <f t="shared" si="136"/>
        <v>7</v>
      </c>
      <c r="AG126" s="6">
        <f t="shared" si="136"/>
        <v>0</v>
      </c>
      <c r="AH126" s="6">
        <f t="shared" si="3"/>
        <v>4670</v>
      </c>
      <c r="AI126" s="16"/>
      <c r="AJ126" s="9" t="str">
        <f>IFERROR(__xludf.DUMMYFUNCTION("REGEXREPLACE(AR126,CONCATENATE(""["",BY126,""]""),"""")"),"b")</f>
        <v>b</v>
      </c>
      <c r="AK126" s="10" t="str">
        <f>IFERROR(__xludf.DUMMYFUNCTION("FILTER($K126:$T126,len($K126:$T126)=6,NOT($K126:$T126=BY126))"),"edcbfg")</f>
        <v>edcbfg</v>
      </c>
      <c r="AL126" s="6" t="str">
        <f>IFERROR(__xludf.DUMMYFUNCTION("""COMPUTED_VALUE"""),"bcagfe")</f>
        <v>bcagfe</v>
      </c>
      <c r="AM126" s="6" t="str">
        <f>IFERROR(__xludf.DUMMYFUNCTION("REGEXREPLACE( $BG126, CONCATENATE(""["",AK126,""]""), """")"),"a")</f>
        <v>a</v>
      </c>
      <c r="AN126" s="6" t="str">
        <f>IFERROR(__xludf.DUMMYFUNCTION("REGEXREPLACE( $BG126, CONCATENATE(""["",AL126,""]""), """")"),"")</f>
        <v/>
      </c>
      <c r="AO126" s="11" t="str">
        <f t="shared" si="4"/>
        <v>edcbfg</v>
      </c>
      <c r="AP126" s="12" t="str">
        <f>IFERROR(__xludf.DUMMYFUNCTION("CONCATENATE(SORT(TRANSPOSE(SPLIT(REGEXREPLACE(REGEXREPLACE(AO126&amp;"""",""(?s)(.{1})"",""$1""&amp;CHAR(127)),""'"",""''""),CHAR(127))),1,true),""1"")"),"bcdefg1")</f>
        <v>bcdefg1</v>
      </c>
      <c r="AQ126" s="16"/>
      <c r="AR126" s="12" t="str">
        <f t="shared" si="5"/>
        <v>gb</v>
      </c>
      <c r="AS126" s="12" t="str">
        <f>IFERROR(__xludf.DUMMYFUNCTION("CONCATENATE(SORT(TRANSPOSE(SPLIT(REGEXREPLACE(REGEXREPLACE(AR126&amp;"""",""(?s)(.{1})"",""$1""&amp;CHAR(127)),""'"",""''""),CHAR(127))),1,true),""1"")"),"bg1")</f>
        <v>bg1</v>
      </c>
      <c r="AT126" s="16"/>
      <c r="AU126" s="13" t="str">
        <f>IFERROR(__xludf.DUMMYFUNCTION("FILTER($K126:$T126,len($K126:$T126)=5,NOT($K126:$T126=BD126),NOT($K126:$T126=BP126))"),"aefbd")</f>
        <v>aefbd</v>
      </c>
      <c r="AV126" s="12" t="str">
        <f>IFERROR(__xludf.DUMMYFUNCTION("CONCATENATE(SORT(TRANSPOSE(SPLIT(REGEXREPLACE(REGEXREPLACE(AU126&amp;"""",""(?s)(.{1})"",""$1""&amp;CHAR(127)),""'"",""''""),CHAR(127))),1,true),""1"")"),"abdef1")</f>
        <v>abdef1</v>
      </c>
      <c r="AW126" s="16"/>
      <c r="AX126" s="10" t="str">
        <f>IFERROR(__xludf.DUMMYFUNCTION("FILTER($K126:$T126,len($K126:$T126)=5)"),"aefbd")</f>
        <v>aefbd</v>
      </c>
      <c r="AY126" s="6" t="str">
        <f>IFERROR(__xludf.DUMMYFUNCTION("""COMPUTED_VALUE"""),"feagc")</f>
        <v>feagc</v>
      </c>
      <c r="AZ126" s="6" t="str">
        <f>IFERROR(__xludf.DUMMYFUNCTION("""COMPUTED_VALUE"""),"febga")</f>
        <v>febga</v>
      </c>
      <c r="BA126" s="6" t="str">
        <f>IFERROR(__xludf.DUMMYFUNCTION("REGEXREPLACE( $AR126, CONCATENATE(""["",AX126,""]""), """")"),"g")</f>
        <v>g</v>
      </c>
      <c r="BB126" s="6" t="str">
        <f>IFERROR(__xludf.DUMMYFUNCTION("REGEXREPLACE( $AR126, CONCATENATE(""["",AY126,""]""), """")"),"b")</f>
        <v>b</v>
      </c>
      <c r="BC126" s="6" t="str">
        <f>IFERROR(__xludf.DUMMYFUNCTION("REGEXREPLACE( $AR126, CONCATENATE(""["",AZ126,""]""), """")"),"")</f>
        <v/>
      </c>
      <c r="BD126" s="11" t="str">
        <f t="shared" si="6"/>
        <v>febga</v>
      </c>
      <c r="BE126" s="12" t="str">
        <f>IFERROR(__xludf.DUMMYFUNCTION("CONCATENATE(SORT(TRANSPOSE(SPLIT(REGEXREPLACE(REGEXREPLACE(BD126&amp;"""",""(?s)(.{1})"",""$1""&amp;CHAR(127)),""'"",""''""),CHAR(127))),1,true),""1"")"),"abefg1")</f>
        <v>abefg1</v>
      </c>
      <c r="BF126" s="16"/>
      <c r="BG126" s="12" t="str">
        <f t="shared" si="7"/>
        <v>cbga</v>
      </c>
      <c r="BH126" s="12" t="str">
        <f>IFERROR(__xludf.DUMMYFUNCTION("CONCATENATE(SORT(TRANSPOSE(SPLIT(REGEXREPLACE(REGEXREPLACE(BG126&amp;"""",""(?s)(.{1})"",""$1""&amp;CHAR(127)),""'"",""''""),CHAR(127))),1,true),""1"")"),"abcg1")</f>
        <v>abcg1</v>
      </c>
      <c r="BI126" s="16"/>
      <c r="BJ126" s="10" t="str">
        <f>IFERROR(__xludf.DUMMYFUNCTION("FILTER($K126:$T126,len($K126:$T126)=5)"),"aefbd")</f>
        <v>aefbd</v>
      </c>
      <c r="BK126" s="6" t="str">
        <f>IFERROR(__xludf.DUMMYFUNCTION("""COMPUTED_VALUE"""),"feagc")</f>
        <v>feagc</v>
      </c>
      <c r="BL126" s="6" t="str">
        <f>IFERROR(__xludf.DUMMYFUNCTION("""COMPUTED_VALUE"""),"febga")</f>
        <v>febga</v>
      </c>
      <c r="BM126" s="14" t="str">
        <f>IFERROR(__xludf.DUMMYFUNCTION("REGEXREPLACE( $BY126, CONCATENATE(""["",BJ126,""]""), """")"),"cg")</f>
        <v>cg</v>
      </c>
      <c r="BN126" s="14" t="str">
        <f>IFERROR(__xludf.DUMMYFUNCTION("REGEXREPLACE( $BY126, CONCATENATE(""["",BK126,""]""), """")"),"d")</f>
        <v>d</v>
      </c>
      <c r="BO126" s="14" t="str">
        <f>IFERROR(__xludf.DUMMYFUNCTION("REGEXREPLACE( $BY126, CONCATENATE(""["",BL126,""]""), """")"),"dc")</f>
        <v>dc</v>
      </c>
      <c r="BP126" s="11" t="str">
        <f t="shared" si="8"/>
        <v>feagc</v>
      </c>
      <c r="BQ126" s="12" t="str">
        <f>IFERROR(__xludf.DUMMYFUNCTION("CONCATENATE(SORT(TRANSPOSE(SPLIT(REGEXREPLACE(REGEXREPLACE(BP126&amp;"""",""(?s)(.{1})"",""$1""&amp;CHAR(127)),""'"",""''""),CHAR(127))),1,true),""1"")"),"acefg1")</f>
        <v>acefg1</v>
      </c>
      <c r="BR126" s="16"/>
      <c r="BS126" s="10" t="str">
        <f>IFERROR(__xludf.DUMMYFUNCTION("FILTER(K126:T126,len(K126:T126)=6)"),"adcgfe")</f>
        <v>adcgfe</v>
      </c>
      <c r="BT126" s="6" t="str">
        <f>IFERROR(__xludf.DUMMYFUNCTION("""COMPUTED_VALUE"""),"edcbfg")</f>
        <v>edcbfg</v>
      </c>
      <c r="BU126" s="6" t="str">
        <f>IFERROR(__xludf.DUMMYFUNCTION("""COMPUTED_VALUE"""),"bcagfe")</f>
        <v>bcagfe</v>
      </c>
      <c r="BV126" s="6" t="str">
        <f>IFERROR(__xludf.DUMMYFUNCTION("REGEXREPLACE( $AR126, CONCATENATE(""["",BS126,""]""), """")"),"b")</f>
        <v>b</v>
      </c>
      <c r="BW126" s="6" t="str">
        <f>IFERROR(__xludf.DUMMYFUNCTION("REGEXREPLACE( $AR126, CONCATENATE(""["",BT126,""]""), """")"),"")</f>
        <v/>
      </c>
      <c r="BX126" s="6" t="str">
        <f>IFERROR(__xludf.DUMMYFUNCTION("REGEXREPLACE( $AR126, CONCATENATE(""["",BU126,""]""), """")"),"")</f>
        <v/>
      </c>
      <c r="BY126" s="12" t="str">
        <f t="shared" si="9"/>
        <v>adcgfe</v>
      </c>
      <c r="BZ126" s="12" t="str">
        <f>IFERROR(__xludf.DUMMYFUNCTION("CONCATENATE(SORT(TRANSPOSE(SPLIT(REGEXREPLACE(REGEXREPLACE(BY126&amp;"""",""(?s)(.{1})"",""$1""&amp;CHAR(127)),""'"",""''""),CHAR(127))),1,true),""1"")"),"acdefg1")</f>
        <v>acdefg1</v>
      </c>
      <c r="CA126" s="16"/>
      <c r="CB126" s="12" t="str">
        <f t="shared" si="10"/>
        <v>geb</v>
      </c>
      <c r="CC126" s="12" t="str">
        <f>IFERROR(__xludf.DUMMYFUNCTION("CONCATENATE(SORT(TRANSPOSE(SPLIT(REGEXREPLACE(REGEXREPLACE(CB126&amp;"""",""(?s)(.{1})"",""$1""&amp;CHAR(127)),""'"",""''""),CHAR(127))),1,true),""1"")"),"beg1")</f>
        <v>beg1</v>
      </c>
      <c r="CD126" s="16"/>
      <c r="CE126" s="12" t="str">
        <f t="shared" si="11"/>
        <v>deabcfg</v>
      </c>
      <c r="CF126" s="12" t="str">
        <f>IFERROR(__xludf.DUMMYFUNCTION("CONCATENATE(SORT(TRANSPOSE(SPLIT(REGEXREPLACE(REGEXREPLACE(CE126&amp;"""",""(?s)(.{1})"",""$1""&amp;CHAR(127)),""'"",""''""),CHAR(127))),1,true),""1"")"),"abcdefg1")</f>
        <v>abcdefg1</v>
      </c>
      <c r="CG126" s="16"/>
      <c r="CH126" s="10" t="str">
        <f>IFERROR(__xludf.DUMMYFUNCTION("FILTER(K126:T126,len(K126:T126)=6)"),"adcgfe")</f>
        <v>adcgfe</v>
      </c>
      <c r="CI126" s="6" t="str">
        <f>IFERROR(__xludf.DUMMYFUNCTION("""COMPUTED_VALUE"""),"edcbfg")</f>
        <v>edcbfg</v>
      </c>
      <c r="CJ126" s="6" t="str">
        <f>IFERROR(__xludf.DUMMYFUNCTION("""COMPUTED_VALUE"""),"bcagfe")</f>
        <v>bcagfe</v>
      </c>
      <c r="CK126" s="6" t="str">
        <f>IFERROR(__xludf.DUMMYFUNCTION("REGEXREPLACE( $BG126, CONCATENATE(""["",CH126,""]""), """")"),"b")</f>
        <v>b</v>
      </c>
      <c r="CL126" s="6" t="str">
        <f>IFERROR(__xludf.DUMMYFUNCTION("REGEXREPLACE( $BG126, CONCATENATE(""["",CI126,""]""), """")"),"a")</f>
        <v>a</v>
      </c>
      <c r="CM126" s="6" t="str">
        <f>IFERROR(__xludf.DUMMYFUNCTION("REGEXREPLACE( $BG126, CONCATENATE(""["",CJ126,""]""), """")"),"")</f>
        <v/>
      </c>
      <c r="CN126" s="12" t="str">
        <f t="shared" si="12"/>
        <v>bcagfe</v>
      </c>
      <c r="CO126" s="12" t="str">
        <f>IFERROR(__xludf.DUMMYFUNCTION("CONCATENATE(SORT(TRANSPOSE(SPLIT(REGEXREPLACE(REGEXREPLACE(CN126&amp;"""",""(?s)(.{1})"",""$1""&amp;CHAR(127)),""'"",""''""),CHAR(127))),1,true),""1"")"),"abcefg1")</f>
        <v>abcefg1</v>
      </c>
      <c r="CP126" s="15"/>
    </row>
    <row r="127">
      <c r="A127" s="1" t="s">
        <v>147</v>
      </c>
      <c r="H127" s="6" t="str">
        <f>IFERROR(__xludf.DUMMYFUNCTION("SPLIT(A127,""|"")"),"dgfceb bdacg egda cdbeg cad bdaecgf fagbc cbedaf aedcgb ad ")</f>
        <v>dgfceb bdacg egda cdbeg cad bdaecgf fagbc cbedaf aedcgb ad </v>
      </c>
      <c r="I127" s="6" t="str">
        <f>IFERROR(__xludf.DUMMYFUNCTION("""COMPUTED_VALUE""")," gade egcbd cafbg adge")</f>
        <v> gade egcbd cafbg adge</v>
      </c>
      <c r="J127" s="15"/>
      <c r="K127" s="6" t="str">
        <f>IFERROR(__xludf.DUMMYFUNCTION("split(H127,"" "")"),"dgfceb")</f>
        <v>dgfceb</v>
      </c>
      <c r="L127" s="6" t="str">
        <f>IFERROR(__xludf.DUMMYFUNCTION("""COMPUTED_VALUE"""),"bdacg")</f>
        <v>bdacg</v>
      </c>
      <c r="M127" s="6" t="str">
        <f>IFERROR(__xludf.DUMMYFUNCTION("""COMPUTED_VALUE"""),"egda")</f>
        <v>egda</v>
      </c>
      <c r="N127" s="6" t="str">
        <f>IFERROR(__xludf.DUMMYFUNCTION("""COMPUTED_VALUE"""),"cdbeg")</f>
        <v>cdbeg</v>
      </c>
      <c r="O127" s="6" t="str">
        <f>IFERROR(__xludf.DUMMYFUNCTION("""COMPUTED_VALUE"""),"cad")</f>
        <v>cad</v>
      </c>
      <c r="P127" s="6" t="str">
        <f>IFERROR(__xludf.DUMMYFUNCTION("""COMPUTED_VALUE"""),"bdaecgf")</f>
        <v>bdaecgf</v>
      </c>
      <c r="Q127" s="6" t="str">
        <f>IFERROR(__xludf.DUMMYFUNCTION("""COMPUTED_VALUE"""),"fagbc")</f>
        <v>fagbc</v>
      </c>
      <c r="R127" s="6" t="str">
        <f>IFERROR(__xludf.DUMMYFUNCTION("""COMPUTED_VALUE"""),"cbedaf")</f>
        <v>cbedaf</v>
      </c>
      <c r="S127" s="6" t="str">
        <f>IFERROR(__xludf.DUMMYFUNCTION("""COMPUTED_VALUE"""),"aedcgb")</f>
        <v>aedcgb</v>
      </c>
      <c r="T127" s="6" t="str">
        <f>IFERROR(__xludf.DUMMYFUNCTION("""COMPUTED_VALUE"""),"ad")</f>
        <v>ad</v>
      </c>
      <c r="U127" s="15"/>
      <c r="V127" s="6" t="str">
        <f>IFERROR(__xludf.DUMMYFUNCTION("split(I127,"" "")"),"gade")</f>
        <v>gade</v>
      </c>
      <c r="W127" s="6" t="str">
        <f>IFERROR(__xludf.DUMMYFUNCTION("""COMPUTED_VALUE"""),"egcbd")</f>
        <v>egcbd</v>
      </c>
      <c r="X127" s="6" t="str">
        <f>IFERROR(__xludf.DUMMYFUNCTION("""COMPUTED_VALUE"""),"cafbg")</f>
        <v>cafbg</v>
      </c>
      <c r="Y127" s="6" t="str">
        <f>IFERROR(__xludf.DUMMYFUNCTION("""COMPUTED_VALUE"""),"adge")</f>
        <v>adge</v>
      </c>
      <c r="Z127" s="6" t="str">
        <f>IFERROR(__xludf.DUMMYFUNCTION("CONCATENATE(SORT(TRANSPOSE(SPLIT(REGEXREPLACE(REGEXREPLACE(V127&amp;"""",""(?s)(.{1})"",""$1""&amp;CHAR(127)),""'"",""''""),CHAR(127))),1,true))"),"adeg")</f>
        <v>adeg</v>
      </c>
      <c r="AA127" s="6" t="str">
        <f>IFERROR(__xludf.DUMMYFUNCTION("CONCATENATE(SORT(TRANSPOSE(SPLIT(REGEXREPLACE(REGEXREPLACE(W127&amp;"""",""(?s)(.{1})"",""$1""&amp;CHAR(127)),""'"",""''""),CHAR(127))),1,true))"),"bcdeg")</f>
        <v>bcdeg</v>
      </c>
      <c r="AB127" s="6" t="str">
        <f>IFERROR(__xludf.DUMMYFUNCTION("CONCATENATE(SORT(TRANSPOSE(SPLIT(REGEXREPLACE(REGEXREPLACE(X127&amp;"""",""(?s)(.{1})"",""$1""&amp;CHAR(127)),""'"",""''""),CHAR(127))),1,true))"),"abcfg")</f>
        <v>abcfg</v>
      </c>
      <c r="AC127" s="6" t="str">
        <f>IFERROR(__xludf.DUMMYFUNCTION("CONCATENATE(SORT(TRANSPOSE(SPLIT(REGEXREPLACE(REGEXREPLACE(Y127&amp;"""",""(?s)(.{1})"",""$1""&amp;CHAR(127)),""'"",""''""),CHAR(127))),1,true))"),"adeg")</f>
        <v>adeg</v>
      </c>
      <c r="AD127" s="6">
        <f t="shared" ref="AD127:AG127" si="137">INDEX($AO$1:$CP$1,1,MATCH(CONCATENATE(Z127,"1"),$AO127:$CP127,0)+1)</f>
        <v>4</v>
      </c>
      <c r="AE127" s="6">
        <f t="shared" si="137"/>
        <v>5</v>
      </c>
      <c r="AF127" s="6">
        <f t="shared" si="137"/>
        <v>2</v>
      </c>
      <c r="AG127" s="6">
        <f t="shared" si="137"/>
        <v>4</v>
      </c>
      <c r="AH127" s="6">
        <f t="shared" si="3"/>
        <v>4524</v>
      </c>
      <c r="AI127" s="16"/>
      <c r="AJ127" s="9" t="str">
        <f>IFERROR(__xludf.DUMMYFUNCTION("REGEXREPLACE(AR127,CONCATENATE(""["",BY127,""]""),"""")"),"a")</f>
        <v>a</v>
      </c>
      <c r="AK127" s="10" t="str">
        <f>IFERROR(__xludf.DUMMYFUNCTION("FILTER($K127:$T127,len($K127:$T127)=6,NOT($K127:$T127=BY127))"),"cbedaf")</f>
        <v>cbedaf</v>
      </c>
      <c r="AL127" s="6" t="str">
        <f>IFERROR(__xludf.DUMMYFUNCTION("""COMPUTED_VALUE"""),"aedcgb")</f>
        <v>aedcgb</v>
      </c>
      <c r="AM127" s="6" t="str">
        <f>IFERROR(__xludf.DUMMYFUNCTION("REGEXREPLACE( $BG127, CONCATENATE(""["",AK127,""]""), """")"),"g")</f>
        <v>g</v>
      </c>
      <c r="AN127" s="6" t="str">
        <f>IFERROR(__xludf.DUMMYFUNCTION("REGEXREPLACE( $BG127, CONCATENATE(""["",AL127,""]""), """")"),"")</f>
        <v/>
      </c>
      <c r="AO127" s="11" t="str">
        <f t="shared" si="4"/>
        <v>cbedaf</v>
      </c>
      <c r="AP127" s="12" t="str">
        <f>IFERROR(__xludf.DUMMYFUNCTION("CONCATENATE(SORT(TRANSPOSE(SPLIT(REGEXREPLACE(REGEXREPLACE(AO127&amp;"""",""(?s)(.{1})"",""$1""&amp;CHAR(127)),""'"",""''""),CHAR(127))),1,true),""1"")"),"abcdef1")</f>
        <v>abcdef1</v>
      </c>
      <c r="AQ127" s="16"/>
      <c r="AR127" s="12" t="str">
        <f t="shared" si="5"/>
        <v>ad</v>
      </c>
      <c r="AS127" s="12" t="str">
        <f>IFERROR(__xludf.DUMMYFUNCTION("CONCATENATE(SORT(TRANSPOSE(SPLIT(REGEXREPLACE(REGEXREPLACE(AR127&amp;"""",""(?s)(.{1})"",""$1""&amp;CHAR(127)),""'"",""''""),CHAR(127))),1,true),""1"")"),"ad1")</f>
        <v>ad1</v>
      </c>
      <c r="AT127" s="16"/>
      <c r="AU127" s="13" t="str">
        <f>IFERROR(__xludf.DUMMYFUNCTION("FILTER($K127:$T127,len($K127:$T127)=5,NOT($K127:$T127=BD127),NOT($K127:$T127=BP127))"),"fagbc")</f>
        <v>fagbc</v>
      </c>
      <c r="AV127" s="12" t="str">
        <f>IFERROR(__xludf.DUMMYFUNCTION("CONCATENATE(SORT(TRANSPOSE(SPLIT(REGEXREPLACE(REGEXREPLACE(AU127&amp;"""",""(?s)(.{1})"",""$1""&amp;CHAR(127)),""'"",""''""),CHAR(127))),1,true),""1"")"),"abcfg1")</f>
        <v>abcfg1</v>
      </c>
      <c r="AW127" s="16"/>
      <c r="AX127" s="10" t="str">
        <f>IFERROR(__xludf.DUMMYFUNCTION("FILTER($K127:$T127,len($K127:$T127)=5)"),"bdacg")</f>
        <v>bdacg</v>
      </c>
      <c r="AY127" s="6" t="str">
        <f>IFERROR(__xludf.DUMMYFUNCTION("""COMPUTED_VALUE"""),"cdbeg")</f>
        <v>cdbeg</v>
      </c>
      <c r="AZ127" s="6" t="str">
        <f>IFERROR(__xludf.DUMMYFUNCTION("""COMPUTED_VALUE"""),"fagbc")</f>
        <v>fagbc</v>
      </c>
      <c r="BA127" s="6" t="str">
        <f>IFERROR(__xludf.DUMMYFUNCTION("REGEXREPLACE( $AR127, CONCATENATE(""["",AX127,""]""), """")"),"")</f>
        <v/>
      </c>
      <c r="BB127" s="6" t="str">
        <f>IFERROR(__xludf.DUMMYFUNCTION("REGEXREPLACE( $AR127, CONCATENATE(""["",AY127,""]""), """")"),"a")</f>
        <v>a</v>
      </c>
      <c r="BC127" s="6" t="str">
        <f>IFERROR(__xludf.DUMMYFUNCTION("REGEXREPLACE( $AR127, CONCATENATE(""["",AZ127,""]""), """")"),"d")</f>
        <v>d</v>
      </c>
      <c r="BD127" s="11" t="str">
        <f t="shared" si="6"/>
        <v>bdacg</v>
      </c>
      <c r="BE127" s="12" t="str">
        <f>IFERROR(__xludf.DUMMYFUNCTION("CONCATENATE(SORT(TRANSPOSE(SPLIT(REGEXREPLACE(REGEXREPLACE(BD127&amp;"""",""(?s)(.{1})"",""$1""&amp;CHAR(127)),""'"",""''""),CHAR(127))),1,true),""1"")"),"abcdg1")</f>
        <v>abcdg1</v>
      </c>
      <c r="BF127" s="16"/>
      <c r="BG127" s="12" t="str">
        <f t="shared" si="7"/>
        <v>egda</v>
      </c>
      <c r="BH127" s="12" t="str">
        <f>IFERROR(__xludf.DUMMYFUNCTION("CONCATENATE(SORT(TRANSPOSE(SPLIT(REGEXREPLACE(REGEXREPLACE(BG127&amp;"""",""(?s)(.{1})"",""$1""&amp;CHAR(127)),""'"",""''""),CHAR(127))),1,true),""1"")"),"adeg1")</f>
        <v>adeg1</v>
      </c>
      <c r="BI127" s="16"/>
      <c r="BJ127" s="10" t="str">
        <f>IFERROR(__xludf.DUMMYFUNCTION("FILTER($K127:$T127,len($K127:$T127)=5)"),"bdacg")</f>
        <v>bdacg</v>
      </c>
      <c r="BK127" s="6" t="str">
        <f>IFERROR(__xludf.DUMMYFUNCTION("""COMPUTED_VALUE"""),"cdbeg")</f>
        <v>cdbeg</v>
      </c>
      <c r="BL127" s="6" t="str">
        <f>IFERROR(__xludf.DUMMYFUNCTION("""COMPUTED_VALUE"""),"fagbc")</f>
        <v>fagbc</v>
      </c>
      <c r="BM127" s="14" t="str">
        <f>IFERROR(__xludf.DUMMYFUNCTION("REGEXREPLACE( $BY127, CONCATENATE(""["",BJ127,""]""), """")"),"fe")</f>
        <v>fe</v>
      </c>
      <c r="BN127" s="14" t="str">
        <f>IFERROR(__xludf.DUMMYFUNCTION("REGEXREPLACE( $BY127, CONCATENATE(""["",BK127,""]""), """")"),"f")</f>
        <v>f</v>
      </c>
      <c r="BO127" s="14" t="str">
        <f>IFERROR(__xludf.DUMMYFUNCTION("REGEXREPLACE( $BY127, CONCATENATE(""["",BL127,""]""), """")"),"de")</f>
        <v>de</v>
      </c>
      <c r="BP127" s="11" t="str">
        <f t="shared" si="8"/>
        <v>cdbeg</v>
      </c>
      <c r="BQ127" s="12" t="str">
        <f>IFERROR(__xludf.DUMMYFUNCTION("CONCATENATE(SORT(TRANSPOSE(SPLIT(REGEXREPLACE(REGEXREPLACE(BP127&amp;"""",""(?s)(.{1})"",""$1""&amp;CHAR(127)),""'"",""''""),CHAR(127))),1,true),""1"")"),"bcdeg1")</f>
        <v>bcdeg1</v>
      </c>
      <c r="BR127" s="16"/>
      <c r="BS127" s="10" t="str">
        <f>IFERROR(__xludf.DUMMYFUNCTION("FILTER(K127:T127,len(K127:T127)=6)"),"dgfceb")</f>
        <v>dgfceb</v>
      </c>
      <c r="BT127" s="6" t="str">
        <f>IFERROR(__xludf.DUMMYFUNCTION("""COMPUTED_VALUE"""),"cbedaf")</f>
        <v>cbedaf</v>
      </c>
      <c r="BU127" s="6" t="str">
        <f>IFERROR(__xludf.DUMMYFUNCTION("""COMPUTED_VALUE"""),"aedcgb")</f>
        <v>aedcgb</v>
      </c>
      <c r="BV127" s="6" t="str">
        <f>IFERROR(__xludf.DUMMYFUNCTION("REGEXREPLACE( $AR127, CONCATENATE(""["",BS127,""]""), """")"),"a")</f>
        <v>a</v>
      </c>
      <c r="BW127" s="6" t="str">
        <f>IFERROR(__xludf.DUMMYFUNCTION("REGEXREPLACE( $AR127, CONCATENATE(""["",BT127,""]""), """")"),"")</f>
        <v/>
      </c>
      <c r="BX127" s="6" t="str">
        <f>IFERROR(__xludf.DUMMYFUNCTION("REGEXREPLACE( $AR127, CONCATENATE(""["",BU127,""]""), """")"),"")</f>
        <v/>
      </c>
      <c r="BY127" s="12" t="str">
        <f t="shared" si="9"/>
        <v>dgfceb</v>
      </c>
      <c r="BZ127" s="12" t="str">
        <f>IFERROR(__xludf.DUMMYFUNCTION("CONCATENATE(SORT(TRANSPOSE(SPLIT(REGEXREPLACE(REGEXREPLACE(BY127&amp;"""",""(?s)(.{1})"",""$1""&amp;CHAR(127)),""'"",""''""),CHAR(127))),1,true),""1"")"),"bcdefg1")</f>
        <v>bcdefg1</v>
      </c>
      <c r="CA127" s="16"/>
      <c r="CB127" s="12" t="str">
        <f t="shared" si="10"/>
        <v>cad</v>
      </c>
      <c r="CC127" s="12" t="str">
        <f>IFERROR(__xludf.DUMMYFUNCTION("CONCATENATE(SORT(TRANSPOSE(SPLIT(REGEXREPLACE(REGEXREPLACE(CB127&amp;"""",""(?s)(.{1})"",""$1""&amp;CHAR(127)),""'"",""''""),CHAR(127))),1,true),""1"")"),"acd1")</f>
        <v>acd1</v>
      </c>
      <c r="CD127" s="16"/>
      <c r="CE127" s="12" t="str">
        <f t="shared" si="11"/>
        <v>bdaecgf</v>
      </c>
      <c r="CF127" s="12" t="str">
        <f>IFERROR(__xludf.DUMMYFUNCTION("CONCATENATE(SORT(TRANSPOSE(SPLIT(REGEXREPLACE(REGEXREPLACE(CE127&amp;"""",""(?s)(.{1})"",""$1""&amp;CHAR(127)),""'"",""''""),CHAR(127))),1,true),""1"")"),"abcdefg1")</f>
        <v>abcdefg1</v>
      </c>
      <c r="CG127" s="16"/>
      <c r="CH127" s="10" t="str">
        <f>IFERROR(__xludf.DUMMYFUNCTION("FILTER(K127:T127,len(K127:T127)=6)"),"dgfceb")</f>
        <v>dgfceb</v>
      </c>
      <c r="CI127" s="6" t="str">
        <f>IFERROR(__xludf.DUMMYFUNCTION("""COMPUTED_VALUE"""),"cbedaf")</f>
        <v>cbedaf</v>
      </c>
      <c r="CJ127" s="6" t="str">
        <f>IFERROR(__xludf.DUMMYFUNCTION("""COMPUTED_VALUE"""),"aedcgb")</f>
        <v>aedcgb</v>
      </c>
      <c r="CK127" s="6" t="str">
        <f>IFERROR(__xludf.DUMMYFUNCTION("REGEXREPLACE( $BG127, CONCATENATE(""["",CH127,""]""), """")"),"a")</f>
        <v>a</v>
      </c>
      <c r="CL127" s="6" t="str">
        <f>IFERROR(__xludf.DUMMYFUNCTION("REGEXREPLACE( $BG127, CONCATENATE(""["",CI127,""]""), """")"),"g")</f>
        <v>g</v>
      </c>
      <c r="CM127" s="6" t="str">
        <f>IFERROR(__xludf.DUMMYFUNCTION("REGEXREPLACE( $BG127, CONCATENATE(""["",CJ127,""]""), """")"),"")</f>
        <v/>
      </c>
      <c r="CN127" s="12" t="str">
        <f t="shared" si="12"/>
        <v>aedcgb</v>
      </c>
      <c r="CO127" s="12" t="str">
        <f>IFERROR(__xludf.DUMMYFUNCTION("CONCATENATE(SORT(TRANSPOSE(SPLIT(REGEXREPLACE(REGEXREPLACE(CN127&amp;"""",""(?s)(.{1})"",""$1""&amp;CHAR(127)),""'"",""''""),CHAR(127))),1,true),""1"")"),"abcdeg1")</f>
        <v>abcdeg1</v>
      </c>
      <c r="CP127" s="15"/>
    </row>
    <row r="128">
      <c r="A128" s="1" t="s">
        <v>148</v>
      </c>
      <c r="H128" s="6" t="str">
        <f>IFERROR(__xludf.DUMMYFUNCTION("SPLIT(A128,""|"")"),"bd degcbf bcda dfagbec aedfb fdage decbaf efacb fcebag bed ")</f>
        <v>bd degcbf bcda dfagbec aedfb fdage decbaf efacb fcebag bed </v>
      </c>
      <c r="I128" s="6" t="str">
        <f>IFERROR(__xludf.DUMMYFUNCTION("""COMPUTED_VALUE""")," dcba dbegafc cefab bdfaec")</f>
        <v> dcba dbegafc cefab bdfaec</v>
      </c>
      <c r="J128" s="15"/>
      <c r="K128" s="6" t="str">
        <f>IFERROR(__xludf.DUMMYFUNCTION("split(H128,"" "")"),"bd")</f>
        <v>bd</v>
      </c>
      <c r="L128" s="6" t="str">
        <f>IFERROR(__xludf.DUMMYFUNCTION("""COMPUTED_VALUE"""),"degcbf")</f>
        <v>degcbf</v>
      </c>
      <c r="M128" s="6" t="str">
        <f>IFERROR(__xludf.DUMMYFUNCTION("""COMPUTED_VALUE"""),"bcda")</f>
        <v>bcda</v>
      </c>
      <c r="N128" s="6" t="str">
        <f>IFERROR(__xludf.DUMMYFUNCTION("""COMPUTED_VALUE"""),"dfagbec")</f>
        <v>dfagbec</v>
      </c>
      <c r="O128" s="6" t="str">
        <f>IFERROR(__xludf.DUMMYFUNCTION("""COMPUTED_VALUE"""),"aedfb")</f>
        <v>aedfb</v>
      </c>
      <c r="P128" s="6" t="str">
        <f>IFERROR(__xludf.DUMMYFUNCTION("""COMPUTED_VALUE"""),"fdage")</f>
        <v>fdage</v>
      </c>
      <c r="Q128" s="6" t="str">
        <f>IFERROR(__xludf.DUMMYFUNCTION("""COMPUTED_VALUE"""),"decbaf")</f>
        <v>decbaf</v>
      </c>
      <c r="R128" s="6" t="str">
        <f>IFERROR(__xludf.DUMMYFUNCTION("""COMPUTED_VALUE"""),"efacb")</f>
        <v>efacb</v>
      </c>
      <c r="S128" s="6" t="str">
        <f>IFERROR(__xludf.DUMMYFUNCTION("""COMPUTED_VALUE"""),"fcebag")</f>
        <v>fcebag</v>
      </c>
      <c r="T128" s="6" t="str">
        <f>IFERROR(__xludf.DUMMYFUNCTION("""COMPUTED_VALUE"""),"bed")</f>
        <v>bed</v>
      </c>
      <c r="U128" s="15"/>
      <c r="V128" s="6" t="str">
        <f>IFERROR(__xludf.DUMMYFUNCTION("split(I128,"" "")"),"dcba")</f>
        <v>dcba</v>
      </c>
      <c r="W128" s="6" t="str">
        <f>IFERROR(__xludf.DUMMYFUNCTION("""COMPUTED_VALUE"""),"dbegafc")</f>
        <v>dbegafc</v>
      </c>
      <c r="X128" s="6" t="str">
        <f>IFERROR(__xludf.DUMMYFUNCTION("""COMPUTED_VALUE"""),"cefab")</f>
        <v>cefab</v>
      </c>
      <c r="Y128" s="6" t="str">
        <f>IFERROR(__xludf.DUMMYFUNCTION("""COMPUTED_VALUE"""),"bdfaec")</f>
        <v>bdfaec</v>
      </c>
      <c r="Z128" s="6" t="str">
        <f>IFERROR(__xludf.DUMMYFUNCTION("CONCATENATE(SORT(TRANSPOSE(SPLIT(REGEXREPLACE(REGEXREPLACE(V128&amp;"""",""(?s)(.{1})"",""$1""&amp;CHAR(127)),""'"",""''""),CHAR(127))),1,true))"),"abcd")</f>
        <v>abcd</v>
      </c>
      <c r="AA128" s="6" t="str">
        <f>IFERROR(__xludf.DUMMYFUNCTION("CONCATENATE(SORT(TRANSPOSE(SPLIT(REGEXREPLACE(REGEXREPLACE(W128&amp;"""",""(?s)(.{1})"",""$1""&amp;CHAR(127)),""'"",""''""),CHAR(127))),1,true))"),"abcdefg")</f>
        <v>abcdefg</v>
      </c>
      <c r="AB128" s="6" t="str">
        <f>IFERROR(__xludf.DUMMYFUNCTION("CONCATENATE(SORT(TRANSPOSE(SPLIT(REGEXREPLACE(REGEXREPLACE(X128&amp;"""",""(?s)(.{1})"",""$1""&amp;CHAR(127)),""'"",""''""),CHAR(127))),1,true))"),"abcef")</f>
        <v>abcef</v>
      </c>
      <c r="AC128" s="6" t="str">
        <f>IFERROR(__xludf.DUMMYFUNCTION("CONCATENATE(SORT(TRANSPOSE(SPLIT(REGEXREPLACE(REGEXREPLACE(Y128&amp;"""",""(?s)(.{1})"",""$1""&amp;CHAR(127)),""'"",""''""),CHAR(127))),1,true))"),"abcdef")</f>
        <v>abcdef</v>
      </c>
      <c r="AD128" s="6">
        <f t="shared" ref="AD128:AG128" si="138">INDEX($AO$1:$CP$1,1,MATCH(CONCATENATE(Z128,"1"),$AO128:$CP128,0)+1)</f>
        <v>4</v>
      </c>
      <c r="AE128" s="6">
        <f t="shared" si="138"/>
        <v>8</v>
      </c>
      <c r="AF128" s="6">
        <f t="shared" si="138"/>
        <v>5</v>
      </c>
      <c r="AG128" s="6">
        <f t="shared" si="138"/>
        <v>9</v>
      </c>
      <c r="AH128" s="6">
        <f t="shared" si="3"/>
        <v>4859</v>
      </c>
      <c r="AI128" s="16"/>
      <c r="AJ128" s="9" t="str">
        <f>IFERROR(__xludf.DUMMYFUNCTION("REGEXREPLACE(AR128,CONCATENATE(""["",BY128,""]""),"""")"),"d")</f>
        <v>d</v>
      </c>
      <c r="AK128" s="10" t="str">
        <f>IFERROR(__xludf.DUMMYFUNCTION("FILTER($K128:$T128,len($K128:$T128)=6,NOT($K128:$T128=BY128))"),"degcbf")</f>
        <v>degcbf</v>
      </c>
      <c r="AL128" s="6" t="str">
        <f>IFERROR(__xludf.DUMMYFUNCTION("""COMPUTED_VALUE"""),"decbaf")</f>
        <v>decbaf</v>
      </c>
      <c r="AM128" s="6" t="str">
        <f>IFERROR(__xludf.DUMMYFUNCTION("REGEXREPLACE( $BG128, CONCATENATE(""["",AK128,""]""), """")"),"a")</f>
        <v>a</v>
      </c>
      <c r="AN128" s="6" t="str">
        <f>IFERROR(__xludf.DUMMYFUNCTION("REGEXREPLACE( $BG128, CONCATENATE(""["",AL128,""]""), """")"),"")</f>
        <v/>
      </c>
      <c r="AO128" s="11" t="str">
        <f t="shared" si="4"/>
        <v>degcbf</v>
      </c>
      <c r="AP128" s="12" t="str">
        <f>IFERROR(__xludf.DUMMYFUNCTION("CONCATENATE(SORT(TRANSPOSE(SPLIT(REGEXREPLACE(REGEXREPLACE(AO128&amp;"""",""(?s)(.{1})"",""$1""&amp;CHAR(127)),""'"",""''""),CHAR(127))),1,true),""1"")"),"bcdefg1")</f>
        <v>bcdefg1</v>
      </c>
      <c r="AQ128" s="16"/>
      <c r="AR128" s="12" t="str">
        <f t="shared" si="5"/>
        <v>bd</v>
      </c>
      <c r="AS128" s="12" t="str">
        <f>IFERROR(__xludf.DUMMYFUNCTION("CONCATENATE(SORT(TRANSPOSE(SPLIT(REGEXREPLACE(REGEXREPLACE(AR128&amp;"""",""(?s)(.{1})"",""$1""&amp;CHAR(127)),""'"",""''""),CHAR(127))),1,true),""1"")"),"bd1")</f>
        <v>bd1</v>
      </c>
      <c r="AT128" s="16"/>
      <c r="AU128" s="13" t="str">
        <f>IFERROR(__xludf.DUMMYFUNCTION("FILTER($K128:$T128,len($K128:$T128)=5,NOT($K128:$T128=BD128),NOT($K128:$T128=BP128))"),"fdage")</f>
        <v>fdage</v>
      </c>
      <c r="AV128" s="12" t="str">
        <f>IFERROR(__xludf.DUMMYFUNCTION("CONCATENATE(SORT(TRANSPOSE(SPLIT(REGEXREPLACE(REGEXREPLACE(AU128&amp;"""",""(?s)(.{1})"",""$1""&amp;CHAR(127)),""'"",""''""),CHAR(127))),1,true),""1"")"),"adefg1")</f>
        <v>adefg1</v>
      </c>
      <c r="AW128" s="16"/>
      <c r="AX128" s="10" t="str">
        <f>IFERROR(__xludf.DUMMYFUNCTION("FILTER($K128:$T128,len($K128:$T128)=5)"),"aedfb")</f>
        <v>aedfb</v>
      </c>
      <c r="AY128" s="6" t="str">
        <f>IFERROR(__xludf.DUMMYFUNCTION("""COMPUTED_VALUE"""),"fdage")</f>
        <v>fdage</v>
      </c>
      <c r="AZ128" s="6" t="str">
        <f>IFERROR(__xludf.DUMMYFUNCTION("""COMPUTED_VALUE"""),"efacb")</f>
        <v>efacb</v>
      </c>
      <c r="BA128" s="6" t="str">
        <f>IFERROR(__xludf.DUMMYFUNCTION("REGEXREPLACE( $AR128, CONCATENATE(""["",AX128,""]""), """")"),"")</f>
        <v/>
      </c>
      <c r="BB128" s="6" t="str">
        <f>IFERROR(__xludf.DUMMYFUNCTION("REGEXREPLACE( $AR128, CONCATENATE(""["",AY128,""]""), """")"),"b")</f>
        <v>b</v>
      </c>
      <c r="BC128" s="6" t="str">
        <f>IFERROR(__xludf.DUMMYFUNCTION("REGEXREPLACE( $AR128, CONCATENATE(""["",AZ128,""]""), """")"),"d")</f>
        <v>d</v>
      </c>
      <c r="BD128" s="11" t="str">
        <f t="shared" si="6"/>
        <v>aedfb</v>
      </c>
      <c r="BE128" s="12" t="str">
        <f>IFERROR(__xludf.DUMMYFUNCTION("CONCATENATE(SORT(TRANSPOSE(SPLIT(REGEXREPLACE(REGEXREPLACE(BD128&amp;"""",""(?s)(.{1})"",""$1""&amp;CHAR(127)),""'"",""''""),CHAR(127))),1,true),""1"")"),"abdef1")</f>
        <v>abdef1</v>
      </c>
      <c r="BF128" s="16"/>
      <c r="BG128" s="12" t="str">
        <f t="shared" si="7"/>
        <v>bcda</v>
      </c>
      <c r="BH128" s="12" t="str">
        <f>IFERROR(__xludf.DUMMYFUNCTION("CONCATENATE(SORT(TRANSPOSE(SPLIT(REGEXREPLACE(REGEXREPLACE(BG128&amp;"""",""(?s)(.{1})"",""$1""&amp;CHAR(127)),""'"",""''""),CHAR(127))),1,true),""1"")"),"abcd1")</f>
        <v>abcd1</v>
      </c>
      <c r="BI128" s="16"/>
      <c r="BJ128" s="10" t="str">
        <f>IFERROR(__xludf.DUMMYFUNCTION("FILTER($K128:$T128,len($K128:$T128)=5)"),"aedfb")</f>
        <v>aedfb</v>
      </c>
      <c r="BK128" s="6" t="str">
        <f>IFERROR(__xludf.DUMMYFUNCTION("""COMPUTED_VALUE"""),"fdage")</f>
        <v>fdage</v>
      </c>
      <c r="BL128" s="6" t="str">
        <f>IFERROR(__xludf.DUMMYFUNCTION("""COMPUTED_VALUE"""),"efacb")</f>
        <v>efacb</v>
      </c>
      <c r="BM128" s="14" t="str">
        <f>IFERROR(__xludf.DUMMYFUNCTION("REGEXREPLACE( $BY128, CONCATENATE(""["",BJ128,""]""), """")"),"cg")</f>
        <v>cg</v>
      </c>
      <c r="BN128" s="14" t="str">
        <f>IFERROR(__xludf.DUMMYFUNCTION("REGEXREPLACE( $BY128, CONCATENATE(""["",BK128,""]""), """")"),"cb")</f>
        <v>cb</v>
      </c>
      <c r="BO128" s="14" t="str">
        <f>IFERROR(__xludf.DUMMYFUNCTION("REGEXREPLACE( $BY128, CONCATENATE(""["",BL128,""]""), """")"),"g")</f>
        <v>g</v>
      </c>
      <c r="BP128" s="11" t="str">
        <f t="shared" si="8"/>
        <v>efacb</v>
      </c>
      <c r="BQ128" s="12" t="str">
        <f>IFERROR(__xludf.DUMMYFUNCTION("CONCATENATE(SORT(TRANSPOSE(SPLIT(REGEXREPLACE(REGEXREPLACE(BP128&amp;"""",""(?s)(.{1})"",""$1""&amp;CHAR(127)),""'"",""''""),CHAR(127))),1,true),""1"")"),"abcef1")</f>
        <v>abcef1</v>
      </c>
      <c r="BR128" s="16"/>
      <c r="BS128" s="10" t="str">
        <f>IFERROR(__xludf.DUMMYFUNCTION("FILTER(K128:T128,len(K128:T128)=6)"),"degcbf")</f>
        <v>degcbf</v>
      </c>
      <c r="BT128" s="6" t="str">
        <f>IFERROR(__xludf.DUMMYFUNCTION("""COMPUTED_VALUE"""),"decbaf")</f>
        <v>decbaf</v>
      </c>
      <c r="BU128" s="6" t="str">
        <f>IFERROR(__xludf.DUMMYFUNCTION("""COMPUTED_VALUE"""),"fcebag")</f>
        <v>fcebag</v>
      </c>
      <c r="BV128" s="6" t="str">
        <f>IFERROR(__xludf.DUMMYFUNCTION("REGEXREPLACE( $AR128, CONCATENATE(""["",BS128,""]""), """")"),"")</f>
        <v/>
      </c>
      <c r="BW128" s="6" t="str">
        <f>IFERROR(__xludf.DUMMYFUNCTION("REGEXREPLACE( $AR128, CONCATENATE(""["",BT128,""]""), """")"),"")</f>
        <v/>
      </c>
      <c r="BX128" s="6" t="str">
        <f>IFERROR(__xludf.DUMMYFUNCTION("REGEXREPLACE( $AR128, CONCATENATE(""["",BU128,""]""), """")"),"d")</f>
        <v>d</v>
      </c>
      <c r="BY128" s="12" t="str">
        <f t="shared" si="9"/>
        <v>fcebag</v>
      </c>
      <c r="BZ128" s="12" t="str">
        <f>IFERROR(__xludf.DUMMYFUNCTION("CONCATENATE(SORT(TRANSPOSE(SPLIT(REGEXREPLACE(REGEXREPLACE(BY128&amp;"""",""(?s)(.{1})"",""$1""&amp;CHAR(127)),""'"",""''""),CHAR(127))),1,true),""1"")"),"abcefg1")</f>
        <v>abcefg1</v>
      </c>
      <c r="CA128" s="16"/>
      <c r="CB128" s="12" t="str">
        <f t="shared" si="10"/>
        <v>bed</v>
      </c>
      <c r="CC128" s="12" t="str">
        <f>IFERROR(__xludf.DUMMYFUNCTION("CONCATENATE(SORT(TRANSPOSE(SPLIT(REGEXREPLACE(REGEXREPLACE(CB128&amp;"""",""(?s)(.{1})"",""$1""&amp;CHAR(127)),""'"",""''""),CHAR(127))),1,true),""1"")"),"bde1")</f>
        <v>bde1</v>
      </c>
      <c r="CD128" s="16"/>
      <c r="CE128" s="12" t="str">
        <f t="shared" si="11"/>
        <v>dfagbec</v>
      </c>
      <c r="CF128" s="12" t="str">
        <f>IFERROR(__xludf.DUMMYFUNCTION("CONCATENATE(SORT(TRANSPOSE(SPLIT(REGEXREPLACE(REGEXREPLACE(CE128&amp;"""",""(?s)(.{1})"",""$1""&amp;CHAR(127)),""'"",""''""),CHAR(127))),1,true),""1"")"),"abcdefg1")</f>
        <v>abcdefg1</v>
      </c>
      <c r="CG128" s="16"/>
      <c r="CH128" s="10" t="str">
        <f>IFERROR(__xludf.DUMMYFUNCTION("FILTER(K128:T128,len(K128:T128)=6)"),"degcbf")</f>
        <v>degcbf</v>
      </c>
      <c r="CI128" s="6" t="str">
        <f>IFERROR(__xludf.DUMMYFUNCTION("""COMPUTED_VALUE"""),"decbaf")</f>
        <v>decbaf</v>
      </c>
      <c r="CJ128" s="6" t="str">
        <f>IFERROR(__xludf.DUMMYFUNCTION("""COMPUTED_VALUE"""),"fcebag")</f>
        <v>fcebag</v>
      </c>
      <c r="CK128" s="6" t="str">
        <f>IFERROR(__xludf.DUMMYFUNCTION("REGEXREPLACE( $BG128, CONCATENATE(""["",CH128,""]""), """")"),"a")</f>
        <v>a</v>
      </c>
      <c r="CL128" s="6" t="str">
        <f>IFERROR(__xludf.DUMMYFUNCTION("REGEXREPLACE( $BG128, CONCATENATE(""["",CI128,""]""), """")"),"")</f>
        <v/>
      </c>
      <c r="CM128" s="6" t="str">
        <f>IFERROR(__xludf.DUMMYFUNCTION("REGEXREPLACE( $BG128, CONCATENATE(""["",CJ128,""]""), """")"),"d")</f>
        <v>d</v>
      </c>
      <c r="CN128" s="12" t="str">
        <f t="shared" si="12"/>
        <v>decbaf</v>
      </c>
      <c r="CO128" s="12" t="str">
        <f>IFERROR(__xludf.DUMMYFUNCTION("CONCATENATE(SORT(TRANSPOSE(SPLIT(REGEXREPLACE(REGEXREPLACE(CN128&amp;"""",""(?s)(.{1})"",""$1""&amp;CHAR(127)),""'"",""''""),CHAR(127))),1,true),""1"")"),"abcdef1")</f>
        <v>abcdef1</v>
      </c>
      <c r="CP128" s="15"/>
    </row>
    <row r="129">
      <c r="A129" s="1" t="s">
        <v>149</v>
      </c>
      <c r="H129" s="6" t="str">
        <f>IFERROR(__xludf.DUMMYFUNCTION("SPLIT(A129,""|"")"),"bdae cbgdea gaceb gbfdc fgdeca dagfbce cda ad acdbg cefgba ")</f>
        <v>bdae cbgdea gaceb gbfdc fgdeca dagfbce cda ad acdbg cefgba </v>
      </c>
      <c r="I129" s="6" t="str">
        <f>IFERROR(__xludf.DUMMYFUNCTION("""COMPUTED_VALUE""")," da dbae dcgab da")</f>
        <v> da dbae dcgab da</v>
      </c>
      <c r="J129" s="15"/>
      <c r="K129" s="6" t="str">
        <f>IFERROR(__xludf.DUMMYFUNCTION("split(H129,"" "")"),"bdae")</f>
        <v>bdae</v>
      </c>
      <c r="L129" s="6" t="str">
        <f>IFERROR(__xludf.DUMMYFUNCTION("""COMPUTED_VALUE"""),"cbgdea")</f>
        <v>cbgdea</v>
      </c>
      <c r="M129" s="6" t="str">
        <f>IFERROR(__xludf.DUMMYFUNCTION("""COMPUTED_VALUE"""),"gaceb")</f>
        <v>gaceb</v>
      </c>
      <c r="N129" s="6" t="str">
        <f>IFERROR(__xludf.DUMMYFUNCTION("""COMPUTED_VALUE"""),"gbfdc")</f>
        <v>gbfdc</v>
      </c>
      <c r="O129" s="6" t="str">
        <f>IFERROR(__xludf.DUMMYFUNCTION("""COMPUTED_VALUE"""),"fgdeca")</f>
        <v>fgdeca</v>
      </c>
      <c r="P129" s="6" t="str">
        <f>IFERROR(__xludf.DUMMYFUNCTION("""COMPUTED_VALUE"""),"dagfbce")</f>
        <v>dagfbce</v>
      </c>
      <c r="Q129" s="6" t="str">
        <f>IFERROR(__xludf.DUMMYFUNCTION("""COMPUTED_VALUE"""),"cda")</f>
        <v>cda</v>
      </c>
      <c r="R129" s="6" t="str">
        <f>IFERROR(__xludf.DUMMYFUNCTION("""COMPUTED_VALUE"""),"ad")</f>
        <v>ad</v>
      </c>
      <c r="S129" s="6" t="str">
        <f>IFERROR(__xludf.DUMMYFUNCTION("""COMPUTED_VALUE"""),"acdbg")</f>
        <v>acdbg</v>
      </c>
      <c r="T129" s="6" t="str">
        <f>IFERROR(__xludf.DUMMYFUNCTION("""COMPUTED_VALUE"""),"cefgba")</f>
        <v>cefgba</v>
      </c>
      <c r="U129" s="15"/>
      <c r="V129" s="6" t="str">
        <f>IFERROR(__xludf.DUMMYFUNCTION("split(I129,"" "")"),"da")</f>
        <v>da</v>
      </c>
      <c r="W129" s="6" t="str">
        <f>IFERROR(__xludf.DUMMYFUNCTION("""COMPUTED_VALUE"""),"dbae")</f>
        <v>dbae</v>
      </c>
      <c r="X129" s="6" t="str">
        <f>IFERROR(__xludf.DUMMYFUNCTION("""COMPUTED_VALUE"""),"dcgab")</f>
        <v>dcgab</v>
      </c>
      <c r="Y129" s="6" t="str">
        <f>IFERROR(__xludf.DUMMYFUNCTION("""COMPUTED_VALUE"""),"da")</f>
        <v>da</v>
      </c>
      <c r="Z129" s="6" t="str">
        <f>IFERROR(__xludf.DUMMYFUNCTION("CONCATENATE(SORT(TRANSPOSE(SPLIT(REGEXREPLACE(REGEXREPLACE(V129&amp;"""",""(?s)(.{1})"",""$1""&amp;CHAR(127)),""'"",""''""),CHAR(127))),1,true))"),"ad")</f>
        <v>ad</v>
      </c>
      <c r="AA129" s="6" t="str">
        <f>IFERROR(__xludf.DUMMYFUNCTION("CONCATENATE(SORT(TRANSPOSE(SPLIT(REGEXREPLACE(REGEXREPLACE(W129&amp;"""",""(?s)(.{1})"",""$1""&amp;CHAR(127)),""'"",""''""),CHAR(127))),1,true))"),"abde")</f>
        <v>abde</v>
      </c>
      <c r="AB129" s="6" t="str">
        <f>IFERROR(__xludf.DUMMYFUNCTION("CONCATENATE(SORT(TRANSPOSE(SPLIT(REGEXREPLACE(REGEXREPLACE(X129&amp;"""",""(?s)(.{1})"",""$1""&amp;CHAR(127)),""'"",""''""),CHAR(127))),1,true))"),"abcdg")</f>
        <v>abcdg</v>
      </c>
      <c r="AC129" s="6" t="str">
        <f>IFERROR(__xludf.DUMMYFUNCTION("CONCATENATE(SORT(TRANSPOSE(SPLIT(REGEXREPLACE(REGEXREPLACE(Y129&amp;"""",""(?s)(.{1})"",""$1""&amp;CHAR(127)),""'"",""''""),CHAR(127))),1,true))"),"ad")</f>
        <v>ad</v>
      </c>
      <c r="AD129" s="6">
        <f t="shared" ref="AD129:AG129" si="139">INDEX($AO$1:$CP$1,1,MATCH(CONCATENATE(Z129,"1"),$AO129:$CP129,0)+1)</f>
        <v>1</v>
      </c>
      <c r="AE129" s="6">
        <f t="shared" si="139"/>
        <v>4</v>
      </c>
      <c r="AF129" s="6">
        <f t="shared" si="139"/>
        <v>3</v>
      </c>
      <c r="AG129" s="6">
        <f t="shared" si="139"/>
        <v>1</v>
      </c>
      <c r="AH129" s="6">
        <f t="shared" si="3"/>
        <v>1431</v>
      </c>
      <c r="AI129" s="16"/>
      <c r="AJ129" s="9" t="str">
        <f>IFERROR(__xludf.DUMMYFUNCTION("REGEXREPLACE(AR129,CONCATENATE(""["",BY129,""]""),"""")"),"d")</f>
        <v>d</v>
      </c>
      <c r="AK129" s="10" t="str">
        <f>IFERROR(__xludf.DUMMYFUNCTION("FILTER($K129:$T129,len($K129:$T129)=6,NOT($K129:$T129=BY129))"),"cbgdea")</f>
        <v>cbgdea</v>
      </c>
      <c r="AL129" s="6" t="str">
        <f>IFERROR(__xludf.DUMMYFUNCTION("""COMPUTED_VALUE"""),"fgdeca")</f>
        <v>fgdeca</v>
      </c>
      <c r="AM129" s="6" t="str">
        <f>IFERROR(__xludf.DUMMYFUNCTION("REGEXREPLACE( $BG129, CONCATENATE(""["",AK129,""]""), """")"),"")</f>
        <v/>
      </c>
      <c r="AN129" s="6" t="str">
        <f>IFERROR(__xludf.DUMMYFUNCTION("REGEXREPLACE( $BG129, CONCATENATE(""["",AL129,""]""), """")"),"b")</f>
        <v>b</v>
      </c>
      <c r="AO129" s="11" t="str">
        <f t="shared" si="4"/>
        <v>fgdeca</v>
      </c>
      <c r="AP129" s="12" t="str">
        <f>IFERROR(__xludf.DUMMYFUNCTION("CONCATENATE(SORT(TRANSPOSE(SPLIT(REGEXREPLACE(REGEXREPLACE(AO129&amp;"""",""(?s)(.{1})"",""$1""&amp;CHAR(127)),""'"",""''""),CHAR(127))),1,true),""1"")"),"acdefg1")</f>
        <v>acdefg1</v>
      </c>
      <c r="AQ129" s="16"/>
      <c r="AR129" s="12" t="str">
        <f t="shared" si="5"/>
        <v>ad</v>
      </c>
      <c r="AS129" s="12" t="str">
        <f>IFERROR(__xludf.DUMMYFUNCTION("CONCATENATE(SORT(TRANSPOSE(SPLIT(REGEXREPLACE(REGEXREPLACE(AR129&amp;"""",""(?s)(.{1})"",""$1""&amp;CHAR(127)),""'"",""''""),CHAR(127))),1,true),""1"")"),"ad1")</f>
        <v>ad1</v>
      </c>
      <c r="AT129" s="16"/>
      <c r="AU129" s="13" t="str">
        <f>IFERROR(__xludf.DUMMYFUNCTION("FILTER($K129:$T129,len($K129:$T129)=5,NOT($K129:$T129=BD129),NOT($K129:$T129=BP129))"),"gbfdc")</f>
        <v>gbfdc</v>
      </c>
      <c r="AV129" s="12" t="str">
        <f>IFERROR(__xludf.DUMMYFUNCTION("CONCATENATE(SORT(TRANSPOSE(SPLIT(REGEXREPLACE(REGEXREPLACE(AU129&amp;"""",""(?s)(.{1})"",""$1""&amp;CHAR(127)),""'"",""''""),CHAR(127))),1,true),""1"")"),"bcdfg1")</f>
        <v>bcdfg1</v>
      </c>
      <c r="AW129" s="16"/>
      <c r="AX129" s="10" t="str">
        <f>IFERROR(__xludf.DUMMYFUNCTION("FILTER($K129:$T129,len($K129:$T129)=5)"),"gaceb")</f>
        <v>gaceb</v>
      </c>
      <c r="AY129" s="6" t="str">
        <f>IFERROR(__xludf.DUMMYFUNCTION("""COMPUTED_VALUE"""),"gbfdc")</f>
        <v>gbfdc</v>
      </c>
      <c r="AZ129" s="6" t="str">
        <f>IFERROR(__xludf.DUMMYFUNCTION("""COMPUTED_VALUE"""),"acdbg")</f>
        <v>acdbg</v>
      </c>
      <c r="BA129" s="6" t="str">
        <f>IFERROR(__xludf.DUMMYFUNCTION("REGEXREPLACE( $AR129, CONCATENATE(""["",AX129,""]""), """")"),"d")</f>
        <v>d</v>
      </c>
      <c r="BB129" s="6" t="str">
        <f>IFERROR(__xludf.DUMMYFUNCTION("REGEXREPLACE( $AR129, CONCATENATE(""["",AY129,""]""), """")"),"a")</f>
        <v>a</v>
      </c>
      <c r="BC129" s="6" t="str">
        <f>IFERROR(__xludf.DUMMYFUNCTION("REGEXREPLACE( $AR129, CONCATENATE(""["",AZ129,""]""), """")"),"")</f>
        <v/>
      </c>
      <c r="BD129" s="11" t="str">
        <f t="shared" si="6"/>
        <v>acdbg</v>
      </c>
      <c r="BE129" s="12" t="str">
        <f>IFERROR(__xludf.DUMMYFUNCTION("CONCATENATE(SORT(TRANSPOSE(SPLIT(REGEXREPLACE(REGEXREPLACE(BD129&amp;"""",""(?s)(.{1})"",""$1""&amp;CHAR(127)),""'"",""''""),CHAR(127))),1,true),""1"")"),"abcdg1")</f>
        <v>abcdg1</v>
      </c>
      <c r="BF129" s="16"/>
      <c r="BG129" s="12" t="str">
        <f t="shared" si="7"/>
        <v>bdae</v>
      </c>
      <c r="BH129" s="12" t="str">
        <f>IFERROR(__xludf.DUMMYFUNCTION("CONCATENATE(SORT(TRANSPOSE(SPLIT(REGEXREPLACE(REGEXREPLACE(BG129&amp;"""",""(?s)(.{1})"",""$1""&amp;CHAR(127)),""'"",""''""),CHAR(127))),1,true),""1"")"),"abde1")</f>
        <v>abde1</v>
      </c>
      <c r="BI129" s="16"/>
      <c r="BJ129" s="10" t="str">
        <f>IFERROR(__xludf.DUMMYFUNCTION("FILTER($K129:$T129,len($K129:$T129)=5)"),"gaceb")</f>
        <v>gaceb</v>
      </c>
      <c r="BK129" s="6" t="str">
        <f>IFERROR(__xludf.DUMMYFUNCTION("""COMPUTED_VALUE"""),"gbfdc")</f>
        <v>gbfdc</v>
      </c>
      <c r="BL129" s="6" t="str">
        <f>IFERROR(__xludf.DUMMYFUNCTION("""COMPUTED_VALUE"""),"acdbg")</f>
        <v>acdbg</v>
      </c>
      <c r="BM129" s="14" t="str">
        <f>IFERROR(__xludf.DUMMYFUNCTION("REGEXREPLACE( $BY129, CONCATENATE(""["",BJ129,""]""), """")"),"f")</f>
        <v>f</v>
      </c>
      <c r="BN129" s="14" t="str">
        <f>IFERROR(__xludf.DUMMYFUNCTION("REGEXREPLACE( $BY129, CONCATENATE(""["",BK129,""]""), """")"),"ea")</f>
        <v>ea</v>
      </c>
      <c r="BO129" s="14" t="str">
        <f>IFERROR(__xludf.DUMMYFUNCTION("REGEXREPLACE( $BY129, CONCATENATE(""["",BL129,""]""), """")"),"ef")</f>
        <v>ef</v>
      </c>
      <c r="BP129" s="11" t="str">
        <f t="shared" si="8"/>
        <v>gaceb</v>
      </c>
      <c r="BQ129" s="12" t="str">
        <f>IFERROR(__xludf.DUMMYFUNCTION("CONCATENATE(SORT(TRANSPOSE(SPLIT(REGEXREPLACE(REGEXREPLACE(BP129&amp;"""",""(?s)(.{1})"",""$1""&amp;CHAR(127)),""'"",""''""),CHAR(127))),1,true),""1"")"),"abceg1")</f>
        <v>abceg1</v>
      </c>
      <c r="BR129" s="16"/>
      <c r="BS129" s="10" t="str">
        <f>IFERROR(__xludf.DUMMYFUNCTION("FILTER(K129:T129,len(K129:T129)=6)"),"cbgdea")</f>
        <v>cbgdea</v>
      </c>
      <c r="BT129" s="6" t="str">
        <f>IFERROR(__xludf.DUMMYFUNCTION("""COMPUTED_VALUE"""),"fgdeca")</f>
        <v>fgdeca</v>
      </c>
      <c r="BU129" s="6" t="str">
        <f>IFERROR(__xludf.DUMMYFUNCTION("""COMPUTED_VALUE"""),"cefgba")</f>
        <v>cefgba</v>
      </c>
      <c r="BV129" s="6" t="str">
        <f>IFERROR(__xludf.DUMMYFUNCTION("REGEXREPLACE( $AR129, CONCATENATE(""["",BS129,""]""), """")"),"")</f>
        <v/>
      </c>
      <c r="BW129" s="6" t="str">
        <f>IFERROR(__xludf.DUMMYFUNCTION("REGEXREPLACE( $AR129, CONCATENATE(""["",BT129,""]""), """")"),"")</f>
        <v/>
      </c>
      <c r="BX129" s="6" t="str">
        <f>IFERROR(__xludf.DUMMYFUNCTION("REGEXREPLACE( $AR129, CONCATENATE(""["",BU129,""]""), """")"),"d")</f>
        <v>d</v>
      </c>
      <c r="BY129" s="12" t="str">
        <f t="shared" si="9"/>
        <v>cefgba</v>
      </c>
      <c r="BZ129" s="12" t="str">
        <f>IFERROR(__xludf.DUMMYFUNCTION("CONCATENATE(SORT(TRANSPOSE(SPLIT(REGEXREPLACE(REGEXREPLACE(BY129&amp;"""",""(?s)(.{1})"",""$1""&amp;CHAR(127)),""'"",""''""),CHAR(127))),1,true),""1"")"),"abcefg1")</f>
        <v>abcefg1</v>
      </c>
      <c r="CA129" s="16"/>
      <c r="CB129" s="12" t="str">
        <f t="shared" si="10"/>
        <v>cda</v>
      </c>
      <c r="CC129" s="12" t="str">
        <f>IFERROR(__xludf.DUMMYFUNCTION("CONCATENATE(SORT(TRANSPOSE(SPLIT(REGEXREPLACE(REGEXREPLACE(CB129&amp;"""",""(?s)(.{1})"",""$1""&amp;CHAR(127)),""'"",""''""),CHAR(127))),1,true),""1"")"),"acd1")</f>
        <v>acd1</v>
      </c>
      <c r="CD129" s="16"/>
      <c r="CE129" s="12" t="str">
        <f t="shared" si="11"/>
        <v>dagfbce</v>
      </c>
      <c r="CF129" s="12" t="str">
        <f>IFERROR(__xludf.DUMMYFUNCTION("CONCATENATE(SORT(TRANSPOSE(SPLIT(REGEXREPLACE(REGEXREPLACE(CE129&amp;"""",""(?s)(.{1})"",""$1""&amp;CHAR(127)),""'"",""''""),CHAR(127))),1,true),""1"")"),"abcdefg1")</f>
        <v>abcdefg1</v>
      </c>
      <c r="CG129" s="16"/>
      <c r="CH129" s="10" t="str">
        <f>IFERROR(__xludf.DUMMYFUNCTION("FILTER(K129:T129,len(K129:T129)=6)"),"cbgdea")</f>
        <v>cbgdea</v>
      </c>
      <c r="CI129" s="6" t="str">
        <f>IFERROR(__xludf.DUMMYFUNCTION("""COMPUTED_VALUE"""),"fgdeca")</f>
        <v>fgdeca</v>
      </c>
      <c r="CJ129" s="6" t="str">
        <f>IFERROR(__xludf.DUMMYFUNCTION("""COMPUTED_VALUE"""),"cefgba")</f>
        <v>cefgba</v>
      </c>
      <c r="CK129" s="6" t="str">
        <f>IFERROR(__xludf.DUMMYFUNCTION("REGEXREPLACE( $BG129, CONCATENATE(""["",CH129,""]""), """")"),"")</f>
        <v/>
      </c>
      <c r="CL129" s="6" t="str">
        <f>IFERROR(__xludf.DUMMYFUNCTION("REGEXREPLACE( $BG129, CONCATENATE(""["",CI129,""]""), """")"),"b")</f>
        <v>b</v>
      </c>
      <c r="CM129" s="6" t="str">
        <f>IFERROR(__xludf.DUMMYFUNCTION("REGEXREPLACE( $BG129, CONCATENATE(""["",CJ129,""]""), """")"),"d")</f>
        <v>d</v>
      </c>
      <c r="CN129" s="12" t="str">
        <f t="shared" si="12"/>
        <v>cbgdea</v>
      </c>
      <c r="CO129" s="12" t="str">
        <f>IFERROR(__xludf.DUMMYFUNCTION("CONCATENATE(SORT(TRANSPOSE(SPLIT(REGEXREPLACE(REGEXREPLACE(CN129&amp;"""",""(?s)(.{1})"",""$1""&amp;CHAR(127)),""'"",""''""),CHAR(127))),1,true),""1"")"),"abcdeg1")</f>
        <v>abcdeg1</v>
      </c>
      <c r="CP129" s="15"/>
    </row>
    <row r="130">
      <c r="A130" s="1" t="s">
        <v>150</v>
      </c>
      <c r="H130" s="6" t="str">
        <f>IFERROR(__xludf.DUMMYFUNCTION("SPLIT(A130,""|"")"),"bacgdf bdfca adefc bdc adcfgbe fbecga agcedb bgfd fagbc bd ")</f>
        <v>bacgdf bdfca adefc bdc adcfgbe fbecga agcedb bgfd fagbc bd </v>
      </c>
      <c r="I130" s="6" t="str">
        <f>IFERROR(__xludf.DUMMYFUNCTION("""COMPUTED_VALUE""")," fbdg bd cgdbfea cbd")</f>
        <v> fbdg bd cgdbfea cbd</v>
      </c>
      <c r="J130" s="15"/>
      <c r="K130" s="6" t="str">
        <f>IFERROR(__xludf.DUMMYFUNCTION("split(H130,"" "")"),"bacgdf")</f>
        <v>bacgdf</v>
      </c>
      <c r="L130" s="6" t="str">
        <f>IFERROR(__xludf.DUMMYFUNCTION("""COMPUTED_VALUE"""),"bdfca")</f>
        <v>bdfca</v>
      </c>
      <c r="M130" s="6" t="str">
        <f>IFERROR(__xludf.DUMMYFUNCTION("""COMPUTED_VALUE"""),"adefc")</f>
        <v>adefc</v>
      </c>
      <c r="N130" s="6" t="str">
        <f>IFERROR(__xludf.DUMMYFUNCTION("""COMPUTED_VALUE"""),"bdc")</f>
        <v>bdc</v>
      </c>
      <c r="O130" s="6" t="str">
        <f>IFERROR(__xludf.DUMMYFUNCTION("""COMPUTED_VALUE"""),"adcfgbe")</f>
        <v>adcfgbe</v>
      </c>
      <c r="P130" s="6" t="str">
        <f>IFERROR(__xludf.DUMMYFUNCTION("""COMPUTED_VALUE"""),"fbecga")</f>
        <v>fbecga</v>
      </c>
      <c r="Q130" s="6" t="str">
        <f>IFERROR(__xludf.DUMMYFUNCTION("""COMPUTED_VALUE"""),"agcedb")</f>
        <v>agcedb</v>
      </c>
      <c r="R130" s="6" t="str">
        <f>IFERROR(__xludf.DUMMYFUNCTION("""COMPUTED_VALUE"""),"bgfd")</f>
        <v>bgfd</v>
      </c>
      <c r="S130" s="6" t="str">
        <f>IFERROR(__xludf.DUMMYFUNCTION("""COMPUTED_VALUE"""),"fagbc")</f>
        <v>fagbc</v>
      </c>
      <c r="T130" s="6" t="str">
        <f>IFERROR(__xludf.DUMMYFUNCTION("""COMPUTED_VALUE"""),"bd")</f>
        <v>bd</v>
      </c>
      <c r="U130" s="15"/>
      <c r="V130" s="6" t="str">
        <f>IFERROR(__xludf.DUMMYFUNCTION("split(I130,"" "")"),"fbdg")</f>
        <v>fbdg</v>
      </c>
      <c r="W130" s="6" t="str">
        <f>IFERROR(__xludf.DUMMYFUNCTION("""COMPUTED_VALUE"""),"bd")</f>
        <v>bd</v>
      </c>
      <c r="X130" s="6" t="str">
        <f>IFERROR(__xludf.DUMMYFUNCTION("""COMPUTED_VALUE"""),"cgdbfea")</f>
        <v>cgdbfea</v>
      </c>
      <c r="Y130" s="6" t="str">
        <f>IFERROR(__xludf.DUMMYFUNCTION("""COMPUTED_VALUE"""),"cbd")</f>
        <v>cbd</v>
      </c>
      <c r="Z130" s="6" t="str">
        <f>IFERROR(__xludf.DUMMYFUNCTION("CONCATENATE(SORT(TRANSPOSE(SPLIT(REGEXREPLACE(REGEXREPLACE(V130&amp;"""",""(?s)(.{1})"",""$1""&amp;CHAR(127)),""'"",""''""),CHAR(127))),1,true))"),"bdfg")</f>
        <v>bdfg</v>
      </c>
      <c r="AA130" s="6" t="str">
        <f>IFERROR(__xludf.DUMMYFUNCTION("CONCATENATE(SORT(TRANSPOSE(SPLIT(REGEXREPLACE(REGEXREPLACE(W130&amp;"""",""(?s)(.{1})"",""$1""&amp;CHAR(127)),""'"",""''""),CHAR(127))),1,true))"),"bd")</f>
        <v>bd</v>
      </c>
      <c r="AB130" s="6" t="str">
        <f>IFERROR(__xludf.DUMMYFUNCTION("CONCATENATE(SORT(TRANSPOSE(SPLIT(REGEXREPLACE(REGEXREPLACE(X130&amp;"""",""(?s)(.{1})"",""$1""&amp;CHAR(127)),""'"",""''""),CHAR(127))),1,true))"),"abcdefg")</f>
        <v>abcdefg</v>
      </c>
      <c r="AC130" s="6" t="str">
        <f>IFERROR(__xludf.DUMMYFUNCTION("CONCATENATE(SORT(TRANSPOSE(SPLIT(REGEXREPLACE(REGEXREPLACE(Y130&amp;"""",""(?s)(.{1})"",""$1""&amp;CHAR(127)),""'"",""''""),CHAR(127))),1,true))"),"bcd")</f>
        <v>bcd</v>
      </c>
      <c r="AD130" s="6">
        <f t="shared" ref="AD130:AG130" si="140">INDEX($AO$1:$CP$1,1,MATCH(CONCATENATE(Z130,"1"),$AO130:$CP130,0)+1)</f>
        <v>4</v>
      </c>
      <c r="AE130" s="6">
        <f t="shared" si="140"/>
        <v>1</v>
      </c>
      <c r="AF130" s="6">
        <f t="shared" si="140"/>
        <v>8</v>
      </c>
      <c r="AG130" s="6">
        <f t="shared" si="140"/>
        <v>7</v>
      </c>
      <c r="AH130" s="6">
        <f t="shared" si="3"/>
        <v>4187</v>
      </c>
      <c r="AI130" s="16"/>
      <c r="AJ130" s="9" t="str">
        <f>IFERROR(__xludf.DUMMYFUNCTION("REGEXREPLACE(AR130,CONCATENATE(""["",BY130,""]""),"""")"),"d")</f>
        <v>d</v>
      </c>
      <c r="AK130" s="10" t="str">
        <f>IFERROR(__xludf.DUMMYFUNCTION("FILTER($K130:$T130,len($K130:$T130)=6,NOT($K130:$T130=BY130))"),"bacgdf")</f>
        <v>bacgdf</v>
      </c>
      <c r="AL130" s="6" t="str">
        <f>IFERROR(__xludf.DUMMYFUNCTION("""COMPUTED_VALUE"""),"agcedb")</f>
        <v>agcedb</v>
      </c>
      <c r="AM130" s="6" t="str">
        <f>IFERROR(__xludf.DUMMYFUNCTION("REGEXREPLACE( $BG130, CONCATENATE(""["",AK130,""]""), """")"),"")</f>
        <v/>
      </c>
      <c r="AN130" s="6" t="str">
        <f>IFERROR(__xludf.DUMMYFUNCTION("REGEXREPLACE( $BG130, CONCATENATE(""["",AL130,""]""), """")"),"f")</f>
        <v>f</v>
      </c>
      <c r="AO130" s="11" t="str">
        <f t="shared" si="4"/>
        <v>agcedb</v>
      </c>
      <c r="AP130" s="12" t="str">
        <f>IFERROR(__xludf.DUMMYFUNCTION("CONCATENATE(SORT(TRANSPOSE(SPLIT(REGEXREPLACE(REGEXREPLACE(AO130&amp;"""",""(?s)(.{1})"",""$1""&amp;CHAR(127)),""'"",""''""),CHAR(127))),1,true),""1"")"),"abcdeg1")</f>
        <v>abcdeg1</v>
      </c>
      <c r="AQ130" s="16"/>
      <c r="AR130" s="12" t="str">
        <f t="shared" si="5"/>
        <v>bd</v>
      </c>
      <c r="AS130" s="12" t="str">
        <f>IFERROR(__xludf.DUMMYFUNCTION("CONCATENATE(SORT(TRANSPOSE(SPLIT(REGEXREPLACE(REGEXREPLACE(AR130&amp;"""",""(?s)(.{1})"",""$1""&amp;CHAR(127)),""'"",""''""),CHAR(127))),1,true),""1"")"),"bd1")</f>
        <v>bd1</v>
      </c>
      <c r="AT130" s="16"/>
      <c r="AU130" s="13" t="str">
        <f>IFERROR(__xludf.DUMMYFUNCTION("FILTER($K130:$T130,len($K130:$T130)=5,NOT($K130:$T130=BD130),NOT($K130:$T130=BP130))"),"adefc")</f>
        <v>adefc</v>
      </c>
      <c r="AV130" s="12" t="str">
        <f>IFERROR(__xludf.DUMMYFUNCTION("CONCATENATE(SORT(TRANSPOSE(SPLIT(REGEXREPLACE(REGEXREPLACE(AU130&amp;"""",""(?s)(.{1})"",""$1""&amp;CHAR(127)),""'"",""''""),CHAR(127))),1,true),""1"")"),"acdef1")</f>
        <v>acdef1</v>
      </c>
      <c r="AW130" s="16"/>
      <c r="AX130" s="10" t="str">
        <f>IFERROR(__xludf.DUMMYFUNCTION("FILTER($K130:$T130,len($K130:$T130)=5)"),"bdfca")</f>
        <v>bdfca</v>
      </c>
      <c r="AY130" s="6" t="str">
        <f>IFERROR(__xludf.DUMMYFUNCTION("""COMPUTED_VALUE"""),"adefc")</f>
        <v>adefc</v>
      </c>
      <c r="AZ130" s="6" t="str">
        <f>IFERROR(__xludf.DUMMYFUNCTION("""COMPUTED_VALUE"""),"fagbc")</f>
        <v>fagbc</v>
      </c>
      <c r="BA130" s="6" t="str">
        <f>IFERROR(__xludf.DUMMYFUNCTION("REGEXREPLACE( $AR130, CONCATENATE(""["",AX130,""]""), """")"),"")</f>
        <v/>
      </c>
      <c r="BB130" s="6" t="str">
        <f>IFERROR(__xludf.DUMMYFUNCTION("REGEXREPLACE( $AR130, CONCATENATE(""["",AY130,""]""), """")"),"b")</f>
        <v>b</v>
      </c>
      <c r="BC130" s="6" t="str">
        <f>IFERROR(__xludf.DUMMYFUNCTION("REGEXREPLACE( $AR130, CONCATENATE(""["",AZ130,""]""), """")"),"d")</f>
        <v>d</v>
      </c>
      <c r="BD130" s="11" t="str">
        <f t="shared" si="6"/>
        <v>bdfca</v>
      </c>
      <c r="BE130" s="12" t="str">
        <f>IFERROR(__xludf.DUMMYFUNCTION("CONCATENATE(SORT(TRANSPOSE(SPLIT(REGEXREPLACE(REGEXREPLACE(BD130&amp;"""",""(?s)(.{1})"",""$1""&amp;CHAR(127)),""'"",""''""),CHAR(127))),1,true),""1"")"),"abcdf1")</f>
        <v>abcdf1</v>
      </c>
      <c r="BF130" s="16"/>
      <c r="BG130" s="12" t="str">
        <f t="shared" si="7"/>
        <v>bgfd</v>
      </c>
      <c r="BH130" s="12" t="str">
        <f>IFERROR(__xludf.DUMMYFUNCTION("CONCATENATE(SORT(TRANSPOSE(SPLIT(REGEXREPLACE(REGEXREPLACE(BG130&amp;"""",""(?s)(.{1})"",""$1""&amp;CHAR(127)),""'"",""''""),CHAR(127))),1,true),""1"")"),"bdfg1")</f>
        <v>bdfg1</v>
      </c>
      <c r="BI130" s="16"/>
      <c r="BJ130" s="10" t="str">
        <f>IFERROR(__xludf.DUMMYFUNCTION("FILTER($K130:$T130,len($K130:$T130)=5)"),"bdfca")</f>
        <v>bdfca</v>
      </c>
      <c r="BK130" s="6" t="str">
        <f>IFERROR(__xludf.DUMMYFUNCTION("""COMPUTED_VALUE"""),"adefc")</f>
        <v>adefc</v>
      </c>
      <c r="BL130" s="6" t="str">
        <f>IFERROR(__xludf.DUMMYFUNCTION("""COMPUTED_VALUE"""),"fagbc")</f>
        <v>fagbc</v>
      </c>
      <c r="BM130" s="14" t="str">
        <f>IFERROR(__xludf.DUMMYFUNCTION("REGEXREPLACE( $BY130, CONCATENATE(""["",BJ130,""]""), """")"),"eg")</f>
        <v>eg</v>
      </c>
      <c r="BN130" s="14" t="str">
        <f>IFERROR(__xludf.DUMMYFUNCTION("REGEXREPLACE( $BY130, CONCATENATE(""["",BK130,""]""), """")"),"bg")</f>
        <v>bg</v>
      </c>
      <c r="BO130" s="14" t="str">
        <f>IFERROR(__xludf.DUMMYFUNCTION("REGEXREPLACE( $BY130, CONCATENATE(""["",BL130,""]""), """")"),"e")</f>
        <v>e</v>
      </c>
      <c r="BP130" s="11" t="str">
        <f t="shared" si="8"/>
        <v>fagbc</v>
      </c>
      <c r="BQ130" s="12" t="str">
        <f>IFERROR(__xludf.DUMMYFUNCTION("CONCATENATE(SORT(TRANSPOSE(SPLIT(REGEXREPLACE(REGEXREPLACE(BP130&amp;"""",""(?s)(.{1})"",""$1""&amp;CHAR(127)),""'"",""''""),CHAR(127))),1,true),""1"")"),"abcfg1")</f>
        <v>abcfg1</v>
      </c>
      <c r="BR130" s="16"/>
      <c r="BS130" s="10" t="str">
        <f>IFERROR(__xludf.DUMMYFUNCTION("FILTER(K130:T130,len(K130:T130)=6)"),"bacgdf")</f>
        <v>bacgdf</v>
      </c>
      <c r="BT130" s="6" t="str">
        <f>IFERROR(__xludf.DUMMYFUNCTION("""COMPUTED_VALUE"""),"fbecga")</f>
        <v>fbecga</v>
      </c>
      <c r="BU130" s="6" t="str">
        <f>IFERROR(__xludf.DUMMYFUNCTION("""COMPUTED_VALUE"""),"agcedb")</f>
        <v>agcedb</v>
      </c>
      <c r="BV130" s="6" t="str">
        <f>IFERROR(__xludf.DUMMYFUNCTION("REGEXREPLACE( $AR130, CONCATENATE(""["",BS130,""]""), """")"),"")</f>
        <v/>
      </c>
      <c r="BW130" s="6" t="str">
        <f>IFERROR(__xludf.DUMMYFUNCTION("REGEXREPLACE( $AR130, CONCATENATE(""["",BT130,""]""), """")"),"d")</f>
        <v>d</v>
      </c>
      <c r="BX130" s="6" t="str">
        <f>IFERROR(__xludf.DUMMYFUNCTION("REGEXREPLACE( $AR130, CONCATENATE(""["",BU130,""]""), """")"),"")</f>
        <v/>
      </c>
      <c r="BY130" s="12" t="str">
        <f t="shared" si="9"/>
        <v>fbecga</v>
      </c>
      <c r="BZ130" s="12" t="str">
        <f>IFERROR(__xludf.DUMMYFUNCTION("CONCATENATE(SORT(TRANSPOSE(SPLIT(REGEXREPLACE(REGEXREPLACE(BY130&amp;"""",""(?s)(.{1})"",""$1""&amp;CHAR(127)),""'"",""''""),CHAR(127))),1,true),""1"")"),"abcefg1")</f>
        <v>abcefg1</v>
      </c>
      <c r="CA130" s="16"/>
      <c r="CB130" s="12" t="str">
        <f t="shared" si="10"/>
        <v>bdc</v>
      </c>
      <c r="CC130" s="12" t="str">
        <f>IFERROR(__xludf.DUMMYFUNCTION("CONCATENATE(SORT(TRANSPOSE(SPLIT(REGEXREPLACE(REGEXREPLACE(CB130&amp;"""",""(?s)(.{1})"",""$1""&amp;CHAR(127)),""'"",""''""),CHAR(127))),1,true),""1"")"),"bcd1")</f>
        <v>bcd1</v>
      </c>
      <c r="CD130" s="16"/>
      <c r="CE130" s="12" t="str">
        <f t="shared" si="11"/>
        <v>adcfgbe</v>
      </c>
      <c r="CF130" s="12" t="str">
        <f>IFERROR(__xludf.DUMMYFUNCTION("CONCATENATE(SORT(TRANSPOSE(SPLIT(REGEXREPLACE(REGEXREPLACE(CE130&amp;"""",""(?s)(.{1})"",""$1""&amp;CHAR(127)),""'"",""''""),CHAR(127))),1,true),""1"")"),"abcdefg1")</f>
        <v>abcdefg1</v>
      </c>
      <c r="CG130" s="16"/>
      <c r="CH130" s="10" t="str">
        <f>IFERROR(__xludf.DUMMYFUNCTION("FILTER(K130:T130,len(K130:T130)=6)"),"bacgdf")</f>
        <v>bacgdf</v>
      </c>
      <c r="CI130" s="6" t="str">
        <f>IFERROR(__xludf.DUMMYFUNCTION("""COMPUTED_VALUE"""),"fbecga")</f>
        <v>fbecga</v>
      </c>
      <c r="CJ130" s="6" t="str">
        <f>IFERROR(__xludf.DUMMYFUNCTION("""COMPUTED_VALUE"""),"agcedb")</f>
        <v>agcedb</v>
      </c>
      <c r="CK130" s="6" t="str">
        <f>IFERROR(__xludf.DUMMYFUNCTION("REGEXREPLACE( $BG130, CONCATENATE(""["",CH130,""]""), """")"),"")</f>
        <v/>
      </c>
      <c r="CL130" s="6" t="str">
        <f>IFERROR(__xludf.DUMMYFUNCTION("REGEXREPLACE( $BG130, CONCATENATE(""["",CI130,""]""), """")"),"d")</f>
        <v>d</v>
      </c>
      <c r="CM130" s="6" t="str">
        <f>IFERROR(__xludf.DUMMYFUNCTION("REGEXREPLACE( $BG130, CONCATENATE(""["",CJ130,""]""), """")"),"f")</f>
        <v>f</v>
      </c>
      <c r="CN130" s="12" t="str">
        <f t="shared" si="12"/>
        <v>bacgdf</v>
      </c>
      <c r="CO130" s="12" t="str">
        <f>IFERROR(__xludf.DUMMYFUNCTION("CONCATENATE(SORT(TRANSPOSE(SPLIT(REGEXREPLACE(REGEXREPLACE(CN130&amp;"""",""(?s)(.{1})"",""$1""&amp;CHAR(127)),""'"",""''""),CHAR(127))),1,true),""1"")"),"abcdfg1")</f>
        <v>abcdfg1</v>
      </c>
      <c r="CP130" s="15"/>
    </row>
    <row r="131">
      <c r="A131" s="1" t="s">
        <v>151</v>
      </c>
      <c r="H131" s="6" t="str">
        <f>IFERROR(__xludf.DUMMYFUNCTION("SPLIT(A131,""|"")"),"bdeg fecbga ecbda gecdaf agdce abcfd ecb ecbdgaf eb cbaged ")</f>
        <v>bdeg fecbga ecbda gecdaf agdce abcfd ecb ecbdgaf eb cbaged </v>
      </c>
      <c r="I131" s="6" t="str">
        <f>IFERROR(__xludf.DUMMYFUNCTION("""COMPUTED_VALUE""")," cbe aebcd gedb bec")</f>
        <v> cbe aebcd gedb bec</v>
      </c>
      <c r="J131" s="15"/>
      <c r="K131" s="6" t="str">
        <f>IFERROR(__xludf.DUMMYFUNCTION("split(H131,"" "")"),"bdeg")</f>
        <v>bdeg</v>
      </c>
      <c r="L131" s="6" t="str">
        <f>IFERROR(__xludf.DUMMYFUNCTION("""COMPUTED_VALUE"""),"fecbga")</f>
        <v>fecbga</v>
      </c>
      <c r="M131" s="6" t="str">
        <f>IFERROR(__xludf.DUMMYFUNCTION("""COMPUTED_VALUE"""),"ecbda")</f>
        <v>ecbda</v>
      </c>
      <c r="N131" s="6" t="str">
        <f>IFERROR(__xludf.DUMMYFUNCTION("""COMPUTED_VALUE"""),"gecdaf")</f>
        <v>gecdaf</v>
      </c>
      <c r="O131" s="6" t="str">
        <f>IFERROR(__xludf.DUMMYFUNCTION("""COMPUTED_VALUE"""),"agdce")</f>
        <v>agdce</v>
      </c>
      <c r="P131" s="6" t="str">
        <f>IFERROR(__xludf.DUMMYFUNCTION("""COMPUTED_VALUE"""),"abcfd")</f>
        <v>abcfd</v>
      </c>
      <c r="Q131" s="6" t="str">
        <f>IFERROR(__xludf.DUMMYFUNCTION("""COMPUTED_VALUE"""),"ecb")</f>
        <v>ecb</v>
      </c>
      <c r="R131" s="6" t="str">
        <f>IFERROR(__xludf.DUMMYFUNCTION("""COMPUTED_VALUE"""),"ecbdgaf")</f>
        <v>ecbdgaf</v>
      </c>
      <c r="S131" s="6" t="str">
        <f>IFERROR(__xludf.DUMMYFUNCTION("""COMPUTED_VALUE"""),"eb")</f>
        <v>eb</v>
      </c>
      <c r="T131" s="6" t="str">
        <f>IFERROR(__xludf.DUMMYFUNCTION("""COMPUTED_VALUE"""),"cbaged")</f>
        <v>cbaged</v>
      </c>
      <c r="U131" s="15"/>
      <c r="V131" s="6" t="str">
        <f>IFERROR(__xludf.DUMMYFUNCTION("split(I131,"" "")"),"cbe")</f>
        <v>cbe</v>
      </c>
      <c r="W131" s="6" t="str">
        <f>IFERROR(__xludf.DUMMYFUNCTION("""COMPUTED_VALUE"""),"aebcd")</f>
        <v>aebcd</v>
      </c>
      <c r="X131" s="6" t="str">
        <f>IFERROR(__xludf.DUMMYFUNCTION("""COMPUTED_VALUE"""),"gedb")</f>
        <v>gedb</v>
      </c>
      <c r="Y131" s="6" t="str">
        <f>IFERROR(__xludf.DUMMYFUNCTION("""COMPUTED_VALUE"""),"bec")</f>
        <v>bec</v>
      </c>
      <c r="Z131" s="6" t="str">
        <f>IFERROR(__xludf.DUMMYFUNCTION("CONCATENATE(SORT(TRANSPOSE(SPLIT(REGEXREPLACE(REGEXREPLACE(V131&amp;"""",""(?s)(.{1})"",""$1""&amp;CHAR(127)),""'"",""''""),CHAR(127))),1,true))"),"bce")</f>
        <v>bce</v>
      </c>
      <c r="AA131" s="6" t="str">
        <f>IFERROR(__xludf.DUMMYFUNCTION("CONCATENATE(SORT(TRANSPOSE(SPLIT(REGEXREPLACE(REGEXREPLACE(W131&amp;"""",""(?s)(.{1})"",""$1""&amp;CHAR(127)),""'"",""''""),CHAR(127))),1,true))"),"abcde")</f>
        <v>abcde</v>
      </c>
      <c r="AB131" s="6" t="str">
        <f>IFERROR(__xludf.DUMMYFUNCTION("CONCATENATE(SORT(TRANSPOSE(SPLIT(REGEXREPLACE(REGEXREPLACE(X131&amp;"""",""(?s)(.{1})"",""$1""&amp;CHAR(127)),""'"",""''""),CHAR(127))),1,true))"),"bdeg")</f>
        <v>bdeg</v>
      </c>
      <c r="AC131" s="6" t="str">
        <f>IFERROR(__xludf.DUMMYFUNCTION("CONCATENATE(SORT(TRANSPOSE(SPLIT(REGEXREPLACE(REGEXREPLACE(Y131&amp;"""",""(?s)(.{1})"",""$1""&amp;CHAR(127)),""'"",""''""),CHAR(127))),1,true))"),"bce")</f>
        <v>bce</v>
      </c>
      <c r="AD131" s="6">
        <f t="shared" ref="AD131:AG131" si="141">INDEX($AO$1:$CP$1,1,MATCH(CONCATENATE(Z131,"1"),$AO131:$CP131,0)+1)</f>
        <v>7</v>
      </c>
      <c r="AE131" s="6">
        <f t="shared" si="141"/>
        <v>3</v>
      </c>
      <c r="AF131" s="6">
        <f t="shared" si="141"/>
        <v>4</v>
      </c>
      <c r="AG131" s="6">
        <f t="shared" si="141"/>
        <v>7</v>
      </c>
      <c r="AH131" s="6">
        <f t="shared" si="3"/>
        <v>7347</v>
      </c>
      <c r="AI131" s="16"/>
      <c r="AJ131" s="9" t="str">
        <f>IFERROR(__xludf.DUMMYFUNCTION("REGEXREPLACE(AR131,CONCATENATE(""["",BY131,""]""),"""")"),"b")</f>
        <v>b</v>
      </c>
      <c r="AK131" s="10" t="str">
        <f>IFERROR(__xludf.DUMMYFUNCTION("FILTER($K131:$T131,len($K131:$T131)=6,NOT($K131:$T131=BY131))"),"fecbga")</f>
        <v>fecbga</v>
      </c>
      <c r="AL131" s="6" t="str">
        <f>IFERROR(__xludf.DUMMYFUNCTION("""COMPUTED_VALUE"""),"cbaged")</f>
        <v>cbaged</v>
      </c>
      <c r="AM131" s="6" t="str">
        <f>IFERROR(__xludf.DUMMYFUNCTION("REGEXREPLACE( $BG131, CONCATENATE(""["",AK131,""]""), """")"),"d")</f>
        <v>d</v>
      </c>
      <c r="AN131" s="6" t="str">
        <f>IFERROR(__xludf.DUMMYFUNCTION("REGEXREPLACE( $BG131, CONCATENATE(""["",AL131,""]""), """")"),"")</f>
        <v/>
      </c>
      <c r="AO131" s="11" t="str">
        <f t="shared" si="4"/>
        <v>fecbga</v>
      </c>
      <c r="AP131" s="12" t="str">
        <f>IFERROR(__xludf.DUMMYFUNCTION("CONCATENATE(SORT(TRANSPOSE(SPLIT(REGEXREPLACE(REGEXREPLACE(AO131&amp;"""",""(?s)(.{1})"",""$1""&amp;CHAR(127)),""'"",""''""),CHAR(127))),1,true),""1"")"),"abcefg1")</f>
        <v>abcefg1</v>
      </c>
      <c r="AQ131" s="16"/>
      <c r="AR131" s="12" t="str">
        <f t="shared" si="5"/>
        <v>eb</v>
      </c>
      <c r="AS131" s="12" t="str">
        <f>IFERROR(__xludf.DUMMYFUNCTION("CONCATENATE(SORT(TRANSPOSE(SPLIT(REGEXREPLACE(REGEXREPLACE(AR131&amp;"""",""(?s)(.{1})"",""$1""&amp;CHAR(127)),""'"",""''""),CHAR(127))),1,true),""1"")"),"be1")</f>
        <v>be1</v>
      </c>
      <c r="AT131" s="16"/>
      <c r="AU131" s="13" t="str">
        <f>IFERROR(__xludf.DUMMYFUNCTION("FILTER($K131:$T131,len($K131:$T131)=5,NOT($K131:$T131=BD131),NOT($K131:$T131=BP131))"),"abcfd")</f>
        <v>abcfd</v>
      </c>
      <c r="AV131" s="12" t="str">
        <f>IFERROR(__xludf.DUMMYFUNCTION("CONCATENATE(SORT(TRANSPOSE(SPLIT(REGEXREPLACE(REGEXREPLACE(AU131&amp;"""",""(?s)(.{1})"",""$1""&amp;CHAR(127)),""'"",""''""),CHAR(127))),1,true),""1"")"),"abcdf1")</f>
        <v>abcdf1</v>
      </c>
      <c r="AW131" s="16"/>
      <c r="AX131" s="10" t="str">
        <f>IFERROR(__xludf.DUMMYFUNCTION("FILTER($K131:$T131,len($K131:$T131)=5)"),"ecbda")</f>
        <v>ecbda</v>
      </c>
      <c r="AY131" s="6" t="str">
        <f>IFERROR(__xludf.DUMMYFUNCTION("""COMPUTED_VALUE"""),"agdce")</f>
        <v>agdce</v>
      </c>
      <c r="AZ131" s="6" t="str">
        <f>IFERROR(__xludf.DUMMYFUNCTION("""COMPUTED_VALUE"""),"abcfd")</f>
        <v>abcfd</v>
      </c>
      <c r="BA131" s="6" t="str">
        <f>IFERROR(__xludf.DUMMYFUNCTION("REGEXREPLACE( $AR131, CONCATENATE(""["",AX131,""]""), """")"),"")</f>
        <v/>
      </c>
      <c r="BB131" s="6" t="str">
        <f>IFERROR(__xludf.DUMMYFUNCTION("REGEXREPLACE( $AR131, CONCATENATE(""["",AY131,""]""), """")"),"b")</f>
        <v>b</v>
      </c>
      <c r="BC131" s="6" t="str">
        <f>IFERROR(__xludf.DUMMYFUNCTION("REGEXREPLACE( $AR131, CONCATENATE(""["",AZ131,""]""), """")"),"e")</f>
        <v>e</v>
      </c>
      <c r="BD131" s="11" t="str">
        <f t="shared" si="6"/>
        <v>ecbda</v>
      </c>
      <c r="BE131" s="12" t="str">
        <f>IFERROR(__xludf.DUMMYFUNCTION("CONCATENATE(SORT(TRANSPOSE(SPLIT(REGEXREPLACE(REGEXREPLACE(BD131&amp;"""",""(?s)(.{1})"",""$1""&amp;CHAR(127)),""'"",""''""),CHAR(127))),1,true),""1"")"),"abcde1")</f>
        <v>abcde1</v>
      </c>
      <c r="BF131" s="16"/>
      <c r="BG131" s="12" t="str">
        <f t="shared" si="7"/>
        <v>bdeg</v>
      </c>
      <c r="BH131" s="12" t="str">
        <f>IFERROR(__xludf.DUMMYFUNCTION("CONCATENATE(SORT(TRANSPOSE(SPLIT(REGEXREPLACE(REGEXREPLACE(BG131&amp;"""",""(?s)(.{1})"",""$1""&amp;CHAR(127)),""'"",""''""),CHAR(127))),1,true),""1"")"),"bdeg1")</f>
        <v>bdeg1</v>
      </c>
      <c r="BI131" s="16"/>
      <c r="BJ131" s="10" t="str">
        <f>IFERROR(__xludf.DUMMYFUNCTION("FILTER($K131:$T131,len($K131:$T131)=5)"),"ecbda")</f>
        <v>ecbda</v>
      </c>
      <c r="BK131" s="6" t="str">
        <f>IFERROR(__xludf.DUMMYFUNCTION("""COMPUTED_VALUE"""),"agdce")</f>
        <v>agdce</v>
      </c>
      <c r="BL131" s="6" t="str">
        <f>IFERROR(__xludf.DUMMYFUNCTION("""COMPUTED_VALUE"""),"abcfd")</f>
        <v>abcfd</v>
      </c>
      <c r="BM131" s="14" t="str">
        <f>IFERROR(__xludf.DUMMYFUNCTION("REGEXREPLACE( $BY131, CONCATENATE(""["",BJ131,""]""), """")"),"gf")</f>
        <v>gf</v>
      </c>
      <c r="BN131" s="14" t="str">
        <f>IFERROR(__xludf.DUMMYFUNCTION("REGEXREPLACE( $BY131, CONCATENATE(""["",BK131,""]""), """")"),"f")</f>
        <v>f</v>
      </c>
      <c r="BO131" s="14" t="str">
        <f>IFERROR(__xludf.DUMMYFUNCTION("REGEXREPLACE( $BY131, CONCATENATE(""["",BL131,""]""), """")"),"ge")</f>
        <v>ge</v>
      </c>
      <c r="BP131" s="11" t="str">
        <f t="shared" si="8"/>
        <v>agdce</v>
      </c>
      <c r="BQ131" s="12" t="str">
        <f>IFERROR(__xludf.DUMMYFUNCTION("CONCATENATE(SORT(TRANSPOSE(SPLIT(REGEXREPLACE(REGEXREPLACE(BP131&amp;"""",""(?s)(.{1})"",""$1""&amp;CHAR(127)),""'"",""''""),CHAR(127))),1,true),""1"")"),"acdeg1")</f>
        <v>acdeg1</v>
      </c>
      <c r="BR131" s="16"/>
      <c r="BS131" s="10" t="str">
        <f>IFERROR(__xludf.DUMMYFUNCTION("FILTER(K131:T131,len(K131:T131)=6)"),"fecbga")</f>
        <v>fecbga</v>
      </c>
      <c r="BT131" s="6" t="str">
        <f>IFERROR(__xludf.DUMMYFUNCTION("""COMPUTED_VALUE"""),"gecdaf")</f>
        <v>gecdaf</v>
      </c>
      <c r="BU131" s="6" t="str">
        <f>IFERROR(__xludf.DUMMYFUNCTION("""COMPUTED_VALUE"""),"cbaged")</f>
        <v>cbaged</v>
      </c>
      <c r="BV131" s="6" t="str">
        <f>IFERROR(__xludf.DUMMYFUNCTION("REGEXREPLACE( $AR131, CONCATENATE(""["",BS131,""]""), """")"),"")</f>
        <v/>
      </c>
      <c r="BW131" s="6" t="str">
        <f>IFERROR(__xludf.DUMMYFUNCTION("REGEXREPLACE( $AR131, CONCATENATE(""["",BT131,""]""), """")"),"b")</f>
        <v>b</v>
      </c>
      <c r="BX131" s="6" t="str">
        <f>IFERROR(__xludf.DUMMYFUNCTION("REGEXREPLACE( $AR131, CONCATENATE(""["",BU131,""]""), """")"),"")</f>
        <v/>
      </c>
      <c r="BY131" s="12" t="str">
        <f t="shared" si="9"/>
        <v>gecdaf</v>
      </c>
      <c r="BZ131" s="12" t="str">
        <f>IFERROR(__xludf.DUMMYFUNCTION("CONCATENATE(SORT(TRANSPOSE(SPLIT(REGEXREPLACE(REGEXREPLACE(BY131&amp;"""",""(?s)(.{1})"",""$1""&amp;CHAR(127)),""'"",""''""),CHAR(127))),1,true),""1"")"),"acdefg1")</f>
        <v>acdefg1</v>
      </c>
      <c r="CA131" s="16"/>
      <c r="CB131" s="12" t="str">
        <f t="shared" si="10"/>
        <v>ecb</v>
      </c>
      <c r="CC131" s="12" t="str">
        <f>IFERROR(__xludf.DUMMYFUNCTION("CONCATENATE(SORT(TRANSPOSE(SPLIT(REGEXREPLACE(REGEXREPLACE(CB131&amp;"""",""(?s)(.{1})"",""$1""&amp;CHAR(127)),""'"",""''""),CHAR(127))),1,true),""1"")"),"bce1")</f>
        <v>bce1</v>
      </c>
      <c r="CD131" s="16"/>
      <c r="CE131" s="12" t="str">
        <f t="shared" si="11"/>
        <v>ecbdgaf</v>
      </c>
      <c r="CF131" s="12" t="str">
        <f>IFERROR(__xludf.DUMMYFUNCTION("CONCATENATE(SORT(TRANSPOSE(SPLIT(REGEXREPLACE(REGEXREPLACE(CE131&amp;"""",""(?s)(.{1})"",""$1""&amp;CHAR(127)),""'"",""''""),CHAR(127))),1,true),""1"")"),"abcdefg1")</f>
        <v>abcdefg1</v>
      </c>
      <c r="CG131" s="16"/>
      <c r="CH131" s="10" t="str">
        <f>IFERROR(__xludf.DUMMYFUNCTION("FILTER(K131:T131,len(K131:T131)=6)"),"fecbga")</f>
        <v>fecbga</v>
      </c>
      <c r="CI131" s="6" t="str">
        <f>IFERROR(__xludf.DUMMYFUNCTION("""COMPUTED_VALUE"""),"gecdaf")</f>
        <v>gecdaf</v>
      </c>
      <c r="CJ131" s="6" t="str">
        <f>IFERROR(__xludf.DUMMYFUNCTION("""COMPUTED_VALUE"""),"cbaged")</f>
        <v>cbaged</v>
      </c>
      <c r="CK131" s="6" t="str">
        <f>IFERROR(__xludf.DUMMYFUNCTION("REGEXREPLACE( $BG131, CONCATENATE(""["",CH131,""]""), """")"),"d")</f>
        <v>d</v>
      </c>
      <c r="CL131" s="6" t="str">
        <f>IFERROR(__xludf.DUMMYFUNCTION("REGEXREPLACE( $BG131, CONCATENATE(""["",CI131,""]""), """")"),"b")</f>
        <v>b</v>
      </c>
      <c r="CM131" s="6" t="str">
        <f>IFERROR(__xludf.DUMMYFUNCTION("REGEXREPLACE( $BG131, CONCATENATE(""["",CJ131,""]""), """")"),"")</f>
        <v/>
      </c>
      <c r="CN131" s="12" t="str">
        <f t="shared" si="12"/>
        <v>cbaged</v>
      </c>
      <c r="CO131" s="12" t="str">
        <f>IFERROR(__xludf.DUMMYFUNCTION("CONCATENATE(SORT(TRANSPOSE(SPLIT(REGEXREPLACE(REGEXREPLACE(CN131&amp;"""",""(?s)(.{1})"",""$1""&amp;CHAR(127)),""'"",""''""),CHAR(127))),1,true),""1"")"),"abcdeg1")</f>
        <v>abcdeg1</v>
      </c>
      <c r="CP131" s="15"/>
    </row>
    <row r="132">
      <c r="A132" s="1" t="s">
        <v>152</v>
      </c>
      <c r="H132" s="6" t="str">
        <f>IFERROR(__xludf.DUMMYFUNCTION("SPLIT(A132,""|"")"),"dcgfba cfegab faebcdg bae cdfba badec cebafd be debf daceg ")</f>
        <v>dcgfba cfegab faebcdg bae cdfba badec cebafd be debf daceg </v>
      </c>
      <c r="I132" s="6" t="str">
        <f>IFERROR(__xludf.DUMMYFUNCTION("""COMPUTED_VALUE""")," be becfga afdceb fbgadc")</f>
        <v> be becfga afdceb fbgadc</v>
      </c>
      <c r="J132" s="15"/>
      <c r="K132" s="6" t="str">
        <f>IFERROR(__xludf.DUMMYFUNCTION("split(H132,"" "")"),"dcgfba")</f>
        <v>dcgfba</v>
      </c>
      <c r="L132" s="6" t="str">
        <f>IFERROR(__xludf.DUMMYFUNCTION("""COMPUTED_VALUE"""),"cfegab")</f>
        <v>cfegab</v>
      </c>
      <c r="M132" s="6" t="str">
        <f>IFERROR(__xludf.DUMMYFUNCTION("""COMPUTED_VALUE"""),"faebcdg")</f>
        <v>faebcdg</v>
      </c>
      <c r="N132" s="6" t="str">
        <f>IFERROR(__xludf.DUMMYFUNCTION("""COMPUTED_VALUE"""),"bae")</f>
        <v>bae</v>
      </c>
      <c r="O132" s="6" t="str">
        <f>IFERROR(__xludf.DUMMYFUNCTION("""COMPUTED_VALUE"""),"cdfba")</f>
        <v>cdfba</v>
      </c>
      <c r="P132" s="6" t="str">
        <f>IFERROR(__xludf.DUMMYFUNCTION("""COMPUTED_VALUE"""),"badec")</f>
        <v>badec</v>
      </c>
      <c r="Q132" s="6" t="str">
        <f>IFERROR(__xludf.DUMMYFUNCTION("""COMPUTED_VALUE"""),"cebafd")</f>
        <v>cebafd</v>
      </c>
      <c r="R132" s="6" t="str">
        <f>IFERROR(__xludf.DUMMYFUNCTION("""COMPUTED_VALUE"""),"be")</f>
        <v>be</v>
      </c>
      <c r="S132" s="6" t="str">
        <f>IFERROR(__xludf.DUMMYFUNCTION("""COMPUTED_VALUE"""),"debf")</f>
        <v>debf</v>
      </c>
      <c r="T132" s="6" t="str">
        <f>IFERROR(__xludf.DUMMYFUNCTION("""COMPUTED_VALUE"""),"daceg")</f>
        <v>daceg</v>
      </c>
      <c r="U132" s="15"/>
      <c r="V132" s="6" t="str">
        <f>IFERROR(__xludf.DUMMYFUNCTION("split(I132,"" "")"),"be")</f>
        <v>be</v>
      </c>
      <c r="W132" s="6" t="str">
        <f>IFERROR(__xludf.DUMMYFUNCTION("""COMPUTED_VALUE"""),"becfga")</f>
        <v>becfga</v>
      </c>
      <c r="X132" s="6" t="str">
        <f>IFERROR(__xludf.DUMMYFUNCTION("""COMPUTED_VALUE"""),"afdceb")</f>
        <v>afdceb</v>
      </c>
      <c r="Y132" s="6" t="str">
        <f>IFERROR(__xludf.DUMMYFUNCTION("""COMPUTED_VALUE"""),"fbgadc")</f>
        <v>fbgadc</v>
      </c>
      <c r="Z132" s="6" t="str">
        <f>IFERROR(__xludf.DUMMYFUNCTION("CONCATENATE(SORT(TRANSPOSE(SPLIT(REGEXREPLACE(REGEXREPLACE(V132&amp;"""",""(?s)(.{1})"",""$1""&amp;CHAR(127)),""'"",""''""),CHAR(127))),1,true))"),"be")</f>
        <v>be</v>
      </c>
      <c r="AA132" s="6" t="str">
        <f>IFERROR(__xludf.DUMMYFUNCTION("CONCATENATE(SORT(TRANSPOSE(SPLIT(REGEXREPLACE(REGEXREPLACE(W132&amp;"""",""(?s)(.{1})"",""$1""&amp;CHAR(127)),""'"",""''""),CHAR(127))),1,true))"),"abcefg")</f>
        <v>abcefg</v>
      </c>
      <c r="AB132" s="6" t="str">
        <f>IFERROR(__xludf.DUMMYFUNCTION("CONCATENATE(SORT(TRANSPOSE(SPLIT(REGEXREPLACE(REGEXREPLACE(X132&amp;"""",""(?s)(.{1})"",""$1""&amp;CHAR(127)),""'"",""''""),CHAR(127))),1,true))"),"abcdef")</f>
        <v>abcdef</v>
      </c>
      <c r="AC132" s="6" t="str">
        <f>IFERROR(__xludf.DUMMYFUNCTION("CONCATENATE(SORT(TRANSPOSE(SPLIT(REGEXREPLACE(REGEXREPLACE(Y132&amp;"""",""(?s)(.{1})"",""$1""&amp;CHAR(127)),""'"",""''""),CHAR(127))),1,true))"),"abcdfg")</f>
        <v>abcdfg</v>
      </c>
      <c r="AD132" s="6">
        <f t="shared" ref="AD132:AG132" si="142">INDEX($AO$1:$CP$1,1,MATCH(CONCATENATE(Z132,"1"),$AO132:$CP132,0)+1)</f>
        <v>1</v>
      </c>
      <c r="AE132" s="6">
        <f t="shared" si="142"/>
        <v>0</v>
      </c>
      <c r="AF132" s="6">
        <f t="shared" si="142"/>
        <v>9</v>
      </c>
      <c r="AG132" s="6">
        <f t="shared" si="142"/>
        <v>6</v>
      </c>
      <c r="AH132" s="6">
        <f t="shared" si="3"/>
        <v>1096</v>
      </c>
      <c r="AI132" s="16"/>
      <c r="AJ132" s="9" t="str">
        <f>IFERROR(__xludf.DUMMYFUNCTION("REGEXREPLACE(AR132,CONCATENATE(""["",BY132,""]""),"""")"),"e")</f>
        <v>e</v>
      </c>
      <c r="AK132" s="10" t="str">
        <f>IFERROR(__xludf.DUMMYFUNCTION("FILTER($K132:$T132,len($K132:$T132)=6,NOT($K132:$T132=BY132))"),"cfegab")</f>
        <v>cfegab</v>
      </c>
      <c r="AL132" s="6" t="str">
        <f>IFERROR(__xludf.DUMMYFUNCTION("""COMPUTED_VALUE"""),"cebafd")</f>
        <v>cebafd</v>
      </c>
      <c r="AM132" s="6" t="str">
        <f>IFERROR(__xludf.DUMMYFUNCTION("REGEXREPLACE( $BG132, CONCATENATE(""["",AK132,""]""), """")"),"d")</f>
        <v>d</v>
      </c>
      <c r="AN132" s="6" t="str">
        <f>IFERROR(__xludf.DUMMYFUNCTION("REGEXREPLACE( $BG132, CONCATENATE(""["",AL132,""]""), """")"),"")</f>
        <v/>
      </c>
      <c r="AO132" s="11" t="str">
        <f t="shared" si="4"/>
        <v>cfegab</v>
      </c>
      <c r="AP132" s="12" t="str">
        <f>IFERROR(__xludf.DUMMYFUNCTION("CONCATENATE(SORT(TRANSPOSE(SPLIT(REGEXREPLACE(REGEXREPLACE(AO132&amp;"""",""(?s)(.{1})"",""$1""&amp;CHAR(127)),""'"",""''""),CHAR(127))),1,true),""1"")"),"abcefg1")</f>
        <v>abcefg1</v>
      </c>
      <c r="AQ132" s="16"/>
      <c r="AR132" s="12" t="str">
        <f t="shared" si="5"/>
        <v>be</v>
      </c>
      <c r="AS132" s="12" t="str">
        <f>IFERROR(__xludf.DUMMYFUNCTION("CONCATENATE(SORT(TRANSPOSE(SPLIT(REGEXREPLACE(REGEXREPLACE(AR132&amp;"""",""(?s)(.{1})"",""$1""&amp;CHAR(127)),""'"",""''""),CHAR(127))),1,true),""1"")"),"be1")</f>
        <v>be1</v>
      </c>
      <c r="AT132" s="16"/>
      <c r="AU132" s="13" t="str">
        <f>IFERROR(__xludf.DUMMYFUNCTION("FILTER($K132:$T132,len($K132:$T132)=5,NOT($K132:$T132=BD132),NOT($K132:$T132=BP132))"),"daceg")</f>
        <v>daceg</v>
      </c>
      <c r="AV132" s="12" t="str">
        <f>IFERROR(__xludf.DUMMYFUNCTION("CONCATENATE(SORT(TRANSPOSE(SPLIT(REGEXREPLACE(REGEXREPLACE(AU132&amp;"""",""(?s)(.{1})"",""$1""&amp;CHAR(127)),""'"",""''""),CHAR(127))),1,true),""1"")"),"acdeg1")</f>
        <v>acdeg1</v>
      </c>
      <c r="AW132" s="16"/>
      <c r="AX132" s="10" t="str">
        <f>IFERROR(__xludf.DUMMYFUNCTION("FILTER($K132:$T132,len($K132:$T132)=5)"),"cdfba")</f>
        <v>cdfba</v>
      </c>
      <c r="AY132" s="6" t="str">
        <f>IFERROR(__xludf.DUMMYFUNCTION("""COMPUTED_VALUE"""),"badec")</f>
        <v>badec</v>
      </c>
      <c r="AZ132" s="6" t="str">
        <f>IFERROR(__xludf.DUMMYFUNCTION("""COMPUTED_VALUE"""),"daceg")</f>
        <v>daceg</v>
      </c>
      <c r="BA132" s="6" t="str">
        <f>IFERROR(__xludf.DUMMYFUNCTION("REGEXREPLACE( $AR132, CONCATENATE(""["",AX132,""]""), """")"),"e")</f>
        <v>e</v>
      </c>
      <c r="BB132" s="6" t="str">
        <f>IFERROR(__xludf.DUMMYFUNCTION("REGEXREPLACE( $AR132, CONCATENATE(""["",AY132,""]""), """")"),"")</f>
        <v/>
      </c>
      <c r="BC132" s="6" t="str">
        <f>IFERROR(__xludf.DUMMYFUNCTION("REGEXREPLACE( $AR132, CONCATENATE(""["",AZ132,""]""), """")"),"b")</f>
        <v>b</v>
      </c>
      <c r="BD132" s="11" t="str">
        <f t="shared" si="6"/>
        <v>badec</v>
      </c>
      <c r="BE132" s="12" t="str">
        <f>IFERROR(__xludf.DUMMYFUNCTION("CONCATENATE(SORT(TRANSPOSE(SPLIT(REGEXREPLACE(REGEXREPLACE(BD132&amp;"""",""(?s)(.{1})"",""$1""&amp;CHAR(127)),""'"",""''""),CHAR(127))),1,true),""1"")"),"abcde1")</f>
        <v>abcde1</v>
      </c>
      <c r="BF132" s="16"/>
      <c r="BG132" s="12" t="str">
        <f t="shared" si="7"/>
        <v>debf</v>
      </c>
      <c r="BH132" s="12" t="str">
        <f>IFERROR(__xludf.DUMMYFUNCTION("CONCATENATE(SORT(TRANSPOSE(SPLIT(REGEXREPLACE(REGEXREPLACE(BG132&amp;"""",""(?s)(.{1})"",""$1""&amp;CHAR(127)),""'"",""''""),CHAR(127))),1,true),""1"")"),"bdef1")</f>
        <v>bdef1</v>
      </c>
      <c r="BI132" s="16"/>
      <c r="BJ132" s="10" t="str">
        <f>IFERROR(__xludf.DUMMYFUNCTION("FILTER($K132:$T132,len($K132:$T132)=5)"),"cdfba")</f>
        <v>cdfba</v>
      </c>
      <c r="BK132" s="6" t="str">
        <f>IFERROR(__xludf.DUMMYFUNCTION("""COMPUTED_VALUE"""),"badec")</f>
        <v>badec</v>
      </c>
      <c r="BL132" s="6" t="str">
        <f>IFERROR(__xludf.DUMMYFUNCTION("""COMPUTED_VALUE"""),"daceg")</f>
        <v>daceg</v>
      </c>
      <c r="BM132" s="14" t="str">
        <f>IFERROR(__xludf.DUMMYFUNCTION("REGEXREPLACE( $BY132, CONCATENATE(""["",BJ132,""]""), """")"),"g")</f>
        <v>g</v>
      </c>
      <c r="BN132" s="14" t="str">
        <f>IFERROR(__xludf.DUMMYFUNCTION("REGEXREPLACE( $BY132, CONCATENATE(""["",BK132,""]""), """")"),"gf")</f>
        <v>gf</v>
      </c>
      <c r="BO132" s="14" t="str">
        <f>IFERROR(__xludf.DUMMYFUNCTION("REGEXREPLACE( $BY132, CONCATENATE(""["",BL132,""]""), """")"),"fb")</f>
        <v>fb</v>
      </c>
      <c r="BP132" s="11" t="str">
        <f t="shared" si="8"/>
        <v>cdfba</v>
      </c>
      <c r="BQ132" s="12" t="str">
        <f>IFERROR(__xludf.DUMMYFUNCTION("CONCATENATE(SORT(TRANSPOSE(SPLIT(REGEXREPLACE(REGEXREPLACE(BP132&amp;"""",""(?s)(.{1})"",""$1""&amp;CHAR(127)),""'"",""''""),CHAR(127))),1,true),""1"")"),"abcdf1")</f>
        <v>abcdf1</v>
      </c>
      <c r="BR132" s="16"/>
      <c r="BS132" s="10" t="str">
        <f>IFERROR(__xludf.DUMMYFUNCTION("FILTER(K132:T132,len(K132:T132)=6)"),"dcgfba")</f>
        <v>dcgfba</v>
      </c>
      <c r="BT132" s="6" t="str">
        <f>IFERROR(__xludf.DUMMYFUNCTION("""COMPUTED_VALUE"""),"cfegab")</f>
        <v>cfegab</v>
      </c>
      <c r="BU132" s="6" t="str">
        <f>IFERROR(__xludf.DUMMYFUNCTION("""COMPUTED_VALUE"""),"cebafd")</f>
        <v>cebafd</v>
      </c>
      <c r="BV132" s="6" t="str">
        <f>IFERROR(__xludf.DUMMYFUNCTION("REGEXREPLACE( $AR132, CONCATENATE(""["",BS132,""]""), """")"),"e")</f>
        <v>e</v>
      </c>
      <c r="BW132" s="6" t="str">
        <f>IFERROR(__xludf.DUMMYFUNCTION("REGEXREPLACE( $AR132, CONCATENATE(""["",BT132,""]""), """")"),"")</f>
        <v/>
      </c>
      <c r="BX132" s="6" t="str">
        <f>IFERROR(__xludf.DUMMYFUNCTION("REGEXREPLACE( $AR132, CONCATENATE(""["",BU132,""]""), """")"),"")</f>
        <v/>
      </c>
      <c r="BY132" s="12" t="str">
        <f t="shared" si="9"/>
        <v>dcgfba</v>
      </c>
      <c r="BZ132" s="12" t="str">
        <f>IFERROR(__xludf.DUMMYFUNCTION("CONCATENATE(SORT(TRANSPOSE(SPLIT(REGEXREPLACE(REGEXREPLACE(BY132&amp;"""",""(?s)(.{1})"",""$1""&amp;CHAR(127)),""'"",""''""),CHAR(127))),1,true),""1"")"),"abcdfg1")</f>
        <v>abcdfg1</v>
      </c>
      <c r="CA132" s="16"/>
      <c r="CB132" s="12" t="str">
        <f t="shared" si="10"/>
        <v>bae</v>
      </c>
      <c r="CC132" s="12" t="str">
        <f>IFERROR(__xludf.DUMMYFUNCTION("CONCATENATE(SORT(TRANSPOSE(SPLIT(REGEXREPLACE(REGEXREPLACE(CB132&amp;"""",""(?s)(.{1})"",""$1""&amp;CHAR(127)),""'"",""''""),CHAR(127))),1,true),""1"")"),"abe1")</f>
        <v>abe1</v>
      </c>
      <c r="CD132" s="16"/>
      <c r="CE132" s="12" t="str">
        <f t="shared" si="11"/>
        <v>faebcdg</v>
      </c>
      <c r="CF132" s="12" t="str">
        <f>IFERROR(__xludf.DUMMYFUNCTION("CONCATENATE(SORT(TRANSPOSE(SPLIT(REGEXREPLACE(REGEXREPLACE(CE132&amp;"""",""(?s)(.{1})"",""$1""&amp;CHAR(127)),""'"",""''""),CHAR(127))),1,true),""1"")"),"abcdefg1")</f>
        <v>abcdefg1</v>
      </c>
      <c r="CG132" s="16"/>
      <c r="CH132" s="10" t="str">
        <f>IFERROR(__xludf.DUMMYFUNCTION("FILTER(K132:T132,len(K132:T132)=6)"),"dcgfba")</f>
        <v>dcgfba</v>
      </c>
      <c r="CI132" s="6" t="str">
        <f>IFERROR(__xludf.DUMMYFUNCTION("""COMPUTED_VALUE"""),"cfegab")</f>
        <v>cfegab</v>
      </c>
      <c r="CJ132" s="6" t="str">
        <f>IFERROR(__xludf.DUMMYFUNCTION("""COMPUTED_VALUE"""),"cebafd")</f>
        <v>cebafd</v>
      </c>
      <c r="CK132" s="6" t="str">
        <f>IFERROR(__xludf.DUMMYFUNCTION("REGEXREPLACE( $BG132, CONCATENATE(""["",CH132,""]""), """")"),"e")</f>
        <v>e</v>
      </c>
      <c r="CL132" s="6" t="str">
        <f>IFERROR(__xludf.DUMMYFUNCTION("REGEXREPLACE( $BG132, CONCATENATE(""["",CI132,""]""), """")"),"d")</f>
        <v>d</v>
      </c>
      <c r="CM132" s="6" t="str">
        <f>IFERROR(__xludf.DUMMYFUNCTION("REGEXREPLACE( $BG132, CONCATENATE(""["",CJ132,""]""), """")"),"")</f>
        <v/>
      </c>
      <c r="CN132" s="12" t="str">
        <f t="shared" si="12"/>
        <v>cebafd</v>
      </c>
      <c r="CO132" s="12" t="str">
        <f>IFERROR(__xludf.DUMMYFUNCTION("CONCATENATE(SORT(TRANSPOSE(SPLIT(REGEXREPLACE(REGEXREPLACE(CN132&amp;"""",""(?s)(.{1})"",""$1""&amp;CHAR(127)),""'"",""''""),CHAR(127))),1,true),""1"")"),"abcdef1")</f>
        <v>abcdef1</v>
      </c>
      <c r="CP132" s="15"/>
    </row>
    <row r="133">
      <c r="A133" s="1" t="s">
        <v>153</v>
      </c>
      <c r="H133" s="6" t="str">
        <f>IFERROR(__xludf.DUMMYFUNCTION("SPLIT(A133,""|"")"),"ebgcda begdf gbe ge cdbgafe dfagcb fdegcb cfeg feabd gdbcf ")</f>
        <v>ebgcda begdf gbe ge cdbgafe dfagcb fdegcb cfeg feabd gdbcf </v>
      </c>
      <c r="I133" s="6" t="str">
        <f>IFERROR(__xludf.DUMMYFUNCTION("""COMPUTED_VALUE""")," gdabec ebdfa ge afbed")</f>
        <v> gdabec ebdfa ge afbed</v>
      </c>
      <c r="J133" s="15"/>
      <c r="K133" s="6" t="str">
        <f>IFERROR(__xludf.DUMMYFUNCTION("split(H133,"" "")"),"ebgcda")</f>
        <v>ebgcda</v>
      </c>
      <c r="L133" s="6" t="str">
        <f>IFERROR(__xludf.DUMMYFUNCTION("""COMPUTED_VALUE"""),"begdf")</f>
        <v>begdf</v>
      </c>
      <c r="M133" s="6" t="str">
        <f>IFERROR(__xludf.DUMMYFUNCTION("""COMPUTED_VALUE"""),"gbe")</f>
        <v>gbe</v>
      </c>
      <c r="N133" s="6" t="str">
        <f>IFERROR(__xludf.DUMMYFUNCTION("""COMPUTED_VALUE"""),"ge")</f>
        <v>ge</v>
      </c>
      <c r="O133" s="6" t="str">
        <f>IFERROR(__xludf.DUMMYFUNCTION("""COMPUTED_VALUE"""),"cdbgafe")</f>
        <v>cdbgafe</v>
      </c>
      <c r="P133" s="6" t="str">
        <f>IFERROR(__xludf.DUMMYFUNCTION("""COMPUTED_VALUE"""),"dfagcb")</f>
        <v>dfagcb</v>
      </c>
      <c r="Q133" s="6" t="str">
        <f>IFERROR(__xludf.DUMMYFUNCTION("""COMPUTED_VALUE"""),"fdegcb")</f>
        <v>fdegcb</v>
      </c>
      <c r="R133" s="6" t="str">
        <f>IFERROR(__xludf.DUMMYFUNCTION("""COMPUTED_VALUE"""),"cfeg")</f>
        <v>cfeg</v>
      </c>
      <c r="S133" s="6" t="str">
        <f>IFERROR(__xludf.DUMMYFUNCTION("""COMPUTED_VALUE"""),"feabd")</f>
        <v>feabd</v>
      </c>
      <c r="T133" s="6" t="str">
        <f>IFERROR(__xludf.DUMMYFUNCTION("""COMPUTED_VALUE"""),"gdbcf")</f>
        <v>gdbcf</v>
      </c>
      <c r="U133" s="15"/>
      <c r="V133" s="6" t="str">
        <f>IFERROR(__xludf.DUMMYFUNCTION("split(I133,"" "")"),"gdabec")</f>
        <v>gdabec</v>
      </c>
      <c r="W133" s="6" t="str">
        <f>IFERROR(__xludf.DUMMYFUNCTION("""COMPUTED_VALUE"""),"ebdfa")</f>
        <v>ebdfa</v>
      </c>
      <c r="X133" s="6" t="str">
        <f>IFERROR(__xludf.DUMMYFUNCTION("""COMPUTED_VALUE"""),"ge")</f>
        <v>ge</v>
      </c>
      <c r="Y133" s="6" t="str">
        <f>IFERROR(__xludf.DUMMYFUNCTION("""COMPUTED_VALUE"""),"afbed")</f>
        <v>afbed</v>
      </c>
      <c r="Z133" s="6" t="str">
        <f>IFERROR(__xludf.DUMMYFUNCTION("CONCATENATE(SORT(TRANSPOSE(SPLIT(REGEXREPLACE(REGEXREPLACE(V133&amp;"""",""(?s)(.{1})"",""$1""&amp;CHAR(127)),""'"",""''""),CHAR(127))),1,true))"),"abcdeg")</f>
        <v>abcdeg</v>
      </c>
      <c r="AA133" s="6" t="str">
        <f>IFERROR(__xludf.DUMMYFUNCTION("CONCATENATE(SORT(TRANSPOSE(SPLIT(REGEXREPLACE(REGEXREPLACE(W133&amp;"""",""(?s)(.{1})"",""$1""&amp;CHAR(127)),""'"",""''""),CHAR(127))),1,true))"),"abdef")</f>
        <v>abdef</v>
      </c>
      <c r="AB133" s="6" t="str">
        <f>IFERROR(__xludf.DUMMYFUNCTION("CONCATENATE(SORT(TRANSPOSE(SPLIT(REGEXREPLACE(REGEXREPLACE(X133&amp;"""",""(?s)(.{1})"",""$1""&amp;CHAR(127)),""'"",""''""),CHAR(127))),1,true))"),"eg")</f>
        <v>eg</v>
      </c>
      <c r="AC133" s="6" t="str">
        <f>IFERROR(__xludf.DUMMYFUNCTION("CONCATENATE(SORT(TRANSPOSE(SPLIT(REGEXREPLACE(REGEXREPLACE(Y133&amp;"""",""(?s)(.{1})"",""$1""&amp;CHAR(127)),""'"",""''""),CHAR(127))),1,true))"),"abdef")</f>
        <v>abdef</v>
      </c>
      <c r="AD133" s="6">
        <f t="shared" ref="AD133:AG133" si="143">INDEX($AO$1:$CP$1,1,MATCH(CONCATENATE(Z133,"1"),$AO133:$CP133,0)+1)</f>
        <v>0</v>
      </c>
      <c r="AE133" s="6">
        <f t="shared" si="143"/>
        <v>2</v>
      </c>
      <c r="AF133" s="6">
        <f t="shared" si="143"/>
        <v>1</v>
      </c>
      <c r="AG133" s="6">
        <f t="shared" si="143"/>
        <v>2</v>
      </c>
      <c r="AH133" s="6">
        <f t="shared" si="3"/>
        <v>212</v>
      </c>
      <c r="AI133" s="16"/>
      <c r="AJ133" s="9" t="str">
        <f>IFERROR(__xludf.DUMMYFUNCTION("REGEXREPLACE(AR133,CONCATENATE(""["",BY133,""]""),"""")"),"e")</f>
        <v>e</v>
      </c>
      <c r="AK133" s="10" t="str">
        <f>IFERROR(__xludf.DUMMYFUNCTION("FILTER($K133:$T133,len($K133:$T133)=6,NOT($K133:$T133=BY133))"),"ebgcda")</f>
        <v>ebgcda</v>
      </c>
      <c r="AL133" s="6" t="str">
        <f>IFERROR(__xludf.DUMMYFUNCTION("""COMPUTED_VALUE"""),"fdegcb")</f>
        <v>fdegcb</v>
      </c>
      <c r="AM133" s="6" t="str">
        <f>IFERROR(__xludf.DUMMYFUNCTION("REGEXREPLACE( $BG133, CONCATENATE(""["",AK133,""]""), """")"),"f")</f>
        <v>f</v>
      </c>
      <c r="AN133" s="6" t="str">
        <f>IFERROR(__xludf.DUMMYFUNCTION("REGEXREPLACE( $BG133, CONCATENATE(""["",AL133,""]""), """")"),"")</f>
        <v/>
      </c>
      <c r="AO133" s="11" t="str">
        <f t="shared" si="4"/>
        <v>ebgcda</v>
      </c>
      <c r="AP133" s="12" t="str">
        <f>IFERROR(__xludf.DUMMYFUNCTION("CONCATENATE(SORT(TRANSPOSE(SPLIT(REGEXREPLACE(REGEXREPLACE(AO133&amp;"""",""(?s)(.{1})"",""$1""&amp;CHAR(127)),""'"",""''""),CHAR(127))),1,true),""1"")"),"abcdeg1")</f>
        <v>abcdeg1</v>
      </c>
      <c r="AQ133" s="16"/>
      <c r="AR133" s="12" t="str">
        <f t="shared" si="5"/>
        <v>ge</v>
      </c>
      <c r="AS133" s="12" t="str">
        <f>IFERROR(__xludf.DUMMYFUNCTION("CONCATENATE(SORT(TRANSPOSE(SPLIT(REGEXREPLACE(REGEXREPLACE(AR133&amp;"""",""(?s)(.{1})"",""$1""&amp;CHAR(127)),""'"",""''""),CHAR(127))),1,true),""1"")"),"eg1")</f>
        <v>eg1</v>
      </c>
      <c r="AT133" s="16"/>
      <c r="AU133" s="13" t="str">
        <f>IFERROR(__xludf.DUMMYFUNCTION("FILTER($K133:$T133,len($K133:$T133)=5,NOT($K133:$T133=BD133),NOT($K133:$T133=BP133))"),"feabd")</f>
        <v>feabd</v>
      </c>
      <c r="AV133" s="12" t="str">
        <f>IFERROR(__xludf.DUMMYFUNCTION("CONCATENATE(SORT(TRANSPOSE(SPLIT(REGEXREPLACE(REGEXREPLACE(AU133&amp;"""",""(?s)(.{1})"",""$1""&amp;CHAR(127)),""'"",""''""),CHAR(127))),1,true),""1"")"),"abdef1")</f>
        <v>abdef1</v>
      </c>
      <c r="AW133" s="16"/>
      <c r="AX133" s="10" t="str">
        <f>IFERROR(__xludf.DUMMYFUNCTION("FILTER($K133:$T133,len($K133:$T133)=5)"),"begdf")</f>
        <v>begdf</v>
      </c>
      <c r="AY133" s="6" t="str">
        <f>IFERROR(__xludf.DUMMYFUNCTION("""COMPUTED_VALUE"""),"feabd")</f>
        <v>feabd</v>
      </c>
      <c r="AZ133" s="6" t="str">
        <f>IFERROR(__xludf.DUMMYFUNCTION("""COMPUTED_VALUE"""),"gdbcf")</f>
        <v>gdbcf</v>
      </c>
      <c r="BA133" s="6" t="str">
        <f>IFERROR(__xludf.DUMMYFUNCTION("REGEXREPLACE( $AR133, CONCATENATE(""["",AX133,""]""), """")"),"")</f>
        <v/>
      </c>
      <c r="BB133" s="6" t="str">
        <f>IFERROR(__xludf.DUMMYFUNCTION("REGEXREPLACE( $AR133, CONCATENATE(""["",AY133,""]""), """")"),"g")</f>
        <v>g</v>
      </c>
      <c r="BC133" s="6" t="str">
        <f>IFERROR(__xludf.DUMMYFUNCTION("REGEXREPLACE( $AR133, CONCATENATE(""["",AZ133,""]""), """")"),"e")</f>
        <v>e</v>
      </c>
      <c r="BD133" s="11" t="str">
        <f t="shared" si="6"/>
        <v>begdf</v>
      </c>
      <c r="BE133" s="12" t="str">
        <f>IFERROR(__xludf.DUMMYFUNCTION("CONCATENATE(SORT(TRANSPOSE(SPLIT(REGEXREPLACE(REGEXREPLACE(BD133&amp;"""",""(?s)(.{1})"",""$1""&amp;CHAR(127)),""'"",""''""),CHAR(127))),1,true),""1"")"),"bdefg1")</f>
        <v>bdefg1</v>
      </c>
      <c r="BF133" s="16"/>
      <c r="BG133" s="12" t="str">
        <f t="shared" si="7"/>
        <v>cfeg</v>
      </c>
      <c r="BH133" s="12" t="str">
        <f>IFERROR(__xludf.DUMMYFUNCTION("CONCATENATE(SORT(TRANSPOSE(SPLIT(REGEXREPLACE(REGEXREPLACE(BG133&amp;"""",""(?s)(.{1})"",""$1""&amp;CHAR(127)),""'"",""''""),CHAR(127))),1,true),""1"")"),"cefg1")</f>
        <v>cefg1</v>
      </c>
      <c r="BI133" s="16"/>
      <c r="BJ133" s="10" t="str">
        <f>IFERROR(__xludf.DUMMYFUNCTION("FILTER($K133:$T133,len($K133:$T133)=5)"),"begdf")</f>
        <v>begdf</v>
      </c>
      <c r="BK133" s="6" t="str">
        <f>IFERROR(__xludf.DUMMYFUNCTION("""COMPUTED_VALUE"""),"feabd")</f>
        <v>feabd</v>
      </c>
      <c r="BL133" s="6" t="str">
        <f>IFERROR(__xludf.DUMMYFUNCTION("""COMPUTED_VALUE"""),"gdbcf")</f>
        <v>gdbcf</v>
      </c>
      <c r="BM133" s="14" t="str">
        <f>IFERROR(__xludf.DUMMYFUNCTION("REGEXREPLACE( $BY133, CONCATENATE(""["",BJ133,""]""), """")"),"ac")</f>
        <v>ac</v>
      </c>
      <c r="BN133" s="14" t="str">
        <f>IFERROR(__xludf.DUMMYFUNCTION("REGEXREPLACE( $BY133, CONCATENATE(""["",BK133,""]""), """")"),"gc")</f>
        <v>gc</v>
      </c>
      <c r="BO133" s="14" t="str">
        <f>IFERROR(__xludf.DUMMYFUNCTION("REGEXREPLACE( $BY133, CONCATENATE(""["",BL133,""]""), """")"),"a")</f>
        <v>a</v>
      </c>
      <c r="BP133" s="11" t="str">
        <f t="shared" si="8"/>
        <v>gdbcf</v>
      </c>
      <c r="BQ133" s="12" t="str">
        <f>IFERROR(__xludf.DUMMYFUNCTION("CONCATENATE(SORT(TRANSPOSE(SPLIT(REGEXREPLACE(REGEXREPLACE(BP133&amp;"""",""(?s)(.{1})"",""$1""&amp;CHAR(127)),""'"",""''""),CHAR(127))),1,true),""1"")"),"bcdfg1")</f>
        <v>bcdfg1</v>
      </c>
      <c r="BR133" s="16"/>
      <c r="BS133" s="10" t="str">
        <f>IFERROR(__xludf.DUMMYFUNCTION("FILTER(K133:T133,len(K133:T133)=6)"),"ebgcda")</f>
        <v>ebgcda</v>
      </c>
      <c r="BT133" s="6" t="str">
        <f>IFERROR(__xludf.DUMMYFUNCTION("""COMPUTED_VALUE"""),"dfagcb")</f>
        <v>dfagcb</v>
      </c>
      <c r="BU133" s="6" t="str">
        <f>IFERROR(__xludf.DUMMYFUNCTION("""COMPUTED_VALUE"""),"fdegcb")</f>
        <v>fdegcb</v>
      </c>
      <c r="BV133" s="6" t="str">
        <f>IFERROR(__xludf.DUMMYFUNCTION("REGEXREPLACE( $AR133, CONCATENATE(""["",BS133,""]""), """")"),"")</f>
        <v/>
      </c>
      <c r="BW133" s="6" t="str">
        <f>IFERROR(__xludf.DUMMYFUNCTION("REGEXREPLACE( $AR133, CONCATENATE(""["",BT133,""]""), """")"),"e")</f>
        <v>e</v>
      </c>
      <c r="BX133" s="6" t="str">
        <f>IFERROR(__xludf.DUMMYFUNCTION("REGEXREPLACE( $AR133, CONCATENATE(""["",BU133,""]""), """")"),"")</f>
        <v/>
      </c>
      <c r="BY133" s="12" t="str">
        <f t="shared" si="9"/>
        <v>dfagcb</v>
      </c>
      <c r="BZ133" s="12" t="str">
        <f>IFERROR(__xludf.DUMMYFUNCTION("CONCATENATE(SORT(TRANSPOSE(SPLIT(REGEXREPLACE(REGEXREPLACE(BY133&amp;"""",""(?s)(.{1})"",""$1""&amp;CHAR(127)),""'"",""''""),CHAR(127))),1,true),""1"")"),"abcdfg1")</f>
        <v>abcdfg1</v>
      </c>
      <c r="CA133" s="16"/>
      <c r="CB133" s="12" t="str">
        <f t="shared" si="10"/>
        <v>gbe</v>
      </c>
      <c r="CC133" s="12" t="str">
        <f>IFERROR(__xludf.DUMMYFUNCTION("CONCATENATE(SORT(TRANSPOSE(SPLIT(REGEXREPLACE(REGEXREPLACE(CB133&amp;"""",""(?s)(.{1})"",""$1""&amp;CHAR(127)),""'"",""''""),CHAR(127))),1,true),""1"")"),"beg1")</f>
        <v>beg1</v>
      </c>
      <c r="CD133" s="16"/>
      <c r="CE133" s="12" t="str">
        <f t="shared" si="11"/>
        <v>cdbgafe</v>
      </c>
      <c r="CF133" s="12" t="str">
        <f>IFERROR(__xludf.DUMMYFUNCTION("CONCATENATE(SORT(TRANSPOSE(SPLIT(REGEXREPLACE(REGEXREPLACE(CE133&amp;"""",""(?s)(.{1})"",""$1""&amp;CHAR(127)),""'"",""''""),CHAR(127))),1,true),""1"")"),"abcdefg1")</f>
        <v>abcdefg1</v>
      </c>
      <c r="CG133" s="16"/>
      <c r="CH133" s="10" t="str">
        <f>IFERROR(__xludf.DUMMYFUNCTION("FILTER(K133:T133,len(K133:T133)=6)"),"ebgcda")</f>
        <v>ebgcda</v>
      </c>
      <c r="CI133" s="6" t="str">
        <f>IFERROR(__xludf.DUMMYFUNCTION("""COMPUTED_VALUE"""),"dfagcb")</f>
        <v>dfagcb</v>
      </c>
      <c r="CJ133" s="6" t="str">
        <f>IFERROR(__xludf.DUMMYFUNCTION("""COMPUTED_VALUE"""),"fdegcb")</f>
        <v>fdegcb</v>
      </c>
      <c r="CK133" s="6" t="str">
        <f>IFERROR(__xludf.DUMMYFUNCTION("REGEXREPLACE( $BG133, CONCATENATE(""["",CH133,""]""), """")"),"f")</f>
        <v>f</v>
      </c>
      <c r="CL133" s="6" t="str">
        <f>IFERROR(__xludf.DUMMYFUNCTION("REGEXREPLACE( $BG133, CONCATENATE(""["",CI133,""]""), """")"),"e")</f>
        <v>e</v>
      </c>
      <c r="CM133" s="6" t="str">
        <f>IFERROR(__xludf.DUMMYFUNCTION("REGEXREPLACE( $BG133, CONCATENATE(""["",CJ133,""]""), """")"),"")</f>
        <v/>
      </c>
      <c r="CN133" s="12" t="str">
        <f t="shared" si="12"/>
        <v>fdegcb</v>
      </c>
      <c r="CO133" s="12" t="str">
        <f>IFERROR(__xludf.DUMMYFUNCTION("CONCATENATE(SORT(TRANSPOSE(SPLIT(REGEXREPLACE(REGEXREPLACE(CN133&amp;"""",""(?s)(.{1})"",""$1""&amp;CHAR(127)),""'"",""''""),CHAR(127))),1,true),""1"")"),"bcdefg1")</f>
        <v>bcdefg1</v>
      </c>
      <c r="CP133" s="15"/>
    </row>
    <row r="134">
      <c r="A134" s="1" t="s">
        <v>154</v>
      </c>
      <c r="H134" s="6" t="str">
        <f>IFERROR(__xludf.DUMMYFUNCTION("SPLIT(A134,""|"")"),"dbcg cadfebg faecg dg gfcad fgadcb fbdeag dag fdcabe bafcd ")</f>
        <v>dbcg cadfebg faecg dg gfcad fgadcb fbdeag dag fdcabe bafcd </v>
      </c>
      <c r="I134" s="6" t="str">
        <f>IFERROR(__xludf.DUMMYFUNCTION("""COMPUTED_VALUE""")," fgdac gefca agd dg")</f>
        <v> fgdac gefca agd dg</v>
      </c>
      <c r="J134" s="15"/>
      <c r="K134" s="6" t="str">
        <f>IFERROR(__xludf.DUMMYFUNCTION("split(H134,"" "")"),"dbcg")</f>
        <v>dbcg</v>
      </c>
      <c r="L134" s="6" t="str">
        <f>IFERROR(__xludf.DUMMYFUNCTION("""COMPUTED_VALUE"""),"cadfebg")</f>
        <v>cadfebg</v>
      </c>
      <c r="M134" s="6" t="str">
        <f>IFERROR(__xludf.DUMMYFUNCTION("""COMPUTED_VALUE"""),"faecg")</f>
        <v>faecg</v>
      </c>
      <c r="N134" s="6" t="str">
        <f>IFERROR(__xludf.DUMMYFUNCTION("""COMPUTED_VALUE"""),"dg")</f>
        <v>dg</v>
      </c>
      <c r="O134" s="6" t="str">
        <f>IFERROR(__xludf.DUMMYFUNCTION("""COMPUTED_VALUE"""),"gfcad")</f>
        <v>gfcad</v>
      </c>
      <c r="P134" s="6" t="str">
        <f>IFERROR(__xludf.DUMMYFUNCTION("""COMPUTED_VALUE"""),"fgadcb")</f>
        <v>fgadcb</v>
      </c>
      <c r="Q134" s="6" t="str">
        <f>IFERROR(__xludf.DUMMYFUNCTION("""COMPUTED_VALUE"""),"fbdeag")</f>
        <v>fbdeag</v>
      </c>
      <c r="R134" s="6" t="str">
        <f>IFERROR(__xludf.DUMMYFUNCTION("""COMPUTED_VALUE"""),"dag")</f>
        <v>dag</v>
      </c>
      <c r="S134" s="6" t="str">
        <f>IFERROR(__xludf.DUMMYFUNCTION("""COMPUTED_VALUE"""),"fdcabe")</f>
        <v>fdcabe</v>
      </c>
      <c r="T134" s="6" t="str">
        <f>IFERROR(__xludf.DUMMYFUNCTION("""COMPUTED_VALUE"""),"bafcd")</f>
        <v>bafcd</v>
      </c>
      <c r="U134" s="15"/>
      <c r="V134" s="6" t="str">
        <f>IFERROR(__xludf.DUMMYFUNCTION("split(I134,"" "")"),"fgdac")</f>
        <v>fgdac</v>
      </c>
      <c r="W134" s="6" t="str">
        <f>IFERROR(__xludf.DUMMYFUNCTION("""COMPUTED_VALUE"""),"gefca")</f>
        <v>gefca</v>
      </c>
      <c r="X134" s="6" t="str">
        <f>IFERROR(__xludf.DUMMYFUNCTION("""COMPUTED_VALUE"""),"agd")</f>
        <v>agd</v>
      </c>
      <c r="Y134" s="6" t="str">
        <f>IFERROR(__xludf.DUMMYFUNCTION("""COMPUTED_VALUE"""),"dg")</f>
        <v>dg</v>
      </c>
      <c r="Z134" s="6" t="str">
        <f>IFERROR(__xludf.DUMMYFUNCTION("CONCATENATE(SORT(TRANSPOSE(SPLIT(REGEXREPLACE(REGEXREPLACE(V134&amp;"""",""(?s)(.{1})"",""$1""&amp;CHAR(127)),""'"",""''""),CHAR(127))),1,true))"),"acdfg")</f>
        <v>acdfg</v>
      </c>
      <c r="AA134" s="6" t="str">
        <f>IFERROR(__xludf.DUMMYFUNCTION("CONCATENATE(SORT(TRANSPOSE(SPLIT(REGEXREPLACE(REGEXREPLACE(W134&amp;"""",""(?s)(.{1})"",""$1""&amp;CHAR(127)),""'"",""''""),CHAR(127))),1,true))"),"acefg")</f>
        <v>acefg</v>
      </c>
      <c r="AB134" s="6" t="str">
        <f>IFERROR(__xludf.DUMMYFUNCTION("CONCATENATE(SORT(TRANSPOSE(SPLIT(REGEXREPLACE(REGEXREPLACE(X134&amp;"""",""(?s)(.{1})"",""$1""&amp;CHAR(127)),""'"",""''""),CHAR(127))),1,true))"),"adg")</f>
        <v>adg</v>
      </c>
      <c r="AC134" s="6" t="str">
        <f>IFERROR(__xludf.DUMMYFUNCTION("CONCATENATE(SORT(TRANSPOSE(SPLIT(REGEXREPLACE(REGEXREPLACE(Y134&amp;"""",""(?s)(.{1})"",""$1""&amp;CHAR(127)),""'"",""''""),CHAR(127))),1,true))"),"dg")</f>
        <v>dg</v>
      </c>
      <c r="AD134" s="6">
        <f t="shared" ref="AD134:AG134" si="144">INDEX($AO$1:$CP$1,1,MATCH(CONCATENATE(Z134,"1"),$AO134:$CP134,0)+1)</f>
        <v>3</v>
      </c>
      <c r="AE134" s="6">
        <f t="shared" si="144"/>
        <v>2</v>
      </c>
      <c r="AF134" s="6">
        <f t="shared" si="144"/>
        <v>7</v>
      </c>
      <c r="AG134" s="6">
        <f t="shared" si="144"/>
        <v>1</v>
      </c>
      <c r="AH134" s="6">
        <f t="shared" si="3"/>
        <v>3271</v>
      </c>
      <c r="AI134" s="16"/>
      <c r="AJ134" s="9" t="str">
        <f>IFERROR(__xludf.DUMMYFUNCTION("REGEXREPLACE(AR134,CONCATENATE(""["",BY134,""]""),"""")"),"g")</f>
        <v>g</v>
      </c>
      <c r="AK134" s="10" t="str">
        <f>IFERROR(__xludf.DUMMYFUNCTION("FILTER($K134:$T134,len($K134:$T134)=6,NOT($K134:$T134=BY134))"),"fgadcb")</f>
        <v>fgadcb</v>
      </c>
      <c r="AL134" s="6" t="str">
        <f>IFERROR(__xludf.DUMMYFUNCTION("""COMPUTED_VALUE"""),"fbdeag")</f>
        <v>fbdeag</v>
      </c>
      <c r="AM134" s="6" t="str">
        <f>IFERROR(__xludf.DUMMYFUNCTION("REGEXREPLACE( $BG134, CONCATENATE(""["",AK134,""]""), """")"),"")</f>
        <v/>
      </c>
      <c r="AN134" s="6" t="str">
        <f>IFERROR(__xludf.DUMMYFUNCTION("REGEXREPLACE( $BG134, CONCATENATE(""["",AL134,""]""), """")"),"c")</f>
        <v>c</v>
      </c>
      <c r="AO134" s="11" t="str">
        <f t="shared" si="4"/>
        <v>fbdeag</v>
      </c>
      <c r="AP134" s="12" t="str">
        <f>IFERROR(__xludf.DUMMYFUNCTION("CONCATENATE(SORT(TRANSPOSE(SPLIT(REGEXREPLACE(REGEXREPLACE(AO134&amp;"""",""(?s)(.{1})"",""$1""&amp;CHAR(127)),""'"",""''""),CHAR(127))),1,true),""1"")"),"abdefg1")</f>
        <v>abdefg1</v>
      </c>
      <c r="AQ134" s="16"/>
      <c r="AR134" s="12" t="str">
        <f t="shared" si="5"/>
        <v>dg</v>
      </c>
      <c r="AS134" s="12" t="str">
        <f>IFERROR(__xludf.DUMMYFUNCTION("CONCATENATE(SORT(TRANSPOSE(SPLIT(REGEXREPLACE(REGEXREPLACE(AR134&amp;"""",""(?s)(.{1})"",""$1""&amp;CHAR(127)),""'"",""''""),CHAR(127))),1,true),""1"")"),"dg1")</f>
        <v>dg1</v>
      </c>
      <c r="AT134" s="16"/>
      <c r="AU134" s="13" t="str">
        <f>IFERROR(__xludf.DUMMYFUNCTION("FILTER($K134:$T134,len($K134:$T134)=5,NOT($K134:$T134=BD134),NOT($K134:$T134=BP134))"),"faecg")</f>
        <v>faecg</v>
      </c>
      <c r="AV134" s="12" t="str">
        <f>IFERROR(__xludf.DUMMYFUNCTION("CONCATENATE(SORT(TRANSPOSE(SPLIT(REGEXREPLACE(REGEXREPLACE(AU134&amp;"""",""(?s)(.{1})"",""$1""&amp;CHAR(127)),""'"",""''""),CHAR(127))),1,true),""1"")"),"acefg1")</f>
        <v>acefg1</v>
      </c>
      <c r="AW134" s="16"/>
      <c r="AX134" s="10" t="str">
        <f>IFERROR(__xludf.DUMMYFUNCTION("FILTER($K134:$T134,len($K134:$T134)=5)"),"faecg")</f>
        <v>faecg</v>
      </c>
      <c r="AY134" s="6" t="str">
        <f>IFERROR(__xludf.DUMMYFUNCTION("""COMPUTED_VALUE"""),"gfcad")</f>
        <v>gfcad</v>
      </c>
      <c r="AZ134" s="6" t="str">
        <f>IFERROR(__xludf.DUMMYFUNCTION("""COMPUTED_VALUE"""),"bafcd")</f>
        <v>bafcd</v>
      </c>
      <c r="BA134" s="6" t="str">
        <f>IFERROR(__xludf.DUMMYFUNCTION("REGEXREPLACE( $AR134, CONCATENATE(""["",AX134,""]""), """")"),"d")</f>
        <v>d</v>
      </c>
      <c r="BB134" s="6" t="str">
        <f>IFERROR(__xludf.DUMMYFUNCTION("REGEXREPLACE( $AR134, CONCATENATE(""["",AY134,""]""), """")"),"")</f>
        <v/>
      </c>
      <c r="BC134" s="6" t="str">
        <f>IFERROR(__xludf.DUMMYFUNCTION("REGEXREPLACE( $AR134, CONCATENATE(""["",AZ134,""]""), """")"),"g")</f>
        <v>g</v>
      </c>
      <c r="BD134" s="11" t="str">
        <f t="shared" si="6"/>
        <v>gfcad</v>
      </c>
      <c r="BE134" s="12" t="str">
        <f>IFERROR(__xludf.DUMMYFUNCTION("CONCATENATE(SORT(TRANSPOSE(SPLIT(REGEXREPLACE(REGEXREPLACE(BD134&amp;"""",""(?s)(.{1})"",""$1""&amp;CHAR(127)),""'"",""''""),CHAR(127))),1,true),""1"")"),"acdfg1")</f>
        <v>acdfg1</v>
      </c>
      <c r="BF134" s="16"/>
      <c r="BG134" s="12" t="str">
        <f t="shared" si="7"/>
        <v>dbcg</v>
      </c>
      <c r="BH134" s="12" t="str">
        <f>IFERROR(__xludf.DUMMYFUNCTION("CONCATENATE(SORT(TRANSPOSE(SPLIT(REGEXREPLACE(REGEXREPLACE(BG134&amp;"""",""(?s)(.{1})"",""$1""&amp;CHAR(127)),""'"",""''""),CHAR(127))),1,true),""1"")"),"bcdg1")</f>
        <v>bcdg1</v>
      </c>
      <c r="BI134" s="16"/>
      <c r="BJ134" s="10" t="str">
        <f>IFERROR(__xludf.DUMMYFUNCTION("FILTER($K134:$T134,len($K134:$T134)=5)"),"faecg")</f>
        <v>faecg</v>
      </c>
      <c r="BK134" s="6" t="str">
        <f>IFERROR(__xludf.DUMMYFUNCTION("""COMPUTED_VALUE"""),"gfcad")</f>
        <v>gfcad</v>
      </c>
      <c r="BL134" s="6" t="str">
        <f>IFERROR(__xludf.DUMMYFUNCTION("""COMPUTED_VALUE"""),"bafcd")</f>
        <v>bafcd</v>
      </c>
      <c r="BM134" s="14" t="str">
        <f>IFERROR(__xludf.DUMMYFUNCTION("REGEXREPLACE( $BY134, CONCATENATE(""["",BJ134,""]""), """")"),"db")</f>
        <v>db</v>
      </c>
      <c r="BN134" s="14" t="str">
        <f>IFERROR(__xludf.DUMMYFUNCTION("REGEXREPLACE( $BY134, CONCATENATE(""["",BK134,""]""), """")"),"be")</f>
        <v>be</v>
      </c>
      <c r="BO134" s="14" t="str">
        <f>IFERROR(__xludf.DUMMYFUNCTION("REGEXREPLACE( $BY134, CONCATENATE(""["",BL134,""]""), """")"),"e")</f>
        <v>e</v>
      </c>
      <c r="BP134" s="11" t="str">
        <f t="shared" si="8"/>
        <v>bafcd</v>
      </c>
      <c r="BQ134" s="12" t="str">
        <f>IFERROR(__xludf.DUMMYFUNCTION("CONCATENATE(SORT(TRANSPOSE(SPLIT(REGEXREPLACE(REGEXREPLACE(BP134&amp;"""",""(?s)(.{1})"",""$1""&amp;CHAR(127)),""'"",""''""),CHAR(127))),1,true),""1"")"),"abcdf1")</f>
        <v>abcdf1</v>
      </c>
      <c r="BR134" s="16"/>
      <c r="BS134" s="10" t="str">
        <f>IFERROR(__xludf.DUMMYFUNCTION("FILTER(K134:T134,len(K134:T134)=6)"),"fgadcb")</f>
        <v>fgadcb</v>
      </c>
      <c r="BT134" s="6" t="str">
        <f>IFERROR(__xludf.DUMMYFUNCTION("""COMPUTED_VALUE"""),"fbdeag")</f>
        <v>fbdeag</v>
      </c>
      <c r="BU134" s="6" t="str">
        <f>IFERROR(__xludf.DUMMYFUNCTION("""COMPUTED_VALUE"""),"fdcabe")</f>
        <v>fdcabe</v>
      </c>
      <c r="BV134" s="6" t="str">
        <f>IFERROR(__xludf.DUMMYFUNCTION("REGEXREPLACE( $AR134, CONCATENATE(""["",BS134,""]""), """")"),"")</f>
        <v/>
      </c>
      <c r="BW134" s="6" t="str">
        <f>IFERROR(__xludf.DUMMYFUNCTION("REGEXREPLACE( $AR134, CONCATENATE(""["",BT134,""]""), """")"),"")</f>
        <v/>
      </c>
      <c r="BX134" s="6" t="str">
        <f>IFERROR(__xludf.DUMMYFUNCTION("REGEXREPLACE( $AR134, CONCATENATE(""["",BU134,""]""), """")"),"g")</f>
        <v>g</v>
      </c>
      <c r="BY134" s="12" t="str">
        <f t="shared" si="9"/>
        <v>fdcabe</v>
      </c>
      <c r="BZ134" s="12" t="str">
        <f>IFERROR(__xludf.DUMMYFUNCTION("CONCATENATE(SORT(TRANSPOSE(SPLIT(REGEXREPLACE(REGEXREPLACE(BY134&amp;"""",""(?s)(.{1})"",""$1""&amp;CHAR(127)),""'"",""''""),CHAR(127))),1,true),""1"")"),"abcdef1")</f>
        <v>abcdef1</v>
      </c>
      <c r="CA134" s="16"/>
      <c r="CB134" s="12" t="str">
        <f t="shared" si="10"/>
        <v>dag</v>
      </c>
      <c r="CC134" s="12" t="str">
        <f>IFERROR(__xludf.DUMMYFUNCTION("CONCATENATE(SORT(TRANSPOSE(SPLIT(REGEXREPLACE(REGEXREPLACE(CB134&amp;"""",""(?s)(.{1})"",""$1""&amp;CHAR(127)),""'"",""''""),CHAR(127))),1,true),""1"")"),"adg1")</f>
        <v>adg1</v>
      </c>
      <c r="CD134" s="16"/>
      <c r="CE134" s="12" t="str">
        <f t="shared" si="11"/>
        <v>cadfebg</v>
      </c>
      <c r="CF134" s="12" t="str">
        <f>IFERROR(__xludf.DUMMYFUNCTION("CONCATENATE(SORT(TRANSPOSE(SPLIT(REGEXREPLACE(REGEXREPLACE(CE134&amp;"""",""(?s)(.{1})"",""$1""&amp;CHAR(127)),""'"",""''""),CHAR(127))),1,true),""1"")"),"abcdefg1")</f>
        <v>abcdefg1</v>
      </c>
      <c r="CG134" s="16"/>
      <c r="CH134" s="10" t="str">
        <f>IFERROR(__xludf.DUMMYFUNCTION("FILTER(K134:T134,len(K134:T134)=6)"),"fgadcb")</f>
        <v>fgadcb</v>
      </c>
      <c r="CI134" s="6" t="str">
        <f>IFERROR(__xludf.DUMMYFUNCTION("""COMPUTED_VALUE"""),"fbdeag")</f>
        <v>fbdeag</v>
      </c>
      <c r="CJ134" s="6" t="str">
        <f>IFERROR(__xludf.DUMMYFUNCTION("""COMPUTED_VALUE"""),"fdcabe")</f>
        <v>fdcabe</v>
      </c>
      <c r="CK134" s="6" t="str">
        <f>IFERROR(__xludf.DUMMYFUNCTION("REGEXREPLACE( $BG134, CONCATENATE(""["",CH134,""]""), """")"),"")</f>
        <v/>
      </c>
      <c r="CL134" s="6" t="str">
        <f>IFERROR(__xludf.DUMMYFUNCTION("REGEXREPLACE( $BG134, CONCATENATE(""["",CI134,""]""), """")"),"c")</f>
        <v>c</v>
      </c>
      <c r="CM134" s="6" t="str">
        <f>IFERROR(__xludf.DUMMYFUNCTION("REGEXREPLACE( $BG134, CONCATENATE(""["",CJ134,""]""), """")"),"g")</f>
        <v>g</v>
      </c>
      <c r="CN134" s="12" t="str">
        <f t="shared" si="12"/>
        <v>fgadcb</v>
      </c>
      <c r="CO134" s="12" t="str">
        <f>IFERROR(__xludf.DUMMYFUNCTION("CONCATENATE(SORT(TRANSPOSE(SPLIT(REGEXREPLACE(REGEXREPLACE(CN134&amp;"""",""(?s)(.{1})"",""$1""&amp;CHAR(127)),""'"",""''""),CHAR(127))),1,true),""1"")"),"abcdfg1")</f>
        <v>abcdfg1</v>
      </c>
      <c r="CP134" s="15"/>
    </row>
    <row r="135">
      <c r="A135" s="1" t="s">
        <v>155</v>
      </c>
      <c r="H135" s="6" t="str">
        <f>IFERROR(__xludf.DUMMYFUNCTION("SPLIT(A135,""|"")"),"dafcb agfeb ce bdgfac ebc acdfeb abfce cfde fedacbg begdca ")</f>
        <v>dafcb agfeb ce bdgfac ebc acdfeb abfce cfde fedacbg begdca </v>
      </c>
      <c r="I135" s="6" t="str">
        <f>IFERROR(__xludf.DUMMYFUNCTION("""COMPUTED_VALUE""")," gaebf debcfa bcadfe bec")</f>
        <v> gaebf debcfa bcadfe bec</v>
      </c>
      <c r="J135" s="15"/>
      <c r="K135" s="6" t="str">
        <f>IFERROR(__xludf.DUMMYFUNCTION("split(H135,"" "")"),"dafcb")</f>
        <v>dafcb</v>
      </c>
      <c r="L135" s="6" t="str">
        <f>IFERROR(__xludf.DUMMYFUNCTION("""COMPUTED_VALUE"""),"agfeb")</f>
        <v>agfeb</v>
      </c>
      <c r="M135" s="6" t="str">
        <f>IFERROR(__xludf.DUMMYFUNCTION("""COMPUTED_VALUE"""),"ce")</f>
        <v>ce</v>
      </c>
      <c r="N135" s="6" t="str">
        <f>IFERROR(__xludf.DUMMYFUNCTION("""COMPUTED_VALUE"""),"bdgfac")</f>
        <v>bdgfac</v>
      </c>
      <c r="O135" s="6" t="str">
        <f>IFERROR(__xludf.DUMMYFUNCTION("""COMPUTED_VALUE"""),"ebc")</f>
        <v>ebc</v>
      </c>
      <c r="P135" s="6" t="str">
        <f>IFERROR(__xludf.DUMMYFUNCTION("""COMPUTED_VALUE"""),"acdfeb")</f>
        <v>acdfeb</v>
      </c>
      <c r="Q135" s="6" t="str">
        <f>IFERROR(__xludf.DUMMYFUNCTION("""COMPUTED_VALUE"""),"abfce")</f>
        <v>abfce</v>
      </c>
      <c r="R135" s="6" t="str">
        <f>IFERROR(__xludf.DUMMYFUNCTION("""COMPUTED_VALUE"""),"cfde")</f>
        <v>cfde</v>
      </c>
      <c r="S135" s="6" t="str">
        <f>IFERROR(__xludf.DUMMYFUNCTION("""COMPUTED_VALUE"""),"fedacbg")</f>
        <v>fedacbg</v>
      </c>
      <c r="T135" s="6" t="str">
        <f>IFERROR(__xludf.DUMMYFUNCTION("""COMPUTED_VALUE"""),"begdca")</f>
        <v>begdca</v>
      </c>
      <c r="U135" s="15"/>
      <c r="V135" s="6" t="str">
        <f>IFERROR(__xludf.DUMMYFUNCTION("split(I135,"" "")"),"gaebf")</f>
        <v>gaebf</v>
      </c>
      <c r="W135" s="6" t="str">
        <f>IFERROR(__xludf.DUMMYFUNCTION("""COMPUTED_VALUE"""),"debcfa")</f>
        <v>debcfa</v>
      </c>
      <c r="X135" s="6" t="str">
        <f>IFERROR(__xludf.DUMMYFUNCTION("""COMPUTED_VALUE"""),"bcadfe")</f>
        <v>bcadfe</v>
      </c>
      <c r="Y135" s="6" t="str">
        <f>IFERROR(__xludf.DUMMYFUNCTION("""COMPUTED_VALUE"""),"bec")</f>
        <v>bec</v>
      </c>
      <c r="Z135" s="6" t="str">
        <f>IFERROR(__xludf.DUMMYFUNCTION("CONCATENATE(SORT(TRANSPOSE(SPLIT(REGEXREPLACE(REGEXREPLACE(V135&amp;"""",""(?s)(.{1})"",""$1""&amp;CHAR(127)),""'"",""''""),CHAR(127))),1,true))"),"abefg")</f>
        <v>abefg</v>
      </c>
      <c r="AA135" s="6" t="str">
        <f>IFERROR(__xludf.DUMMYFUNCTION("CONCATENATE(SORT(TRANSPOSE(SPLIT(REGEXREPLACE(REGEXREPLACE(W135&amp;"""",""(?s)(.{1})"",""$1""&amp;CHAR(127)),""'"",""''""),CHAR(127))),1,true))"),"abcdef")</f>
        <v>abcdef</v>
      </c>
      <c r="AB135" s="6" t="str">
        <f>IFERROR(__xludf.DUMMYFUNCTION("CONCATENATE(SORT(TRANSPOSE(SPLIT(REGEXREPLACE(REGEXREPLACE(X135&amp;"""",""(?s)(.{1})"",""$1""&amp;CHAR(127)),""'"",""''""),CHAR(127))),1,true))"),"abcdef")</f>
        <v>abcdef</v>
      </c>
      <c r="AC135" s="6" t="str">
        <f>IFERROR(__xludf.DUMMYFUNCTION("CONCATENATE(SORT(TRANSPOSE(SPLIT(REGEXREPLACE(REGEXREPLACE(Y135&amp;"""",""(?s)(.{1})"",""$1""&amp;CHAR(127)),""'"",""''""),CHAR(127))),1,true))"),"bce")</f>
        <v>bce</v>
      </c>
      <c r="AD135" s="6">
        <f t="shared" ref="AD135:AG135" si="145">INDEX($AO$1:$CP$1,1,MATCH(CONCATENATE(Z135,"1"),$AO135:$CP135,0)+1)</f>
        <v>2</v>
      </c>
      <c r="AE135" s="6">
        <f t="shared" si="145"/>
        <v>9</v>
      </c>
      <c r="AF135" s="6">
        <f t="shared" si="145"/>
        <v>9</v>
      </c>
      <c r="AG135" s="6">
        <f t="shared" si="145"/>
        <v>7</v>
      </c>
      <c r="AH135" s="6">
        <f t="shared" si="3"/>
        <v>2997</v>
      </c>
      <c r="AI135" s="16"/>
      <c r="AJ135" s="9" t="str">
        <f>IFERROR(__xludf.DUMMYFUNCTION("REGEXREPLACE(AR135,CONCATENATE(""["",BY135,""]""),"""")"),"e")</f>
        <v>e</v>
      </c>
      <c r="AK135" s="10" t="str">
        <f>IFERROR(__xludf.DUMMYFUNCTION("FILTER($K135:$T135,len($K135:$T135)=6,NOT($K135:$T135=BY135))"),"acdfeb")</f>
        <v>acdfeb</v>
      </c>
      <c r="AL135" s="6" t="str">
        <f>IFERROR(__xludf.DUMMYFUNCTION("""COMPUTED_VALUE"""),"begdca")</f>
        <v>begdca</v>
      </c>
      <c r="AM135" s="6" t="str">
        <f>IFERROR(__xludf.DUMMYFUNCTION("REGEXREPLACE( $BG135, CONCATENATE(""["",AK135,""]""), """")"),"")</f>
        <v/>
      </c>
      <c r="AN135" s="6" t="str">
        <f>IFERROR(__xludf.DUMMYFUNCTION("REGEXREPLACE( $BG135, CONCATENATE(""["",AL135,""]""), """")"),"f")</f>
        <v>f</v>
      </c>
      <c r="AO135" s="11" t="str">
        <f t="shared" si="4"/>
        <v>begdca</v>
      </c>
      <c r="AP135" s="12" t="str">
        <f>IFERROR(__xludf.DUMMYFUNCTION("CONCATENATE(SORT(TRANSPOSE(SPLIT(REGEXREPLACE(REGEXREPLACE(AO135&amp;"""",""(?s)(.{1})"",""$1""&amp;CHAR(127)),""'"",""''""),CHAR(127))),1,true),""1"")"),"abcdeg1")</f>
        <v>abcdeg1</v>
      </c>
      <c r="AQ135" s="16"/>
      <c r="AR135" s="12" t="str">
        <f t="shared" si="5"/>
        <v>ce</v>
      </c>
      <c r="AS135" s="12" t="str">
        <f>IFERROR(__xludf.DUMMYFUNCTION("CONCATENATE(SORT(TRANSPOSE(SPLIT(REGEXREPLACE(REGEXREPLACE(AR135&amp;"""",""(?s)(.{1})"",""$1""&amp;CHAR(127)),""'"",""''""),CHAR(127))),1,true),""1"")"),"ce1")</f>
        <v>ce1</v>
      </c>
      <c r="AT135" s="16"/>
      <c r="AU135" s="13" t="str">
        <f>IFERROR(__xludf.DUMMYFUNCTION("FILTER($K135:$T135,len($K135:$T135)=5,NOT($K135:$T135=BD135),NOT($K135:$T135=BP135))"),"agfeb")</f>
        <v>agfeb</v>
      </c>
      <c r="AV135" s="12" t="str">
        <f>IFERROR(__xludf.DUMMYFUNCTION("CONCATENATE(SORT(TRANSPOSE(SPLIT(REGEXREPLACE(REGEXREPLACE(AU135&amp;"""",""(?s)(.{1})"",""$1""&amp;CHAR(127)),""'"",""''""),CHAR(127))),1,true),""1"")"),"abefg1")</f>
        <v>abefg1</v>
      </c>
      <c r="AW135" s="16"/>
      <c r="AX135" s="10" t="str">
        <f>IFERROR(__xludf.DUMMYFUNCTION("FILTER($K135:$T135,len($K135:$T135)=5)"),"dafcb")</f>
        <v>dafcb</v>
      </c>
      <c r="AY135" s="6" t="str">
        <f>IFERROR(__xludf.DUMMYFUNCTION("""COMPUTED_VALUE"""),"agfeb")</f>
        <v>agfeb</v>
      </c>
      <c r="AZ135" s="6" t="str">
        <f>IFERROR(__xludf.DUMMYFUNCTION("""COMPUTED_VALUE"""),"abfce")</f>
        <v>abfce</v>
      </c>
      <c r="BA135" s="6" t="str">
        <f>IFERROR(__xludf.DUMMYFUNCTION("REGEXREPLACE( $AR135, CONCATENATE(""["",AX135,""]""), """")"),"e")</f>
        <v>e</v>
      </c>
      <c r="BB135" s="6" t="str">
        <f>IFERROR(__xludf.DUMMYFUNCTION("REGEXREPLACE( $AR135, CONCATENATE(""["",AY135,""]""), """")"),"c")</f>
        <v>c</v>
      </c>
      <c r="BC135" s="6" t="str">
        <f>IFERROR(__xludf.DUMMYFUNCTION("REGEXREPLACE( $AR135, CONCATENATE(""["",AZ135,""]""), """")"),"")</f>
        <v/>
      </c>
      <c r="BD135" s="11" t="str">
        <f t="shared" si="6"/>
        <v>abfce</v>
      </c>
      <c r="BE135" s="12" t="str">
        <f>IFERROR(__xludf.DUMMYFUNCTION("CONCATENATE(SORT(TRANSPOSE(SPLIT(REGEXREPLACE(REGEXREPLACE(BD135&amp;"""",""(?s)(.{1})"",""$1""&amp;CHAR(127)),""'"",""''""),CHAR(127))),1,true),""1"")"),"abcef1")</f>
        <v>abcef1</v>
      </c>
      <c r="BF135" s="16"/>
      <c r="BG135" s="12" t="str">
        <f t="shared" si="7"/>
        <v>cfde</v>
      </c>
      <c r="BH135" s="12" t="str">
        <f>IFERROR(__xludf.DUMMYFUNCTION("CONCATENATE(SORT(TRANSPOSE(SPLIT(REGEXREPLACE(REGEXREPLACE(BG135&amp;"""",""(?s)(.{1})"",""$1""&amp;CHAR(127)),""'"",""''""),CHAR(127))),1,true),""1"")"),"cdef1")</f>
        <v>cdef1</v>
      </c>
      <c r="BI135" s="16"/>
      <c r="BJ135" s="10" t="str">
        <f>IFERROR(__xludf.DUMMYFUNCTION("FILTER($K135:$T135,len($K135:$T135)=5)"),"dafcb")</f>
        <v>dafcb</v>
      </c>
      <c r="BK135" s="6" t="str">
        <f>IFERROR(__xludf.DUMMYFUNCTION("""COMPUTED_VALUE"""),"agfeb")</f>
        <v>agfeb</v>
      </c>
      <c r="BL135" s="6" t="str">
        <f>IFERROR(__xludf.DUMMYFUNCTION("""COMPUTED_VALUE"""),"abfce")</f>
        <v>abfce</v>
      </c>
      <c r="BM135" s="14" t="str">
        <f>IFERROR(__xludf.DUMMYFUNCTION("REGEXREPLACE( $BY135, CONCATENATE(""["",BJ135,""]""), """")"),"g")</f>
        <v>g</v>
      </c>
      <c r="BN135" s="14" t="str">
        <f>IFERROR(__xludf.DUMMYFUNCTION("REGEXREPLACE( $BY135, CONCATENATE(""["",BK135,""]""), """")"),"dc")</f>
        <v>dc</v>
      </c>
      <c r="BO135" s="14" t="str">
        <f>IFERROR(__xludf.DUMMYFUNCTION("REGEXREPLACE( $BY135, CONCATENATE(""["",BL135,""]""), """")"),"dg")</f>
        <v>dg</v>
      </c>
      <c r="BP135" s="11" t="str">
        <f t="shared" si="8"/>
        <v>dafcb</v>
      </c>
      <c r="BQ135" s="12" t="str">
        <f>IFERROR(__xludf.DUMMYFUNCTION("CONCATENATE(SORT(TRANSPOSE(SPLIT(REGEXREPLACE(REGEXREPLACE(BP135&amp;"""",""(?s)(.{1})"",""$1""&amp;CHAR(127)),""'"",""''""),CHAR(127))),1,true),""1"")"),"abcdf1")</f>
        <v>abcdf1</v>
      </c>
      <c r="BR135" s="16"/>
      <c r="BS135" s="10" t="str">
        <f>IFERROR(__xludf.DUMMYFUNCTION("FILTER(K135:T135,len(K135:T135)=6)"),"bdgfac")</f>
        <v>bdgfac</v>
      </c>
      <c r="BT135" s="6" t="str">
        <f>IFERROR(__xludf.DUMMYFUNCTION("""COMPUTED_VALUE"""),"acdfeb")</f>
        <v>acdfeb</v>
      </c>
      <c r="BU135" s="6" t="str">
        <f>IFERROR(__xludf.DUMMYFUNCTION("""COMPUTED_VALUE"""),"begdca")</f>
        <v>begdca</v>
      </c>
      <c r="BV135" s="6" t="str">
        <f>IFERROR(__xludf.DUMMYFUNCTION("REGEXREPLACE( $AR135, CONCATENATE(""["",BS135,""]""), """")"),"e")</f>
        <v>e</v>
      </c>
      <c r="BW135" s="6" t="str">
        <f>IFERROR(__xludf.DUMMYFUNCTION("REGEXREPLACE( $AR135, CONCATENATE(""["",BT135,""]""), """")"),"")</f>
        <v/>
      </c>
      <c r="BX135" s="6" t="str">
        <f>IFERROR(__xludf.DUMMYFUNCTION("REGEXREPLACE( $AR135, CONCATENATE(""["",BU135,""]""), """")"),"")</f>
        <v/>
      </c>
      <c r="BY135" s="12" t="str">
        <f t="shared" si="9"/>
        <v>bdgfac</v>
      </c>
      <c r="BZ135" s="12" t="str">
        <f>IFERROR(__xludf.DUMMYFUNCTION("CONCATENATE(SORT(TRANSPOSE(SPLIT(REGEXREPLACE(REGEXREPLACE(BY135&amp;"""",""(?s)(.{1})"",""$1""&amp;CHAR(127)),""'"",""''""),CHAR(127))),1,true),""1"")"),"abcdfg1")</f>
        <v>abcdfg1</v>
      </c>
      <c r="CA135" s="16"/>
      <c r="CB135" s="12" t="str">
        <f t="shared" si="10"/>
        <v>ebc</v>
      </c>
      <c r="CC135" s="12" t="str">
        <f>IFERROR(__xludf.DUMMYFUNCTION("CONCATENATE(SORT(TRANSPOSE(SPLIT(REGEXREPLACE(REGEXREPLACE(CB135&amp;"""",""(?s)(.{1})"",""$1""&amp;CHAR(127)),""'"",""''""),CHAR(127))),1,true),""1"")"),"bce1")</f>
        <v>bce1</v>
      </c>
      <c r="CD135" s="16"/>
      <c r="CE135" s="12" t="str">
        <f t="shared" si="11"/>
        <v>fedacbg</v>
      </c>
      <c r="CF135" s="12" t="str">
        <f>IFERROR(__xludf.DUMMYFUNCTION("CONCATENATE(SORT(TRANSPOSE(SPLIT(REGEXREPLACE(REGEXREPLACE(CE135&amp;"""",""(?s)(.{1})"",""$1""&amp;CHAR(127)),""'"",""''""),CHAR(127))),1,true),""1"")"),"abcdefg1")</f>
        <v>abcdefg1</v>
      </c>
      <c r="CG135" s="16"/>
      <c r="CH135" s="10" t="str">
        <f>IFERROR(__xludf.DUMMYFUNCTION("FILTER(K135:T135,len(K135:T135)=6)"),"bdgfac")</f>
        <v>bdgfac</v>
      </c>
      <c r="CI135" s="6" t="str">
        <f>IFERROR(__xludf.DUMMYFUNCTION("""COMPUTED_VALUE"""),"acdfeb")</f>
        <v>acdfeb</v>
      </c>
      <c r="CJ135" s="6" t="str">
        <f>IFERROR(__xludf.DUMMYFUNCTION("""COMPUTED_VALUE"""),"begdca")</f>
        <v>begdca</v>
      </c>
      <c r="CK135" s="6" t="str">
        <f>IFERROR(__xludf.DUMMYFUNCTION("REGEXREPLACE( $BG135, CONCATENATE(""["",CH135,""]""), """")"),"e")</f>
        <v>e</v>
      </c>
      <c r="CL135" s="6" t="str">
        <f>IFERROR(__xludf.DUMMYFUNCTION("REGEXREPLACE( $BG135, CONCATENATE(""["",CI135,""]""), """")"),"")</f>
        <v/>
      </c>
      <c r="CM135" s="6" t="str">
        <f>IFERROR(__xludf.DUMMYFUNCTION("REGEXREPLACE( $BG135, CONCATENATE(""["",CJ135,""]""), """")"),"f")</f>
        <v>f</v>
      </c>
      <c r="CN135" s="12" t="str">
        <f t="shared" si="12"/>
        <v>acdfeb</v>
      </c>
      <c r="CO135" s="12" t="str">
        <f>IFERROR(__xludf.DUMMYFUNCTION("CONCATENATE(SORT(TRANSPOSE(SPLIT(REGEXREPLACE(REGEXREPLACE(CN135&amp;"""",""(?s)(.{1})"",""$1""&amp;CHAR(127)),""'"",""''""),CHAR(127))),1,true),""1"")"),"abcdef1")</f>
        <v>abcdef1</v>
      </c>
      <c r="CP135" s="15"/>
    </row>
    <row r="136">
      <c r="A136" s="1" t="s">
        <v>156</v>
      </c>
      <c r="H136" s="6" t="str">
        <f>IFERROR(__xludf.DUMMYFUNCTION("SPLIT(A136,""|"")"),"bdac gbd bcagf agbfdc agcefdb fgbda bcgedf eadgf db facbeg ")</f>
        <v>bdac gbd bcagf agbfdc agcefdb fgbda bcgedf eadgf db facbeg </v>
      </c>
      <c r="I136" s="6" t="str">
        <f>IFERROR(__xludf.DUMMYFUNCTION("""COMPUTED_VALUE""")," bdfag cfbgad gacbfe gfead")</f>
        <v> bdfag cfbgad gacbfe gfead</v>
      </c>
      <c r="J136" s="15"/>
      <c r="K136" s="6" t="str">
        <f>IFERROR(__xludf.DUMMYFUNCTION("split(H136,"" "")"),"bdac")</f>
        <v>bdac</v>
      </c>
      <c r="L136" s="6" t="str">
        <f>IFERROR(__xludf.DUMMYFUNCTION("""COMPUTED_VALUE"""),"gbd")</f>
        <v>gbd</v>
      </c>
      <c r="M136" s="6" t="str">
        <f>IFERROR(__xludf.DUMMYFUNCTION("""COMPUTED_VALUE"""),"bcagf")</f>
        <v>bcagf</v>
      </c>
      <c r="N136" s="6" t="str">
        <f>IFERROR(__xludf.DUMMYFUNCTION("""COMPUTED_VALUE"""),"agbfdc")</f>
        <v>agbfdc</v>
      </c>
      <c r="O136" s="6" t="str">
        <f>IFERROR(__xludf.DUMMYFUNCTION("""COMPUTED_VALUE"""),"agcefdb")</f>
        <v>agcefdb</v>
      </c>
      <c r="P136" s="6" t="str">
        <f>IFERROR(__xludf.DUMMYFUNCTION("""COMPUTED_VALUE"""),"fgbda")</f>
        <v>fgbda</v>
      </c>
      <c r="Q136" s="6" t="str">
        <f>IFERROR(__xludf.DUMMYFUNCTION("""COMPUTED_VALUE"""),"bcgedf")</f>
        <v>bcgedf</v>
      </c>
      <c r="R136" s="6" t="str">
        <f>IFERROR(__xludf.DUMMYFUNCTION("""COMPUTED_VALUE"""),"eadgf")</f>
        <v>eadgf</v>
      </c>
      <c r="S136" s="6" t="str">
        <f>IFERROR(__xludf.DUMMYFUNCTION("""COMPUTED_VALUE"""),"db")</f>
        <v>db</v>
      </c>
      <c r="T136" s="6" t="str">
        <f>IFERROR(__xludf.DUMMYFUNCTION("""COMPUTED_VALUE"""),"facbeg")</f>
        <v>facbeg</v>
      </c>
      <c r="U136" s="15"/>
      <c r="V136" s="6" t="str">
        <f>IFERROR(__xludf.DUMMYFUNCTION("split(I136,"" "")"),"bdfag")</f>
        <v>bdfag</v>
      </c>
      <c r="W136" s="6" t="str">
        <f>IFERROR(__xludf.DUMMYFUNCTION("""COMPUTED_VALUE"""),"cfbgad")</f>
        <v>cfbgad</v>
      </c>
      <c r="X136" s="6" t="str">
        <f>IFERROR(__xludf.DUMMYFUNCTION("""COMPUTED_VALUE"""),"gacbfe")</f>
        <v>gacbfe</v>
      </c>
      <c r="Y136" s="6" t="str">
        <f>IFERROR(__xludf.DUMMYFUNCTION("""COMPUTED_VALUE"""),"gfead")</f>
        <v>gfead</v>
      </c>
      <c r="Z136" s="6" t="str">
        <f>IFERROR(__xludf.DUMMYFUNCTION("CONCATENATE(SORT(TRANSPOSE(SPLIT(REGEXREPLACE(REGEXREPLACE(V136&amp;"""",""(?s)(.{1})"",""$1""&amp;CHAR(127)),""'"",""''""),CHAR(127))),1,true))"),"abdfg")</f>
        <v>abdfg</v>
      </c>
      <c r="AA136" s="6" t="str">
        <f>IFERROR(__xludf.DUMMYFUNCTION("CONCATENATE(SORT(TRANSPOSE(SPLIT(REGEXREPLACE(REGEXREPLACE(W136&amp;"""",""(?s)(.{1})"",""$1""&amp;CHAR(127)),""'"",""''""),CHAR(127))),1,true))"),"abcdfg")</f>
        <v>abcdfg</v>
      </c>
      <c r="AB136" s="6" t="str">
        <f>IFERROR(__xludf.DUMMYFUNCTION("CONCATENATE(SORT(TRANSPOSE(SPLIT(REGEXREPLACE(REGEXREPLACE(X136&amp;"""",""(?s)(.{1})"",""$1""&amp;CHAR(127)),""'"",""''""),CHAR(127))),1,true))"),"abcefg")</f>
        <v>abcefg</v>
      </c>
      <c r="AC136" s="6" t="str">
        <f>IFERROR(__xludf.DUMMYFUNCTION("CONCATENATE(SORT(TRANSPOSE(SPLIT(REGEXREPLACE(REGEXREPLACE(Y136&amp;"""",""(?s)(.{1})"",""$1""&amp;CHAR(127)),""'"",""''""),CHAR(127))),1,true))"),"adefg")</f>
        <v>adefg</v>
      </c>
      <c r="AD136" s="6">
        <f t="shared" ref="AD136:AG136" si="146">INDEX($AO$1:$CP$1,1,MATCH(CONCATENATE(Z136,"1"),$AO136:$CP136,0)+1)</f>
        <v>3</v>
      </c>
      <c r="AE136" s="6">
        <f t="shared" si="146"/>
        <v>9</v>
      </c>
      <c r="AF136" s="6">
        <f t="shared" si="146"/>
        <v>6</v>
      </c>
      <c r="AG136" s="6">
        <f t="shared" si="146"/>
        <v>2</v>
      </c>
      <c r="AH136" s="6">
        <f t="shared" si="3"/>
        <v>3962</v>
      </c>
      <c r="AI136" s="16"/>
      <c r="AJ136" s="9" t="str">
        <f>IFERROR(__xludf.DUMMYFUNCTION("REGEXREPLACE(AR136,CONCATENATE(""["",BY136,""]""),"""")"),"d")</f>
        <v>d</v>
      </c>
      <c r="AK136" s="10" t="str">
        <f>IFERROR(__xludf.DUMMYFUNCTION("FILTER($K136:$T136,len($K136:$T136)=6,NOT($K136:$T136=BY136))"),"agbfdc")</f>
        <v>agbfdc</v>
      </c>
      <c r="AL136" s="6" t="str">
        <f>IFERROR(__xludf.DUMMYFUNCTION("""COMPUTED_VALUE"""),"bcgedf")</f>
        <v>bcgedf</v>
      </c>
      <c r="AM136" s="6" t="str">
        <f>IFERROR(__xludf.DUMMYFUNCTION("REGEXREPLACE( $BG136, CONCATENATE(""["",AK136,""]""), """")"),"")</f>
        <v/>
      </c>
      <c r="AN136" s="6" t="str">
        <f>IFERROR(__xludf.DUMMYFUNCTION("REGEXREPLACE( $BG136, CONCATENATE(""["",AL136,""]""), """")"),"a")</f>
        <v>a</v>
      </c>
      <c r="AO136" s="11" t="str">
        <f t="shared" si="4"/>
        <v>bcgedf</v>
      </c>
      <c r="AP136" s="12" t="str">
        <f>IFERROR(__xludf.DUMMYFUNCTION("CONCATENATE(SORT(TRANSPOSE(SPLIT(REGEXREPLACE(REGEXREPLACE(AO136&amp;"""",""(?s)(.{1})"",""$1""&amp;CHAR(127)),""'"",""''""),CHAR(127))),1,true),""1"")"),"bcdefg1")</f>
        <v>bcdefg1</v>
      </c>
      <c r="AQ136" s="16"/>
      <c r="AR136" s="12" t="str">
        <f t="shared" si="5"/>
        <v>db</v>
      </c>
      <c r="AS136" s="12" t="str">
        <f>IFERROR(__xludf.DUMMYFUNCTION("CONCATENATE(SORT(TRANSPOSE(SPLIT(REGEXREPLACE(REGEXREPLACE(AR136&amp;"""",""(?s)(.{1})"",""$1""&amp;CHAR(127)),""'"",""''""),CHAR(127))),1,true),""1"")"),"bd1")</f>
        <v>bd1</v>
      </c>
      <c r="AT136" s="16"/>
      <c r="AU136" s="13" t="str">
        <f>IFERROR(__xludf.DUMMYFUNCTION("FILTER($K136:$T136,len($K136:$T136)=5,NOT($K136:$T136=BD136),NOT($K136:$T136=BP136))"),"eadgf")</f>
        <v>eadgf</v>
      </c>
      <c r="AV136" s="12" t="str">
        <f>IFERROR(__xludf.DUMMYFUNCTION("CONCATENATE(SORT(TRANSPOSE(SPLIT(REGEXREPLACE(REGEXREPLACE(AU136&amp;"""",""(?s)(.{1})"",""$1""&amp;CHAR(127)),""'"",""''""),CHAR(127))),1,true),""1"")"),"adefg1")</f>
        <v>adefg1</v>
      </c>
      <c r="AW136" s="16"/>
      <c r="AX136" s="10" t="str">
        <f>IFERROR(__xludf.DUMMYFUNCTION("FILTER($K136:$T136,len($K136:$T136)=5)"),"bcagf")</f>
        <v>bcagf</v>
      </c>
      <c r="AY136" s="6" t="str">
        <f>IFERROR(__xludf.DUMMYFUNCTION("""COMPUTED_VALUE"""),"fgbda")</f>
        <v>fgbda</v>
      </c>
      <c r="AZ136" s="6" t="str">
        <f>IFERROR(__xludf.DUMMYFUNCTION("""COMPUTED_VALUE"""),"eadgf")</f>
        <v>eadgf</v>
      </c>
      <c r="BA136" s="6" t="str">
        <f>IFERROR(__xludf.DUMMYFUNCTION("REGEXREPLACE( $AR136, CONCATENATE(""["",AX136,""]""), """")"),"d")</f>
        <v>d</v>
      </c>
      <c r="BB136" s="6" t="str">
        <f>IFERROR(__xludf.DUMMYFUNCTION("REGEXREPLACE( $AR136, CONCATENATE(""["",AY136,""]""), """")"),"")</f>
        <v/>
      </c>
      <c r="BC136" s="6" t="str">
        <f>IFERROR(__xludf.DUMMYFUNCTION("REGEXREPLACE( $AR136, CONCATENATE(""["",AZ136,""]""), """")"),"b")</f>
        <v>b</v>
      </c>
      <c r="BD136" s="11" t="str">
        <f t="shared" si="6"/>
        <v>fgbda</v>
      </c>
      <c r="BE136" s="12" t="str">
        <f>IFERROR(__xludf.DUMMYFUNCTION("CONCATENATE(SORT(TRANSPOSE(SPLIT(REGEXREPLACE(REGEXREPLACE(BD136&amp;"""",""(?s)(.{1})"",""$1""&amp;CHAR(127)),""'"",""''""),CHAR(127))),1,true),""1"")"),"abdfg1")</f>
        <v>abdfg1</v>
      </c>
      <c r="BF136" s="16"/>
      <c r="BG136" s="12" t="str">
        <f t="shared" si="7"/>
        <v>bdac</v>
      </c>
      <c r="BH136" s="12" t="str">
        <f>IFERROR(__xludf.DUMMYFUNCTION("CONCATENATE(SORT(TRANSPOSE(SPLIT(REGEXREPLACE(REGEXREPLACE(BG136&amp;"""",""(?s)(.{1})"",""$1""&amp;CHAR(127)),""'"",""''""),CHAR(127))),1,true),""1"")"),"abcd1")</f>
        <v>abcd1</v>
      </c>
      <c r="BI136" s="16"/>
      <c r="BJ136" s="10" t="str">
        <f>IFERROR(__xludf.DUMMYFUNCTION("FILTER($K136:$T136,len($K136:$T136)=5)"),"bcagf")</f>
        <v>bcagf</v>
      </c>
      <c r="BK136" s="6" t="str">
        <f>IFERROR(__xludf.DUMMYFUNCTION("""COMPUTED_VALUE"""),"fgbda")</f>
        <v>fgbda</v>
      </c>
      <c r="BL136" s="6" t="str">
        <f>IFERROR(__xludf.DUMMYFUNCTION("""COMPUTED_VALUE"""),"eadgf")</f>
        <v>eadgf</v>
      </c>
      <c r="BM136" s="14" t="str">
        <f>IFERROR(__xludf.DUMMYFUNCTION("REGEXREPLACE( $BY136, CONCATENATE(""["",BJ136,""]""), """")"),"e")</f>
        <v>e</v>
      </c>
      <c r="BN136" s="14" t="str">
        <f>IFERROR(__xludf.DUMMYFUNCTION("REGEXREPLACE( $BY136, CONCATENATE(""["",BK136,""]""), """")"),"ce")</f>
        <v>ce</v>
      </c>
      <c r="BO136" s="14" t="str">
        <f>IFERROR(__xludf.DUMMYFUNCTION("REGEXREPLACE( $BY136, CONCATENATE(""["",BL136,""]""), """")"),"cb")</f>
        <v>cb</v>
      </c>
      <c r="BP136" s="11" t="str">
        <f t="shared" si="8"/>
        <v>bcagf</v>
      </c>
      <c r="BQ136" s="12" t="str">
        <f>IFERROR(__xludf.DUMMYFUNCTION("CONCATENATE(SORT(TRANSPOSE(SPLIT(REGEXREPLACE(REGEXREPLACE(BP136&amp;"""",""(?s)(.{1})"",""$1""&amp;CHAR(127)),""'"",""''""),CHAR(127))),1,true),""1"")"),"abcfg1")</f>
        <v>abcfg1</v>
      </c>
      <c r="BR136" s="16"/>
      <c r="BS136" s="10" t="str">
        <f>IFERROR(__xludf.DUMMYFUNCTION("FILTER(K136:T136,len(K136:T136)=6)"),"agbfdc")</f>
        <v>agbfdc</v>
      </c>
      <c r="BT136" s="6" t="str">
        <f>IFERROR(__xludf.DUMMYFUNCTION("""COMPUTED_VALUE"""),"bcgedf")</f>
        <v>bcgedf</v>
      </c>
      <c r="BU136" s="6" t="str">
        <f>IFERROR(__xludf.DUMMYFUNCTION("""COMPUTED_VALUE"""),"facbeg")</f>
        <v>facbeg</v>
      </c>
      <c r="BV136" s="6" t="str">
        <f>IFERROR(__xludf.DUMMYFUNCTION("REGEXREPLACE( $AR136, CONCATENATE(""["",BS136,""]""), """")"),"")</f>
        <v/>
      </c>
      <c r="BW136" s="6" t="str">
        <f>IFERROR(__xludf.DUMMYFUNCTION("REGEXREPLACE( $AR136, CONCATENATE(""["",BT136,""]""), """")"),"")</f>
        <v/>
      </c>
      <c r="BX136" s="6" t="str">
        <f>IFERROR(__xludf.DUMMYFUNCTION("REGEXREPLACE( $AR136, CONCATENATE(""["",BU136,""]""), """")"),"d")</f>
        <v>d</v>
      </c>
      <c r="BY136" s="12" t="str">
        <f t="shared" si="9"/>
        <v>facbeg</v>
      </c>
      <c r="BZ136" s="12" t="str">
        <f>IFERROR(__xludf.DUMMYFUNCTION("CONCATENATE(SORT(TRANSPOSE(SPLIT(REGEXREPLACE(REGEXREPLACE(BY136&amp;"""",""(?s)(.{1})"",""$1""&amp;CHAR(127)),""'"",""''""),CHAR(127))),1,true),""1"")"),"abcefg1")</f>
        <v>abcefg1</v>
      </c>
      <c r="CA136" s="16"/>
      <c r="CB136" s="12" t="str">
        <f t="shared" si="10"/>
        <v>gbd</v>
      </c>
      <c r="CC136" s="12" t="str">
        <f>IFERROR(__xludf.DUMMYFUNCTION("CONCATENATE(SORT(TRANSPOSE(SPLIT(REGEXREPLACE(REGEXREPLACE(CB136&amp;"""",""(?s)(.{1})"",""$1""&amp;CHAR(127)),""'"",""''""),CHAR(127))),1,true),""1"")"),"bdg1")</f>
        <v>bdg1</v>
      </c>
      <c r="CD136" s="16"/>
      <c r="CE136" s="12" t="str">
        <f t="shared" si="11"/>
        <v>agcefdb</v>
      </c>
      <c r="CF136" s="12" t="str">
        <f>IFERROR(__xludf.DUMMYFUNCTION("CONCATENATE(SORT(TRANSPOSE(SPLIT(REGEXREPLACE(REGEXREPLACE(CE136&amp;"""",""(?s)(.{1})"",""$1""&amp;CHAR(127)),""'"",""''""),CHAR(127))),1,true),""1"")"),"abcdefg1")</f>
        <v>abcdefg1</v>
      </c>
      <c r="CG136" s="16"/>
      <c r="CH136" s="10" t="str">
        <f>IFERROR(__xludf.DUMMYFUNCTION("FILTER(K136:T136,len(K136:T136)=6)"),"agbfdc")</f>
        <v>agbfdc</v>
      </c>
      <c r="CI136" s="6" t="str">
        <f>IFERROR(__xludf.DUMMYFUNCTION("""COMPUTED_VALUE"""),"bcgedf")</f>
        <v>bcgedf</v>
      </c>
      <c r="CJ136" s="6" t="str">
        <f>IFERROR(__xludf.DUMMYFUNCTION("""COMPUTED_VALUE"""),"facbeg")</f>
        <v>facbeg</v>
      </c>
      <c r="CK136" s="6" t="str">
        <f>IFERROR(__xludf.DUMMYFUNCTION("REGEXREPLACE( $BG136, CONCATENATE(""["",CH136,""]""), """")"),"")</f>
        <v/>
      </c>
      <c r="CL136" s="6" t="str">
        <f>IFERROR(__xludf.DUMMYFUNCTION("REGEXREPLACE( $BG136, CONCATENATE(""["",CI136,""]""), """")"),"a")</f>
        <v>a</v>
      </c>
      <c r="CM136" s="6" t="str">
        <f>IFERROR(__xludf.DUMMYFUNCTION("REGEXREPLACE( $BG136, CONCATENATE(""["",CJ136,""]""), """")"),"d")</f>
        <v>d</v>
      </c>
      <c r="CN136" s="12" t="str">
        <f t="shared" si="12"/>
        <v>agbfdc</v>
      </c>
      <c r="CO136" s="12" t="str">
        <f>IFERROR(__xludf.DUMMYFUNCTION("CONCATENATE(SORT(TRANSPOSE(SPLIT(REGEXREPLACE(REGEXREPLACE(CN136&amp;"""",""(?s)(.{1})"",""$1""&amp;CHAR(127)),""'"",""''""),CHAR(127))),1,true),""1"")"),"abcdfg1")</f>
        <v>abcdfg1</v>
      </c>
      <c r="CP136" s="15"/>
    </row>
    <row r="137">
      <c r="A137" s="1" t="s">
        <v>157</v>
      </c>
      <c r="H137" s="6" t="str">
        <f>IFERROR(__xludf.DUMMYFUNCTION("SPLIT(A137,""|"")"),"df dfagce cfageb fdbgce gfcadeb cfd dafe cfgae agbcd fgcda ")</f>
        <v>df dfagce cfageb fdbgce gfcadeb cfd dafe cfgae agbcd fgcda </v>
      </c>
      <c r="I137" s="6" t="str">
        <f>IFERROR(__xludf.DUMMYFUNCTION("""COMPUTED_VALUE""")," dgbca fd fagec fcd")</f>
        <v> dgbca fd fagec fcd</v>
      </c>
      <c r="J137" s="15"/>
      <c r="K137" s="6" t="str">
        <f>IFERROR(__xludf.DUMMYFUNCTION("split(H137,"" "")"),"df")</f>
        <v>df</v>
      </c>
      <c r="L137" s="6" t="str">
        <f>IFERROR(__xludf.DUMMYFUNCTION("""COMPUTED_VALUE"""),"dfagce")</f>
        <v>dfagce</v>
      </c>
      <c r="M137" s="6" t="str">
        <f>IFERROR(__xludf.DUMMYFUNCTION("""COMPUTED_VALUE"""),"cfageb")</f>
        <v>cfageb</v>
      </c>
      <c r="N137" s="6" t="str">
        <f>IFERROR(__xludf.DUMMYFUNCTION("""COMPUTED_VALUE"""),"fdbgce")</f>
        <v>fdbgce</v>
      </c>
      <c r="O137" s="6" t="str">
        <f>IFERROR(__xludf.DUMMYFUNCTION("""COMPUTED_VALUE"""),"gfcadeb")</f>
        <v>gfcadeb</v>
      </c>
      <c r="P137" s="6" t="str">
        <f>IFERROR(__xludf.DUMMYFUNCTION("""COMPUTED_VALUE"""),"cfd")</f>
        <v>cfd</v>
      </c>
      <c r="Q137" s="6" t="str">
        <f>IFERROR(__xludf.DUMMYFUNCTION("""COMPUTED_VALUE"""),"dafe")</f>
        <v>dafe</v>
      </c>
      <c r="R137" s="6" t="str">
        <f>IFERROR(__xludf.DUMMYFUNCTION("""COMPUTED_VALUE"""),"cfgae")</f>
        <v>cfgae</v>
      </c>
      <c r="S137" s="6" t="str">
        <f>IFERROR(__xludf.DUMMYFUNCTION("""COMPUTED_VALUE"""),"agbcd")</f>
        <v>agbcd</v>
      </c>
      <c r="T137" s="6" t="str">
        <f>IFERROR(__xludf.DUMMYFUNCTION("""COMPUTED_VALUE"""),"fgcda")</f>
        <v>fgcda</v>
      </c>
      <c r="U137" s="15"/>
      <c r="V137" s="6" t="str">
        <f>IFERROR(__xludf.DUMMYFUNCTION("split(I137,"" "")"),"dgbca")</f>
        <v>dgbca</v>
      </c>
      <c r="W137" s="6" t="str">
        <f>IFERROR(__xludf.DUMMYFUNCTION("""COMPUTED_VALUE"""),"fd")</f>
        <v>fd</v>
      </c>
      <c r="X137" s="6" t="str">
        <f>IFERROR(__xludf.DUMMYFUNCTION("""COMPUTED_VALUE"""),"fagec")</f>
        <v>fagec</v>
      </c>
      <c r="Y137" s="6" t="str">
        <f>IFERROR(__xludf.DUMMYFUNCTION("""COMPUTED_VALUE"""),"fcd")</f>
        <v>fcd</v>
      </c>
      <c r="Z137" s="6" t="str">
        <f>IFERROR(__xludf.DUMMYFUNCTION("CONCATENATE(SORT(TRANSPOSE(SPLIT(REGEXREPLACE(REGEXREPLACE(V137&amp;"""",""(?s)(.{1})"",""$1""&amp;CHAR(127)),""'"",""''""),CHAR(127))),1,true))"),"abcdg")</f>
        <v>abcdg</v>
      </c>
      <c r="AA137" s="6" t="str">
        <f>IFERROR(__xludf.DUMMYFUNCTION("CONCATENATE(SORT(TRANSPOSE(SPLIT(REGEXREPLACE(REGEXREPLACE(W137&amp;"""",""(?s)(.{1})"",""$1""&amp;CHAR(127)),""'"",""''""),CHAR(127))),1,true))"),"df")</f>
        <v>df</v>
      </c>
      <c r="AB137" s="6" t="str">
        <f>IFERROR(__xludf.DUMMYFUNCTION("CONCATENATE(SORT(TRANSPOSE(SPLIT(REGEXREPLACE(REGEXREPLACE(X137&amp;"""",""(?s)(.{1})"",""$1""&amp;CHAR(127)),""'"",""''""),CHAR(127))),1,true))"),"acefg")</f>
        <v>acefg</v>
      </c>
      <c r="AC137" s="6" t="str">
        <f>IFERROR(__xludf.DUMMYFUNCTION("CONCATENATE(SORT(TRANSPOSE(SPLIT(REGEXREPLACE(REGEXREPLACE(Y137&amp;"""",""(?s)(.{1})"",""$1""&amp;CHAR(127)),""'"",""''""),CHAR(127))),1,true))"),"cdf")</f>
        <v>cdf</v>
      </c>
      <c r="AD137" s="6">
        <f t="shared" ref="AD137:AG137" si="147">INDEX($AO$1:$CP$1,1,MATCH(CONCATENATE(Z137,"1"),$AO137:$CP137,0)+1)</f>
        <v>2</v>
      </c>
      <c r="AE137" s="6">
        <f t="shared" si="147"/>
        <v>1</v>
      </c>
      <c r="AF137" s="6">
        <f t="shared" si="147"/>
        <v>5</v>
      </c>
      <c r="AG137" s="6">
        <f t="shared" si="147"/>
        <v>7</v>
      </c>
      <c r="AH137" s="6">
        <f t="shared" si="3"/>
        <v>2157</v>
      </c>
      <c r="AI137" s="16"/>
      <c r="AJ137" s="9" t="str">
        <f>IFERROR(__xludf.DUMMYFUNCTION("REGEXREPLACE(AR137,CONCATENATE(""["",BY137,""]""),"""")"),"d")</f>
        <v>d</v>
      </c>
      <c r="AK137" s="10" t="str">
        <f>IFERROR(__xludf.DUMMYFUNCTION("FILTER($K137:$T137,len($K137:$T137)=6,NOT($K137:$T137=BY137))"),"dfagce")</f>
        <v>dfagce</v>
      </c>
      <c r="AL137" s="6" t="str">
        <f>IFERROR(__xludf.DUMMYFUNCTION("""COMPUTED_VALUE"""),"fdbgce")</f>
        <v>fdbgce</v>
      </c>
      <c r="AM137" s="6" t="str">
        <f>IFERROR(__xludf.DUMMYFUNCTION("REGEXREPLACE( $BG137, CONCATENATE(""["",AK137,""]""), """")"),"")</f>
        <v/>
      </c>
      <c r="AN137" s="6" t="str">
        <f>IFERROR(__xludf.DUMMYFUNCTION("REGEXREPLACE( $BG137, CONCATENATE(""["",AL137,""]""), """")"),"a")</f>
        <v>a</v>
      </c>
      <c r="AO137" s="11" t="str">
        <f t="shared" si="4"/>
        <v>fdbgce</v>
      </c>
      <c r="AP137" s="12" t="str">
        <f>IFERROR(__xludf.DUMMYFUNCTION("CONCATENATE(SORT(TRANSPOSE(SPLIT(REGEXREPLACE(REGEXREPLACE(AO137&amp;"""",""(?s)(.{1})"",""$1""&amp;CHAR(127)),""'"",""''""),CHAR(127))),1,true),""1"")"),"bcdefg1")</f>
        <v>bcdefg1</v>
      </c>
      <c r="AQ137" s="16"/>
      <c r="AR137" s="12" t="str">
        <f t="shared" si="5"/>
        <v>df</v>
      </c>
      <c r="AS137" s="12" t="str">
        <f>IFERROR(__xludf.DUMMYFUNCTION("CONCATENATE(SORT(TRANSPOSE(SPLIT(REGEXREPLACE(REGEXREPLACE(AR137&amp;"""",""(?s)(.{1})"",""$1""&amp;CHAR(127)),""'"",""''""),CHAR(127))),1,true),""1"")"),"df1")</f>
        <v>df1</v>
      </c>
      <c r="AT137" s="16"/>
      <c r="AU137" s="13" t="str">
        <f>IFERROR(__xludf.DUMMYFUNCTION("FILTER($K137:$T137,len($K137:$T137)=5,NOT($K137:$T137=BD137),NOT($K137:$T137=BP137))"),"agbcd")</f>
        <v>agbcd</v>
      </c>
      <c r="AV137" s="12" t="str">
        <f>IFERROR(__xludf.DUMMYFUNCTION("CONCATENATE(SORT(TRANSPOSE(SPLIT(REGEXREPLACE(REGEXREPLACE(AU137&amp;"""",""(?s)(.{1})"",""$1""&amp;CHAR(127)),""'"",""''""),CHAR(127))),1,true),""1"")"),"abcdg1")</f>
        <v>abcdg1</v>
      </c>
      <c r="AW137" s="16"/>
      <c r="AX137" s="10" t="str">
        <f>IFERROR(__xludf.DUMMYFUNCTION("FILTER($K137:$T137,len($K137:$T137)=5)"),"cfgae")</f>
        <v>cfgae</v>
      </c>
      <c r="AY137" s="6" t="str">
        <f>IFERROR(__xludf.DUMMYFUNCTION("""COMPUTED_VALUE"""),"agbcd")</f>
        <v>agbcd</v>
      </c>
      <c r="AZ137" s="6" t="str">
        <f>IFERROR(__xludf.DUMMYFUNCTION("""COMPUTED_VALUE"""),"fgcda")</f>
        <v>fgcda</v>
      </c>
      <c r="BA137" s="6" t="str">
        <f>IFERROR(__xludf.DUMMYFUNCTION("REGEXREPLACE( $AR137, CONCATENATE(""["",AX137,""]""), """")"),"d")</f>
        <v>d</v>
      </c>
      <c r="BB137" s="6" t="str">
        <f>IFERROR(__xludf.DUMMYFUNCTION("REGEXREPLACE( $AR137, CONCATENATE(""["",AY137,""]""), """")"),"f")</f>
        <v>f</v>
      </c>
      <c r="BC137" s="6" t="str">
        <f>IFERROR(__xludf.DUMMYFUNCTION("REGEXREPLACE( $AR137, CONCATENATE(""["",AZ137,""]""), """")"),"")</f>
        <v/>
      </c>
      <c r="BD137" s="11" t="str">
        <f t="shared" si="6"/>
        <v>fgcda</v>
      </c>
      <c r="BE137" s="12" t="str">
        <f>IFERROR(__xludf.DUMMYFUNCTION("CONCATENATE(SORT(TRANSPOSE(SPLIT(REGEXREPLACE(REGEXREPLACE(BD137&amp;"""",""(?s)(.{1})"",""$1""&amp;CHAR(127)),""'"",""''""),CHAR(127))),1,true),""1"")"),"acdfg1")</f>
        <v>acdfg1</v>
      </c>
      <c r="BF137" s="16"/>
      <c r="BG137" s="12" t="str">
        <f t="shared" si="7"/>
        <v>dafe</v>
      </c>
      <c r="BH137" s="12" t="str">
        <f>IFERROR(__xludf.DUMMYFUNCTION("CONCATENATE(SORT(TRANSPOSE(SPLIT(REGEXREPLACE(REGEXREPLACE(BG137&amp;"""",""(?s)(.{1})"",""$1""&amp;CHAR(127)),""'"",""''""),CHAR(127))),1,true),""1"")"),"adef1")</f>
        <v>adef1</v>
      </c>
      <c r="BI137" s="16"/>
      <c r="BJ137" s="10" t="str">
        <f>IFERROR(__xludf.DUMMYFUNCTION("FILTER($K137:$T137,len($K137:$T137)=5)"),"cfgae")</f>
        <v>cfgae</v>
      </c>
      <c r="BK137" s="6" t="str">
        <f>IFERROR(__xludf.DUMMYFUNCTION("""COMPUTED_VALUE"""),"agbcd")</f>
        <v>agbcd</v>
      </c>
      <c r="BL137" s="6" t="str">
        <f>IFERROR(__xludf.DUMMYFUNCTION("""COMPUTED_VALUE"""),"fgcda")</f>
        <v>fgcda</v>
      </c>
      <c r="BM137" s="14" t="str">
        <f>IFERROR(__xludf.DUMMYFUNCTION("REGEXREPLACE( $BY137, CONCATENATE(""["",BJ137,""]""), """")"),"b")</f>
        <v>b</v>
      </c>
      <c r="BN137" s="14" t="str">
        <f>IFERROR(__xludf.DUMMYFUNCTION("REGEXREPLACE( $BY137, CONCATENATE(""["",BK137,""]""), """")"),"fe")</f>
        <v>fe</v>
      </c>
      <c r="BO137" s="14" t="str">
        <f>IFERROR(__xludf.DUMMYFUNCTION("REGEXREPLACE( $BY137, CONCATENATE(""["",BL137,""]""), """")"),"eb")</f>
        <v>eb</v>
      </c>
      <c r="BP137" s="11" t="str">
        <f t="shared" si="8"/>
        <v>cfgae</v>
      </c>
      <c r="BQ137" s="12" t="str">
        <f>IFERROR(__xludf.DUMMYFUNCTION("CONCATENATE(SORT(TRANSPOSE(SPLIT(REGEXREPLACE(REGEXREPLACE(BP137&amp;"""",""(?s)(.{1})"",""$1""&amp;CHAR(127)),""'"",""''""),CHAR(127))),1,true),""1"")"),"acefg1")</f>
        <v>acefg1</v>
      </c>
      <c r="BR137" s="16"/>
      <c r="BS137" s="10" t="str">
        <f>IFERROR(__xludf.DUMMYFUNCTION("FILTER(K137:T137,len(K137:T137)=6)"),"dfagce")</f>
        <v>dfagce</v>
      </c>
      <c r="BT137" s="6" t="str">
        <f>IFERROR(__xludf.DUMMYFUNCTION("""COMPUTED_VALUE"""),"cfageb")</f>
        <v>cfageb</v>
      </c>
      <c r="BU137" s="6" t="str">
        <f>IFERROR(__xludf.DUMMYFUNCTION("""COMPUTED_VALUE"""),"fdbgce")</f>
        <v>fdbgce</v>
      </c>
      <c r="BV137" s="6" t="str">
        <f>IFERROR(__xludf.DUMMYFUNCTION("REGEXREPLACE( $AR137, CONCATENATE(""["",BS137,""]""), """")"),"")</f>
        <v/>
      </c>
      <c r="BW137" s="6" t="str">
        <f>IFERROR(__xludf.DUMMYFUNCTION("REGEXREPLACE( $AR137, CONCATENATE(""["",BT137,""]""), """")"),"d")</f>
        <v>d</v>
      </c>
      <c r="BX137" s="6" t="str">
        <f>IFERROR(__xludf.DUMMYFUNCTION("REGEXREPLACE( $AR137, CONCATENATE(""["",BU137,""]""), """")"),"")</f>
        <v/>
      </c>
      <c r="BY137" s="12" t="str">
        <f t="shared" si="9"/>
        <v>cfageb</v>
      </c>
      <c r="BZ137" s="12" t="str">
        <f>IFERROR(__xludf.DUMMYFUNCTION("CONCATENATE(SORT(TRANSPOSE(SPLIT(REGEXREPLACE(REGEXREPLACE(BY137&amp;"""",""(?s)(.{1})"",""$1""&amp;CHAR(127)),""'"",""''""),CHAR(127))),1,true),""1"")"),"abcefg1")</f>
        <v>abcefg1</v>
      </c>
      <c r="CA137" s="16"/>
      <c r="CB137" s="12" t="str">
        <f t="shared" si="10"/>
        <v>cfd</v>
      </c>
      <c r="CC137" s="12" t="str">
        <f>IFERROR(__xludf.DUMMYFUNCTION("CONCATENATE(SORT(TRANSPOSE(SPLIT(REGEXREPLACE(REGEXREPLACE(CB137&amp;"""",""(?s)(.{1})"",""$1""&amp;CHAR(127)),""'"",""''""),CHAR(127))),1,true),""1"")"),"cdf1")</f>
        <v>cdf1</v>
      </c>
      <c r="CD137" s="16"/>
      <c r="CE137" s="12" t="str">
        <f t="shared" si="11"/>
        <v>gfcadeb</v>
      </c>
      <c r="CF137" s="12" t="str">
        <f>IFERROR(__xludf.DUMMYFUNCTION("CONCATENATE(SORT(TRANSPOSE(SPLIT(REGEXREPLACE(REGEXREPLACE(CE137&amp;"""",""(?s)(.{1})"",""$1""&amp;CHAR(127)),""'"",""''""),CHAR(127))),1,true),""1"")"),"abcdefg1")</f>
        <v>abcdefg1</v>
      </c>
      <c r="CG137" s="16"/>
      <c r="CH137" s="10" t="str">
        <f>IFERROR(__xludf.DUMMYFUNCTION("FILTER(K137:T137,len(K137:T137)=6)"),"dfagce")</f>
        <v>dfagce</v>
      </c>
      <c r="CI137" s="6" t="str">
        <f>IFERROR(__xludf.DUMMYFUNCTION("""COMPUTED_VALUE"""),"cfageb")</f>
        <v>cfageb</v>
      </c>
      <c r="CJ137" s="6" t="str">
        <f>IFERROR(__xludf.DUMMYFUNCTION("""COMPUTED_VALUE"""),"fdbgce")</f>
        <v>fdbgce</v>
      </c>
      <c r="CK137" s="6" t="str">
        <f>IFERROR(__xludf.DUMMYFUNCTION("REGEXREPLACE( $BG137, CONCATENATE(""["",CH137,""]""), """")"),"")</f>
        <v/>
      </c>
      <c r="CL137" s="6" t="str">
        <f>IFERROR(__xludf.DUMMYFUNCTION("REGEXREPLACE( $BG137, CONCATENATE(""["",CI137,""]""), """")"),"d")</f>
        <v>d</v>
      </c>
      <c r="CM137" s="6" t="str">
        <f>IFERROR(__xludf.DUMMYFUNCTION("REGEXREPLACE( $BG137, CONCATENATE(""["",CJ137,""]""), """")"),"a")</f>
        <v>a</v>
      </c>
      <c r="CN137" s="12" t="str">
        <f t="shared" si="12"/>
        <v>dfagce</v>
      </c>
      <c r="CO137" s="12" t="str">
        <f>IFERROR(__xludf.DUMMYFUNCTION("CONCATENATE(SORT(TRANSPOSE(SPLIT(REGEXREPLACE(REGEXREPLACE(CN137&amp;"""",""(?s)(.{1})"",""$1""&amp;CHAR(127)),""'"",""''""),CHAR(127))),1,true),""1"")"),"acdefg1")</f>
        <v>acdefg1</v>
      </c>
      <c r="CP137" s="15"/>
    </row>
    <row r="138">
      <c r="A138" s="1" t="s">
        <v>158</v>
      </c>
      <c r="H138" s="6" t="str">
        <f>IFERROR(__xludf.DUMMYFUNCTION("SPLIT(A138,""|"")"),"becdfa bfdca fgbacd gc dgcfb egdfb bcg cfag dcbaefg bcdage ")</f>
        <v>becdfa bfdca fgbacd gc dgcfb egdfb bcg cfag dcbaefg bcdage </v>
      </c>
      <c r="I138" s="6" t="str">
        <f>IFERROR(__xludf.DUMMYFUNCTION("""COMPUTED_VALUE""")," cafdgb cbg cdabge cgaf")</f>
        <v> cafdgb cbg cdabge cgaf</v>
      </c>
      <c r="J138" s="15"/>
      <c r="K138" s="6" t="str">
        <f>IFERROR(__xludf.DUMMYFUNCTION("split(H138,"" "")"),"becdfa")</f>
        <v>becdfa</v>
      </c>
      <c r="L138" s="6" t="str">
        <f>IFERROR(__xludf.DUMMYFUNCTION("""COMPUTED_VALUE"""),"bfdca")</f>
        <v>bfdca</v>
      </c>
      <c r="M138" s="6" t="str">
        <f>IFERROR(__xludf.DUMMYFUNCTION("""COMPUTED_VALUE"""),"fgbacd")</f>
        <v>fgbacd</v>
      </c>
      <c r="N138" s="6" t="str">
        <f>IFERROR(__xludf.DUMMYFUNCTION("""COMPUTED_VALUE"""),"gc")</f>
        <v>gc</v>
      </c>
      <c r="O138" s="6" t="str">
        <f>IFERROR(__xludf.DUMMYFUNCTION("""COMPUTED_VALUE"""),"dgcfb")</f>
        <v>dgcfb</v>
      </c>
      <c r="P138" s="6" t="str">
        <f>IFERROR(__xludf.DUMMYFUNCTION("""COMPUTED_VALUE"""),"egdfb")</f>
        <v>egdfb</v>
      </c>
      <c r="Q138" s="6" t="str">
        <f>IFERROR(__xludf.DUMMYFUNCTION("""COMPUTED_VALUE"""),"bcg")</f>
        <v>bcg</v>
      </c>
      <c r="R138" s="6" t="str">
        <f>IFERROR(__xludf.DUMMYFUNCTION("""COMPUTED_VALUE"""),"cfag")</f>
        <v>cfag</v>
      </c>
      <c r="S138" s="6" t="str">
        <f>IFERROR(__xludf.DUMMYFUNCTION("""COMPUTED_VALUE"""),"dcbaefg")</f>
        <v>dcbaefg</v>
      </c>
      <c r="T138" s="6" t="str">
        <f>IFERROR(__xludf.DUMMYFUNCTION("""COMPUTED_VALUE"""),"bcdage")</f>
        <v>bcdage</v>
      </c>
      <c r="U138" s="15"/>
      <c r="V138" s="6" t="str">
        <f>IFERROR(__xludf.DUMMYFUNCTION("split(I138,"" "")"),"cafdgb")</f>
        <v>cafdgb</v>
      </c>
      <c r="W138" s="6" t="str">
        <f>IFERROR(__xludf.DUMMYFUNCTION("""COMPUTED_VALUE"""),"cbg")</f>
        <v>cbg</v>
      </c>
      <c r="X138" s="6" t="str">
        <f>IFERROR(__xludf.DUMMYFUNCTION("""COMPUTED_VALUE"""),"cdabge")</f>
        <v>cdabge</v>
      </c>
      <c r="Y138" s="6" t="str">
        <f>IFERROR(__xludf.DUMMYFUNCTION("""COMPUTED_VALUE"""),"cgaf")</f>
        <v>cgaf</v>
      </c>
      <c r="Z138" s="6" t="str">
        <f>IFERROR(__xludf.DUMMYFUNCTION("CONCATENATE(SORT(TRANSPOSE(SPLIT(REGEXREPLACE(REGEXREPLACE(V138&amp;"""",""(?s)(.{1})"",""$1""&amp;CHAR(127)),""'"",""''""),CHAR(127))),1,true))"),"abcdfg")</f>
        <v>abcdfg</v>
      </c>
      <c r="AA138" s="6" t="str">
        <f>IFERROR(__xludf.DUMMYFUNCTION("CONCATENATE(SORT(TRANSPOSE(SPLIT(REGEXREPLACE(REGEXREPLACE(W138&amp;"""",""(?s)(.{1})"",""$1""&amp;CHAR(127)),""'"",""''""),CHAR(127))),1,true))"),"bcg")</f>
        <v>bcg</v>
      </c>
      <c r="AB138" s="6" t="str">
        <f>IFERROR(__xludf.DUMMYFUNCTION("CONCATENATE(SORT(TRANSPOSE(SPLIT(REGEXREPLACE(REGEXREPLACE(X138&amp;"""",""(?s)(.{1})"",""$1""&amp;CHAR(127)),""'"",""''""),CHAR(127))),1,true))"),"abcdeg")</f>
        <v>abcdeg</v>
      </c>
      <c r="AC138" s="6" t="str">
        <f>IFERROR(__xludf.DUMMYFUNCTION("CONCATENATE(SORT(TRANSPOSE(SPLIT(REGEXREPLACE(REGEXREPLACE(Y138&amp;"""",""(?s)(.{1})"",""$1""&amp;CHAR(127)),""'"",""''""),CHAR(127))),1,true))"),"acfg")</f>
        <v>acfg</v>
      </c>
      <c r="AD138" s="6">
        <f t="shared" ref="AD138:AG138" si="148">INDEX($AO$1:$CP$1,1,MATCH(CONCATENATE(Z138,"1"),$AO138:$CP138,0)+1)</f>
        <v>9</v>
      </c>
      <c r="AE138" s="6">
        <f t="shared" si="148"/>
        <v>7</v>
      </c>
      <c r="AF138" s="6">
        <f t="shared" si="148"/>
        <v>0</v>
      </c>
      <c r="AG138" s="6">
        <f t="shared" si="148"/>
        <v>4</v>
      </c>
      <c r="AH138" s="6">
        <f t="shared" si="3"/>
        <v>9704</v>
      </c>
      <c r="AI138" s="16"/>
      <c r="AJ138" s="9" t="str">
        <f>IFERROR(__xludf.DUMMYFUNCTION("REGEXREPLACE(AR138,CONCATENATE(""["",BY138,""]""),"""")"),"g")</f>
        <v>g</v>
      </c>
      <c r="AK138" s="10" t="str">
        <f>IFERROR(__xludf.DUMMYFUNCTION("FILTER($K138:$T138,len($K138:$T138)=6,NOT($K138:$T138=BY138))"),"fgbacd")</f>
        <v>fgbacd</v>
      </c>
      <c r="AL138" s="6" t="str">
        <f>IFERROR(__xludf.DUMMYFUNCTION("""COMPUTED_VALUE"""),"bcdage")</f>
        <v>bcdage</v>
      </c>
      <c r="AM138" s="6" t="str">
        <f>IFERROR(__xludf.DUMMYFUNCTION("REGEXREPLACE( $BG138, CONCATENATE(""["",AK138,""]""), """")"),"")</f>
        <v/>
      </c>
      <c r="AN138" s="6" t="str">
        <f>IFERROR(__xludf.DUMMYFUNCTION("REGEXREPLACE( $BG138, CONCATENATE(""["",AL138,""]""), """")"),"f")</f>
        <v>f</v>
      </c>
      <c r="AO138" s="11" t="str">
        <f t="shared" si="4"/>
        <v>bcdage</v>
      </c>
      <c r="AP138" s="12" t="str">
        <f>IFERROR(__xludf.DUMMYFUNCTION("CONCATENATE(SORT(TRANSPOSE(SPLIT(REGEXREPLACE(REGEXREPLACE(AO138&amp;"""",""(?s)(.{1})"",""$1""&amp;CHAR(127)),""'"",""''""),CHAR(127))),1,true),""1"")"),"abcdeg1")</f>
        <v>abcdeg1</v>
      </c>
      <c r="AQ138" s="16"/>
      <c r="AR138" s="12" t="str">
        <f t="shared" si="5"/>
        <v>gc</v>
      </c>
      <c r="AS138" s="12" t="str">
        <f>IFERROR(__xludf.DUMMYFUNCTION("CONCATENATE(SORT(TRANSPOSE(SPLIT(REGEXREPLACE(REGEXREPLACE(AR138&amp;"""",""(?s)(.{1})"",""$1""&amp;CHAR(127)),""'"",""''""),CHAR(127))),1,true),""1"")"),"cg1")</f>
        <v>cg1</v>
      </c>
      <c r="AT138" s="16"/>
      <c r="AU138" s="13" t="str">
        <f>IFERROR(__xludf.DUMMYFUNCTION("FILTER($K138:$T138,len($K138:$T138)=5,NOT($K138:$T138=BD138),NOT($K138:$T138=BP138))"),"egdfb")</f>
        <v>egdfb</v>
      </c>
      <c r="AV138" s="12" t="str">
        <f>IFERROR(__xludf.DUMMYFUNCTION("CONCATENATE(SORT(TRANSPOSE(SPLIT(REGEXREPLACE(REGEXREPLACE(AU138&amp;"""",""(?s)(.{1})"",""$1""&amp;CHAR(127)),""'"",""''""),CHAR(127))),1,true),""1"")"),"bdefg1")</f>
        <v>bdefg1</v>
      </c>
      <c r="AW138" s="16"/>
      <c r="AX138" s="10" t="str">
        <f>IFERROR(__xludf.DUMMYFUNCTION("FILTER($K138:$T138,len($K138:$T138)=5)"),"bfdca")</f>
        <v>bfdca</v>
      </c>
      <c r="AY138" s="6" t="str">
        <f>IFERROR(__xludf.DUMMYFUNCTION("""COMPUTED_VALUE"""),"dgcfb")</f>
        <v>dgcfb</v>
      </c>
      <c r="AZ138" s="6" t="str">
        <f>IFERROR(__xludf.DUMMYFUNCTION("""COMPUTED_VALUE"""),"egdfb")</f>
        <v>egdfb</v>
      </c>
      <c r="BA138" s="6" t="str">
        <f>IFERROR(__xludf.DUMMYFUNCTION("REGEXREPLACE( $AR138, CONCATENATE(""["",AX138,""]""), """")"),"g")</f>
        <v>g</v>
      </c>
      <c r="BB138" s="6" t="str">
        <f>IFERROR(__xludf.DUMMYFUNCTION("REGEXREPLACE( $AR138, CONCATENATE(""["",AY138,""]""), """")"),"")</f>
        <v/>
      </c>
      <c r="BC138" s="6" t="str">
        <f>IFERROR(__xludf.DUMMYFUNCTION("REGEXREPLACE( $AR138, CONCATENATE(""["",AZ138,""]""), """")"),"c")</f>
        <v>c</v>
      </c>
      <c r="BD138" s="11" t="str">
        <f t="shared" si="6"/>
        <v>dgcfb</v>
      </c>
      <c r="BE138" s="12" t="str">
        <f>IFERROR(__xludf.DUMMYFUNCTION("CONCATENATE(SORT(TRANSPOSE(SPLIT(REGEXREPLACE(REGEXREPLACE(BD138&amp;"""",""(?s)(.{1})"",""$1""&amp;CHAR(127)),""'"",""''""),CHAR(127))),1,true),""1"")"),"bcdfg1")</f>
        <v>bcdfg1</v>
      </c>
      <c r="BF138" s="16"/>
      <c r="BG138" s="12" t="str">
        <f t="shared" si="7"/>
        <v>cfag</v>
      </c>
      <c r="BH138" s="12" t="str">
        <f>IFERROR(__xludf.DUMMYFUNCTION("CONCATENATE(SORT(TRANSPOSE(SPLIT(REGEXREPLACE(REGEXREPLACE(BG138&amp;"""",""(?s)(.{1})"",""$1""&amp;CHAR(127)),""'"",""''""),CHAR(127))),1,true),""1"")"),"acfg1")</f>
        <v>acfg1</v>
      </c>
      <c r="BI138" s="16"/>
      <c r="BJ138" s="10" t="str">
        <f>IFERROR(__xludf.DUMMYFUNCTION("FILTER($K138:$T138,len($K138:$T138)=5)"),"bfdca")</f>
        <v>bfdca</v>
      </c>
      <c r="BK138" s="6" t="str">
        <f>IFERROR(__xludf.DUMMYFUNCTION("""COMPUTED_VALUE"""),"dgcfb")</f>
        <v>dgcfb</v>
      </c>
      <c r="BL138" s="6" t="str">
        <f>IFERROR(__xludf.DUMMYFUNCTION("""COMPUTED_VALUE"""),"egdfb")</f>
        <v>egdfb</v>
      </c>
      <c r="BM138" s="14" t="str">
        <f>IFERROR(__xludf.DUMMYFUNCTION("REGEXREPLACE( $BY138, CONCATENATE(""["",BJ138,""]""), """")"),"e")</f>
        <v>e</v>
      </c>
      <c r="BN138" s="14" t="str">
        <f>IFERROR(__xludf.DUMMYFUNCTION("REGEXREPLACE( $BY138, CONCATENATE(""["",BK138,""]""), """")"),"ea")</f>
        <v>ea</v>
      </c>
      <c r="BO138" s="14" t="str">
        <f>IFERROR(__xludf.DUMMYFUNCTION("REGEXREPLACE( $BY138, CONCATENATE(""["",BL138,""]""), """")"),"ca")</f>
        <v>ca</v>
      </c>
      <c r="BP138" s="11" t="str">
        <f t="shared" si="8"/>
        <v>bfdca</v>
      </c>
      <c r="BQ138" s="12" t="str">
        <f>IFERROR(__xludf.DUMMYFUNCTION("CONCATENATE(SORT(TRANSPOSE(SPLIT(REGEXREPLACE(REGEXREPLACE(BP138&amp;"""",""(?s)(.{1})"",""$1""&amp;CHAR(127)),""'"",""''""),CHAR(127))),1,true),""1"")"),"abcdf1")</f>
        <v>abcdf1</v>
      </c>
      <c r="BR138" s="16"/>
      <c r="BS138" s="10" t="str">
        <f>IFERROR(__xludf.DUMMYFUNCTION("FILTER(K138:T138,len(K138:T138)=6)"),"becdfa")</f>
        <v>becdfa</v>
      </c>
      <c r="BT138" s="6" t="str">
        <f>IFERROR(__xludf.DUMMYFUNCTION("""COMPUTED_VALUE"""),"fgbacd")</f>
        <v>fgbacd</v>
      </c>
      <c r="BU138" s="6" t="str">
        <f>IFERROR(__xludf.DUMMYFUNCTION("""COMPUTED_VALUE"""),"bcdage")</f>
        <v>bcdage</v>
      </c>
      <c r="BV138" s="6" t="str">
        <f>IFERROR(__xludf.DUMMYFUNCTION("REGEXREPLACE( $AR138, CONCATENATE(""["",BS138,""]""), """")"),"g")</f>
        <v>g</v>
      </c>
      <c r="BW138" s="6" t="str">
        <f>IFERROR(__xludf.DUMMYFUNCTION("REGEXREPLACE( $AR138, CONCATENATE(""["",BT138,""]""), """")"),"")</f>
        <v/>
      </c>
      <c r="BX138" s="6" t="str">
        <f>IFERROR(__xludf.DUMMYFUNCTION("REGEXREPLACE( $AR138, CONCATENATE(""["",BU138,""]""), """")"),"")</f>
        <v/>
      </c>
      <c r="BY138" s="12" t="str">
        <f t="shared" si="9"/>
        <v>becdfa</v>
      </c>
      <c r="BZ138" s="12" t="str">
        <f>IFERROR(__xludf.DUMMYFUNCTION("CONCATENATE(SORT(TRANSPOSE(SPLIT(REGEXREPLACE(REGEXREPLACE(BY138&amp;"""",""(?s)(.{1})"",""$1""&amp;CHAR(127)),""'"",""''""),CHAR(127))),1,true),""1"")"),"abcdef1")</f>
        <v>abcdef1</v>
      </c>
      <c r="CA138" s="16"/>
      <c r="CB138" s="12" t="str">
        <f t="shared" si="10"/>
        <v>bcg</v>
      </c>
      <c r="CC138" s="12" t="str">
        <f>IFERROR(__xludf.DUMMYFUNCTION("CONCATENATE(SORT(TRANSPOSE(SPLIT(REGEXREPLACE(REGEXREPLACE(CB138&amp;"""",""(?s)(.{1})"",""$1""&amp;CHAR(127)),""'"",""''""),CHAR(127))),1,true),""1"")"),"bcg1")</f>
        <v>bcg1</v>
      </c>
      <c r="CD138" s="16"/>
      <c r="CE138" s="12" t="str">
        <f t="shared" si="11"/>
        <v>dcbaefg</v>
      </c>
      <c r="CF138" s="12" t="str">
        <f>IFERROR(__xludf.DUMMYFUNCTION("CONCATENATE(SORT(TRANSPOSE(SPLIT(REGEXREPLACE(REGEXREPLACE(CE138&amp;"""",""(?s)(.{1})"",""$1""&amp;CHAR(127)),""'"",""''""),CHAR(127))),1,true),""1"")"),"abcdefg1")</f>
        <v>abcdefg1</v>
      </c>
      <c r="CG138" s="16"/>
      <c r="CH138" s="10" t="str">
        <f>IFERROR(__xludf.DUMMYFUNCTION("FILTER(K138:T138,len(K138:T138)=6)"),"becdfa")</f>
        <v>becdfa</v>
      </c>
      <c r="CI138" s="6" t="str">
        <f>IFERROR(__xludf.DUMMYFUNCTION("""COMPUTED_VALUE"""),"fgbacd")</f>
        <v>fgbacd</v>
      </c>
      <c r="CJ138" s="6" t="str">
        <f>IFERROR(__xludf.DUMMYFUNCTION("""COMPUTED_VALUE"""),"bcdage")</f>
        <v>bcdage</v>
      </c>
      <c r="CK138" s="6" t="str">
        <f>IFERROR(__xludf.DUMMYFUNCTION("REGEXREPLACE( $BG138, CONCATENATE(""["",CH138,""]""), """")"),"g")</f>
        <v>g</v>
      </c>
      <c r="CL138" s="6" t="str">
        <f>IFERROR(__xludf.DUMMYFUNCTION("REGEXREPLACE( $BG138, CONCATENATE(""["",CI138,""]""), """")"),"")</f>
        <v/>
      </c>
      <c r="CM138" s="6" t="str">
        <f>IFERROR(__xludf.DUMMYFUNCTION("REGEXREPLACE( $BG138, CONCATENATE(""["",CJ138,""]""), """")"),"f")</f>
        <v>f</v>
      </c>
      <c r="CN138" s="12" t="str">
        <f t="shared" si="12"/>
        <v>fgbacd</v>
      </c>
      <c r="CO138" s="12" t="str">
        <f>IFERROR(__xludf.DUMMYFUNCTION("CONCATENATE(SORT(TRANSPOSE(SPLIT(REGEXREPLACE(REGEXREPLACE(CN138&amp;"""",""(?s)(.{1})"",""$1""&amp;CHAR(127)),""'"",""''""),CHAR(127))),1,true),""1"")"),"abcdfg1")</f>
        <v>abcdfg1</v>
      </c>
      <c r="CP138" s="15"/>
    </row>
    <row r="139">
      <c r="A139" s="1" t="s">
        <v>159</v>
      </c>
      <c r="H139" s="6" t="str">
        <f>IFERROR(__xludf.DUMMYFUNCTION("SPLIT(A139,""|"")"),"dacbeg gbdf dfebca df fagec def abedgfc fcedg cbgde fgebdc ")</f>
        <v>dacbeg gbdf dfebca df fagec def abedgfc fcedg cbgde fgebdc </v>
      </c>
      <c r="I139" s="6" t="str">
        <f>IFERROR(__xludf.DUMMYFUNCTION("""COMPUTED_VALUE""")," cedfagb cagef cdgeab egfcd")</f>
        <v> cedfagb cagef cdgeab egfcd</v>
      </c>
      <c r="J139" s="15"/>
      <c r="K139" s="6" t="str">
        <f>IFERROR(__xludf.DUMMYFUNCTION("split(H139,"" "")"),"dacbeg")</f>
        <v>dacbeg</v>
      </c>
      <c r="L139" s="6" t="str">
        <f>IFERROR(__xludf.DUMMYFUNCTION("""COMPUTED_VALUE"""),"gbdf")</f>
        <v>gbdf</v>
      </c>
      <c r="M139" s="6" t="str">
        <f>IFERROR(__xludf.DUMMYFUNCTION("""COMPUTED_VALUE"""),"dfebca")</f>
        <v>dfebca</v>
      </c>
      <c r="N139" s="6" t="str">
        <f>IFERROR(__xludf.DUMMYFUNCTION("""COMPUTED_VALUE"""),"df")</f>
        <v>df</v>
      </c>
      <c r="O139" s="6" t="str">
        <f>IFERROR(__xludf.DUMMYFUNCTION("""COMPUTED_VALUE"""),"fagec")</f>
        <v>fagec</v>
      </c>
      <c r="P139" s="6" t="str">
        <f>IFERROR(__xludf.DUMMYFUNCTION("""COMPUTED_VALUE"""),"def")</f>
        <v>def</v>
      </c>
      <c r="Q139" s="6" t="str">
        <f>IFERROR(__xludf.DUMMYFUNCTION("""COMPUTED_VALUE"""),"abedgfc")</f>
        <v>abedgfc</v>
      </c>
      <c r="R139" s="6" t="str">
        <f>IFERROR(__xludf.DUMMYFUNCTION("""COMPUTED_VALUE"""),"fcedg")</f>
        <v>fcedg</v>
      </c>
      <c r="S139" s="6" t="str">
        <f>IFERROR(__xludf.DUMMYFUNCTION("""COMPUTED_VALUE"""),"cbgde")</f>
        <v>cbgde</v>
      </c>
      <c r="T139" s="6" t="str">
        <f>IFERROR(__xludf.DUMMYFUNCTION("""COMPUTED_VALUE"""),"fgebdc")</f>
        <v>fgebdc</v>
      </c>
      <c r="U139" s="15"/>
      <c r="V139" s="6" t="str">
        <f>IFERROR(__xludf.DUMMYFUNCTION("split(I139,"" "")"),"cedfagb")</f>
        <v>cedfagb</v>
      </c>
      <c r="W139" s="6" t="str">
        <f>IFERROR(__xludf.DUMMYFUNCTION("""COMPUTED_VALUE"""),"cagef")</f>
        <v>cagef</v>
      </c>
      <c r="X139" s="6" t="str">
        <f>IFERROR(__xludf.DUMMYFUNCTION("""COMPUTED_VALUE"""),"cdgeab")</f>
        <v>cdgeab</v>
      </c>
      <c r="Y139" s="6" t="str">
        <f>IFERROR(__xludf.DUMMYFUNCTION("""COMPUTED_VALUE"""),"egfcd")</f>
        <v>egfcd</v>
      </c>
      <c r="Z139" s="6" t="str">
        <f>IFERROR(__xludf.DUMMYFUNCTION("CONCATENATE(SORT(TRANSPOSE(SPLIT(REGEXREPLACE(REGEXREPLACE(V139&amp;"""",""(?s)(.{1})"",""$1""&amp;CHAR(127)),""'"",""''""),CHAR(127))),1,true))"),"abcdefg")</f>
        <v>abcdefg</v>
      </c>
      <c r="AA139" s="6" t="str">
        <f>IFERROR(__xludf.DUMMYFUNCTION("CONCATENATE(SORT(TRANSPOSE(SPLIT(REGEXREPLACE(REGEXREPLACE(W139&amp;"""",""(?s)(.{1})"",""$1""&amp;CHAR(127)),""'"",""''""),CHAR(127))),1,true))"),"acefg")</f>
        <v>acefg</v>
      </c>
      <c r="AB139" s="6" t="str">
        <f>IFERROR(__xludf.DUMMYFUNCTION("CONCATENATE(SORT(TRANSPOSE(SPLIT(REGEXREPLACE(REGEXREPLACE(X139&amp;"""",""(?s)(.{1})"",""$1""&amp;CHAR(127)),""'"",""''""),CHAR(127))),1,true))"),"abcdeg")</f>
        <v>abcdeg</v>
      </c>
      <c r="AC139" s="6" t="str">
        <f>IFERROR(__xludf.DUMMYFUNCTION("CONCATENATE(SORT(TRANSPOSE(SPLIT(REGEXREPLACE(REGEXREPLACE(Y139&amp;"""",""(?s)(.{1})"",""$1""&amp;CHAR(127)),""'"",""''""),CHAR(127))),1,true))"),"cdefg")</f>
        <v>cdefg</v>
      </c>
      <c r="AD139" s="6">
        <f t="shared" ref="AD139:AG139" si="149">INDEX($AO$1:$CP$1,1,MATCH(CONCATENATE(Z139,"1"),$AO139:$CP139,0)+1)</f>
        <v>8</v>
      </c>
      <c r="AE139" s="6">
        <f t="shared" si="149"/>
        <v>2</v>
      </c>
      <c r="AF139" s="6">
        <f t="shared" si="149"/>
        <v>6</v>
      </c>
      <c r="AG139" s="6">
        <f t="shared" si="149"/>
        <v>3</v>
      </c>
      <c r="AH139" s="6">
        <f t="shared" si="3"/>
        <v>8263</v>
      </c>
      <c r="AI139" s="16"/>
      <c r="AJ139" s="9" t="str">
        <f>IFERROR(__xludf.DUMMYFUNCTION("REGEXREPLACE(AR139,CONCATENATE(""["",BY139,""]""),"""")"),"f")</f>
        <v>f</v>
      </c>
      <c r="AK139" s="10" t="str">
        <f>IFERROR(__xludf.DUMMYFUNCTION("FILTER($K139:$T139,len($K139:$T139)=6,NOT($K139:$T139=BY139))"),"dfebca")</f>
        <v>dfebca</v>
      </c>
      <c r="AL139" s="6" t="str">
        <f>IFERROR(__xludf.DUMMYFUNCTION("""COMPUTED_VALUE"""),"fgebdc")</f>
        <v>fgebdc</v>
      </c>
      <c r="AM139" s="6" t="str">
        <f>IFERROR(__xludf.DUMMYFUNCTION("REGEXREPLACE( $BG139, CONCATENATE(""["",AK139,""]""), """")"),"g")</f>
        <v>g</v>
      </c>
      <c r="AN139" s="6" t="str">
        <f>IFERROR(__xludf.DUMMYFUNCTION("REGEXREPLACE( $BG139, CONCATENATE(""["",AL139,""]""), """")"),"")</f>
        <v/>
      </c>
      <c r="AO139" s="11" t="str">
        <f t="shared" si="4"/>
        <v>dfebca</v>
      </c>
      <c r="AP139" s="12" t="str">
        <f>IFERROR(__xludf.DUMMYFUNCTION("CONCATENATE(SORT(TRANSPOSE(SPLIT(REGEXREPLACE(REGEXREPLACE(AO139&amp;"""",""(?s)(.{1})"",""$1""&amp;CHAR(127)),""'"",""''""),CHAR(127))),1,true),""1"")"),"abcdef1")</f>
        <v>abcdef1</v>
      </c>
      <c r="AQ139" s="16"/>
      <c r="AR139" s="12" t="str">
        <f t="shared" si="5"/>
        <v>df</v>
      </c>
      <c r="AS139" s="12" t="str">
        <f>IFERROR(__xludf.DUMMYFUNCTION("CONCATENATE(SORT(TRANSPOSE(SPLIT(REGEXREPLACE(REGEXREPLACE(AR139&amp;"""",""(?s)(.{1})"",""$1""&amp;CHAR(127)),""'"",""''""),CHAR(127))),1,true),""1"")"),"df1")</f>
        <v>df1</v>
      </c>
      <c r="AT139" s="16"/>
      <c r="AU139" s="13" t="str">
        <f>IFERROR(__xludf.DUMMYFUNCTION("FILTER($K139:$T139,len($K139:$T139)=5,NOT($K139:$T139=BD139),NOT($K139:$T139=BP139))"),"fagec")</f>
        <v>fagec</v>
      </c>
      <c r="AV139" s="12" t="str">
        <f>IFERROR(__xludf.DUMMYFUNCTION("CONCATENATE(SORT(TRANSPOSE(SPLIT(REGEXREPLACE(REGEXREPLACE(AU139&amp;"""",""(?s)(.{1})"",""$1""&amp;CHAR(127)),""'"",""''""),CHAR(127))),1,true),""1"")"),"acefg1")</f>
        <v>acefg1</v>
      </c>
      <c r="AW139" s="16"/>
      <c r="AX139" s="10" t="str">
        <f>IFERROR(__xludf.DUMMYFUNCTION("FILTER($K139:$T139,len($K139:$T139)=5)"),"fagec")</f>
        <v>fagec</v>
      </c>
      <c r="AY139" s="6" t="str">
        <f>IFERROR(__xludf.DUMMYFUNCTION("""COMPUTED_VALUE"""),"fcedg")</f>
        <v>fcedg</v>
      </c>
      <c r="AZ139" s="6" t="str">
        <f>IFERROR(__xludf.DUMMYFUNCTION("""COMPUTED_VALUE"""),"cbgde")</f>
        <v>cbgde</v>
      </c>
      <c r="BA139" s="6" t="str">
        <f>IFERROR(__xludf.DUMMYFUNCTION("REGEXREPLACE( $AR139, CONCATENATE(""["",AX139,""]""), """")"),"d")</f>
        <v>d</v>
      </c>
      <c r="BB139" s="6" t="str">
        <f>IFERROR(__xludf.DUMMYFUNCTION("REGEXREPLACE( $AR139, CONCATENATE(""["",AY139,""]""), """")"),"")</f>
        <v/>
      </c>
      <c r="BC139" s="6" t="str">
        <f>IFERROR(__xludf.DUMMYFUNCTION("REGEXREPLACE( $AR139, CONCATENATE(""["",AZ139,""]""), """")"),"f")</f>
        <v>f</v>
      </c>
      <c r="BD139" s="11" t="str">
        <f t="shared" si="6"/>
        <v>fcedg</v>
      </c>
      <c r="BE139" s="12" t="str">
        <f>IFERROR(__xludf.DUMMYFUNCTION("CONCATENATE(SORT(TRANSPOSE(SPLIT(REGEXREPLACE(REGEXREPLACE(BD139&amp;"""",""(?s)(.{1})"",""$1""&amp;CHAR(127)),""'"",""''""),CHAR(127))),1,true),""1"")"),"cdefg1")</f>
        <v>cdefg1</v>
      </c>
      <c r="BF139" s="16"/>
      <c r="BG139" s="12" t="str">
        <f t="shared" si="7"/>
        <v>gbdf</v>
      </c>
      <c r="BH139" s="12" t="str">
        <f>IFERROR(__xludf.DUMMYFUNCTION("CONCATENATE(SORT(TRANSPOSE(SPLIT(REGEXREPLACE(REGEXREPLACE(BG139&amp;"""",""(?s)(.{1})"",""$1""&amp;CHAR(127)),""'"",""''""),CHAR(127))),1,true),""1"")"),"bdfg1")</f>
        <v>bdfg1</v>
      </c>
      <c r="BI139" s="16"/>
      <c r="BJ139" s="10" t="str">
        <f>IFERROR(__xludf.DUMMYFUNCTION("FILTER($K139:$T139,len($K139:$T139)=5)"),"fagec")</f>
        <v>fagec</v>
      </c>
      <c r="BK139" s="6" t="str">
        <f>IFERROR(__xludf.DUMMYFUNCTION("""COMPUTED_VALUE"""),"fcedg")</f>
        <v>fcedg</v>
      </c>
      <c r="BL139" s="6" t="str">
        <f>IFERROR(__xludf.DUMMYFUNCTION("""COMPUTED_VALUE"""),"cbgde")</f>
        <v>cbgde</v>
      </c>
      <c r="BM139" s="14" t="str">
        <f>IFERROR(__xludf.DUMMYFUNCTION("REGEXREPLACE( $BY139, CONCATENATE(""["",BJ139,""]""), """")"),"db")</f>
        <v>db</v>
      </c>
      <c r="BN139" s="14" t="str">
        <f>IFERROR(__xludf.DUMMYFUNCTION("REGEXREPLACE( $BY139, CONCATENATE(""["",BK139,""]""), """")"),"ab")</f>
        <v>ab</v>
      </c>
      <c r="BO139" s="14" t="str">
        <f>IFERROR(__xludf.DUMMYFUNCTION("REGEXREPLACE( $BY139, CONCATENATE(""["",BL139,""]""), """")"),"a")</f>
        <v>a</v>
      </c>
      <c r="BP139" s="11" t="str">
        <f t="shared" si="8"/>
        <v>cbgde</v>
      </c>
      <c r="BQ139" s="12" t="str">
        <f>IFERROR(__xludf.DUMMYFUNCTION("CONCATENATE(SORT(TRANSPOSE(SPLIT(REGEXREPLACE(REGEXREPLACE(BP139&amp;"""",""(?s)(.{1})"",""$1""&amp;CHAR(127)),""'"",""''""),CHAR(127))),1,true),""1"")"),"bcdeg1")</f>
        <v>bcdeg1</v>
      </c>
      <c r="BR139" s="16"/>
      <c r="BS139" s="10" t="str">
        <f>IFERROR(__xludf.DUMMYFUNCTION("FILTER(K139:T139,len(K139:T139)=6)"),"dacbeg")</f>
        <v>dacbeg</v>
      </c>
      <c r="BT139" s="6" t="str">
        <f>IFERROR(__xludf.DUMMYFUNCTION("""COMPUTED_VALUE"""),"dfebca")</f>
        <v>dfebca</v>
      </c>
      <c r="BU139" s="6" t="str">
        <f>IFERROR(__xludf.DUMMYFUNCTION("""COMPUTED_VALUE"""),"fgebdc")</f>
        <v>fgebdc</v>
      </c>
      <c r="BV139" s="6" t="str">
        <f>IFERROR(__xludf.DUMMYFUNCTION("REGEXREPLACE( $AR139, CONCATENATE(""["",BS139,""]""), """")"),"f")</f>
        <v>f</v>
      </c>
      <c r="BW139" s="6" t="str">
        <f>IFERROR(__xludf.DUMMYFUNCTION("REGEXREPLACE( $AR139, CONCATENATE(""["",BT139,""]""), """")"),"")</f>
        <v/>
      </c>
      <c r="BX139" s="6" t="str">
        <f>IFERROR(__xludf.DUMMYFUNCTION("REGEXREPLACE( $AR139, CONCATENATE(""["",BU139,""]""), """")"),"")</f>
        <v/>
      </c>
      <c r="BY139" s="12" t="str">
        <f t="shared" si="9"/>
        <v>dacbeg</v>
      </c>
      <c r="BZ139" s="12" t="str">
        <f>IFERROR(__xludf.DUMMYFUNCTION("CONCATENATE(SORT(TRANSPOSE(SPLIT(REGEXREPLACE(REGEXREPLACE(BY139&amp;"""",""(?s)(.{1})"",""$1""&amp;CHAR(127)),""'"",""''""),CHAR(127))),1,true),""1"")"),"abcdeg1")</f>
        <v>abcdeg1</v>
      </c>
      <c r="CA139" s="16"/>
      <c r="CB139" s="12" t="str">
        <f t="shared" si="10"/>
        <v>def</v>
      </c>
      <c r="CC139" s="12" t="str">
        <f>IFERROR(__xludf.DUMMYFUNCTION("CONCATENATE(SORT(TRANSPOSE(SPLIT(REGEXREPLACE(REGEXREPLACE(CB139&amp;"""",""(?s)(.{1})"",""$1""&amp;CHAR(127)),""'"",""''""),CHAR(127))),1,true),""1"")"),"def1")</f>
        <v>def1</v>
      </c>
      <c r="CD139" s="16"/>
      <c r="CE139" s="12" t="str">
        <f t="shared" si="11"/>
        <v>abedgfc</v>
      </c>
      <c r="CF139" s="12" t="str">
        <f>IFERROR(__xludf.DUMMYFUNCTION("CONCATENATE(SORT(TRANSPOSE(SPLIT(REGEXREPLACE(REGEXREPLACE(CE139&amp;"""",""(?s)(.{1})"",""$1""&amp;CHAR(127)),""'"",""''""),CHAR(127))),1,true),""1"")"),"abcdefg1")</f>
        <v>abcdefg1</v>
      </c>
      <c r="CG139" s="16"/>
      <c r="CH139" s="10" t="str">
        <f>IFERROR(__xludf.DUMMYFUNCTION("FILTER(K139:T139,len(K139:T139)=6)"),"dacbeg")</f>
        <v>dacbeg</v>
      </c>
      <c r="CI139" s="6" t="str">
        <f>IFERROR(__xludf.DUMMYFUNCTION("""COMPUTED_VALUE"""),"dfebca")</f>
        <v>dfebca</v>
      </c>
      <c r="CJ139" s="6" t="str">
        <f>IFERROR(__xludf.DUMMYFUNCTION("""COMPUTED_VALUE"""),"fgebdc")</f>
        <v>fgebdc</v>
      </c>
      <c r="CK139" s="6" t="str">
        <f>IFERROR(__xludf.DUMMYFUNCTION("REGEXREPLACE( $BG139, CONCATENATE(""["",CH139,""]""), """")"),"f")</f>
        <v>f</v>
      </c>
      <c r="CL139" s="6" t="str">
        <f>IFERROR(__xludf.DUMMYFUNCTION("REGEXREPLACE( $BG139, CONCATENATE(""["",CI139,""]""), """")"),"g")</f>
        <v>g</v>
      </c>
      <c r="CM139" s="6" t="str">
        <f>IFERROR(__xludf.DUMMYFUNCTION("REGEXREPLACE( $BG139, CONCATENATE(""["",CJ139,""]""), """")"),"")</f>
        <v/>
      </c>
      <c r="CN139" s="12" t="str">
        <f t="shared" si="12"/>
        <v>fgebdc</v>
      </c>
      <c r="CO139" s="12" t="str">
        <f>IFERROR(__xludf.DUMMYFUNCTION("CONCATENATE(SORT(TRANSPOSE(SPLIT(REGEXREPLACE(REGEXREPLACE(CN139&amp;"""",""(?s)(.{1})"",""$1""&amp;CHAR(127)),""'"",""''""),CHAR(127))),1,true),""1"")"),"bcdefg1")</f>
        <v>bcdefg1</v>
      </c>
      <c r="CP139" s="15"/>
    </row>
    <row r="140">
      <c r="A140" s="1" t="s">
        <v>160</v>
      </c>
      <c r="H140" s="6" t="str">
        <f>IFERROR(__xludf.DUMMYFUNCTION("SPLIT(A140,""|"")"),"edbcag edgbc agdbef ebacd cdeagfb bda ba cagb dface gcbedf ")</f>
        <v>edbcag edgbc agdbef ebacd cdeagfb bda ba cagb dface gcbedf </v>
      </c>
      <c r="I140" s="6" t="str">
        <f>IFERROR(__xludf.DUMMYFUNCTION("""COMPUTED_VALUE""")," cagb dba dcbgaef adebc")</f>
        <v> cagb dba dcbgaef adebc</v>
      </c>
      <c r="J140" s="15"/>
      <c r="K140" s="6" t="str">
        <f>IFERROR(__xludf.DUMMYFUNCTION("split(H140,"" "")"),"edbcag")</f>
        <v>edbcag</v>
      </c>
      <c r="L140" s="6" t="str">
        <f>IFERROR(__xludf.DUMMYFUNCTION("""COMPUTED_VALUE"""),"edgbc")</f>
        <v>edgbc</v>
      </c>
      <c r="M140" s="6" t="str">
        <f>IFERROR(__xludf.DUMMYFUNCTION("""COMPUTED_VALUE"""),"agdbef")</f>
        <v>agdbef</v>
      </c>
      <c r="N140" s="6" t="str">
        <f>IFERROR(__xludf.DUMMYFUNCTION("""COMPUTED_VALUE"""),"ebacd")</f>
        <v>ebacd</v>
      </c>
      <c r="O140" s="6" t="str">
        <f>IFERROR(__xludf.DUMMYFUNCTION("""COMPUTED_VALUE"""),"cdeagfb")</f>
        <v>cdeagfb</v>
      </c>
      <c r="P140" s="6" t="str">
        <f>IFERROR(__xludf.DUMMYFUNCTION("""COMPUTED_VALUE"""),"bda")</f>
        <v>bda</v>
      </c>
      <c r="Q140" s="6" t="str">
        <f>IFERROR(__xludf.DUMMYFUNCTION("""COMPUTED_VALUE"""),"ba")</f>
        <v>ba</v>
      </c>
      <c r="R140" s="6" t="str">
        <f>IFERROR(__xludf.DUMMYFUNCTION("""COMPUTED_VALUE"""),"cagb")</f>
        <v>cagb</v>
      </c>
      <c r="S140" s="6" t="str">
        <f>IFERROR(__xludf.DUMMYFUNCTION("""COMPUTED_VALUE"""),"dface")</f>
        <v>dface</v>
      </c>
      <c r="T140" s="6" t="str">
        <f>IFERROR(__xludf.DUMMYFUNCTION("""COMPUTED_VALUE"""),"gcbedf")</f>
        <v>gcbedf</v>
      </c>
      <c r="U140" s="15"/>
      <c r="V140" s="6" t="str">
        <f>IFERROR(__xludf.DUMMYFUNCTION("split(I140,"" "")"),"cagb")</f>
        <v>cagb</v>
      </c>
      <c r="W140" s="6" t="str">
        <f>IFERROR(__xludf.DUMMYFUNCTION("""COMPUTED_VALUE"""),"dba")</f>
        <v>dba</v>
      </c>
      <c r="X140" s="6" t="str">
        <f>IFERROR(__xludf.DUMMYFUNCTION("""COMPUTED_VALUE"""),"dcbgaef")</f>
        <v>dcbgaef</v>
      </c>
      <c r="Y140" s="6" t="str">
        <f>IFERROR(__xludf.DUMMYFUNCTION("""COMPUTED_VALUE"""),"adebc")</f>
        <v>adebc</v>
      </c>
      <c r="Z140" s="6" t="str">
        <f>IFERROR(__xludf.DUMMYFUNCTION("CONCATENATE(SORT(TRANSPOSE(SPLIT(REGEXREPLACE(REGEXREPLACE(V140&amp;"""",""(?s)(.{1})"",""$1""&amp;CHAR(127)),""'"",""''""),CHAR(127))),1,true))"),"abcg")</f>
        <v>abcg</v>
      </c>
      <c r="AA140" s="6" t="str">
        <f>IFERROR(__xludf.DUMMYFUNCTION("CONCATENATE(SORT(TRANSPOSE(SPLIT(REGEXREPLACE(REGEXREPLACE(W140&amp;"""",""(?s)(.{1})"",""$1""&amp;CHAR(127)),""'"",""''""),CHAR(127))),1,true))"),"abd")</f>
        <v>abd</v>
      </c>
      <c r="AB140" s="6" t="str">
        <f>IFERROR(__xludf.DUMMYFUNCTION("CONCATENATE(SORT(TRANSPOSE(SPLIT(REGEXREPLACE(REGEXREPLACE(X140&amp;"""",""(?s)(.{1})"",""$1""&amp;CHAR(127)),""'"",""''""),CHAR(127))),1,true))"),"abcdefg")</f>
        <v>abcdefg</v>
      </c>
      <c r="AC140" s="6" t="str">
        <f>IFERROR(__xludf.DUMMYFUNCTION("CONCATENATE(SORT(TRANSPOSE(SPLIT(REGEXREPLACE(REGEXREPLACE(Y140&amp;"""",""(?s)(.{1})"",""$1""&amp;CHAR(127)),""'"",""''""),CHAR(127))),1,true))"),"abcde")</f>
        <v>abcde</v>
      </c>
      <c r="AD140" s="6">
        <f t="shared" ref="AD140:AG140" si="150">INDEX($AO$1:$CP$1,1,MATCH(CONCATENATE(Z140,"1"),$AO140:$CP140,0)+1)</f>
        <v>4</v>
      </c>
      <c r="AE140" s="6">
        <f t="shared" si="150"/>
        <v>7</v>
      </c>
      <c r="AF140" s="6">
        <f t="shared" si="150"/>
        <v>8</v>
      </c>
      <c r="AG140" s="6">
        <f t="shared" si="150"/>
        <v>3</v>
      </c>
      <c r="AH140" s="6">
        <f t="shared" si="3"/>
        <v>4783</v>
      </c>
      <c r="AI140" s="16"/>
      <c r="AJ140" s="9" t="str">
        <f>IFERROR(__xludf.DUMMYFUNCTION("REGEXREPLACE(AR140,CONCATENATE(""["",BY140,""]""),"""")"),"a")</f>
        <v>a</v>
      </c>
      <c r="AK140" s="10" t="str">
        <f>IFERROR(__xludf.DUMMYFUNCTION("FILTER($K140:$T140,len($K140:$T140)=6,NOT($K140:$T140=BY140))"),"edbcag")</f>
        <v>edbcag</v>
      </c>
      <c r="AL140" s="6" t="str">
        <f>IFERROR(__xludf.DUMMYFUNCTION("""COMPUTED_VALUE"""),"agdbef")</f>
        <v>agdbef</v>
      </c>
      <c r="AM140" s="6" t="str">
        <f>IFERROR(__xludf.DUMMYFUNCTION("REGEXREPLACE( $BG140, CONCATENATE(""["",AK140,""]""), """")"),"")</f>
        <v/>
      </c>
      <c r="AN140" s="6" t="str">
        <f>IFERROR(__xludf.DUMMYFUNCTION("REGEXREPLACE( $BG140, CONCATENATE(""["",AL140,""]""), """")"),"c")</f>
        <v>c</v>
      </c>
      <c r="AO140" s="11" t="str">
        <f t="shared" si="4"/>
        <v>agdbef</v>
      </c>
      <c r="AP140" s="12" t="str">
        <f>IFERROR(__xludf.DUMMYFUNCTION("CONCATENATE(SORT(TRANSPOSE(SPLIT(REGEXREPLACE(REGEXREPLACE(AO140&amp;"""",""(?s)(.{1})"",""$1""&amp;CHAR(127)),""'"",""''""),CHAR(127))),1,true),""1"")"),"abdefg1")</f>
        <v>abdefg1</v>
      </c>
      <c r="AQ140" s="16"/>
      <c r="AR140" s="12" t="str">
        <f t="shared" si="5"/>
        <v>ba</v>
      </c>
      <c r="AS140" s="12" t="str">
        <f>IFERROR(__xludf.DUMMYFUNCTION("CONCATENATE(SORT(TRANSPOSE(SPLIT(REGEXREPLACE(REGEXREPLACE(AR140&amp;"""",""(?s)(.{1})"",""$1""&amp;CHAR(127)),""'"",""''""),CHAR(127))),1,true),""1"")"),"ab1")</f>
        <v>ab1</v>
      </c>
      <c r="AT140" s="16"/>
      <c r="AU140" s="13" t="str">
        <f>IFERROR(__xludf.DUMMYFUNCTION("FILTER($K140:$T140,len($K140:$T140)=5,NOT($K140:$T140=BD140),NOT($K140:$T140=BP140))"),"dface")</f>
        <v>dface</v>
      </c>
      <c r="AV140" s="12" t="str">
        <f>IFERROR(__xludf.DUMMYFUNCTION("CONCATENATE(SORT(TRANSPOSE(SPLIT(REGEXREPLACE(REGEXREPLACE(AU140&amp;"""",""(?s)(.{1})"",""$1""&amp;CHAR(127)),""'"",""''""),CHAR(127))),1,true),""1"")"),"acdef1")</f>
        <v>acdef1</v>
      </c>
      <c r="AW140" s="16"/>
      <c r="AX140" s="10" t="str">
        <f>IFERROR(__xludf.DUMMYFUNCTION("FILTER($K140:$T140,len($K140:$T140)=5)"),"edgbc")</f>
        <v>edgbc</v>
      </c>
      <c r="AY140" s="6" t="str">
        <f>IFERROR(__xludf.DUMMYFUNCTION("""COMPUTED_VALUE"""),"ebacd")</f>
        <v>ebacd</v>
      </c>
      <c r="AZ140" s="6" t="str">
        <f>IFERROR(__xludf.DUMMYFUNCTION("""COMPUTED_VALUE"""),"dface")</f>
        <v>dface</v>
      </c>
      <c r="BA140" s="6" t="str">
        <f>IFERROR(__xludf.DUMMYFUNCTION("REGEXREPLACE( $AR140, CONCATENATE(""["",AX140,""]""), """")"),"a")</f>
        <v>a</v>
      </c>
      <c r="BB140" s="6" t="str">
        <f>IFERROR(__xludf.DUMMYFUNCTION("REGEXREPLACE( $AR140, CONCATENATE(""["",AY140,""]""), """")"),"")</f>
        <v/>
      </c>
      <c r="BC140" s="6" t="str">
        <f>IFERROR(__xludf.DUMMYFUNCTION("REGEXREPLACE( $AR140, CONCATENATE(""["",AZ140,""]""), """")"),"b")</f>
        <v>b</v>
      </c>
      <c r="BD140" s="11" t="str">
        <f t="shared" si="6"/>
        <v>ebacd</v>
      </c>
      <c r="BE140" s="12" t="str">
        <f>IFERROR(__xludf.DUMMYFUNCTION("CONCATENATE(SORT(TRANSPOSE(SPLIT(REGEXREPLACE(REGEXREPLACE(BD140&amp;"""",""(?s)(.{1})"",""$1""&amp;CHAR(127)),""'"",""''""),CHAR(127))),1,true),""1"")"),"abcde1")</f>
        <v>abcde1</v>
      </c>
      <c r="BF140" s="16"/>
      <c r="BG140" s="12" t="str">
        <f t="shared" si="7"/>
        <v>cagb</v>
      </c>
      <c r="BH140" s="12" t="str">
        <f>IFERROR(__xludf.DUMMYFUNCTION("CONCATENATE(SORT(TRANSPOSE(SPLIT(REGEXREPLACE(REGEXREPLACE(BG140&amp;"""",""(?s)(.{1})"",""$1""&amp;CHAR(127)),""'"",""''""),CHAR(127))),1,true),""1"")"),"abcg1")</f>
        <v>abcg1</v>
      </c>
      <c r="BI140" s="16"/>
      <c r="BJ140" s="10" t="str">
        <f>IFERROR(__xludf.DUMMYFUNCTION("FILTER($K140:$T140,len($K140:$T140)=5)"),"edgbc")</f>
        <v>edgbc</v>
      </c>
      <c r="BK140" s="6" t="str">
        <f>IFERROR(__xludf.DUMMYFUNCTION("""COMPUTED_VALUE"""),"ebacd")</f>
        <v>ebacd</v>
      </c>
      <c r="BL140" s="6" t="str">
        <f>IFERROR(__xludf.DUMMYFUNCTION("""COMPUTED_VALUE"""),"dface")</f>
        <v>dface</v>
      </c>
      <c r="BM140" s="14" t="str">
        <f>IFERROR(__xludf.DUMMYFUNCTION("REGEXREPLACE( $BY140, CONCATENATE(""["",BJ140,""]""), """")"),"f")</f>
        <v>f</v>
      </c>
      <c r="BN140" s="14" t="str">
        <f>IFERROR(__xludf.DUMMYFUNCTION("REGEXREPLACE( $BY140, CONCATENATE(""["",BK140,""]""), """")"),"gf")</f>
        <v>gf</v>
      </c>
      <c r="BO140" s="14" t="str">
        <f>IFERROR(__xludf.DUMMYFUNCTION("REGEXREPLACE( $BY140, CONCATENATE(""["",BL140,""]""), """")"),"gb")</f>
        <v>gb</v>
      </c>
      <c r="BP140" s="11" t="str">
        <f t="shared" si="8"/>
        <v>edgbc</v>
      </c>
      <c r="BQ140" s="12" t="str">
        <f>IFERROR(__xludf.DUMMYFUNCTION("CONCATENATE(SORT(TRANSPOSE(SPLIT(REGEXREPLACE(REGEXREPLACE(BP140&amp;"""",""(?s)(.{1})"",""$1""&amp;CHAR(127)),""'"",""''""),CHAR(127))),1,true),""1"")"),"bcdeg1")</f>
        <v>bcdeg1</v>
      </c>
      <c r="BR140" s="16"/>
      <c r="BS140" s="10" t="str">
        <f>IFERROR(__xludf.DUMMYFUNCTION("FILTER(K140:T140,len(K140:T140)=6)"),"edbcag")</f>
        <v>edbcag</v>
      </c>
      <c r="BT140" s="6" t="str">
        <f>IFERROR(__xludf.DUMMYFUNCTION("""COMPUTED_VALUE"""),"agdbef")</f>
        <v>agdbef</v>
      </c>
      <c r="BU140" s="6" t="str">
        <f>IFERROR(__xludf.DUMMYFUNCTION("""COMPUTED_VALUE"""),"gcbedf")</f>
        <v>gcbedf</v>
      </c>
      <c r="BV140" s="6" t="str">
        <f>IFERROR(__xludf.DUMMYFUNCTION("REGEXREPLACE( $AR140, CONCATENATE(""["",BS140,""]""), """")"),"")</f>
        <v/>
      </c>
      <c r="BW140" s="6" t="str">
        <f>IFERROR(__xludf.DUMMYFUNCTION("REGEXREPLACE( $AR140, CONCATENATE(""["",BT140,""]""), """")"),"")</f>
        <v/>
      </c>
      <c r="BX140" s="6" t="str">
        <f>IFERROR(__xludf.DUMMYFUNCTION("REGEXREPLACE( $AR140, CONCATENATE(""["",BU140,""]""), """")"),"a")</f>
        <v>a</v>
      </c>
      <c r="BY140" s="12" t="str">
        <f t="shared" si="9"/>
        <v>gcbedf</v>
      </c>
      <c r="BZ140" s="12" t="str">
        <f>IFERROR(__xludf.DUMMYFUNCTION("CONCATENATE(SORT(TRANSPOSE(SPLIT(REGEXREPLACE(REGEXREPLACE(BY140&amp;"""",""(?s)(.{1})"",""$1""&amp;CHAR(127)),""'"",""''""),CHAR(127))),1,true),""1"")"),"bcdefg1")</f>
        <v>bcdefg1</v>
      </c>
      <c r="CA140" s="16"/>
      <c r="CB140" s="12" t="str">
        <f t="shared" si="10"/>
        <v>bda</v>
      </c>
      <c r="CC140" s="12" t="str">
        <f>IFERROR(__xludf.DUMMYFUNCTION("CONCATENATE(SORT(TRANSPOSE(SPLIT(REGEXREPLACE(REGEXREPLACE(CB140&amp;"""",""(?s)(.{1})"",""$1""&amp;CHAR(127)),""'"",""''""),CHAR(127))),1,true),""1"")"),"abd1")</f>
        <v>abd1</v>
      </c>
      <c r="CD140" s="16"/>
      <c r="CE140" s="12" t="str">
        <f t="shared" si="11"/>
        <v>cdeagfb</v>
      </c>
      <c r="CF140" s="12" t="str">
        <f>IFERROR(__xludf.DUMMYFUNCTION("CONCATENATE(SORT(TRANSPOSE(SPLIT(REGEXREPLACE(REGEXREPLACE(CE140&amp;"""",""(?s)(.{1})"",""$1""&amp;CHAR(127)),""'"",""''""),CHAR(127))),1,true),""1"")"),"abcdefg1")</f>
        <v>abcdefg1</v>
      </c>
      <c r="CG140" s="16"/>
      <c r="CH140" s="10" t="str">
        <f>IFERROR(__xludf.DUMMYFUNCTION("FILTER(K140:T140,len(K140:T140)=6)"),"edbcag")</f>
        <v>edbcag</v>
      </c>
      <c r="CI140" s="6" t="str">
        <f>IFERROR(__xludf.DUMMYFUNCTION("""COMPUTED_VALUE"""),"agdbef")</f>
        <v>agdbef</v>
      </c>
      <c r="CJ140" s="6" t="str">
        <f>IFERROR(__xludf.DUMMYFUNCTION("""COMPUTED_VALUE"""),"gcbedf")</f>
        <v>gcbedf</v>
      </c>
      <c r="CK140" s="6" t="str">
        <f>IFERROR(__xludf.DUMMYFUNCTION("REGEXREPLACE( $BG140, CONCATENATE(""["",CH140,""]""), """")"),"")</f>
        <v/>
      </c>
      <c r="CL140" s="6" t="str">
        <f>IFERROR(__xludf.DUMMYFUNCTION("REGEXREPLACE( $BG140, CONCATENATE(""["",CI140,""]""), """")"),"c")</f>
        <v>c</v>
      </c>
      <c r="CM140" s="6" t="str">
        <f>IFERROR(__xludf.DUMMYFUNCTION("REGEXREPLACE( $BG140, CONCATENATE(""["",CJ140,""]""), """")"),"a")</f>
        <v>a</v>
      </c>
      <c r="CN140" s="12" t="str">
        <f t="shared" si="12"/>
        <v>edbcag</v>
      </c>
      <c r="CO140" s="12" t="str">
        <f>IFERROR(__xludf.DUMMYFUNCTION("CONCATENATE(SORT(TRANSPOSE(SPLIT(REGEXREPLACE(REGEXREPLACE(CN140&amp;"""",""(?s)(.{1})"",""$1""&amp;CHAR(127)),""'"",""''""),CHAR(127))),1,true),""1"")"),"abcdeg1")</f>
        <v>abcdeg1</v>
      </c>
      <c r="CP140" s="15"/>
    </row>
    <row r="141">
      <c r="A141" s="1" t="s">
        <v>161</v>
      </c>
      <c r="H141" s="6" t="str">
        <f>IFERROR(__xludf.DUMMYFUNCTION("SPLIT(A141,""|"")"),"egafbc adcfgb ef cdgfeb fcdgaeb ecdag cfe cdgfe ebdf dcgfb ")</f>
        <v>egafbc adcfgb ef cdgfeb fcdgaeb ecdag cfe cdgfe ebdf dcgfb </v>
      </c>
      <c r="I141" s="6" t="str">
        <f>IFERROR(__xludf.DUMMYFUNCTION("""COMPUTED_VALUE""")," geadc eadgc fec febcag")</f>
        <v> geadc eadgc fec febcag</v>
      </c>
      <c r="J141" s="15"/>
      <c r="K141" s="6" t="str">
        <f>IFERROR(__xludf.DUMMYFUNCTION("split(H141,"" "")"),"egafbc")</f>
        <v>egafbc</v>
      </c>
      <c r="L141" s="6" t="str">
        <f>IFERROR(__xludf.DUMMYFUNCTION("""COMPUTED_VALUE"""),"adcfgb")</f>
        <v>adcfgb</v>
      </c>
      <c r="M141" s="6" t="str">
        <f>IFERROR(__xludf.DUMMYFUNCTION("""COMPUTED_VALUE"""),"ef")</f>
        <v>ef</v>
      </c>
      <c r="N141" s="6" t="str">
        <f>IFERROR(__xludf.DUMMYFUNCTION("""COMPUTED_VALUE"""),"cdgfeb")</f>
        <v>cdgfeb</v>
      </c>
      <c r="O141" s="6" t="str">
        <f>IFERROR(__xludf.DUMMYFUNCTION("""COMPUTED_VALUE"""),"fcdgaeb")</f>
        <v>fcdgaeb</v>
      </c>
      <c r="P141" s="6" t="str">
        <f>IFERROR(__xludf.DUMMYFUNCTION("""COMPUTED_VALUE"""),"ecdag")</f>
        <v>ecdag</v>
      </c>
      <c r="Q141" s="6" t="str">
        <f>IFERROR(__xludf.DUMMYFUNCTION("""COMPUTED_VALUE"""),"cfe")</f>
        <v>cfe</v>
      </c>
      <c r="R141" s="6" t="str">
        <f>IFERROR(__xludf.DUMMYFUNCTION("""COMPUTED_VALUE"""),"cdgfe")</f>
        <v>cdgfe</v>
      </c>
      <c r="S141" s="6" t="str">
        <f>IFERROR(__xludf.DUMMYFUNCTION("""COMPUTED_VALUE"""),"ebdf")</f>
        <v>ebdf</v>
      </c>
      <c r="T141" s="6" t="str">
        <f>IFERROR(__xludf.DUMMYFUNCTION("""COMPUTED_VALUE"""),"dcgfb")</f>
        <v>dcgfb</v>
      </c>
      <c r="U141" s="15"/>
      <c r="V141" s="6" t="str">
        <f>IFERROR(__xludf.DUMMYFUNCTION("split(I141,"" "")"),"geadc")</f>
        <v>geadc</v>
      </c>
      <c r="W141" s="6" t="str">
        <f>IFERROR(__xludf.DUMMYFUNCTION("""COMPUTED_VALUE"""),"eadgc")</f>
        <v>eadgc</v>
      </c>
      <c r="X141" s="6" t="str">
        <f>IFERROR(__xludf.DUMMYFUNCTION("""COMPUTED_VALUE"""),"fec")</f>
        <v>fec</v>
      </c>
      <c r="Y141" s="6" t="str">
        <f>IFERROR(__xludf.DUMMYFUNCTION("""COMPUTED_VALUE"""),"febcag")</f>
        <v>febcag</v>
      </c>
      <c r="Z141" s="6" t="str">
        <f>IFERROR(__xludf.DUMMYFUNCTION("CONCATENATE(SORT(TRANSPOSE(SPLIT(REGEXREPLACE(REGEXREPLACE(V141&amp;"""",""(?s)(.{1})"",""$1""&amp;CHAR(127)),""'"",""''""),CHAR(127))),1,true))"),"acdeg")</f>
        <v>acdeg</v>
      </c>
      <c r="AA141" s="6" t="str">
        <f>IFERROR(__xludf.DUMMYFUNCTION("CONCATENATE(SORT(TRANSPOSE(SPLIT(REGEXREPLACE(REGEXREPLACE(W141&amp;"""",""(?s)(.{1})"",""$1""&amp;CHAR(127)),""'"",""''""),CHAR(127))),1,true))"),"acdeg")</f>
        <v>acdeg</v>
      </c>
      <c r="AB141" s="6" t="str">
        <f>IFERROR(__xludf.DUMMYFUNCTION("CONCATENATE(SORT(TRANSPOSE(SPLIT(REGEXREPLACE(REGEXREPLACE(X141&amp;"""",""(?s)(.{1})"",""$1""&amp;CHAR(127)),""'"",""''""),CHAR(127))),1,true))"),"cef")</f>
        <v>cef</v>
      </c>
      <c r="AC141" s="6" t="str">
        <f>IFERROR(__xludf.DUMMYFUNCTION("CONCATENATE(SORT(TRANSPOSE(SPLIT(REGEXREPLACE(REGEXREPLACE(Y141&amp;"""",""(?s)(.{1})"",""$1""&amp;CHAR(127)),""'"",""''""),CHAR(127))),1,true))"),"abcefg")</f>
        <v>abcefg</v>
      </c>
      <c r="AD141" s="6">
        <f t="shared" ref="AD141:AG141" si="151">INDEX($AO$1:$CP$1,1,MATCH(CONCATENATE(Z141,"1"),$AO141:$CP141,0)+1)</f>
        <v>2</v>
      </c>
      <c r="AE141" s="6">
        <f t="shared" si="151"/>
        <v>2</v>
      </c>
      <c r="AF141" s="6">
        <f t="shared" si="151"/>
        <v>7</v>
      </c>
      <c r="AG141" s="6">
        <f t="shared" si="151"/>
        <v>0</v>
      </c>
      <c r="AH141" s="6">
        <f t="shared" si="3"/>
        <v>2270</v>
      </c>
      <c r="AI141" s="16"/>
      <c r="AJ141" s="9" t="str">
        <f>IFERROR(__xludf.DUMMYFUNCTION("REGEXREPLACE(AR141,CONCATENATE(""["",BY141,""]""),"""")"),"e")</f>
        <v>e</v>
      </c>
      <c r="AK141" s="10" t="str">
        <f>IFERROR(__xludf.DUMMYFUNCTION("FILTER($K141:$T141,len($K141:$T141)=6,NOT($K141:$T141=BY141))"),"egafbc")</f>
        <v>egafbc</v>
      </c>
      <c r="AL141" s="6" t="str">
        <f>IFERROR(__xludf.DUMMYFUNCTION("""COMPUTED_VALUE"""),"cdgfeb")</f>
        <v>cdgfeb</v>
      </c>
      <c r="AM141" s="6" t="str">
        <f>IFERROR(__xludf.DUMMYFUNCTION("REGEXREPLACE( $BG141, CONCATENATE(""["",AK141,""]""), """")"),"d")</f>
        <v>d</v>
      </c>
      <c r="AN141" s="6" t="str">
        <f>IFERROR(__xludf.DUMMYFUNCTION("REGEXREPLACE( $BG141, CONCATENATE(""["",AL141,""]""), """")"),"")</f>
        <v/>
      </c>
      <c r="AO141" s="11" t="str">
        <f t="shared" si="4"/>
        <v>egafbc</v>
      </c>
      <c r="AP141" s="12" t="str">
        <f>IFERROR(__xludf.DUMMYFUNCTION("CONCATENATE(SORT(TRANSPOSE(SPLIT(REGEXREPLACE(REGEXREPLACE(AO141&amp;"""",""(?s)(.{1})"",""$1""&amp;CHAR(127)),""'"",""''""),CHAR(127))),1,true),""1"")"),"abcefg1")</f>
        <v>abcefg1</v>
      </c>
      <c r="AQ141" s="16"/>
      <c r="AR141" s="12" t="str">
        <f t="shared" si="5"/>
        <v>ef</v>
      </c>
      <c r="AS141" s="12" t="str">
        <f>IFERROR(__xludf.DUMMYFUNCTION("CONCATENATE(SORT(TRANSPOSE(SPLIT(REGEXREPLACE(REGEXREPLACE(AR141&amp;"""",""(?s)(.{1})"",""$1""&amp;CHAR(127)),""'"",""''""),CHAR(127))),1,true),""1"")"),"ef1")</f>
        <v>ef1</v>
      </c>
      <c r="AT141" s="16"/>
      <c r="AU141" s="13" t="str">
        <f>IFERROR(__xludf.DUMMYFUNCTION("FILTER($K141:$T141,len($K141:$T141)=5,NOT($K141:$T141=BD141),NOT($K141:$T141=BP141))"),"ecdag")</f>
        <v>ecdag</v>
      </c>
      <c r="AV141" s="12" t="str">
        <f>IFERROR(__xludf.DUMMYFUNCTION("CONCATENATE(SORT(TRANSPOSE(SPLIT(REGEXREPLACE(REGEXREPLACE(AU141&amp;"""",""(?s)(.{1})"",""$1""&amp;CHAR(127)),""'"",""''""),CHAR(127))),1,true),""1"")"),"acdeg1")</f>
        <v>acdeg1</v>
      </c>
      <c r="AW141" s="16"/>
      <c r="AX141" s="10" t="str">
        <f>IFERROR(__xludf.DUMMYFUNCTION("FILTER($K141:$T141,len($K141:$T141)=5)"),"ecdag")</f>
        <v>ecdag</v>
      </c>
      <c r="AY141" s="6" t="str">
        <f>IFERROR(__xludf.DUMMYFUNCTION("""COMPUTED_VALUE"""),"cdgfe")</f>
        <v>cdgfe</v>
      </c>
      <c r="AZ141" s="6" t="str">
        <f>IFERROR(__xludf.DUMMYFUNCTION("""COMPUTED_VALUE"""),"dcgfb")</f>
        <v>dcgfb</v>
      </c>
      <c r="BA141" s="6" t="str">
        <f>IFERROR(__xludf.DUMMYFUNCTION("REGEXREPLACE( $AR141, CONCATENATE(""["",AX141,""]""), """")"),"f")</f>
        <v>f</v>
      </c>
      <c r="BB141" s="6" t="str">
        <f>IFERROR(__xludf.DUMMYFUNCTION("REGEXREPLACE( $AR141, CONCATENATE(""["",AY141,""]""), """")"),"")</f>
        <v/>
      </c>
      <c r="BC141" s="6" t="str">
        <f>IFERROR(__xludf.DUMMYFUNCTION("REGEXREPLACE( $AR141, CONCATENATE(""["",AZ141,""]""), """")"),"e")</f>
        <v>e</v>
      </c>
      <c r="BD141" s="11" t="str">
        <f t="shared" si="6"/>
        <v>cdgfe</v>
      </c>
      <c r="BE141" s="12" t="str">
        <f>IFERROR(__xludf.DUMMYFUNCTION("CONCATENATE(SORT(TRANSPOSE(SPLIT(REGEXREPLACE(REGEXREPLACE(BD141&amp;"""",""(?s)(.{1})"",""$1""&amp;CHAR(127)),""'"",""''""),CHAR(127))),1,true),""1"")"),"cdefg1")</f>
        <v>cdefg1</v>
      </c>
      <c r="BF141" s="16"/>
      <c r="BG141" s="12" t="str">
        <f t="shared" si="7"/>
        <v>ebdf</v>
      </c>
      <c r="BH141" s="12" t="str">
        <f>IFERROR(__xludf.DUMMYFUNCTION("CONCATENATE(SORT(TRANSPOSE(SPLIT(REGEXREPLACE(REGEXREPLACE(BG141&amp;"""",""(?s)(.{1})"",""$1""&amp;CHAR(127)),""'"",""''""),CHAR(127))),1,true),""1"")"),"bdef1")</f>
        <v>bdef1</v>
      </c>
      <c r="BI141" s="16"/>
      <c r="BJ141" s="10" t="str">
        <f>IFERROR(__xludf.DUMMYFUNCTION("FILTER($K141:$T141,len($K141:$T141)=5)"),"ecdag")</f>
        <v>ecdag</v>
      </c>
      <c r="BK141" s="6" t="str">
        <f>IFERROR(__xludf.DUMMYFUNCTION("""COMPUTED_VALUE"""),"cdgfe")</f>
        <v>cdgfe</v>
      </c>
      <c r="BL141" s="6" t="str">
        <f>IFERROR(__xludf.DUMMYFUNCTION("""COMPUTED_VALUE"""),"dcgfb")</f>
        <v>dcgfb</v>
      </c>
      <c r="BM141" s="14" t="str">
        <f>IFERROR(__xludf.DUMMYFUNCTION("REGEXREPLACE( $BY141, CONCATENATE(""["",BJ141,""]""), """")"),"fb")</f>
        <v>fb</v>
      </c>
      <c r="BN141" s="14" t="str">
        <f>IFERROR(__xludf.DUMMYFUNCTION("REGEXREPLACE( $BY141, CONCATENATE(""["",BK141,""]""), """")"),"ab")</f>
        <v>ab</v>
      </c>
      <c r="BO141" s="14" t="str">
        <f>IFERROR(__xludf.DUMMYFUNCTION("REGEXREPLACE( $BY141, CONCATENATE(""["",BL141,""]""), """")"),"a")</f>
        <v>a</v>
      </c>
      <c r="BP141" s="11" t="str">
        <f t="shared" si="8"/>
        <v>dcgfb</v>
      </c>
      <c r="BQ141" s="12" t="str">
        <f>IFERROR(__xludf.DUMMYFUNCTION("CONCATENATE(SORT(TRANSPOSE(SPLIT(REGEXREPLACE(REGEXREPLACE(BP141&amp;"""",""(?s)(.{1})"",""$1""&amp;CHAR(127)),""'"",""''""),CHAR(127))),1,true),""1"")"),"bcdfg1")</f>
        <v>bcdfg1</v>
      </c>
      <c r="BR141" s="16"/>
      <c r="BS141" s="10" t="str">
        <f>IFERROR(__xludf.DUMMYFUNCTION("FILTER(K141:T141,len(K141:T141)=6)"),"egafbc")</f>
        <v>egafbc</v>
      </c>
      <c r="BT141" s="6" t="str">
        <f>IFERROR(__xludf.DUMMYFUNCTION("""COMPUTED_VALUE"""),"adcfgb")</f>
        <v>adcfgb</v>
      </c>
      <c r="BU141" s="6" t="str">
        <f>IFERROR(__xludf.DUMMYFUNCTION("""COMPUTED_VALUE"""),"cdgfeb")</f>
        <v>cdgfeb</v>
      </c>
      <c r="BV141" s="6" t="str">
        <f>IFERROR(__xludf.DUMMYFUNCTION("REGEXREPLACE( $AR141, CONCATENATE(""["",BS141,""]""), """")"),"")</f>
        <v/>
      </c>
      <c r="BW141" s="6" t="str">
        <f>IFERROR(__xludf.DUMMYFUNCTION("REGEXREPLACE( $AR141, CONCATENATE(""["",BT141,""]""), """")"),"e")</f>
        <v>e</v>
      </c>
      <c r="BX141" s="6" t="str">
        <f>IFERROR(__xludf.DUMMYFUNCTION("REGEXREPLACE( $AR141, CONCATENATE(""["",BU141,""]""), """")"),"")</f>
        <v/>
      </c>
      <c r="BY141" s="12" t="str">
        <f t="shared" si="9"/>
        <v>adcfgb</v>
      </c>
      <c r="BZ141" s="12" t="str">
        <f>IFERROR(__xludf.DUMMYFUNCTION("CONCATENATE(SORT(TRANSPOSE(SPLIT(REGEXREPLACE(REGEXREPLACE(BY141&amp;"""",""(?s)(.{1})"",""$1""&amp;CHAR(127)),""'"",""''""),CHAR(127))),1,true),""1"")"),"abcdfg1")</f>
        <v>abcdfg1</v>
      </c>
      <c r="CA141" s="16"/>
      <c r="CB141" s="12" t="str">
        <f t="shared" si="10"/>
        <v>cfe</v>
      </c>
      <c r="CC141" s="12" t="str">
        <f>IFERROR(__xludf.DUMMYFUNCTION("CONCATENATE(SORT(TRANSPOSE(SPLIT(REGEXREPLACE(REGEXREPLACE(CB141&amp;"""",""(?s)(.{1})"",""$1""&amp;CHAR(127)),""'"",""''""),CHAR(127))),1,true),""1"")"),"cef1")</f>
        <v>cef1</v>
      </c>
      <c r="CD141" s="16"/>
      <c r="CE141" s="12" t="str">
        <f t="shared" si="11"/>
        <v>fcdgaeb</v>
      </c>
      <c r="CF141" s="12" t="str">
        <f>IFERROR(__xludf.DUMMYFUNCTION("CONCATENATE(SORT(TRANSPOSE(SPLIT(REGEXREPLACE(REGEXREPLACE(CE141&amp;"""",""(?s)(.{1})"",""$1""&amp;CHAR(127)),""'"",""''""),CHAR(127))),1,true),""1"")"),"abcdefg1")</f>
        <v>abcdefg1</v>
      </c>
      <c r="CG141" s="16"/>
      <c r="CH141" s="10" t="str">
        <f>IFERROR(__xludf.DUMMYFUNCTION("FILTER(K141:T141,len(K141:T141)=6)"),"egafbc")</f>
        <v>egafbc</v>
      </c>
      <c r="CI141" s="6" t="str">
        <f>IFERROR(__xludf.DUMMYFUNCTION("""COMPUTED_VALUE"""),"adcfgb")</f>
        <v>adcfgb</v>
      </c>
      <c r="CJ141" s="6" t="str">
        <f>IFERROR(__xludf.DUMMYFUNCTION("""COMPUTED_VALUE"""),"cdgfeb")</f>
        <v>cdgfeb</v>
      </c>
      <c r="CK141" s="6" t="str">
        <f>IFERROR(__xludf.DUMMYFUNCTION("REGEXREPLACE( $BG141, CONCATENATE(""["",CH141,""]""), """")"),"d")</f>
        <v>d</v>
      </c>
      <c r="CL141" s="6" t="str">
        <f>IFERROR(__xludf.DUMMYFUNCTION("REGEXREPLACE( $BG141, CONCATENATE(""["",CI141,""]""), """")"),"e")</f>
        <v>e</v>
      </c>
      <c r="CM141" s="6" t="str">
        <f>IFERROR(__xludf.DUMMYFUNCTION("REGEXREPLACE( $BG141, CONCATENATE(""["",CJ141,""]""), """")"),"")</f>
        <v/>
      </c>
      <c r="CN141" s="12" t="str">
        <f t="shared" si="12"/>
        <v>cdgfeb</v>
      </c>
      <c r="CO141" s="12" t="str">
        <f>IFERROR(__xludf.DUMMYFUNCTION("CONCATENATE(SORT(TRANSPOSE(SPLIT(REGEXREPLACE(REGEXREPLACE(CN141&amp;"""",""(?s)(.{1})"",""$1""&amp;CHAR(127)),""'"",""''""),CHAR(127))),1,true),""1"")"),"bcdefg1")</f>
        <v>bcdefg1</v>
      </c>
      <c r="CP141" s="15"/>
    </row>
    <row r="142">
      <c r="A142" s="1" t="s">
        <v>162</v>
      </c>
      <c r="H142" s="6" t="str">
        <f>IFERROR(__xludf.DUMMYFUNCTION("SPLIT(A142,""|"")"),"aefgb gac gabce fcgaed ebagdc gc cedab fdbcae abcgedf gcbd ")</f>
        <v>aefgb gac gabce fcgaed ebagdc gc cedab fdbcae abcgedf gcbd </v>
      </c>
      <c r="I142" s="6" t="str">
        <f>IFERROR(__xludf.DUMMYFUNCTION("""COMPUTED_VALUE""")," cbgae dfeacg bgdcea agc")</f>
        <v> cbgae dfeacg bgdcea agc</v>
      </c>
      <c r="J142" s="15"/>
      <c r="K142" s="6" t="str">
        <f>IFERROR(__xludf.DUMMYFUNCTION("split(H142,"" "")"),"aefgb")</f>
        <v>aefgb</v>
      </c>
      <c r="L142" s="6" t="str">
        <f>IFERROR(__xludf.DUMMYFUNCTION("""COMPUTED_VALUE"""),"gac")</f>
        <v>gac</v>
      </c>
      <c r="M142" s="6" t="str">
        <f>IFERROR(__xludf.DUMMYFUNCTION("""COMPUTED_VALUE"""),"gabce")</f>
        <v>gabce</v>
      </c>
      <c r="N142" s="6" t="str">
        <f>IFERROR(__xludf.DUMMYFUNCTION("""COMPUTED_VALUE"""),"fcgaed")</f>
        <v>fcgaed</v>
      </c>
      <c r="O142" s="6" t="str">
        <f>IFERROR(__xludf.DUMMYFUNCTION("""COMPUTED_VALUE"""),"ebagdc")</f>
        <v>ebagdc</v>
      </c>
      <c r="P142" s="6" t="str">
        <f>IFERROR(__xludf.DUMMYFUNCTION("""COMPUTED_VALUE"""),"gc")</f>
        <v>gc</v>
      </c>
      <c r="Q142" s="6" t="str">
        <f>IFERROR(__xludf.DUMMYFUNCTION("""COMPUTED_VALUE"""),"cedab")</f>
        <v>cedab</v>
      </c>
      <c r="R142" s="6" t="str">
        <f>IFERROR(__xludf.DUMMYFUNCTION("""COMPUTED_VALUE"""),"fdbcae")</f>
        <v>fdbcae</v>
      </c>
      <c r="S142" s="6" t="str">
        <f>IFERROR(__xludf.DUMMYFUNCTION("""COMPUTED_VALUE"""),"abcgedf")</f>
        <v>abcgedf</v>
      </c>
      <c r="T142" s="6" t="str">
        <f>IFERROR(__xludf.DUMMYFUNCTION("""COMPUTED_VALUE"""),"gcbd")</f>
        <v>gcbd</v>
      </c>
      <c r="U142" s="15"/>
      <c r="V142" s="6" t="str">
        <f>IFERROR(__xludf.DUMMYFUNCTION("split(I142,"" "")"),"cbgae")</f>
        <v>cbgae</v>
      </c>
      <c r="W142" s="6" t="str">
        <f>IFERROR(__xludf.DUMMYFUNCTION("""COMPUTED_VALUE"""),"dfeacg")</f>
        <v>dfeacg</v>
      </c>
      <c r="X142" s="6" t="str">
        <f>IFERROR(__xludf.DUMMYFUNCTION("""COMPUTED_VALUE"""),"bgdcea")</f>
        <v>bgdcea</v>
      </c>
      <c r="Y142" s="6" t="str">
        <f>IFERROR(__xludf.DUMMYFUNCTION("""COMPUTED_VALUE"""),"agc")</f>
        <v>agc</v>
      </c>
      <c r="Z142" s="6" t="str">
        <f>IFERROR(__xludf.DUMMYFUNCTION("CONCATENATE(SORT(TRANSPOSE(SPLIT(REGEXREPLACE(REGEXREPLACE(V142&amp;"""",""(?s)(.{1})"",""$1""&amp;CHAR(127)),""'"",""''""),CHAR(127))),1,true))"),"abceg")</f>
        <v>abceg</v>
      </c>
      <c r="AA142" s="6" t="str">
        <f>IFERROR(__xludf.DUMMYFUNCTION("CONCATENATE(SORT(TRANSPOSE(SPLIT(REGEXREPLACE(REGEXREPLACE(W142&amp;"""",""(?s)(.{1})"",""$1""&amp;CHAR(127)),""'"",""''""),CHAR(127))),1,true))"),"acdefg")</f>
        <v>acdefg</v>
      </c>
      <c r="AB142" s="6" t="str">
        <f>IFERROR(__xludf.DUMMYFUNCTION("CONCATENATE(SORT(TRANSPOSE(SPLIT(REGEXREPLACE(REGEXREPLACE(X142&amp;"""",""(?s)(.{1})"",""$1""&amp;CHAR(127)),""'"",""''""),CHAR(127))),1,true))"),"abcdeg")</f>
        <v>abcdeg</v>
      </c>
      <c r="AC142" s="6" t="str">
        <f>IFERROR(__xludf.DUMMYFUNCTION("CONCATENATE(SORT(TRANSPOSE(SPLIT(REGEXREPLACE(REGEXREPLACE(Y142&amp;"""",""(?s)(.{1})"",""$1""&amp;CHAR(127)),""'"",""''""),CHAR(127))),1,true))"),"acg")</f>
        <v>acg</v>
      </c>
      <c r="AD142" s="6">
        <f t="shared" ref="AD142:AG142" si="152">INDEX($AO$1:$CP$1,1,MATCH(CONCATENATE(Z142,"1"),$AO142:$CP142,0)+1)</f>
        <v>3</v>
      </c>
      <c r="AE142" s="6">
        <f t="shared" si="152"/>
        <v>0</v>
      </c>
      <c r="AF142" s="6">
        <f t="shared" si="152"/>
        <v>9</v>
      </c>
      <c r="AG142" s="6">
        <f t="shared" si="152"/>
        <v>7</v>
      </c>
      <c r="AH142" s="6">
        <f t="shared" si="3"/>
        <v>3097</v>
      </c>
      <c r="AI142" s="16"/>
      <c r="AJ142" s="9" t="str">
        <f>IFERROR(__xludf.DUMMYFUNCTION("REGEXREPLACE(AR142,CONCATENATE(""["",BY142,""]""),"""")"),"g")</f>
        <v>g</v>
      </c>
      <c r="AK142" s="10" t="str">
        <f>IFERROR(__xludf.DUMMYFUNCTION("FILTER($K142:$T142,len($K142:$T142)=6,NOT($K142:$T142=BY142))"),"fcgaed")</f>
        <v>fcgaed</v>
      </c>
      <c r="AL142" s="6" t="str">
        <f>IFERROR(__xludf.DUMMYFUNCTION("""COMPUTED_VALUE"""),"ebagdc")</f>
        <v>ebagdc</v>
      </c>
      <c r="AM142" s="6" t="str">
        <f>IFERROR(__xludf.DUMMYFUNCTION("REGEXREPLACE( $BG142, CONCATENATE(""["",AK142,""]""), """")"),"b")</f>
        <v>b</v>
      </c>
      <c r="AN142" s="6" t="str">
        <f>IFERROR(__xludf.DUMMYFUNCTION("REGEXREPLACE( $BG142, CONCATENATE(""["",AL142,""]""), """")"),"")</f>
        <v/>
      </c>
      <c r="AO142" s="11" t="str">
        <f t="shared" si="4"/>
        <v>fcgaed</v>
      </c>
      <c r="AP142" s="12" t="str">
        <f>IFERROR(__xludf.DUMMYFUNCTION("CONCATENATE(SORT(TRANSPOSE(SPLIT(REGEXREPLACE(REGEXREPLACE(AO142&amp;"""",""(?s)(.{1})"",""$1""&amp;CHAR(127)),""'"",""''""),CHAR(127))),1,true),""1"")"),"acdefg1")</f>
        <v>acdefg1</v>
      </c>
      <c r="AQ142" s="16"/>
      <c r="AR142" s="12" t="str">
        <f t="shared" si="5"/>
        <v>gc</v>
      </c>
      <c r="AS142" s="12" t="str">
        <f>IFERROR(__xludf.DUMMYFUNCTION("CONCATENATE(SORT(TRANSPOSE(SPLIT(REGEXREPLACE(REGEXREPLACE(AR142&amp;"""",""(?s)(.{1})"",""$1""&amp;CHAR(127)),""'"",""''""),CHAR(127))),1,true),""1"")"),"cg1")</f>
        <v>cg1</v>
      </c>
      <c r="AT142" s="16"/>
      <c r="AU142" s="13" t="str">
        <f>IFERROR(__xludf.DUMMYFUNCTION("FILTER($K142:$T142,len($K142:$T142)=5,NOT($K142:$T142=BD142),NOT($K142:$T142=BP142))"),"aefgb")</f>
        <v>aefgb</v>
      </c>
      <c r="AV142" s="12" t="str">
        <f>IFERROR(__xludf.DUMMYFUNCTION("CONCATENATE(SORT(TRANSPOSE(SPLIT(REGEXREPLACE(REGEXREPLACE(AU142&amp;"""",""(?s)(.{1})"",""$1""&amp;CHAR(127)),""'"",""''""),CHAR(127))),1,true),""1"")"),"abefg1")</f>
        <v>abefg1</v>
      </c>
      <c r="AW142" s="16"/>
      <c r="AX142" s="10" t="str">
        <f>IFERROR(__xludf.DUMMYFUNCTION("FILTER($K142:$T142,len($K142:$T142)=5)"),"aefgb")</f>
        <v>aefgb</v>
      </c>
      <c r="AY142" s="6" t="str">
        <f>IFERROR(__xludf.DUMMYFUNCTION("""COMPUTED_VALUE"""),"gabce")</f>
        <v>gabce</v>
      </c>
      <c r="AZ142" s="6" t="str">
        <f>IFERROR(__xludf.DUMMYFUNCTION("""COMPUTED_VALUE"""),"cedab")</f>
        <v>cedab</v>
      </c>
      <c r="BA142" s="6" t="str">
        <f>IFERROR(__xludf.DUMMYFUNCTION("REGEXREPLACE( $AR142, CONCATENATE(""["",AX142,""]""), """")"),"c")</f>
        <v>c</v>
      </c>
      <c r="BB142" s="6" t="str">
        <f>IFERROR(__xludf.DUMMYFUNCTION("REGEXREPLACE( $AR142, CONCATENATE(""["",AY142,""]""), """")"),"")</f>
        <v/>
      </c>
      <c r="BC142" s="6" t="str">
        <f>IFERROR(__xludf.DUMMYFUNCTION("REGEXREPLACE( $AR142, CONCATENATE(""["",AZ142,""]""), """")"),"g")</f>
        <v>g</v>
      </c>
      <c r="BD142" s="11" t="str">
        <f t="shared" si="6"/>
        <v>gabce</v>
      </c>
      <c r="BE142" s="12" t="str">
        <f>IFERROR(__xludf.DUMMYFUNCTION("CONCATENATE(SORT(TRANSPOSE(SPLIT(REGEXREPLACE(REGEXREPLACE(BD142&amp;"""",""(?s)(.{1})"",""$1""&amp;CHAR(127)),""'"",""''""),CHAR(127))),1,true),""1"")"),"abceg1")</f>
        <v>abceg1</v>
      </c>
      <c r="BF142" s="16"/>
      <c r="BG142" s="12" t="str">
        <f t="shared" si="7"/>
        <v>gcbd</v>
      </c>
      <c r="BH142" s="12" t="str">
        <f>IFERROR(__xludf.DUMMYFUNCTION("CONCATENATE(SORT(TRANSPOSE(SPLIT(REGEXREPLACE(REGEXREPLACE(BG142&amp;"""",""(?s)(.{1})"",""$1""&amp;CHAR(127)),""'"",""''""),CHAR(127))),1,true),""1"")"),"bcdg1")</f>
        <v>bcdg1</v>
      </c>
      <c r="BI142" s="16"/>
      <c r="BJ142" s="10" t="str">
        <f>IFERROR(__xludf.DUMMYFUNCTION("FILTER($K142:$T142,len($K142:$T142)=5)"),"aefgb")</f>
        <v>aefgb</v>
      </c>
      <c r="BK142" s="6" t="str">
        <f>IFERROR(__xludf.DUMMYFUNCTION("""COMPUTED_VALUE"""),"gabce")</f>
        <v>gabce</v>
      </c>
      <c r="BL142" s="6" t="str">
        <f>IFERROR(__xludf.DUMMYFUNCTION("""COMPUTED_VALUE"""),"cedab")</f>
        <v>cedab</v>
      </c>
      <c r="BM142" s="14" t="str">
        <f>IFERROR(__xludf.DUMMYFUNCTION("REGEXREPLACE( $BY142, CONCATENATE(""["",BJ142,""]""), """")"),"dc")</f>
        <v>dc</v>
      </c>
      <c r="BN142" s="14" t="str">
        <f>IFERROR(__xludf.DUMMYFUNCTION("REGEXREPLACE( $BY142, CONCATENATE(""["",BK142,""]""), """")"),"fd")</f>
        <v>fd</v>
      </c>
      <c r="BO142" s="14" t="str">
        <f>IFERROR(__xludf.DUMMYFUNCTION("REGEXREPLACE( $BY142, CONCATENATE(""["",BL142,""]""), """")"),"f")</f>
        <v>f</v>
      </c>
      <c r="BP142" s="11" t="str">
        <f t="shared" si="8"/>
        <v>cedab</v>
      </c>
      <c r="BQ142" s="12" t="str">
        <f>IFERROR(__xludf.DUMMYFUNCTION("CONCATENATE(SORT(TRANSPOSE(SPLIT(REGEXREPLACE(REGEXREPLACE(BP142&amp;"""",""(?s)(.{1})"",""$1""&amp;CHAR(127)),""'"",""''""),CHAR(127))),1,true),""1"")"),"abcde1")</f>
        <v>abcde1</v>
      </c>
      <c r="BR142" s="16"/>
      <c r="BS142" s="10" t="str">
        <f>IFERROR(__xludf.DUMMYFUNCTION("FILTER(K142:T142,len(K142:T142)=6)"),"fcgaed")</f>
        <v>fcgaed</v>
      </c>
      <c r="BT142" s="6" t="str">
        <f>IFERROR(__xludf.DUMMYFUNCTION("""COMPUTED_VALUE"""),"ebagdc")</f>
        <v>ebagdc</v>
      </c>
      <c r="BU142" s="6" t="str">
        <f>IFERROR(__xludf.DUMMYFUNCTION("""COMPUTED_VALUE"""),"fdbcae")</f>
        <v>fdbcae</v>
      </c>
      <c r="BV142" s="6" t="str">
        <f>IFERROR(__xludf.DUMMYFUNCTION("REGEXREPLACE( $AR142, CONCATENATE(""["",BS142,""]""), """")"),"")</f>
        <v/>
      </c>
      <c r="BW142" s="6" t="str">
        <f>IFERROR(__xludf.DUMMYFUNCTION("REGEXREPLACE( $AR142, CONCATENATE(""["",BT142,""]""), """")"),"")</f>
        <v/>
      </c>
      <c r="BX142" s="6" t="str">
        <f>IFERROR(__xludf.DUMMYFUNCTION("REGEXREPLACE( $AR142, CONCATENATE(""["",BU142,""]""), """")"),"g")</f>
        <v>g</v>
      </c>
      <c r="BY142" s="12" t="str">
        <f t="shared" si="9"/>
        <v>fdbcae</v>
      </c>
      <c r="BZ142" s="12" t="str">
        <f>IFERROR(__xludf.DUMMYFUNCTION("CONCATENATE(SORT(TRANSPOSE(SPLIT(REGEXREPLACE(REGEXREPLACE(BY142&amp;"""",""(?s)(.{1})"",""$1""&amp;CHAR(127)),""'"",""''""),CHAR(127))),1,true),""1"")"),"abcdef1")</f>
        <v>abcdef1</v>
      </c>
      <c r="CA142" s="16"/>
      <c r="CB142" s="12" t="str">
        <f t="shared" si="10"/>
        <v>gac</v>
      </c>
      <c r="CC142" s="12" t="str">
        <f>IFERROR(__xludf.DUMMYFUNCTION("CONCATENATE(SORT(TRANSPOSE(SPLIT(REGEXREPLACE(REGEXREPLACE(CB142&amp;"""",""(?s)(.{1})"",""$1""&amp;CHAR(127)),""'"",""''""),CHAR(127))),1,true),""1"")"),"acg1")</f>
        <v>acg1</v>
      </c>
      <c r="CD142" s="16"/>
      <c r="CE142" s="12" t="str">
        <f t="shared" si="11"/>
        <v>abcgedf</v>
      </c>
      <c r="CF142" s="12" t="str">
        <f>IFERROR(__xludf.DUMMYFUNCTION("CONCATENATE(SORT(TRANSPOSE(SPLIT(REGEXREPLACE(REGEXREPLACE(CE142&amp;"""",""(?s)(.{1})"",""$1""&amp;CHAR(127)),""'"",""''""),CHAR(127))),1,true),""1"")"),"abcdefg1")</f>
        <v>abcdefg1</v>
      </c>
      <c r="CG142" s="16"/>
      <c r="CH142" s="10" t="str">
        <f>IFERROR(__xludf.DUMMYFUNCTION("FILTER(K142:T142,len(K142:T142)=6)"),"fcgaed")</f>
        <v>fcgaed</v>
      </c>
      <c r="CI142" s="6" t="str">
        <f>IFERROR(__xludf.DUMMYFUNCTION("""COMPUTED_VALUE"""),"ebagdc")</f>
        <v>ebagdc</v>
      </c>
      <c r="CJ142" s="6" t="str">
        <f>IFERROR(__xludf.DUMMYFUNCTION("""COMPUTED_VALUE"""),"fdbcae")</f>
        <v>fdbcae</v>
      </c>
      <c r="CK142" s="6" t="str">
        <f>IFERROR(__xludf.DUMMYFUNCTION("REGEXREPLACE( $BG142, CONCATENATE(""["",CH142,""]""), """")"),"b")</f>
        <v>b</v>
      </c>
      <c r="CL142" s="6" t="str">
        <f>IFERROR(__xludf.DUMMYFUNCTION("REGEXREPLACE( $BG142, CONCATENATE(""["",CI142,""]""), """")"),"")</f>
        <v/>
      </c>
      <c r="CM142" s="6" t="str">
        <f>IFERROR(__xludf.DUMMYFUNCTION("REGEXREPLACE( $BG142, CONCATENATE(""["",CJ142,""]""), """")"),"g")</f>
        <v>g</v>
      </c>
      <c r="CN142" s="12" t="str">
        <f t="shared" si="12"/>
        <v>ebagdc</v>
      </c>
      <c r="CO142" s="12" t="str">
        <f>IFERROR(__xludf.DUMMYFUNCTION("CONCATENATE(SORT(TRANSPOSE(SPLIT(REGEXREPLACE(REGEXREPLACE(CN142&amp;"""",""(?s)(.{1})"",""$1""&amp;CHAR(127)),""'"",""''""),CHAR(127))),1,true),""1"")"),"abcdeg1")</f>
        <v>abcdeg1</v>
      </c>
      <c r="CP142" s="15"/>
    </row>
    <row r="143">
      <c r="A143" s="1" t="s">
        <v>163</v>
      </c>
      <c r="H143" s="6" t="str">
        <f>IFERROR(__xludf.DUMMYFUNCTION("SPLIT(A143,""|"")"),"agcd edbafc fda ad fcaegd fegac adfgebc dfaeg bgdfe fgbeac ")</f>
        <v>agcd edbafc fda ad fcaegd fegac adfgebc dfaeg bgdfe fgbeac </v>
      </c>
      <c r="I143" s="6" t="str">
        <f>IFERROR(__xludf.DUMMYFUNCTION("""COMPUTED_VALUE""")," agcd fgecab ad bdfge")</f>
        <v> agcd fgecab ad bdfge</v>
      </c>
      <c r="J143" s="15"/>
      <c r="K143" s="6" t="str">
        <f>IFERROR(__xludf.DUMMYFUNCTION("split(H143,"" "")"),"agcd")</f>
        <v>agcd</v>
      </c>
      <c r="L143" s="6" t="str">
        <f>IFERROR(__xludf.DUMMYFUNCTION("""COMPUTED_VALUE"""),"edbafc")</f>
        <v>edbafc</v>
      </c>
      <c r="M143" s="6" t="str">
        <f>IFERROR(__xludf.DUMMYFUNCTION("""COMPUTED_VALUE"""),"fda")</f>
        <v>fda</v>
      </c>
      <c r="N143" s="6" t="str">
        <f>IFERROR(__xludf.DUMMYFUNCTION("""COMPUTED_VALUE"""),"ad")</f>
        <v>ad</v>
      </c>
      <c r="O143" s="6" t="str">
        <f>IFERROR(__xludf.DUMMYFUNCTION("""COMPUTED_VALUE"""),"fcaegd")</f>
        <v>fcaegd</v>
      </c>
      <c r="P143" s="6" t="str">
        <f>IFERROR(__xludf.DUMMYFUNCTION("""COMPUTED_VALUE"""),"fegac")</f>
        <v>fegac</v>
      </c>
      <c r="Q143" s="6" t="str">
        <f>IFERROR(__xludf.DUMMYFUNCTION("""COMPUTED_VALUE"""),"adfgebc")</f>
        <v>adfgebc</v>
      </c>
      <c r="R143" s="6" t="str">
        <f>IFERROR(__xludf.DUMMYFUNCTION("""COMPUTED_VALUE"""),"dfaeg")</f>
        <v>dfaeg</v>
      </c>
      <c r="S143" s="6" t="str">
        <f>IFERROR(__xludf.DUMMYFUNCTION("""COMPUTED_VALUE"""),"bgdfe")</f>
        <v>bgdfe</v>
      </c>
      <c r="T143" s="6" t="str">
        <f>IFERROR(__xludf.DUMMYFUNCTION("""COMPUTED_VALUE"""),"fgbeac")</f>
        <v>fgbeac</v>
      </c>
      <c r="U143" s="15"/>
      <c r="V143" s="6" t="str">
        <f>IFERROR(__xludf.DUMMYFUNCTION("split(I143,"" "")"),"agcd")</f>
        <v>agcd</v>
      </c>
      <c r="W143" s="6" t="str">
        <f>IFERROR(__xludf.DUMMYFUNCTION("""COMPUTED_VALUE"""),"fgecab")</f>
        <v>fgecab</v>
      </c>
      <c r="X143" s="6" t="str">
        <f>IFERROR(__xludf.DUMMYFUNCTION("""COMPUTED_VALUE"""),"ad")</f>
        <v>ad</v>
      </c>
      <c r="Y143" s="6" t="str">
        <f>IFERROR(__xludf.DUMMYFUNCTION("""COMPUTED_VALUE"""),"bdfge")</f>
        <v>bdfge</v>
      </c>
      <c r="Z143" s="6" t="str">
        <f>IFERROR(__xludf.DUMMYFUNCTION("CONCATENATE(SORT(TRANSPOSE(SPLIT(REGEXREPLACE(REGEXREPLACE(V143&amp;"""",""(?s)(.{1})"",""$1""&amp;CHAR(127)),""'"",""''""),CHAR(127))),1,true))"),"acdg")</f>
        <v>acdg</v>
      </c>
      <c r="AA143" s="6" t="str">
        <f>IFERROR(__xludf.DUMMYFUNCTION("CONCATENATE(SORT(TRANSPOSE(SPLIT(REGEXREPLACE(REGEXREPLACE(W143&amp;"""",""(?s)(.{1})"",""$1""&amp;CHAR(127)),""'"",""''""),CHAR(127))),1,true))"),"abcefg")</f>
        <v>abcefg</v>
      </c>
      <c r="AB143" s="6" t="str">
        <f>IFERROR(__xludf.DUMMYFUNCTION("CONCATENATE(SORT(TRANSPOSE(SPLIT(REGEXREPLACE(REGEXREPLACE(X143&amp;"""",""(?s)(.{1})"",""$1""&amp;CHAR(127)),""'"",""''""),CHAR(127))),1,true))"),"ad")</f>
        <v>ad</v>
      </c>
      <c r="AC143" s="6" t="str">
        <f>IFERROR(__xludf.DUMMYFUNCTION("CONCATENATE(SORT(TRANSPOSE(SPLIT(REGEXREPLACE(REGEXREPLACE(Y143&amp;"""",""(?s)(.{1})"",""$1""&amp;CHAR(127)),""'"",""''""),CHAR(127))),1,true))"),"bdefg")</f>
        <v>bdefg</v>
      </c>
      <c r="AD143" s="6">
        <f t="shared" ref="AD143:AG143" si="153">INDEX($AO$1:$CP$1,1,MATCH(CONCATENATE(Z143,"1"),$AO143:$CP143,0)+1)</f>
        <v>4</v>
      </c>
      <c r="AE143" s="6">
        <f t="shared" si="153"/>
        <v>6</v>
      </c>
      <c r="AF143" s="6">
        <f t="shared" si="153"/>
        <v>1</v>
      </c>
      <c r="AG143" s="6">
        <f t="shared" si="153"/>
        <v>2</v>
      </c>
      <c r="AH143" s="6">
        <f t="shared" si="3"/>
        <v>4612</v>
      </c>
      <c r="AI143" s="16"/>
      <c r="AJ143" s="9" t="str">
        <f>IFERROR(__xludf.DUMMYFUNCTION("REGEXREPLACE(AR143,CONCATENATE(""["",BY143,""]""),"""")"),"d")</f>
        <v>d</v>
      </c>
      <c r="AK143" s="10" t="str">
        <f>IFERROR(__xludf.DUMMYFUNCTION("FILTER($K143:$T143,len($K143:$T143)=6,NOT($K143:$T143=BY143))"),"edbafc")</f>
        <v>edbafc</v>
      </c>
      <c r="AL143" s="6" t="str">
        <f>IFERROR(__xludf.DUMMYFUNCTION("""COMPUTED_VALUE"""),"fcaegd")</f>
        <v>fcaegd</v>
      </c>
      <c r="AM143" s="6" t="str">
        <f>IFERROR(__xludf.DUMMYFUNCTION("REGEXREPLACE( $BG143, CONCATENATE(""["",AK143,""]""), """")"),"g")</f>
        <v>g</v>
      </c>
      <c r="AN143" s="6" t="str">
        <f>IFERROR(__xludf.DUMMYFUNCTION("REGEXREPLACE( $BG143, CONCATENATE(""["",AL143,""]""), """")"),"")</f>
        <v/>
      </c>
      <c r="AO143" s="11" t="str">
        <f t="shared" si="4"/>
        <v>edbafc</v>
      </c>
      <c r="AP143" s="12" t="str">
        <f>IFERROR(__xludf.DUMMYFUNCTION("CONCATENATE(SORT(TRANSPOSE(SPLIT(REGEXREPLACE(REGEXREPLACE(AO143&amp;"""",""(?s)(.{1})"",""$1""&amp;CHAR(127)),""'"",""''""),CHAR(127))),1,true),""1"")"),"abcdef1")</f>
        <v>abcdef1</v>
      </c>
      <c r="AQ143" s="16"/>
      <c r="AR143" s="12" t="str">
        <f t="shared" si="5"/>
        <v>ad</v>
      </c>
      <c r="AS143" s="12" t="str">
        <f>IFERROR(__xludf.DUMMYFUNCTION("CONCATENATE(SORT(TRANSPOSE(SPLIT(REGEXREPLACE(REGEXREPLACE(AR143&amp;"""",""(?s)(.{1})"",""$1""&amp;CHAR(127)),""'"",""''""),CHAR(127))),1,true),""1"")"),"ad1")</f>
        <v>ad1</v>
      </c>
      <c r="AT143" s="16"/>
      <c r="AU143" s="13" t="str">
        <f>IFERROR(__xludf.DUMMYFUNCTION("FILTER($K143:$T143,len($K143:$T143)=5,NOT($K143:$T143=BD143),NOT($K143:$T143=BP143))"),"bgdfe")</f>
        <v>bgdfe</v>
      </c>
      <c r="AV143" s="12" t="str">
        <f>IFERROR(__xludf.DUMMYFUNCTION("CONCATENATE(SORT(TRANSPOSE(SPLIT(REGEXREPLACE(REGEXREPLACE(AU143&amp;"""",""(?s)(.{1})"",""$1""&amp;CHAR(127)),""'"",""''""),CHAR(127))),1,true),""1"")"),"bdefg1")</f>
        <v>bdefg1</v>
      </c>
      <c r="AW143" s="16"/>
      <c r="AX143" s="10" t="str">
        <f>IFERROR(__xludf.DUMMYFUNCTION("FILTER($K143:$T143,len($K143:$T143)=5)"),"fegac")</f>
        <v>fegac</v>
      </c>
      <c r="AY143" s="6" t="str">
        <f>IFERROR(__xludf.DUMMYFUNCTION("""COMPUTED_VALUE"""),"dfaeg")</f>
        <v>dfaeg</v>
      </c>
      <c r="AZ143" s="6" t="str">
        <f>IFERROR(__xludf.DUMMYFUNCTION("""COMPUTED_VALUE"""),"bgdfe")</f>
        <v>bgdfe</v>
      </c>
      <c r="BA143" s="6" t="str">
        <f>IFERROR(__xludf.DUMMYFUNCTION("REGEXREPLACE( $AR143, CONCATENATE(""["",AX143,""]""), """")"),"d")</f>
        <v>d</v>
      </c>
      <c r="BB143" s="6" t="str">
        <f>IFERROR(__xludf.DUMMYFUNCTION("REGEXREPLACE( $AR143, CONCATENATE(""["",AY143,""]""), """")"),"")</f>
        <v/>
      </c>
      <c r="BC143" s="6" t="str">
        <f>IFERROR(__xludf.DUMMYFUNCTION("REGEXREPLACE( $AR143, CONCATENATE(""["",AZ143,""]""), """")"),"a")</f>
        <v>a</v>
      </c>
      <c r="BD143" s="11" t="str">
        <f t="shared" si="6"/>
        <v>dfaeg</v>
      </c>
      <c r="BE143" s="12" t="str">
        <f>IFERROR(__xludf.DUMMYFUNCTION("CONCATENATE(SORT(TRANSPOSE(SPLIT(REGEXREPLACE(REGEXREPLACE(BD143&amp;"""",""(?s)(.{1})"",""$1""&amp;CHAR(127)),""'"",""''""),CHAR(127))),1,true),""1"")"),"adefg1")</f>
        <v>adefg1</v>
      </c>
      <c r="BF143" s="16"/>
      <c r="BG143" s="12" t="str">
        <f t="shared" si="7"/>
        <v>agcd</v>
      </c>
      <c r="BH143" s="12" t="str">
        <f>IFERROR(__xludf.DUMMYFUNCTION("CONCATENATE(SORT(TRANSPOSE(SPLIT(REGEXREPLACE(REGEXREPLACE(BG143&amp;"""",""(?s)(.{1})"",""$1""&amp;CHAR(127)),""'"",""''""),CHAR(127))),1,true),""1"")"),"acdg1")</f>
        <v>acdg1</v>
      </c>
      <c r="BI143" s="16"/>
      <c r="BJ143" s="10" t="str">
        <f>IFERROR(__xludf.DUMMYFUNCTION("FILTER($K143:$T143,len($K143:$T143)=5)"),"fegac")</f>
        <v>fegac</v>
      </c>
      <c r="BK143" s="6" t="str">
        <f>IFERROR(__xludf.DUMMYFUNCTION("""COMPUTED_VALUE"""),"dfaeg")</f>
        <v>dfaeg</v>
      </c>
      <c r="BL143" s="6" t="str">
        <f>IFERROR(__xludf.DUMMYFUNCTION("""COMPUTED_VALUE"""),"bgdfe")</f>
        <v>bgdfe</v>
      </c>
      <c r="BM143" s="14" t="str">
        <f>IFERROR(__xludf.DUMMYFUNCTION("REGEXREPLACE( $BY143, CONCATENATE(""["",BJ143,""]""), """")"),"b")</f>
        <v>b</v>
      </c>
      <c r="BN143" s="14" t="str">
        <f>IFERROR(__xludf.DUMMYFUNCTION("REGEXREPLACE( $BY143, CONCATENATE(""["",BK143,""]""), """")"),"bc")</f>
        <v>bc</v>
      </c>
      <c r="BO143" s="14" t="str">
        <f>IFERROR(__xludf.DUMMYFUNCTION("REGEXREPLACE( $BY143, CONCATENATE(""["",BL143,""]""), """")"),"ac")</f>
        <v>ac</v>
      </c>
      <c r="BP143" s="11" t="str">
        <f t="shared" si="8"/>
        <v>fegac</v>
      </c>
      <c r="BQ143" s="12" t="str">
        <f>IFERROR(__xludf.DUMMYFUNCTION("CONCATENATE(SORT(TRANSPOSE(SPLIT(REGEXREPLACE(REGEXREPLACE(BP143&amp;"""",""(?s)(.{1})"",""$1""&amp;CHAR(127)),""'"",""''""),CHAR(127))),1,true),""1"")"),"acefg1")</f>
        <v>acefg1</v>
      </c>
      <c r="BR143" s="16"/>
      <c r="BS143" s="10" t="str">
        <f>IFERROR(__xludf.DUMMYFUNCTION("FILTER(K143:T143,len(K143:T143)=6)"),"edbafc")</f>
        <v>edbafc</v>
      </c>
      <c r="BT143" s="6" t="str">
        <f>IFERROR(__xludf.DUMMYFUNCTION("""COMPUTED_VALUE"""),"fcaegd")</f>
        <v>fcaegd</v>
      </c>
      <c r="BU143" s="6" t="str">
        <f>IFERROR(__xludf.DUMMYFUNCTION("""COMPUTED_VALUE"""),"fgbeac")</f>
        <v>fgbeac</v>
      </c>
      <c r="BV143" s="6" t="str">
        <f>IFERROR(__xludf.DUMMYFUNCTION("REGEXREPLACE( $AR143, CONCATENATE(""["",BS143,""]""), """")"),"")</f>
        <v/>
      </c>
      <c r="BW143" s="6" t="str">
        <f>IFERROR(__xludf.DUMMYFUNCTION("REGEXREPLACE( $AR143, CONCATENATE(""["",BT143,""]""), """")"),"")</f>
        <v/>
      </c>
      <c r="BX143" s="6" t="str">
        <f>IFERROR(__xludf.DUMMYFUNCTION("REGEXREPLACE( $AR143, CONCATENATE(""["",BU143,""]""), """")"),"d")</f>
        <v>d</v>
      </c>
      <c r="BY143" s="12" t="str">
        <f t="shared" si="9"/>
        <v>fgbeac</v>
      </c>
      <c r="BZ143" s="12" t="str">
        <f>IFERROR(__xludf.DUMMYFUNCTION("CONCATENATE(SORT(TRANSPOSE(SPLIT(REGEXREPLACE(REGEXREPLACE(BY143&amp;"""",""(?s)(.{1})"",""$1""&amp;CHAR(127)),""'"",""''""),CHAR(127))),1,true),""1"")"),"abcefg1")</f>
        <v>abcefg1</v>
      </c>
      <c r="CA143" s="16"/>
      <c r="CB143" s="12" t="str">
        <f t="shared" si="10"/>
        <v>fda</v>
      </c>
      <c r="CC143" s="12" t="str">
        <f>IFERROR(__xludf.DUMMYFUNCTION("CONCATENATE(SORT(TRANSPOSE(SPLIT(REGEXREPLACE(REGEXREPLACE(CB143&amp;"""",""(?s)(.{1})"",""$1""&amp;CHAR(127)),""'"",""''""),CHAR(127))),1,true),""1"")"),"adf1")</f>
        <v>adf1</v>
      </c>
      <c r="CD143" s="16"/>
      <c r="CE143" s="12" t="str">
        <f t="shared" si="11"/>
        <v>adfgebc</v>
      </c>
      <c r="CF143" s="12" t="str">
        <f>IFERROR(__xludf.DUMMYFUNCTION("CONCATENATE(SORT(TRANSPOSE(SPLIT(REGEXREPLACE(REGEXREPLACE(CE143&amp;"""",""(?s)(.{1})"",""$1""&amp;CHAR(127)),""'"",""''""),CHAR(127))),1,true),""1"")"),"abcdefg1")</f>
        <v>abcdefg1</v>
      </c>
      <c r="CG143" s="16"/>
      <c r="CH143" s="10" t="str">
        <f>IFERROR(__xludf.DUMMYFUNCTION("FILTER(K143:T143,len(K143:T143)=6)"),"edbafc")</f>
        <v>edbafc</v>
      </c>
      <c r="CI143" s="6" t="str">
        <f>IFERROR(__xludf.DUMMYFUNCTION("""COMPUTED_VALUE"""),"fcaegd")</f>
        <v>fcaegd</v>
      </c>
      <c r="CJ143" s="6" t="str">
        <f>IFERROR(__xludf.DUMMYFUNCTION("""COMPUTED_VALUE"""),"fgbeac")</f>
        <v>fgbeac</v>
      </c>
      <c r="CK143" s="6" t="str">
        <f>IFERROR(__xludf.DUMMYFUNCTION("REGEXREPLACE( $BG143, CONCATENATE(""["",CH143,""]""), """")"),"g")</f>
        <v>g</v>
      </c>
      <c r="CL143" s="6" t="str">
        <f>IFERROR(__xludf.DUMMYFUNCTION("REGEXREPLACE( $BG143, CONCATENATE(""["",CI143,""]""), """")"),"")</f>
        <v/>
      </c>
      <c r="CM143" s="6" t="str">
        <f>IFERROR(__xludf.DUMMYFUNCTION("REGEXREPLACE( $BG143, CONCATENATE(""["",CJ143,""]""), """")"),"d")</f>
        <v>d</v>
      </c>
      <c r="CN143" s="12" t="str">
        <f t="shared" si="12"/>
        <v>fcaegd</v>
      </c>
      <c r="CO143" s="12" t="str">
        <f>IFERROR(__xludf.DUMMYFUNCTION("CONCATENATE(SORT(TRANSPOSE(SPLIT(REGEXREPLACE(REGEXREPLACE(CN143&amp;"""",""(?s)(.{1})"",""$1""&amp;CHAR(127)),""'"",""''""),CHAR(127))),1,true),""1"")"),"acdefg1")</f>
        <v>acdefg1</v>
      </c>
      <c r="CP143" s="15"/>
    </row>
    <row r="144">
      <c r="A144" s="1" t="s">
        <v>164</v>
      </c>
      <c r="H144" s="6" t="str">
        <f>IFERROR(__xludf.DUMMYFUNCTION("SPLIT(A144,""|"")"),"fbgecd dcabe eafgbc bef cegfd efcbd fb fdbg gfdeabc cadgef ")</f>
        <v>fbgecd dcabe eafgbc bef cegfd efcbd fb fdbg gfdeabc cadgef </v>
      </c>
      <c r="I144" s="6" t="str">
        <f>IFERROR(__xludf.DUMMYFUNCTION("""COMPUTED_VALUE""")," fb cedfabg efgabcd bf")</f>
        <v> fb cedfabg efgabcd bf</v>
      </c>
      <c r="J144" s="15"/>
      <c r="K144" s="6" t="str">
        <f>IFERROR(__xludf.DUMMYFUNCTION("split(H144,"" "")"),"fbgecd")</f>
        <v>fbgecd</v>
      </c>
      <c r="L144" s="6" t="str">
        <f>IFERROR(__xludf.DUMMYFUNCTION("""COMPUTED_VALUE"""),"dcabe")</f>
        <v>dcabe</v>
      </c>
      <c r="M144" s="6" t="str">
        <f>IFERROR(__xludf.DUMMYFUNCTION("""COMPUTED_VALUE"""),"eafgbc")</f>
        <v>eafgbc</v>
      </c>
      <c r="N144" s="6" t="str">
        <f>IFERROR(__xludf.DUMMYFUNCTION("""COMPUTED_VALUE"""),"bef")</f>
        <v>bef</v>
      </c>
      <c r="O144" s="6" t="str">
        <f>IFERROR(__xludf.DUMMYFUNCTION("""COMPUTED_VALUE"""),"cegfd")</f>
        <v>cegfd</v>
      </c>
      <c r="P144" s="6" t="str">
        <f>IFERROR(__xludf.DUMMYFUNCTION("""COMPUTED_VALUE"""),"efcbd")</f>
        <v>efcbd</v>
      </c>
      <c r="Q144" s="6" t="str">
        <f>IFERROR(__xludf.DUMMYFUNCTION("""COMPUTED_VALUE"""),"fb")</f>
        <v>fb</v>
      </c>
      <c r="R144" s="6" t="str">
        <f>IFERROR(__xludf.DUMMYFUNCTION("""COMPUTED_VALUE"""),"fdbg")</f>
        <v>fdbg</v>
      </c>
      <c r="S144" s="6" t="str">
        <f>IFERROR(__xludf.DUMMYFUNCTION("""COMPUTED_VALUE"""),"gfdeabc")</f>
        <v>gfdeabc</v>
      </c>
      <c r="T144" s="6" t="str">
        <f>IFERROR(__xludf.DUMMYFUNCTION("""COMPUTED_VALUE"""),"cadgef")</f>
        <v>cadgef</v>
      </c>
      <c r="U144" s="15"/>
      <c r="V144" s="6" t="str">
        <f>IFERROR(__xludf.DUMMYFUNCTION("split(I144,"" "")"),"fb")</f>
        <v>fb</v>
      </c>
      <c r="W144" s="6" t="str">
        <f>IFERROR(__xludf.DUMMYFUNCTION("""COMPUTED_VALUE"""),"cedfabg")</f>
        <v>cedfabg</v>
      </c>
      <c r="X144" s="6" t="str">
        <f>IFERROR(__xludf.DUMMYFUNCTION("""COMPUTED_VALUE"""),"efgabcd")</f>
        <v>efgabcd</v>
      </c>
      <c r="Y144" s="6" t="str">
        <f>IFERROR(__xludf.DUMMYFUNCTION("""COMPUTED_VALUE"""),"bf")</f>
        <v>bf</v>
      </c>
      <c r="Z144" s="6" t="str">
        <f>IFERROR(__xludf.DUMMYFUNCTION("CONCATENATE(SORT(TRANSPOSE(SPLIT(REGEXREPLACE(REGEXREPLACE(V144&amp;"""",""(?s)(.{1})"",""$1""&amp;CHAR(127)),""'"",""''""),CHAR(127))),1,true))"),"bf")</f>
        <v>bf</v>
      </c>
      <c r="AA144" s="6" t="str">
        <f>IFERROR(__xludf.DUMMYFUNCTION("CONCATENATE(SORT(TRANSPOSE(SPLIT(REGEXREPLACE(REGEXREPLACE(W144&amp;"""",""(?s)(.{1})"",""$1""&amp;CHAR(127)),""'"",""''""),CHAR(127))),1,true))"),"abcdefg")</f>
        <v>abcdefg</v>
      </c>
      <c r="AB144" s="6" t="str">
        <f>IFERROR(__xludf.DUMMYFUNCTION("CONCATENATE(SORT(TRANSPOSE(SPLIT(REGEXREPLACE(REGEXREPLACE(X144&amp;"""",""(?s)(.{1})"",""$1""&amp;CHAR(127)),""'"",""''""),CHAR(127))),1,true))"),"abcdefg")</f>
        <v>abcdefg</v>
      </c>
      <c r="AC144" s="6" t="str">
        <f>IFERROR(__xludf.DUMMYFUNCTION("CONCATENATE(SORT(TRANSPOSE(SPLIT(REGEXREPLACE(REGEXREPLACE(Y144&amp;"""",""(?s)(.{1})"",""$1""&amp;CHAR(127)),""'"",""''""),CHAR(127))),1,true))"),"bf")</f>
        <v>bf</v>
      </c>
      <c r="AD144" s="6">
        <f t="shared" ref="AD144:AG144" si="154">INDEX($AO$1:$CP$1,1,MATCH(CONCATENATE(Z144,"1"),$AO144:$CP144,0)+1)</f>
        <v>1</v>
      </c>
      <c r="AE144" s="6">
        <f t="shared" si="154"/>
        <v>8</v>
      </c>
      <c r="AF144" s="6">
        <f t="shared" si="154"/>
        <v>8</v>
      </c>
      <c r="AG144" s="6">
        <f t="shared" si="154"/>
        <v>1</v>
      </c>
      <c r="AH144" s="6">
        <f t="shared" si="3"/>
        <v>1881</v>
      </c>
      <c r="AI144" s="16"/>
      <c r="AJ144" s="9" t="str">
        <f>IFERROR(__xludf.DUMMYFUNCTION("REGEXREPLACE(AR144,CONCATENATE(""["",BY144,""]""),"""")"),"b")</f>
        <v>b</v>
      </c>
      <c r="AK144" s="10" t="str">
        <f>IFERROR(__xludf.DUMMYFUNCTION("FILTER($K144:$T144,len($K144:$T144)=6,NOT($K144:$T144=BY144))"),"fbgecd")</f>
        <v>fbgecd</v>
      </c>
      <c r="AL144" s="6" t="str">
        <f>IFERROR(__xludf.DUMMYFUNCTION("""COMPUTED_VALUE"""),"eafgbc")</f>
        <v>eafgbc</v>
      </c>
      <c r="AM144" s="6" t="str">
        <f>IFERROR(__xludf.DUMMYFUNCTION("REGEXREPLACE( $BG144, CONCATENATE(""["",AK144,""]""), """")"),"")</f>
        <v/>
      </c>
      <c r="AN144" s="6" t="str">
        <f>IFERROR(__xludf.DUMMYFUNCTION("REGEXREPLACE( $BG144, CONCATENATE(""["",AL144,""]""), """")"),"d")</f>
        <v>d</v>
      </c>
      <c r="AO144" s="11" t="str">
        <f t="shared" si="4"/>
        <v>eafgbc</v>
      </c>
      <c r="AP144" s="12" t="str">
        <f>IFERROR(__xludf.DUMMYFUNCTION("CONCATENATE(SORT(TRANSPOSE(SPLIT(REGEXREPLACE(REGEXREPLACE(AO144&amp;"""",""(?s)(.{1})"",""$1""&amp;CHAR(127)),""'"",""''""),CHAR(127))),1,true),""1"")"),"abcefg1")</f>
        <v>abcefg1</v>
      </c>
      <c r="AQ144" s="16"/>
      <c r="AR144" s="12" t="str">
        <f t="shared" si="5"/>
        <v>fb</v>
      </c>
      <c r="AS144" s="12" t="str">
        <f>IFERROR(__xludf.DUMMYFUNCTION("CONCATENATE(SORT(TRANSPOSE(SPLIT(REGEXREPLACE(REGEXREPLACE(AR144&amp;"""",""(?s)(.{1})"",""$1""&amp;CHAR(127)),""'"",""''""),CHAR(127))),1,true),""1"")"),"bf1")</f>
        <v>bf1</v>
      </c>
      <c r="AT144" s="16"/>
      <c r="AU144" s="13" t="str">
        <f>IFERROR(__xludf.DUMMYFUNCTION("FILTER($K144:$T144,len($K144:$T144)=5,NOT($K144:$T144=BD144),NOT($K144:$T144=BP144))"),"dcabe")</f>
        <v>dcabe</v>
      </c>
      <c r="AV144" s="12" t="str">
        <f>IFERROR(__xludf.DUMMYFUNCTION("CONCATENATE(SORT(TRANSPOSE(SPLIT(REGEXREPLACE(REGEXREPLACE(AU144&amp;"""",""(?s)(.{1})"",""$1""&amp;CHAR(127)),""'"",""''""),CHAR(127))),1,true),""1"")"),"abcde1")</f>
        <v>abcde1</v>
      </c>
      <c r="AW144" s="16"/>
      <c r="AX144" s="10" t="str">
        <f>IFERROR(__xludf.DUMMYFUNCTION("FILTER($K144:$T144,len($K144:$T144)=5)"),"dcabe")</f>
        <v>dcabe</v>
      </c>
      <c r="AY144" s="6" t="str">
        <f>IFERROR(__xludf.DUMMYFUNCTION("""COMPUTED_VALUE"""),"cegfd")</f>
        <v>cegfd</v>
      </c>
      <c r="AZ144" s="6" t="str">
        <f>IFERROR(__xludf.DUMMYFUNCTION("""COMPUTED_VALUE"""),"efcbd")</f>
        <v>efcbd</v>
      </c>
      <c r="BA144" s="6" t="str">
        <f>IFERROR(__xludf.DUMMYFUNCTION("REGEXREPLACE( $AR144, CONCATENATE(""["",AX144,""]""), """")"),"f")</f>
        <v>f</v>
      </c>
      <c r="BB144" s="6" t="str">
        <f>IFERROR(__xludf.DUMMYFUNCTION("REGEXREPLACE( $AR144, CONCATENATE(""["",AY144,""]""), """")"),"b")</f>
        <v>b</v>
      </c>
      <c r="BC144" s="6" t="str">
        <f>IFERROR(__xludf.DUMMYFUNCTION("REGEXREPLACE( $AR144, CONCATENATE(""["",AZ144,""]""), """")"),"")</f>
        <v/>
      </c>
      <c r="BD144" s="11" t="str">
        <f t="shared" si="6"/>
        <v>efcbd</v>
      </c>
      <c r="BE144" s="12" t="str">
        <f>IFERROR(__xludf.DUMMYFUNCTION("CONCATENATE(SORT(TRANSPOSE(SPLIT(REGEXREPLACE(REGEXREPLACE(BD144&amp;"""",""(?s)(.{1})"",""$1""&amp;CHAR(127)),""'"",""''""),CHAR(127))),1,true),""1"")"),"bcdef1")</f>
        <v>bcdef1</v>
      </c>
      <c r="BF144" s="16"/>
      <c r="BG144" s="12" t="str">
        <f t="shared" si="7"/>
        <v>fdbg</v>
      </c>
      <c r="BH144" s="12" t="str">
        <f>IFERROR(__xludf.DUMMYFUNCTION("CONCATENATE(SORT(TRANSPOSE(SPLIT(REGEXREPLACE(REGEXREPLACE(BG144&amp;"""",""(?s)(.{1})"",""$1""&amp;CHAR(127)),""'"",""''""),CHAR(127))),1,true),""1"")"),"bdfg1")</f>
        <v>bdfg1</v>
      </c>
      <c r="BI144" s="16"/>
      <c r="BJ144" s="10" t="str">
        <f>IFERROR(__xludf.DUMMYFUNCTION("FILTER($K144:$T144,len($K144:$T144)=5)"),"dcabe")</f>
        <v>dcabe</v>
      </c>
      <c r="BK144" s="6" t="str">
        <f>IFERROR(__xludf.DUMMYFUNCTION("""COMPUTED_VALUE"""),"cegfd")</f>
        <v>cegfd</v>
      </c>
      <c r="BL144" s="6" t="str">
        <f>IFERROR(__xludf.DUMMYFUNCTION("""COMPUTED_VALUE"""),"efcbd")</f>
        <v>efcbd</v>
      </c>
      <c r="BM144" s="14" t="str">
        <f>IFERROR(__xludf.DUMMYFUNCTION("REGEXREPLACE( $BY144, CONCATENATE(""["",BJ144,""]""), """")"),"gf")</f>
        <v>gf</v>
      </c>
      <c r="BN144" s="14" t="str">
        <f>IFERROR(__xludf.DUMMYFUNCTION("REGEXREPLACE( $BY144, CONCATENATE(""["",BK144,""]""), """")"),"a")</f>
        <v>a</v>
      </c>
      <c r="BO144" s="14" t="str">
        <f>IFERROR(__xludf.DUMMYFUNCTION("REGEXREPLACE( $BY144, CONCATENATE(""["",BL144,""]""), """")"),"ag")</f>
        <v>ag</v>
      </c>
      <c r="BP144" s="11" t="str">
        <f t="shared" si="8"/>
        <v>cegfd</v>
      </c>
      <c r="BQ144" s="12" t="str">
        <f>IFERROR(__xludf.DUMMYFUNCTION("CONCATENATE(SORT(TRANSPOSE(SPLIT(REGEXREPLACE(REGEXREPLACE(BP144&amp;"""",""(?s)(.{1})"",""$1""&amp;CHAR(127)),""'"",""''""),CHAR(127))),1,true),""1"")"),"cdefg1")</f>
        <v>cdefg1</v>
      </c>
      <c r="BR144" s="16"/>
      <c r="BS144" s="10" t="str">
        <f>IFERROR(__xludf.DUMMYFUNCTION("FILTER(K144:T144,len(K144:T144)=6)"),"fbgecd")</f>
        <v>fbgecd</v>
      </c>
      <c r="BT144" s="6" t="str">
        <f>IFERROR(__xludf.DUMMYFUNCTION("""COMPUTED_VALUE"""),"eafgbc")</f>
        <v>eafgbc</v>
      </c>
      <c r="BU144" s="6" t="str">
        <f>IFERROR(__xludf.DUMMYFUNCTION("""COMPUTED_VALUE"""),"cadgef")</f>
        <v>cadgef</v>
      </c>
      <c r="BV144" s="6" t="str">
        <f>IFERROR(__xludf.DUMMYFUNCTION("REGEXREPLACE( $AR144, CONCATENATE(""["",BS144,""]""), """")"),"")</f>
        <v/>
      </c>
      <c r="BW144" s="6" t="str">
        <f>IFERROR(__xludf.DUMMYFUNCTION("REGEXREPLACE( $AR144, CONCATENATE(""["",BT144,""]""), """")"),"")</f>
        <v/>
      </c>
      <c r="BX144" s="6" t="str">
        <f>IFERROR(__xludf.DUMMYFUNCTION("REGEXREPLACE( $AR144, CONCATENATE(""["",BU144,""]""), """")"),"b")</f>
        <v>b</v>
      </c>
      <c r="BY144" s="12" t="str">
        <f t="shared" si="9"/>
        <v>cadgef</v>
      </c>
      <c r="BZ144" s="12" t="str">
        <f>IFERROR(__xludf.DUMMYFUNCTION("CONCATENATE(SORT(TRANSPOSE(SPLIT(REGEXREPLACE(REGEXREPLACE(BY144&amp;"""",""(?s)(.{1})"",""$1""&amp;CHAR(127)),""'"",""''""),CHAR(127))),1,true),""1"")"),"acdefg1")</f>
        <v>acdefg1</v>
      </c>
      <c r="CA144" s="16"/>
      <c r="CB144" s="12" t="str">
        <f t="shared" si="10"/>
        <v>bef</v>
      </c>
      <c r="CC144" s="12" t="str">
        <f>IFERROR(__xludf.DUMMYFUNCTION("CONCATENATE(SORT(TRANSPOSE(SPLIT(REGEXREPLACE(REGEXREPLACE(CB144&amp;"""",""(?s)(.{1})"",""$1""&amp;CHAR(127)),""'"",""''""),CHAR(127))),1,true),""1"")"),"bef1")</f>
        <v>bef1</v>
      </c>
      <c r="CD144" s="16"/>
      <c r="CE144" s="12" t="str">
        <f t="shared" si="11"/>
        <v>gfdeabc</v>
      </c>
      <c r="CF144" s="12" t="str">
        <f>IFERROR(__xludf.DUMMYFUNCTION("CONCATENATE(SORT(TRANSPOSE(SPLIT(REGEXREPLACE(REGEXREPLACE(CE144&amp;"""",""(?s)(.{1})"",""$1""&amp;CHAR(127)),""'"",""''""),CHAR(127))),1,true),""1"")"),"abcdefg1")</f>
        <v>abcdefg1</v>
      </c>
      <c r="CG144" s="16"/>
      <c r="CH144" s="10" t="str">
        <f>IFERROR(__xludf.DUMMYFUNCTION("FILTER(K144:T144,len(K144:T144)=6)"),"fbgecd")</f>
        <v>fbgecd</v>
      </c>
      <c r="CI144" s="6" t="str">
        <f>IFERROR(__xludf.DUMMYFUNCTION("""COMPUTED_VALUE"""),"eafgbc")</f>
        <v>eafgbc</v>
      </c>
      <c r="CJ144" s="6" t="str">
        <f>IFERROR(__xludf.DUMMYFUNCTION("""COMPUTED_VALUE"""),"cadgef")</f>
        <v>cadgef</v>
      </c>
      <c r="CK144" s="6" t="str">
        <f>IFERROR(__xludf.DUMMYFUNCTION("REGEXREPLACE( $BG144, CONCATENATE(""["",CH144,""]""), """")"),"")</f>
        <v/>
      </c>
      <c r="CL144" s="6" t="str">
        <f>IFERROR(__xludf.DUMMYFUNCTION("REGEXREPLACE( $BG144, CONCATENATE(""["",CI144,""]""), """")"),"d")</f>
        <v>d</v>
      </c>
      <c r="CM144" s="6" t="str">
        <f>IFERROR(__xludf.DUMMYFUNCTION("REGEXREPLACE( $BG144, CONCATENATE(""["",CJ144,""]""), """")"),"b")</f>
        <v>b</v>
      </c>
      <c r="CN144" s="12" t="str">
        <f t="shared" si="12"/>
        <v>fbgecd</v>
      </c>
      <c r="CO144" s="12" t="str">
        <f>IFERROR(__xludf.DUMMYFUNCTION("CONCATENATE(SORT(TRANSPOSE(SPLIT(REGEXREPLACE(REGEXREPLACE(CN144&amp;"""",""(?s)(.{1})"",""$1""&amp;CHAR(127)),""'"",""''""),CHAR(127))),1,true),""1"")"),"bcdefg1")</f>
        <v>bcdefg1</v>
      </c>
      <c r="CP144" s="15"/>
    </row>
    <row r="145">
      <c r="A145" s="1" t="s">
        <v>165</v>
      </c>
      <c r="H145" s="6" t="str">
        <f>IFERROR(__xludf.DUMMYFUNCTION("SPLIT(A145,""|"")"),"egfcba cfgd edfba fecgbd dg edfabcg gde gfbec fdbeg bdcage ")</f>
        <v>egfcba cfgd edfba fecgbd dg edfabcg gde gfbec fdbeg bdcage </v>
      </c>
      <c r="I145" s="6" t="str">
        <f>IFERROR(__xludf.DUMMYFUNCTION("""COMPUTED_VALUE""")," dge fdcg gd cgfbe")</f>
        <v> dge fdcg gd cgfbe</v>
      </c>
      <c r="J145" s="15"/>
      <c r="K145" s="6" t="str">
        <f>IFERROR(__xludf.DUMMYFUNCTION("split(H145,"" "")"),"egfcba")</f>
        <v>egfcba</v>
      </c>
      <c r="L145" s="6" t="str">
        <f>IFERROR(__xludf.DUMMYFUNCTION("""COMPUTED_VALUE"""),"cfgd")</f>
        <v>cfgd</v>
      </c>
      <c r="M145" s="6" t="str">
        <f>IFERROR(__xludf.DUMMYFUNCTION("""COMPUTED_VALUE"""),"edfba")</f>
        <v>edfba</v>
      </c>
      <c r="N145" s="6" t="str">
        <f>IFERROR(__xludf.DUMMYFUNCTION("""COMPUTED_VALUE"""),"fecgbd")</f>
        <v>fecgbd</v>
      </c>
      <c r="O145" s="6" t="str">
        <f>IFERROR(__xludf.DUMMYFUNCTION("""COMPUTED_VALUE"""),"dg")</f>
        <v>dg</v>
      </c>
      <c r="P145" s="6" t="str">
        <f>IFERROR(__xludf.DUMMYFUNCTION("""COMPUTED_VALUE"""),"edfabcg")</f>
        <v>edfabcg</v>
      </c>
      <c r="Q145" s="6" t="str">
        <f>IFERROR(__xludf.DUMMYFUNCTION("""COMPUTED_VALUE"""),"gde")</f>
        <v>gde</v>
      </c>
      <c r="R145" s="6" t="str">
        <f>IFERROR(__xludf.DUMMYFUNCTION("""COMPUTED_VALUE"""),"gfbec")</f>
        <v>gfbec</v>
      </c>
      <c r="S145" s="6" t="str">
        <f>IFERROR(__xludf.DUMMYFUNCTION("""COMPUTED_VALUE"""),"fdbeg")</f>
        <v>fdbeg</v>
      </c>
      <c r="T145" s="6" t="str">
        <f>IFERROR(__xludf.DUMMYFUNCTION("""COMPUTED_VALUE"""),"bdcage")</f>
        <v>bdcage</v>
      </c>
      <c r="U145" s="15"/>
      <c r="V145" s="6" t="str">
        <f>IFERROR(__xludf.DUMMYFUNCTION("split(I145,"" "")"),"dge")</f>
        <v>dge</v>
      </c>
      <c r="W145" s="6" t="str">
        <f>IFERROR(__xludf.DUMMYFUNCTION("""COMPUTED_VALUE"""),"fdcg")</f>
        <v>fdcg</v>
      </c>
      <c r="X145" s="6" t="str">
        <f>IFERROR(__xludf.DUMMYFUNCTION("""COMPUTED_VALUE"""),"gd")</f>
        <v>gd</v>
      </c>
      <c r="Y145" s="6" t="str">
        <f>IFERROR(__xludf.DUMMYFUNCTION("""COMPUTED_VALUE"""),"cgfbe")</f>
        <v>cgfbe</v>
      </c>
      <c r="Z145" s="6" t="str">
        <f>IFERROR(__xludf.DUMMYFUNCTION("CONCATENATE(SORT(TRANSPOSE(SPLIT(REGEXREPLACE(REGEXREPLACE(V145&amp;"""",""(?s)(.{1})"",""$1""&amp;CHAR(127)),""'"",""''""),CHAR(127))),1,true))"),"deg")</f>
        <v>deg</v>
      </c>
      <c r="AA145" s="6" t="str">
        <f>IFERROR(__xludf.DUMMYFUNCTION("CONCATENATE(SORT(TRANSPOSE(SPLIT(REGEXREPLACE(REGEXREPLACE(W145&amp;"""",""(?s)(.{1})"",""$1""&amp;CHAR(127)),""'"",""''""),CHAR(127))),1,true))"),"cdfg")</f>
        <v>cdfg</v>
      </c>
      <c r="AB145" s="6" t="str">
        <f>IFERROR(__xludf.DUMMYFUNCTION("CONCATENATE(SORT(TRANSPOSE(SPLIT(REGEXREPLACE(REGEXREPLACE(X145&amp;"""",""(?s)(.{1})"",""$1""&amp;CHAR(127)),""'"",""''""),CHAR(127))),1,true))"),"dg")</f>
        <v>dg</v>
      </c>
      <c r="AC145" s="6" t="str">
        <f>IFERROR(__xludf.DUMMYFUNCTION("CONCATENATE(SORT(TRANSPOSE(SPLIT(REGEXREPLACE(REGEXREPLACE(Y145&amp;"""",""(?s)(.{1})"",""$1""&amp;CHAR(127)),""'"",""''""),CHAR(127))),1,true))"),"bcefg")</f>
        <v>bcefg</v>
      </c>
      <c r="AD145" s="6">
        <f t="shared" ref="AD145:AG145" si="155">INDEX($AO$1:$CP$1,1,MATCH(CONCATENATE(Z145,"1"),$AO145:$CP145,0)+1)</f>
        <v>7</v>
      </c>
      <c r="AE145" s="6">
        <f t="shared" si="155"/>
        <v>4</v>
      </c>
      <c r="AF145" s="6">
        <f t="shared" si="155"/>
        <v>1</v>
      </c>
      <c r="AG145" s="6">
        <f t="shared" si="155"/>
        <v>5</v>
      </c>
      <c r="AH145" s="6">
        <f t="shared" si="3"/>
        <v>7415</v>
      </c>
      <c r="AI145" s="16"/>
      <c r="AJ145" s="9" t="str">
        <f>IFERROR(__xludf.DUMMYFUNCTION("REGEXREPLACE(AR145,CONCATENATE(""["",BY145,""]""),"""")"),"d")</f>
        <v>d</v>
      </c>
      <c r="AK145" s="10" t="str">
        <f>IFERROR(__xludf.DUMMYFUNCTION("FILTER($K145:$T145,len($K145:$T145)=6,NOT($K145:$T145=BY145))"),"fecgbd")</f>
        <v>fecgbd</v>
      </c>
      <c r="AL145" s="6" t="str">
        <f>IFERROR(__xludf.DUMMYFUNCTION("""COMPUTED_VALUE"""),"bdcage")</f>
        <v>bdcage</v>
      </c>
      <c r="AM145" s="6" t="str">
        <f>IFERROR(__xludf.DUMMYFUNCTION("REGEXREPLACE( $BG145, CONCATENATE(""["",AK145,""]""), """")"),"")</f>
        <v/>
      </c>
      <c r="AN145" s="6" t="str">
        <f>IFERROR(__xludf.DUMMYFUNCTION("REGEXREPLACE( $BG145, CONCATENATE(""["",AL145,""]""), """")"),"f")</f>
        <v>f</v>
      </c>
      <c r="AO145" s="11" t="str">
        <f t="shared" si="4"/>
        <v>bdcage</v>
      </c>
      <c r="AP145" s="12" t="str">
        <f>IFERROR(__xludf.DUMMYFUNCTION("CONCATENATE(SORT(TRANSPOSE(SPLIT(REGEXREPLACE(REGEXREPLACE(AO145&amp;"""",""(?s)(.{1})"",""$1""&amp;CHAR(127)),""'"",""''""),CHAR(127))),1,true),""1"")"),"abcdeg1")</f>
        <v>abcdeg1</v>
      </c>
      <c r="AQ145" s="16"/>
      <c r="AR145" s="12" t="str">
        <f t="shared" si="5"/>
        <v>dg</v>
      </c>
      <c r="AS145" s="12" t="str">
        <f>IFERROR(__xludf.DUMMYFUNCTION("CONCATENATE(SORT(TRANSPOSE(SPLIT(REGEXREPLACE(REGEXREPLACE(AR145&amp;"""",""(?s)(.{1})"",""$1""&amp;CHAR(127)),""'"",""''""),CHAR(127))),1,true),""1"")"),"dg1")</f>
        <v>dg1</v>
      </c>
      <c r="AT145" s="16"/>
      <c r="AU145" s="13" t="str">
        <f>IFERROR(__xludf.DUMMYFUNCTION("FILTER($K145:$T145,len($K145:$T145)=5,NOT($K145:$T145=BD145),NOT($K145:$T145=BP145))"),"edfba")</f>
        <v>edfba</v>
      </c>
      <c r="AV145" s="12" t="str">
        <f>IFERROR(__xludf.DUMMYFUNCTION("CONCATENATE(SORT(TRANSPOSE(SPLIT(REGEXREPLACE(REGEXREPLACE(AU145&amp;"""",""(?s)(.{1})"",""$1""&amp;CHAR(127)),""'"",""''""),CHAR(127))),1,true),""1"")"),"abdef1")</f>
        <v>abdef1</v>
      </c>
      <c r="AW145" s="16"/>
      <c r="AX145" s="10" t="str">
        <f>IFERROR(__xludf.DUMMYFUNCTION("FILTER($K145:$T145,len($K145:$T145)=5)"),"edfba")</f>
        <v>edfba</v>
      </c>
      <c r="AY145" s="6" t="str">
        <f>IFERROR(__xludf.DUMMYFUNCTION("""COMPUTED_VALUE"""),"gfbec")</f>
        <v>gfbec</v>
      </c>
      <c r="AZ145" s="6" t="str">
        <f>IFERROR(__xludf.DUMMYFUNCTION("""COMPUTED_VALUE"""),"fdbeg")</f>
        <v>fdbeg</v>
      </c>
      <c r="BA145" s="6" t="str">
        <f>IFERROR(__xludf.DUMMYFUNCTION("REGEXREPLACE( $AR145, CONCATENATE(""["",AX145,""]""), """")"),"g")</f>
        <v>g</v>
      </c>
      <c r="BB145" s="6" t="str">
        <f>IFERROR(__xludf.DUMMYFUNCTION("REGEXREPLACE( $AR145, CONCATENATE(""["",AY145,""]""), """")"),"d")</f>
        <v>d</v>
      </c>
      <c r="BC145" s="6" t="str">
        <f>IFERROR(__xludf.DUMMYFUNCTION("REGEXREPLACE( $AR145, CONCATENATE(""["",AZ145,""]""), """")"),"")</f>
        <v/>
      </c>
      <c r="BD145" s="11" t="str">
        <f t="shared" si="6"/>
        <v>fdbeg</v>
      </c>
      <c r="BE145" s="12" t="str">
        <f>IFERROR(__xludf.DUMMYFUNCTION("CONCATENATE(SORT(TRANSPOSE(SPLIT(REGEXREPLACE(REGEXREPLACE(BD145&amp;"""",""(?s)(.{1})"",""$1""&amp;CHAR(127)),""'"",""''""),CHAR(127))),1,true),""1"")"),"bdefg1")</f>
        <v>bdefg1</v>
      </c>
      <c r="BF145" s="16"/>
      <c r="BG145" s="12" t="str">
        <f t="shared" si="7"/>
        <v>cfgd</v>
      </c>
      <c r="BH145" s="12" t="str">
        <f>IFERROR(__xludf.DUMMYFUNCTION("CONCATENATE(SORT(TRANSPOSE(SPLIT(REGEXREPLACE(REGEXREPLACE(BG145&amp;"""",""(?s)(.{1})"",""$1""&amp;CHAR(127)),""'"",""''""),CHAR(127))),1,true),""1"")"),"cdfg1")</f>
        <v>cdfg1</v>
      </c>
      <c r="BI145" s="16"/>
      <c r="BJ145" s="10" t="str">
        <f>IFERROR(__xludf.DUMMYFUNCTION("FILTER($K145:$T145,len($K145:$T145)=5)"),"edfba")</f>
        <v>edfba</v>
      </c>
      <c r="BK145" s="6" t="str">
        <f>IFERROR(__xludf.DUMMYFUNCTION("""COMPUTED_VALUE"""),"gfbec")</f>
        <v>gfbec</v>
      </c>
      <c r="BL145" s="6" t="str">
        <f>IFERROR(__xludf.DUMMYFUNCTION("""COMPUTED_VALUE"""),"fdbeg")</f>
        <v>fdbeg</v>
      </c>
      <c r="BM145" s="14" t="str">
        <f>IFERROR(__xludf.DUMMYFUNCTION("REGEXREPLACE( $BY145, CONCATENATE(""["",BJ145,""]""), """")"),"gc")</f>
        <v>gc</v>
      </c>
      <c r="BN145" s="14" t="str">
        <f>IFERROR(__xludf.DUMMYFUNCTION("REGEXREPLACE( $BY145, CONCATENATE(""["",BK145,""]""), """")"),"a")</f>
        <v>a</v>
      </c>
      <c r="BO145" s="14" t="str">
        <f>IFERROR(__xludf.DUMMYFUNCTION("REGEXREPLACE( $BY145, CONCATENATE(""["",BL145,""]""), """")"),"ca")</f>
        <v>ca</v>
      </c>
      <c r="BP145" s="11" t="str">
        <f t="shared" si="8"/>
        <v>gfbec</v>
      </c>
      <c r="BQ145" s="12" t="str">
        <f>IFERROR(__xludf.DUMMYFUNCTION("CONCATENATE(SORT(TRANSPOSE(SPLIT(REGEXREPLACE(REGEXREPLACE(BP145&amp;"""",""(?s)(.{1})"",""$1""&amp;CHAR(127)),""'"",""''""),CHAR(127))),1,true),""1"")"),"bcefg1")</f>
        <v>bcefg1</v>
      </c>
      <c r="BR145" s="16"/>
      <c r="BS145" s="10" t="str">
        <f>IFERROR(__xludf.DUMMYFUNCTION("FILTER(K145:T145,len(K145:T145)=6)"),"egfcba")</f>
        <v>egfcba</v>
      </c>
      <c r="BT145" s="6" t="str">
        <f>IFERROR(__xludf.DUMMYFUNCTION("""COMPUTED_VALUE"""),"fecgbd")</f>
        <v>fecgbd</v>
      </c>
      <c r="BU145" s="6" t="str">
        <f>IFERROR(__xludf.DUMMYFUNCTION("""COMPUTED_VALUE"""),"bdcage")</f>
        <v>bdcage</v>
      </c>
      <c r="BV145" s="6" t="str">
        <f>IFERROR(__xludf.DUMMYFUNCTION("REGEXREPLACE( $AR145, CONCATENATE(""["",BS145,""]""), """")"),"d")</f>
        <v>d</v>
      </c>
      <c r="BW145" s="6" t="str">
        <f>IFERROR(__xludf.DUMMYFUNCTION("REGEXREPLACE( $AR145, CONCATENATE(""["",BT145,""]""), """")"),"")</f>
        <v/>
      </c>
      <c r="BX145" s="6" t="str">
        <f>IFERROR(__xludf.DUMMYFUNCTION("REGEXREPLACE( $AR145, CONCATENATE(""["",BU145,""]""), """")"),"")</f>
        <v/>
      </c>
      <c r="BY145" s="12" t="str">
        <f t="shared" si="9"/>
        <v>egfcba</v>
      </c>
      <c r="BZ145" s="12" t="str">
        <f>IFERROR(__xludf.DUMMYFUNCTION("CONCATENATE(SORT(TRANSPOSE(SPLIT(REGEXREPLACE(REGEXREPLACE(BY145&amp;"""",""(?s)(.{1})"",""$1""&amp;CHAR(127)),""'"",""''""),CHAR(127))),1,true),""1"")"),"abcefg1")</f>
        <v>abcefg1</v>
      </c>
      <c r="CA145" s="16"/>
      <c r="CB145" s="12" t="str">
        <f t="shared" si="10"/>
        <v>gde</v>
      </c>
      <c r="CC145" s="12" t="str">
        <f>IFERROR(__xludf.DUMMYFUNCTION("CONCATENATE(SORT(TRANSPOSE(SPLIT(REGEXREPLACE(REGEXREPLACE(CB145&amp;"""",""(?s)(.{1})"",""$1""&amp;CHAR(127)),""'"",""''""),CHAR(127))),1,true),""1"")"),"deg1")</f>
        <v>deg1</v>
      </c>
      <c r="CD145" s="16"/>
      <c r="CE145" s="12" t="str">
        <f t="shared" si="11"/>
        <v>edfabcg</v>
      </c>
      <c r="CF145" s="12" t="str">
        <f>IFERROR(__xludf.DUMMYFUNCTION("CONCATENATE(SORT(TRANSPOSE(SPLIT(REGEXREPLACE(REGEXREPLACE(CE145&amp;"""",""(?s)(.{1})"",""$1""&amp;CHAR(127)),""'"",""''""),CHAR(127))),1,true),""1"")"),"abcdefg1")</f>
        <v>abcdefg1</v>
      </c>
      <c r="CG145" s="16"/>
      <c r="CH145" s="10" t="str">
        <f>IFERROR(__xludf.DUMMYFUNCTION("FILTER(K145:T145,len(K145:T145)=6)"),"egfcba")</f>
        <v>egfcba</v>
      </c>
      <c r="CI145" s="6" t="str">
        <f>IFERROR(__xludf.DUMMYFUNCTION("""COMPUTED_VALUE"""),"fecgbd")</f>
        <v>fecgbd</v>
      </c>
      <c r="CJ145" s="6" t="str">
        <f>IFERROR(__xludf.DUMMYFUNCTION("""COMPUTED_VALUE"""),"bdcage")</f>
        <v>bdcage</v>
      </c>
      <c r="CK145" s="6" t="str">
        <f>IFERROR(__xludf.DUMMYFUNCTION("REGEXREPLACE( $BG145, CONCATENATE(""["",CH145,""]""), """")"),"d")</f>
        <v>d</v>
      </c>
      <c r="CL145" s="6" t="str">
        <f>IFERROR(__xludf.DUMMYFUNCTION("REGEXREPLACE( $BG145, CONCATENATE(""["",CI145,""]""), """")"),"")</f>
        <v/>
      </c>
      <c r="CM145" s="6" t="str">
        <f>IFERROR(__xludf.DUMMYFUNCTION("REGEXREPLACE( $BG145, CONCATENATE(""["",CJ145,""]""), """")"),"f")</f>
        <v>f</v>
      </c>
      <c r="CN145" s="12" t="str">
        <f t="shared" si="12"/>
        <v>fecgbd</v>
      </c>
      <c r="CO145" s="12" t="str">
        <f>IFERROR(__xludf.DUMMYFUNCTION("CONCATENATE(SORT(TRANSPOSE(SPLIT(REGEXREPLACE(REGEXREPLACE(CN145&amp;"""",""(?s)(.{1})"",""$1""&amp;CHAR(127)),""'"",""''""),CHAR(127))),1,true),""1"")"),"bcdefg1")</f>
        <v>bcdefg1</v>
      </c>
      <c r="CP145" s="15"/>
    </row>
    <row r="146">
      <c r="A146" s="1" t="s">
        <v>166</v>
      </c>
      <c r="H146" s="6" t="str">
        <f>IFERROR(__xludf.DUMMYFUNCTION("SPLIT(A146,""|"")"),"eacdgf fdbga bgcefad acd ca fgbeda ecbfd bdgcfa abcg fdcab ")</f>
        <v>eacdgf fdbga bgcefad acd ca fgbeda ecbfd bdgcfa abcg fdcab </v>
      </c>
      <c r="I146" s="6" t="str">
        <f>IFERROR(__xludf.DUMMYFUNCTION("""COMPUTED_VALUE""")," gbfade gbafd gacb abfdc")</f>
        <v> gbfade gbafd gacb abfdc</v>
      </c>
      <c r="J146" s="15"/>
      <c r="K146" s="6" t="str">
        <f>IFERROR(__xludf.DUMMYFUNCTION("split(H146,"" "")"),"eacdgf")</f>
        <v>eacdgf</v>
      </c>
      <c r="L146" s="6" t="str">
        <f>IFERROR(__xludf.DUMMYFUNCTION("""COMPUTED_VALUE"""),"fdbga")</f>
        <v>fdbga</v>
      </c>
      <c r="M146" s="6" t="str">
        <f>IFERROR(__xludf.DUMMYFUNCTION("""COMPUTED_VALUE"""),"bgcefad")</f>
        <v>bgcefad</v>
      </c>
      <c r="N146" s="6" t="str">
        <f>IFERROR(__xludf.DUMMYFUNCTION("""COMPUTED_VALUE"""),"acd")</f>
        <v>acd</v>
      </c>
      <c r="O146" s="6" t="str">
        <f>IFERROR(__xludf.DUMMYFUNCTION("""COMPUTED_VALUE"""),"ca")</f>
        <v>ca</v>
      </c>
      <c r="P146" s="6" t="str">
        <f>IFERROR(__xludf.DUMMYFUNCTION("""COMPUTED_VALUE"""),"fgbeda")</f>
        <v>fgbeda</v>
      </c>
      <c r="Q146" s="6" t="str">
        <f>IFERROR(__xludf.DUMMYFUNCTION("""COMPUTED_VALUE"""),"ecbfd")</f>
        <v>ecbfd</v>
      </c>
      <c r="R146" s="6" t="str">
        <f>IFERROR(__xludf.DUMMYFUNCTION("""COMPUTED_VALUE"""),"bdgcfa")</f>
        <v>bdgcfa</v>
      </c>
      <c r="S146" s="6" t="str">
        <f>IFERROR(__xludf.DUMMYFUNCTION("""COMPUTED_VALUE"""),"abcg")</f>
        <v>abcg</v>
      </c>
      <c r="T146" s="6" t="str">
        <f>IFERROR(__xludf.DUMMYFUNCTION("""COMPUTED_VALUE"""),"fdcab")</f>
        <v>fdcab</v>
      </c>
      <c r="U146" s="15"/>
      <c r="V146" s="6" t="str">
        <f>IFERROR(__xludf.DUMMYFUNCTION("split(I146,"" "")"),"gbfade")</f>
        <v>gbfade</v>
      </c>
      <c r="W146" s="6" t="str">
        <f>IFERROR(__xludf.DUMMYFUNCTION("""COMPUTED_VALUE"""),"gbafd")</f>
        <v>gbafd</v>
      </c>
      <c r="X146" s="6" t="str">
        <f>IFERROR(__xludf.DUMMYFUNCTION("""COMPUTED_VALUE"""),"gacb")</f>
        <v>gacb</v>
      </c>
      <c r="Y146" s="6" t="str">
        <f>IFERROR(__xludf.DUMMYFUNCTION("""COMPUTED_VALUE"""),"abfdc")</f>
        <v>abfdc</v>
      </c>
      <c r="Z146" s="6" t="str">
        <f>IFERROR(__xludf.DUMMYFUNCTION("CONCATENATE(SORT(TRANSPOSE(SPLIT(REGEXREPLACE(REGEXREPLACE(V146&amp;"""",""(?s)(.{1})"",""$1""&amp;CHAR(127)),""'"",""''""),CHAR(127))),1,true))"),"abdefg")</f>
        <v>abdefg</v>
      </c>
      <c r="AA146" s="6" t="str">
        <f>IFERROR(__xludf.DUMMYFUNCTION("CONCATENATE(SORT(TRANSPOSE(SPLIT(REGEXREPLACE(REGEXREPLACE(W146&amp;"""",""(?s)(.{1})"",""$1""&amp;CHAR(127)),""'"",""''""),CHAR(127))),1,true))"),"abdfg")</f>
        <v>abdfg</v>
      </c>
      <c r="AB146" s="6" t="str">
        <f>IFERROR(__xludf.DUMMYFUNCTION("CONCATENATE(SORT(TRANSPOSE(SPLIT(REGEXREPLACE(REGEXREPLACE(X146&amp;"""",""(?s)(.{1})"",""$1""&amp;CHAR(127)),""'"",""''""),CHAR(127))),1,true))"),"abcg")</f>
        <v>abcg</v>
      </c>
      <c r="AC146" s="6" t="str">
        <f>IFERROR(__xludf.DUMMYFUNCTION("CONCATENATE(SORT(TRANSPOSE(SPLIT(REGEXREPLACE(REGEXREPLACE(Y146&amp;"""",""(?s)(.{1})"",""$1""&amp;CHAR(127)),""'"",""''""),CHAR(127))),1,true))"),"abcdf")</f>
        <v>abcdf</v>
      </c>
      <c r="AD146" s="6">
        <f t="shared" ref="AD146:AG146" si="156">INDEX($AO$1:$CP$1,1,MATCH(CONCATENATE(Z146,"1"),$AO146:$CP146,0)+1)</f>
        <v>6</v>
      </c>
      <c r="AE146" s="6">
        <f t="shared" si="156"/>
        <v>5</v>
      </c>
      <c r="AF146" s="6">
        <f t="shared" si="156"/>
        <v>4</v>
      </c>
      <c r="AG146" s="6">
        <f t="shared" si="156"/>
        <v>3</v>
      </c>
      <c r="AH146" s="6">
        <f t="shared" si="3"/>
        <v>6543</v>
      </c>
      <c r="AI146" s="16"/>
      <c r="AJ146" s="9" t="str">
        <f>IFERROR(__xludf.DUMMYFUNCTION("REGEXREPLACE(AR146,CONCATENATE(""["",BY146,""]""),"""")"),"c")</f>
        <v>c</v>
      </c>
      <c r="AK146" s="10" t="str">
        <f>IFERROR(__xludf.DUMMYFUNCTION("FILTER($K146:$T146,len($K146:$T146)=6,NOT($K146:$T146=BY146))"),"eacdgf")</f>
        <v>eacdgf</v>
      </c>
      <c r="AL146" s="6" t="str">
        <f>IFERROR(__xludf.DUMMYFUNCTION("""COMPUTED_VALUE"""),"bdgcfa")</f>
        <v>bdgcfa</v>
      </c>
      <c r="AM146" s="6" t="str">
        <f>IFERROR(__xludf.DUMMYFUNCTION("REGEXREPLACE( $BG146, CONCATENATE(""["",AK146,""]""), """")"),"b")</f>
        <v>b</v>
      </c>
      <c r="AN146" s="6" t="str">
        <f>IFERROR(__xludf.DUMMYFUNCTION("REGEXREPLACE( $BG146, CONCATENATE(""["",AL146,""]""), """")"),"")</f>
        <v/>
      </c>
      <c r="AO146" s="11" t="str">
        <f t="shared" si="4"/>
        <v>eacdgf</v>
      </c>
      <c r="AP146" s="12" t="str">
        <f>IFERROR(__xludf.DUMMYFUNCTION("CONCATENATE(SORT(TRANSPOSE(SPLIT(REGEXREPLACE(REGEXREPLACE(AO146&amp;"""",""(?s)(.{1})"",""$1""&amp;CHAR(127)),""'"",""''""),CHAR(127))),1,true),""1"")"),"acdefg1")</f>
        <v>acdefg1</v>
      </c>
      <c r="AQ146" s="16"/>
      <c r="AR146" s="12" t="str">
        <f t="shared" si="5"/>
        <v>ca</v>
      </c>
      <c r="AS146" s="12" t="str">
        <f>IFERROR(__xludf.DUMMYFUNCTION("CONCATENATE(SORT(TRANSPOSE(SPLIT(REGEXREPLACE(REGEXREPLACE(AR146&amp;"""",""(?s)(.{1})"",""$1""&amp;CHAR(127)),""'"",""''""),CHAR(127))),1,true),""1"")"),"ac1")</f>
        <v>ac1</v>
      </c>
      <c r="AT146" s="16"/>
      <c r="AU146" s="13" t="str">
        <f>IFERROR(__xludf.DUMMYFUNCTION("FILTER($K146:$T146,len($K146:$T146)=5,NOT($K146:$T146=BD146),NOT($K146:$T146=BP146))"),"ecbfd")</f>
        <v>ecbfd</v>
      </c>
      <c r="AV146" s="12" t="str">
        <f>IFERROR(__xludf.DUMMYFUNCTION("CONCATENATE(SORT(TRANSPOSE(SPLIT(REGEXREPLACE(REGEXREPLACE(AU146&amp;"""",""(?s)(.{1})"",""$1""&amp;CHAR(127)),""'"",""''""),CHAR(127))),1,true),""1"")"),"bcdef1")</f>
        <v>bcdef1</v>
      </c>
      <c r="AW146" s="16"/>
      <c r="AX146" s="10" t="str">
        <f>IFERROR(__xludf.DUMMYFUNCTION("FILTER($K146:$T146,len($K146:$T146)=5)"),"fdbga")</f>
        <v>fdbga</v>
      </c>
      <c r="AY146" s="6" t="str">
        <f>IFERROR(__xludf.DUMMYFUNCTION("""COMPUTED_VALUE"""),"ecbfd")</f>
        <v>ecbfd</v>
      </c>
      <c r="AZ146" s="6" t="str">
        <f>IFERROR(__xludf.DUMMYFUNCTION("""COMPUTED_VALUE"""),"fdcab")</f>
        <v>fdcab</v>
      </c>
      <c r="BA146" s="6" t="str">
        <f>IFERROR(__xludf.DUMMYFUNCTION("REGEXREPLACE( $AR146, CONCATENATE(""["",AX146,""]""), """")"),"c")</f>
        <v>c</v>
      </c>
      <c r="BB146" s="6" t="str">
        <f>IFERROR(__xludf.DUMMYFUNCTION("REGEXREPLACE( $AR146, CONCATENATE(""["",AY146,""]""), """")"),"a")</f>
        <v>a</v>
      </c>
      <c r="BC146" s="6" t="str">
        <f>IFERROR(__xludf.DUMMYFUNCTION("REGEXREPLACE( $AR146, CONCATENATE(""["",AZ146,""]""), """")"),"")</f>
        <v/>
      </c>
      <c r="BD146" s="11" t="str">
        <f t="shared" si="6"/>
        <v>fdcab</v>
      </c>
      <c r="BE146" s="12" t="str">
        <f>IFERROR(__xludf.DUMMYFUNCTION("CONCATENATE(SORT(TRANSPOSE(SPLIT(REGEXREPLACE(REGEXREPLACE(BD146&amp;"""",""(?s)(.{1})"",""$1""&amp;CHAR(127)),""'"",""''""),CHAR(127))),1,true),""1"")"),"abcdf1")</f>
        <v>abcdf1</v>
      </c>
      <c r="BF146" s="16"/>
      <c r="BG146" s="12" t="str">
        <f t="shared" si="7"/>
        <v>abcg</v>
      </c>
      <c r="BH146" s="12" t="str">
        <f>IFERROR(__xludf.DUMMYFUNCTION("CONCATENATE(SORT(TRANSPOSE(SPLIT(REGEXREPLACE(REGEXREPLACE(BG146&amp;"""",""(?s)(.{1})"",""$1""&amp;CHAR(127)),""'"",""''""),CHAR(127))),1,true),""1"")"),"abcg1")</f>
        <v>abcg1</v>
      </c>
      <c r="BI146" s="16"/>
      <c r="BJ146" s="10" t="str">
        <f>IFERROR(__xludf.DUMMYFUNCTION("FILTER($K146:$T146,len($K146:$T146)=5)"),"fdbga")</f>
        <v>fdbga</v>
      </c>
      <c r="BK146" s="6" t="str">
        <f>IFERROR(__xludf.DUMMYFUNCTION("""COMPUTED_VALUE"""),"ecbfd")</f>
        <v>ecbfd</v>
      </c>
      <c r="BL146" s="6" t="str">
        <f>IFERROR(__xludf.DUMMYFUNCTION("""COMPUTED_VALUE"""),"fdcab")</f>
        <v>fdcab</v>
      </c>
      <c r="BM146" s="14" t="str">
        <f>IFERROR(__xludf.DUMMYFUNCTION("REGEXREPLACE( $BY146, CONCATENATE(""["",BJ146,""]""), """")"),"e")</f>
        <v>e</v>
      </c>
      <c r="BN146" s="14" t="str">
        <f>IFERROR(__xludf.DUMMYFUNCTION("REGEXREPLACE( $BY146, CONCATENATE(""["",BK146,""]""), """")"),"ga")</f>
        <v>ga</v>
      </c>
      <c r="BO146" s="14" t="str">
        <f>IFERROR(__xludf.DUMMYFUNCTION("REGEXREPLACE( $BY146, CONCATENATE(""["",BL146,""]""), """")"),"ge")</f>
        <v>ge</v>
      </c>
      <c r="BP146" s="11" t="str">
        <f t="shared" si="8"/>
        <v>fdbga</v>
      </c>
      <c r="BQ146" s="12" t="str">
        <f>IFERROR(__xludf.DUMMYFUNCTION("CONCATENATE(SORT(TRANSPOSE(SPLIT(REGEXREPLACE(REGEXREPLACE(BP146&amp;"""",""(?s)(.{1})"",""$1""&amp;CHAR(127)),""'"",""''""),CHAR(127))),1,true),""1"")"),"abdfg1")</f>
        <v>abdfg1</v>
      </c>
      <c r="BR146" s="16"/>
      <c r="BS146" s="10" t="str">
        <f>IFERROR(__xludf.DUMMYFUNCTION("FILTER(K146:T146,len(K146:T146)=6)"),"eacdgf")</f>
        <v>eacdgf</v>
      </c>
      <c r="BT146" s="6" t="str">
        <f>IFERROR(__xludf.DUMMYFUNCTION("""COMPUTED_VALUE"""),"fgbeda")</f>
        <v>fgbeda</v>
      </c>
      <c r="BU146" s="6" t="str">
        <f>IFERROR(__xludf.DUMMYFUNCTION("""COMPUTED_VALUE"""),"bdgcfa")</f>
        <v>bdgcfa</v>
      </c>
      <c r="BV146" s="6" t="str">
        <f>IFERROR(__xludf.DUMMYFUNCTION("REGEXREPLACE( $AR146, CONCATENATE(""["",BS146,""]""), """")"),"")</f>
        <v/>
      </c>
      <c r="BW146" s="6" t="str">
        <f>IFERROR(__xludf.DUMMYFUNCTION("REGEXREPLACE( $AR146, CONCATENATE(""["",BT146,""]""), """")"),"c")</f>
        <v>c</v>
      </c>
      <c r="BX146" s="6" t="str">
        <f>IFERROR(__xludf.DUMMYFUNCTION("REGEXREPLACE( $AR146, CONCATENATE(""["",BU146,""]""), """")"),"")</f>
        <v/>
      </c>
      <c r="BY146" s="12" t="str">
        <f t="shared" si="9"/>
        <v>fgbeda</v>
      </c>
      <c r="BZ146" s="12" t="str">
        <f>IFERROR(__xludf.DUMMYFUNCTION("CONCATENATE(SORT(TRANSPOSE(SPLIT(REGEXREPLACE(REGEXREPLACE(BY146&amp;"""",""(?s)(.{1})"",""$1""&amp;CHAR(127)),""'"",""''""),CHAR(127))),1,true),""1"")"),"abdefg1")</f>
        <v>abdefg1</v>
      </c>
      <c r="CA146" s="16"/>
      <c r="CB146" s="12" t="str">
        <f t="shared" si="10"/>
        <v>acd</v>
      </c>
      <c r="CC146" s="12" t="str">
        <f>IFERROR(__xludf.DUMMYFUNCTION("CONCATENATE(SORT(TRANSPOSE(SPLIT(REGEXREPLACE(REGEXREPLACE(CB146&amp;"""",""(?s)(.{1})"",""$1""&amp;CHAR(127)),""'"",""''""),CHAR(127))),1,true),""1"")"),"acd1")</f>
        <v>acd1</v>
      </c>
      <c r="CD146" s="16"/>
      <c r="CE146" s="12" t="str">
        <f t="shared" si="11"/>
        <v>bgcefad</v>
      </c>
      <c r="CF146" s="12" t="str">
        <f>IFERROR(__xludf.DUMMYFUNCTION("CONCATENATE(SORT(TRANSPOSE(SPLIT(REGEXREPLACE(REGEXREPLACE(CE146&amp;"""",""(?s)(.{1})"",""$1""&amp;CHAR(127)),""'"",""''""),CHAR(127))),1,true),""1"")"),"abcdefg1")</f>
        <v>abcdefg1</v>
      </c>
      <c r="CG146" s="16"/>
      <c r="CH146" s="10" t="str">
        <f>IFERROR(__xludf.DUMMYFUNCTION("FILTER(K146:T146,len(K146:T146)=6)"),"eacdgf")</f>
        <v>eacdgf</v>
      </c>
      <c r="CI146" s="6" t="str">
        <f>IFERROR(__xludf.DUMMYFUNCTION("""COMPUTED_VALUE"""),"fgbeda")</f>
        <v>fgbeda</v>
      </c>
      <c r="CJ146" s="6" t="str">
        <f>IFERROR(__xludf.DUMMYFUNCTION("""COMPUTED_VALUE"""),"bdgcfa")</f>
        <v>bdgcfa</v>
      </c>
      <c r="CK146" s="6" t="str">
        <f>IFERROR(__xludf.DUMMYFUNCTION("REGEXREPLACE( $BG146, CONCATENATE(""["",CH146,""]""), """")"),"b")</f>
        <v>b</v>
      </c>
      <c r="CL146" s="6" t="str">
        <f>IFERROR(__xludf.DUMMYFUNCTION("REGEXREPLACE( $BG146, CONCATENATE(""["",CI146,""]""), """")"),"c")</f>
        <v>c</v>
      </c>
      <c r="CM146" s="6" t="str">
        <f>IFERROR(__xludf.DUMMYFUNCTION("REGEXREPLACE( $BG146, CONCATENATE(""["",CJ146,""]""), """")"),"")</f>
        <v/>
      </c>
      <c r="CN146" s="12" t="str">
        <f t="shared" si="12"/>
        <v>bdgcfa</v>
      </c>
      <c r="CO146" s="12" t="str">
        <f>IFERROR(__xludf.DUMMYFUNCTION("CONCATENATE(SORT(TRANSPOSE(SPLIT(REGEXREPLACE(REGEXREPLACE(CN146&amp;"""",""(?s)(.{1})"",""$1""&amp;CHAR(127)),""'"",""''""),CHAR(127))),1,true),""1"")"),"abcdfg1")</f>
        <v>abcdfg1</v>
      </c>
      <c r="CP146" s="15"/>
    </row>
    <row r="147">
      <c r="A147" s="1" t="s">
        <v>167</v>
      </c>
      <c r="H147" s="6" t="str">
        <f>IFERROR(__xludf.DUMMYFUNCTION("SPLIT(A147,""|"")"),"abdfc afebcg edabg dcge gbdefa gbdca cbg cg dbgace bcgeadf ")</f>
        <v>abdfc afebcg edabg dcge gbdefa gbdca cbg cg dbgace bcgeadf </v>
      </c>
      <c r="I147" s="6" t="str">
        <f>IFERROR(__xludf.DUMMYFUNCTION("""COMPUTED_VALUE""")," bgc bagefd gcb bcfda")</f>
        <v> bgc bagefd gcb bcfda</v>
      </c>
      <c r="J147" s="15"/>
      <c r="K147" s="6" t="str">
        <f>IFERROR(__xludf.DUMMYFUNCTION("split(H147,"" "")"),"abdfc")</f>
        <v>abdfc</v>
      </c>
      <c r="L147" s="6" t="str">
        <f>IFERROR(__xludf.DUMMYFUNCTION("""COMPUTED_VALUE"""),"afebcg")</f>
        <v>afebcg</v>
      </c>
      <c r="M147" s="6" t="str">
        <f>IFERROR(__xludf.DUMMYFUNCTION("""COMPUTED_VALUE"""),"edabg")</f>
        <v>edabg</v>
      </c>
      <c r="N147" s="6" t="str">
        <f>IFERROR(__xludf.DUMMYFUNCTION("""COMPUTED_VALUE"""),"dcge")</f>
        <v>dcge</v>
      </c>
      <c r="O147" s="6" t="str">
        <f>IFERROR(__xludf.DUMMYFUNCTION("""COMPUTED_VALUE"""),"gbdefa")</f>
        <v>gbdefa</v>
      </c>
      <c r="P147" s="6" t="str">
        <f>IFERROR(__xludf.DUMMYFUNCTION("""COMPUTED_VALUE"""),"gbdca")</f>
        <v>gbdca</v>
      </c>
      <c r="Q147" s="6" t="str">
        <f>IFERROR(__xludf.DUMMYFUNCTION("""COMPUTED_VALUE"""),"cbg")</f>
        <v>cbg</v>
      </c>
      <c r="R147" s="6" t="str">
        <f>IFERROR(__xludf.DUMMYFUNCTION("""COMPUTED_VALUE"""),"cg")</f>
        <v>cg</v>
      </c>
      <c r="S147" s="6" t="str">
        <f>IFERROR(__xludf.DUMMYFUNCTION("""COMPUTED_VALUE"""),"dbgace")</f>
        <v>dbgace</v>
      </c>
      <c r="T147" s="6" t="str">
        <f>IFERROR(__xludf.DUMMYFUNCTION("""COMPUTED_VALUE"""),"bcgeadf")</f>
        <v>bcgeadf</v>
      </c>
      <c r="U147" s="15"/>
      <c r="V147" s="6" t="str">
        <f>IFERROR(__xludf.DUMMYFUNCTION("split(I147,"" "")"),"bgc")</f>
        <v>bgc</v>
      </c>
      <c r="W147" s="6" t="str">
        <f>IFERROR(__xludf.DUMMYFUNCTION("""COMPUTED_VALUE"""),"bagefd")</f>
        <v>bagefd</v>
      </c>
      <c r="X147" s="6" t="str">
        <f>IFERROR(__xludf.DUMMYFUNCTION("""COMPUTED_VALUE"""),"gcb")</f>
        <v>gcb</v>
      </c>
      <c r="Y147" s="6" t="str">
        <f>IFERROR(__xludf.DUMMYFUNCTION("""COMPUTED_VALUE"""),"bcfda")</f>
        <v>bcfda</v>
      </c>
      <c r="Z147" s="6" t="str">
        <f>IFERROR(__xludf.DUMMYFUNCTION("CONCATENATE(SORT(TRANSPOSE(SPLIT(REGEXREPLACE(REGEXREPLACE(V147&amp;"""",""(?s)(.{1})"",""$1""&amp;CHAR(127)),""'"",""''""),CHAR(127))),1,true))"),"bcg")</f>
        <v>bcg</v>
      </c>
      <c r="AA147" s="6" t="str">
        <f>IFERROR(__xludf.DUMMYFUNCTION("CONCATENATE(SORT(TRANSPOSE(SPLIT(REGEXREPLACE(REGEXREPLACE(W147&amp;"""",""(?s)(.{1})"",""$1""&amp;CHAR(127)),""'"",""''""),CHAR(127))),1,true))"),"abdefg")</f>
        <v>abdefg</v>
      </c>
      <c r="AB147" s="6" t="str">
        <f>IFERROR(__xludf.DUMMYFUNCTION("CONCATENATE(SORT(TRANSPOSE(SPLIT(REGEXREPLACE(REGEXREPLACE(X147&amp;"""",""(?s)(.{1})"",""$1""&amp;CHAR(127)),""'"",""''""),CHAR(127))),1,true))"),"bcg")</f>
        <v>bcg</v>
      </c>
      <c r="AC147" s="6" t="str">
        <f>IFERROR(__xludf.DUMMYFUNCTION("CONCATENATE(SORT(TRANSPOSE(SPLIT(REGEXREPLACE(REGEXREPLACE(Y147&amp;"""",""(?s)(.{1})"",""$1""&amp;CHAR(127)),""'"",""''""),CHAR(127))),1,true))"),"abcdf")</f>
        <v>abcdf</v>
      </c>
      <c r="AD147" s="6">
        <f t="shared" ref="AD147:AG147" si="157">INDEX($AO$1:$CP$1,1,MATCH(CONCATENATE(Z147,"1"),$AO147:$CP147,0)+1)</f>
        <v>7</v>
      </c>
      <c r="AE147" s="6">
        <f t="shared" si="157"/>
        <v>6</v>
      </c>
      <c r="AF147" s="6">
        <f t="shared" si="157"/>
        <v>7</v>
      </c>
      <c r="AG147" s="6">
        <f t="shared" si="157"/>
        <v>2</v>
      </c>
      <c r="AH147" s="6">
        <f t="shared" si="3"/>
        <v>7672</v>
      </c>
      <c r="AI147" s="16"/>
      <c r="AJ147" s="9" t="str">
        <f>IFERROR(__xludf.DUMMYFUNCTION("REGEXREPLACE(AR147,CONCATENATE(""["",BY147,""]""),"""")"),"c")</f>
        <v>c</v>
      </c>
      <c r="AK147" s="10" t="str">
        <f>IFERROR(__xludf.DUMMYFUNCTION("FILTER($K147:$T147,len($K147:$T147)=6,NOT($K147:$T147=BY147))"),"afebcg")</f>
        <v>afebcg</v>
      </c>
      <c r="AL147" s="6" t="str">
        <f>IFERROR(__xludf.DUMMYFUNCTION("""COMPUTED_VALUE"""),"dbgace")</f>
        <v>dbgace</v>
      </c>
      <c r="AM147" s="6" t="str">
        <f>IFERROR(__xludf.DUMMYFUNCTION("REGEXREPLACE( $BG147, CONCATENATE(""["",AK147,""]""), """")"),"d")</f>
        <v>d</v>
      </c>
      <c r="AN147" s="6" t="str">
        <f>IFERROR(__xludf.DUMMYFUNCTION("REGEXREPLACE( $BG147, CONCATENATE(""["",AL147,""]""), """")"),"")</f>
        <v/>
      </c>
      <c r="AO147" s="11" t="str">
        <f t="shared" si="4"/>
        <v>afebcg</v>
      </c>
      <c r="AP147" s="12" t="str">
        <f>IFERROR(__xludf.DUMMYFUNCTION("CONCATENATE(SORT(TRANSPOSE(SPLIT(REGEXREPLACE(REGEXREPLACE(AO147&amp;"""",""(?s)(.{1})"",""$1""&amp;CHAR(127)),""'"",""''""),CHAR(127))),1,true),""1"")"),"abcefg1")</f>
        <v>abcefg1</v>
      </c>
      <c r="AQ147" s="16"/>
      <c r="AR147" s="12" t="str">
        <f t="shared" si="5"/>
        <v>cg</v>
      </c>
      <c r="AS147" s="12" t="str">
        <f>IFERROR(__xludf.DUMMYFUNCTION("CONCATENATE(SORT(TRANSPOSE(SPLIT(REGEXREPLACE(REGEXREPLACE(AR147&amp;"""",""(?s)(.{1})"",""$1""&amp;CHAR(127)),""'"",""''""),CHAR(127))),1,true),""1"")"),"cg1")</f>
        <v>cg1</v>
      </c>
      <c r="AT147" s="16"/>
      <c r="AU147" s="13" t="str">
        <f>IFERROR(__xludf.DUMMYFUNCTION("FILTER($K147:$T147,len($K147:$T147)=5,NOT($K147:$T147=BD147),NOT($K147:$T147=BP147))"),"abdfc")</f>
        <v>abdfc</v>
      </c>
      <c r="AV147" s="12" t="str">
        <f>IFERROR(__xludf.DUMMYFUNCTION("CONCATENATE(SORT(TRANSPOSE(SPLIT(REGEXREPLACE(REGEXREPLACE(AU147&amp;"""",""(?s)(.{1})"",""$1""&amp;CHAR(127)),""'"",""''""),CHAR(127))),1,true),""1"")"),"abcdf1")</f>
        <v>abcdf1</v>
      </c>
      <c r="AW147" s="16"/>
      <c r="AX147" s="10" t="str">
        <f>IFERROR(__xludf.DUMMYFUNCTION("FILTER($K147:$T147,len($K147:$T147)=5)"),"abdfc")</f>
        <v>abdfc</v>
      </c>
      <c r="AY147" s="6" t="str">
        <f>IFERROR(__xludf.DUMMYFUNCTION("""COMPUTED_VALUE"""),"edabg")</f>
        <v>edabg</v>
      </c>
      <c r="AZ147" s="6" t="str">
        <f>IFERROR(__xludf.DUMMYFUNCTION("""COMPUTED_VALUE"""),"gbdca")</f>
        <v>gbdca</v>
      </c>
      <c r="BA147" s="6" t="str">
        <f>IFERROR(__xludf.DUMMYFUNCTION("REGEXREPLACE( $AR147, CONCATENATE(""["",AX147,""]""), """")"),"g")</f>
        <v>g</v>
      </c>
      <c r="BB147" s="6" t="str">
        <f>IFERROR(__xludf.DUMMYFUNCTION("REGEXREPLACE( $AR147, CONCATENATE(""["",AY147,""]""), """")"),"c")</f>
        <v>c</v>
      </c>
      <c r="BC147" s="6" t="str">
        <f>IFERROR(__xludf.DUMMYFUNCTION("REGEXREPLACE( $AR147, CONCATENATE(""["",AZ147,""]""), """")"),"")</f>
        <v/>
      </c>
      <c r="BD147" s="11" t="str">
        <f t="shared" si="6"/>
        <v>gbdca</v>
      </c>
      <c r="BE147" s="12" t="str">
        <f>IFERROR(__xludf.DUMMYFUNCTION("CONCATENATE(SORT(TRANSPOSE(SPLIT(REGEXREPLACE(REGEXREPLACE(BD147&amp;"""",""(?s)(.{1})"",""$1""&amp;CHAR(127)),""'"",""''""),CHAR(127))),1,true),""1"")"),"abcdg1")</f>
        <v>abcdg1</v>
      </c>
      <c r="BF147" s="16"/>
      <c r="BG147" s="12" t="str">
        <f t="shared" si="7"/>
        <v>dcge</v>
      </c>
      <c r="BH147" s="12" t="str">
        <f>IFERROR(__xludf.DUMMYFUNCTION("CONCATENATE(SORT(TRANSPOSE(SPLIT(REGEXREPLACE(REGEXREPLACE(BG147&amp;"""",""(?s)(.{1})"",""$1""&amp;CHAR(127)),""'"",""''""),CHAR(127))),1,true),""1"")"),"cdeg1")</f>
        <v>cdeg1</v>
      </c>
      <c r="BI147" s="16"/>
      <c r="BJ147" s="10" t="str">
        <f>IFERROR(__xludf.DUMMYFUNCTION("FILTER($K147:$T147,len($K147:$T147)=5)"),"abdfc")</f>
        <v>abdfc</v>
      </c>
      <c r="BK147" s="6" t="str">
        <f>IFERROR(__xludf.DUMMYFUNCTION("""COMPUTED_VALUE"""),"edabg")</f>
        <v>edabg</v>
      </c>
      <c r="BL147" s="6" t="str">
        <f>IFERROR(__xludf.DUMMYFUNCTION("""COMPUTED_VALUE"""),"gbdca")</f>
        <v>gbdca</v>
      </c>
      <c r="BM147" s="14" t="str">
        <f>IFERROR(__xludf.DUMMYFUNCTION("REGEXREPLACE( $BY147, CONCATENATE(""["",BJ147,""]""), """")"),"ge")</f>
        <v>ge</v>
      </c>
      <c r="BN147" s="14" t="str">
        <f>IFERROR(__xludf.DUMMYFUNCTION("REGEXREPLACE( $BY147, CONCATENATE(""["",BK147,""]""), """")"),"f")</f>
        <v>f</v>
      </c>
      <c r="BO147" s="14" t="str">
        <f>IFERROR(__xludf.DUMMYFUNCTION("REGEXREPLACE( $BY147, CONCATENATE(""["",BL147,""]""), """")"),"ef")</f>
        <v>ef</v>
      </c>
      <c r="BP147" s="11" t="str">
        <f t="shared" si="8"/>
        <v>edabg</v>
      </c>
      <c r="BQ147" s="12" t="str">
        <f>IFERROR(__xludf.DUMMYFUNCTION("CONCATENATE(SORT(TRANSPOSE(SPLIT(REGEXREPLACE(REGEXREPLACE(BP147&amp;"""",""(?s)(.{1})"",""$1""&amp;CHAR(127)),""'"",""''""),CHAR(127))),1,true),""1"")"),"abdeg1")</f>
        <v>abdeg1</v>
      </c>
      <c r="BR147" s="16"/>
      <c r="BS147" s="10" t="str">
        <f>IFERROR(__xludf.DUMMYFUNCTION("FILTER(K147:T147,len(K147:T147)=6)"),"afebcg")</f>
        <v>afebcg</v>
      </c>
      <c r="BT147" s="6" t="str">
        <f>IFERROR(__xludf.DUMMYFUNCTION("""COMPUTED_VALUE"""),"gbdefa")</f>
        <v>gbdefa</v>
      </c>
      <c r="BU147" s="6" t="str">
        <f>IFERROR(__xludf.DUMMYFUNCTION("""COMPUTED_VALUE"""),"dbgace")</f>
        <v>dbgace</v>
      </c>
      <c r="BV147" s="6" t="str">
        <f>IFERROR(__xludf.DUMMYFUNCTION("REGEXREPLACE( $AR147, CONCATENATE(""["",BS147,""]""), """")"),"")</f>
        <v/>
      </c>
      <c r="BW147" s="6" t="str">
        <f>IFERROR(__xludf.DUMMYFUNCTION("REGEXREPLACE( $AR147, CONCATENATE(""["",BT147,""]""), """")"),"c")</f>
        <v>c</v>
      </c>
      <c r="BX147" s="6" t="str">
        <f>IFERROR(__xludf.DUMMYFUNCTION("REGEXREPLACE( $AR147, CONCATENATE(""["",BU147,""]""), """")"),"")</f>
        <v/>
      </c>
      <c r="BY147" s="12" t="str">
        <f t="shared" si="9"/>
        <v>gbdefa</v>
      </c>
      <c r="BZ147" s="12" t="str">
        <f>IFERROR(__xludf.DUMMYFUNCTION("CONCATENATE(SORT(TRANSPOSE(SPLIT(REGEXREPLACE(REGEXREPLACE(BY147&amp;"""",""(?s)(.{1})"",""$1""&amp;CHAR(127)),""'"",""''""),CHAR(127))),1,true),""1"")"),"abdefg1")</f>
        <v>abdefg1</v>
      </c>
      <c r="CA147" s="16"/>
      <c r="CB147" s="12" t="str">
        <f t="shared" si="10"/>
        <v>cbg</v>
      </c>
      <c r="CC147" s="12" t="str">
        <f>IFERROR(__xludf.DUMMYFUNCTION("CONCATENATE(SORT(TRANSPOSE(SPLIT(REGEXREPLACE(REGEXREPLACE(CB147&amp;"""",""(?s)(.{1})"",""$1""&amp;CHAR(127)),""'"",""''""),CHAR(127))),1,true),""1"")"),"bcg1")</f>
        <v>bcg1</v>
      </c>
      <c r="CD147" s="16"/>
      <c r="CE147" s="12" t="str">
        <f t="shared" si="11"/>
        <v>bcgeadf</v>
      </c>
      <c r="CF147" s="12" t="str">
        <f>IFERROR(__xludf.DUMMYFUNCTION("CONCATENATE(SORT(TRANSPOSE(SPLIT(REGEXREPLACE(REGEXREPLACE(CE147&amp;"""",""(?s)(.{1})"",""$1""&amp;CHAR(127)),""'"",""''""),CHAR(127))),1,true),""1"")"),"abcdefg1")</f>
        <v>abcdefg1</v>
      </c>
      <c r="CG147" s="16"/>
      <c r="CH147" s="10" t="str">
        <f>IFERROR(__xludf.DUMMYFUNCTION("FILTER(K147:T147,len(K147:T147)=6)"),"afebcg")</f>
        <v>afebcg</v>
      </c>
      <c r="CI147" s="6" t="str">
        <f>IFERROR(__xludf.DUMMYFUNCTION("""COMPUTED_VALUE"""),"gbdefa")</f>
        <v>gbdefa</v>
      </c>
      <c r="CJ147" s="6" t="str">
        <f>IFERROR(__xludf.DUMMYFUNCTION("""COMPUTED_VALUE"""),"dbgace")</f>
        <v>dbgace</v>
      </c>
      <c r="CK147" s="6" t="str">
        <f>IFERROR(__xludf.DUMMYFUNCTION("REGEXREPLACE( $BG147, CONCATENATE(""["",CH147,""]""), """")"),"d")</f>
        <v>d</v>
      </c>
      <c r="CL147" s="6" t="str">
        <f>IFERROR(__xludf.DUMMYFUNCTION("REGEXREPLACE( $BG147, CONCATENATE(""["",CI147,""]""), """")"),"c")</f>
        <v>c</v>
      </c>
      <c r="CM147" s="6" t="str">
        <f>IFERROR(__xludf.DUMMYFUNCTION("REGEXREPLACE( $BG147, CONCATENATE(""["",CJ147,""]""), """")"),"")</f>
        <v/>
      </c>
      <c r="CN147" s="12" t="str">
        <f t="shared" si="12"/>
        <v>dbgace</v>
      </c>
      <c r="CO147" s="12" t="str">
        <f>IFERROR(__xludf.DUMMYFUNCTION("CONCATENATE(SORT(TRANSPOSE(SPLIT(REGEXREPLACE(REGEXREPLACE(CN147&amp;"""",""(?s)(.{1})"",""$1""&amp;CHAR(127)),""'"",""''""),CHAR(127))),1,true),""1"")"),"abcdeg1")</f>
        <v>abcdeg1</v>
      </c>
      <c r="CP147" s="15"/>
    </row>
    <row r="148">
      <c r="A148" s="1" t="s">
        <v>168</v>
      </c>
      <c r="H148" s="6" t="str">
        <f>IFERROR(__xludf.DUMMYFUNCTION("SPLIT(A148,""|"")"),"gcde geb gabdfce eg bafdec gdcbae ceabd gdfbea bgfac gbace ")</f>
        <v>gcde geb gabdfce eg bafdec gdcbae ceabd gdfbea bgfac gbace </v>
      </c>
      <c r="I148" s="6" t="str">
        <f>IFERROR(__xludf.DUMMYFUNCTION("""COMPUTED_VALUE""")," geb abfcg cbdea gbfac")</f>
        <v> geb abfcg cbdea gbfac</v>
      </c>
      <c r="J148" s="15"/>
      <c r="K148" s="6" t="str">
        <f>IFERROR(__xludf.DUMMYFUNCTION("split(H148,"" "")"),"gcde")</f>
        <v>gcde</v>
      </c>
      <c r="L148" s="6" t="str">
        <f>IFERROR(__xludf.DUMMYFUNCTION("""COMPUTED_VALUE"""),"geb")</f>
        <v>geb</v>
      </c>
      <c r="M148" s="6" t="str">
        <f>IFERROR(__xludf.DUMMYFUNCTION("""COMPUTED_VALUE"""),"gabdfce")</f>
        <v>gabdfce</v>
      </c>
      <c r="N148" s="6" t="str">
        <f>IFERROR(__xludf.DUMMYFUNCTION("""COMPUTED_VALUE"""),"eg")</f>
        <v>eg</v>
      </c>
      <c r="O148" s="6" t="str">
        <f>IFERROR(__xludf.DUMMYFUNCTION("""COMPUTED_VALUE"""),"bafdec")</f>
        <v>bafdec</v>
      </c>
      <c r="P148" s="6" t="str">
        <f>IFERROR(__xludf.DUMMYFUNCTION("""COMPUTED_VALUE"""),"gdcbae")</f>
        <v>gdcbae</v>
      </c>
      <c r="Q148" s="6" t="str">
        <f>IFERROR(__xludf.DUMMYFUNCTION("""COMPUTED_VALUE"""),"ceabd")</f>
        <v>ceabd</v>
      </c>
      <c r="R148" s="6" t="str">
        <f>IFERROR(__xludf.DUMMYFUNCTION("""COMPUTED_VALUE"""),"gdfbea")</f>
        <v>gdfbea</v>
      </c>
      <c r="S148" s="6" t="str">
        <f>IFERROR(__xludf.DUMMYFUNCTION("""COMPUTED_VALUE"""),"bgfac")</f>
        <v>bgfac</v>
      </c>
      <c r="T148" s="6" t="str">
        <f>IFERROR(__xludf.DUMMYFUNCTION("""COMPUTED_VALUE"""),"gbace")</f>
        <v>gbace</v>
      </c>
      <c r="U148" s="15"/>
      <c r="V148" s="6" t="str">
        <f>IFERROR(__xludf.DUMMYFUNCTION("split(I148,"" "")"),"geb")</f>
        <v>geb</v>
      </c>
      <c r="W148" s="6" t="str">
        <f>IFERROR(__xludf.DUMMYFUNCTION("""COMPUTED_VALUE"""),"abfcg")</f>
        <v>abfcg</v>
      </c>
      <c r="X148" s="6" t="str">
        <f>IFERROR(__xludf.DUMMYFUNCTION("""COMPUTED_VALUE"""),"cbdea")</f>
        <v>cbdea</v>
      </c>
      <c r="Y148" s="6" t="str">
        <f>IFERROR(__xludf.DUMMYFUNCTION("""COMPUTED_VALUE"""),"gbfac")</f>
        <v>gbfac</v>
      </c>
      <c r="Z148" s="6" t="str">
        <f>IFERROR(__xludf.DUMMYFUNCTION("CONCATENATE(SORT(TRANSPOSE(SPLIT(REGEXREPLACE(REGEXREPLACE(V148&amp;"""",""(?s)(.{1})"",""$1""&amp;CHAR(127)),""'"",""''""),CHAR(127))),1,true))"),"beg")</f>
        <v>beg</v>
      </c>
      <c r="AA148" s="6" t="str">
        <f>IFERROR(__xludf.DUMMYFUNCTION("CONCATENATE(SORT(TRANSPOSE(SPLIT(REGEXREPLACE(REGEXREPLACE(W148&amp;"""",""(?s)(.{1})"",""$1""&amp;CHAR(127)),""'"",""''""),CHAR(127))),1,true))"),"abcfg")</f>
        <v>abcfg</v>
      </c>
      <c r="AB148" s="6" t="str">
        <f>IFERROR(__xludf.DUMMYFUNCTION("CONCATENATE(SORT(TRANSPOSE(SPLIT(REGEXREPLACE(REGEXREPLACE(X148&amp;"""",""(?s)(.{1})"",""$1""&amp;CHAR(127)),""'"",""''""),CHAR(127))),1,true))"),"abcde")</f>
        <v>abcde</v>
      </c>
      <c r="AC148" s="6" t="str">
        <f>IFERROR(__xludf.DUMMYFUNCTION("CONCATENATE(SORT(TRANSPOSE(SPLIT(REGEXREPLACE(REGEXREPLACE(Y148&amp;"""",""(?s)(.{1})"",""$1""&amp;CHAR(127)),""'"",""''""),CHAR(127))),1,true))"),"abcfg")</f>
        <v>abcfg</v>
      </c>
      <c r="AD148" s="6">
        <f t="shared" ref="AD148:AG148" si="158">INDEX($AO$1:$CP$1,1,MATCH(CONCATENATE(Z148,"1"),$AO148:$CP148,0)+1)</f>
        <v>7</v>
      </c>
      <c r="AE148" s="6">
        <f t="shared" si="158"/>
        <v>2</v>
      </c>
      <c r="AF148" s="6">
        <f t="shared" si="158"/>
        <v>5</v>
      </c>
      <c r="AG148" s="6">
        <f t="shared" si="158"/>
        <v>2</v>
      </c>
      <c r="AH148" s="6">
        <f t="shared" si="3"/>
        <v>7252</v>
      </c>
      <c r="AI148" s="16"/>
      <c r="AJ148" s="9" t="str">
        <f>IFERROR(__xludf.DUMMYFUNCTION("REGEXREPLACE(AR148,CONCATENATE(""["",BY148,""]""),"""")"),"g")</f>
        <v>g</v>
      </c>
      <c r="AK148" s="10" t="str">
        <f>IFERROR(__xludf.DUMMYFUNCTION("FILTER($K148:$T148,len($K148:$T148)=6,NOT($K148:$T148=BY148))"),"gdcbae")</f>
        <v>gdcbae</v>
      </c>
      <c r="AL148" s="6" t="str">
        <f>IFERROR(__xludf.DUMMYFUNCTION("""COMPUTED_VALUE"""),"gdfbea")</f>
        <v>gdfbea</v>
      </c>
      <c r="AM148" s="6" t="str">
        <f>IFERROR(__xludf.DUMMYFUNCTION("REGEXREPLACE( $BG148, CONCATENATE(""["",AK148,""]""), """")"),"")</f>
        <v/>
      </c>
      <c r="AN148" s="6" t="str">
        <f>IFERROR(__xludf.DUMMYFUNCTION("REGEXREPLACE( $BG148, CONCATENATE(""["",AL148,""]""), """")"),"c")</f>
        <v>c</v>
      </c>
      <c r="AO148" s="11" t="str">
        <f t="shared" si="4"/>
        <v>gdfbea</v>
      </c>
      <c r="AP148" s="12" t="str">
        <f>IFERROR(__xludf.DUMMYFUNCTION("CONCATENATE(SORT(TRANSPOSE(SPLIT(REGEXREPLACE(REGEXREPLACE(AO148&amp;"""",""(?s)(.{1})"",""$1""&amp;CHAR(127)),""'"",""''""),CHAR(127))),1,true),""1"")"),"abdefg1")</f>
        <v>abdefg1</v>
      </c>
      <c r="AQ148" s="16"/>
      <c r="AR148" s="12" t="str">
        <f t="shared" si="5"/>
        <v>eg</v>
      </c>
      <c r="AS148" s="12" t="str">
        <f>IFERROR(__xludf.DUMMYFUNCTION("CONCATENATE(SORT(TRANSPOSE(SPLIT(REGEXREPLACE(REGEXREPLACE(AR148&amp;"""",""(?s)(.{1})"",""$1""&amp;CHAR(127)),""'"",""''""),CHAR(127))),1,true),""1"")"),"eg1")</f>
        <v>eg1</v>
      </c>
      <c r="AT148" s="16"/>
      <c r="AU148" s="13" t="str">
        <f>IFERROR(__xludf.DUMMYFUNCTION("FILTER($K148:$T148,len($K148:$T148)=5,NOT($K148:$T148=BD148),NOT($K148:$T148=BP148))"),"bgfac")</f>
        <v>bgfac</v>
      </c>
      <c r="AV148" s="12" t="str">
        <f>IFERROR(__xludf.DUMMYFUNCTION("CONCATENATE(SORT(TRANSPOSE(SPLIT(REGEXREPLACE(REGEXREPLACE(AU148&amp;"""",""(?s)(.{1})"",""$1""&amp;CHAR(127)),""'"",""''""),CHAR(127))),1,true),""1"")"),"abcfg1")</f>
        <v>abcfg1</v>
      </c>
      <c r="AW148" s="16"/>
      <c r="AX148" s="10" t="str">
        <f>IFERROR(__xludf.DUMMYFUNCTION("FILTER($K148:$T148,len($K148:$T148)=5)"),"ceabd")</f>
        <v>ceabd</v>
      </c>
      <c r="AY148" s="6" t="str">
        <f>IFERROR(__xludf.DUMMYFUNCTION("""COMPUTED_VALUE"""),"bgfac")</f>
        <v>bgfac</v>
      </c>
      <c r="AZ148" s="6" t="str">
        <f>IFERROR(__xludf.DUMMYFUNCTION("""COMPUTED_VALUE"""),"gbace")</f>
        <v>gbace</v>
      </c>
      <c r="BA148" s="6" t="str">
        <f>IFERROR(__xludf.DUMMYFUNCTION("REGEXREPLACE( $AR148, CONCATENATE(""["",AX148,""]""), """")"),"g")</f>
        <v>g</v>
      </c>
      <c r="BB148" s="6" t="str">
        <f>IFERROR(__xludf.DUMMYFUNCTION("REGEXREPLACE( $AR148, CONCATENATE(""["",AY148,""]""), """")"),"e")</f>
        <v>e</v>
      </c>
      <c r="BC148" s="6" t="str">
        <f>IFERROR(__xludf.DUMMYFUNCTION("REGEXREPLACE( $AR148, CONCATENATE(""["",AZ148,""]""), """")"),"")</f>
        <v/>
      </c>
      <c r="BD148" s="11" t="str">
        <f t="shared" si="6"/>
        <v>gbace</v>
      </c>
      <c r="BE148" s="12" t="str">
        <f>IFERROR(__xludf.DUMMYFUNCTION("CONCATENATE(SORT(TRANSPOSE(SPLIT(REGEXREPLACE(REGEXREPLACE(BD148&amp;"""",""(?s)(.{1})"",""$1""&amp;CHAR(127)),""'"",""''""),CHAR(127))),1,true),""1"")"),"abceg1")</f>
        <v>abceg1</v>
      </c>
      <c r="BF148" s="16"/>
      <c r="BG148" s="12" t="str">
        <f t="shared" si="7"/>
        <v>gcde</v>
      </c>
      <c r="BH148" s="12" t="str">
        <f>IFERROR(__xludf.DUMMYFUNCTION("CONCATENATE(SORT(TRANSPOSE(SPLIT(REGEXREPLACE(REGEXREPLACE(BG148&amp;"""",""(?s)(.{1})"",""$1""&amp;CHAR(127)),""'"",""''""),CHAR(127))),1,true),""1"")"),"cdeg1")</f>
        <v>cdeg1</v>
      </c>
      <c r="BI148" s="16"/>
      <c r="BJ148" s="10" t="str">
        <f>IFERROR(__xludf.DUMMYFUNCTION("FILTER($K148:$T148,len($K148:$T148)=5)"),"ceabd")</f>
        <v>ceabd</v>
      </c>
      <c r="BK148" s="6" t="str">
        <f>IFERROR(__xludf.DUMMYFUNCTION("""COMPUTED_VALUE"""),"bgfac")</f>
        <v>bgfac</v>
      </c>
      <c r="BL148" s="6" t="str">
        <f>IFERROR(__xludf.DUMMYFUNCTION("""COMPUTED_VALUE"""),"gbace")</f>
        <v>gbace</v>
      </c>
      <c r="BM148" s="14" t="str">
        <f>IFERROR(__xludf.DUMMYFUNCTION("REGEXREPLACE( $BY148, CONCATENATE(""["",BJ148,""]""), """")"),"f")</f>
        <v>f</v>
      </c>
      <c r="BN148" s="14" t="str">
        <f>IFERROR(__xludf.DUMMYFUNCTION("REGEXREPLACE( $BY148, CONCATENATE(""["",BK148,""]""), """")"),"de")</f>
        <v>de</v>
      </c>
      <c r="BO148" s="14" t="str">
        <f>IFERROR(__xludf.DUMMYFUNCTION("REGEXREPLACE( $BY148, CONCATENATE(""["",BL148,""]""), """")"),"fd")</f>
        <v>fd</v>
      </c>
      <c r="BP148" s="11" t="str">
        <f t="shared" si="8"/>
        <v>ceabd</v>
      </c>
      <c r="BQ148" s="12" t="str">
        <f>IFERROR(__xludf.DUMMYFUNCTION("CONCATENATE(SORT(TRANSPOSE(SPLIT(REGEXREPLACE(REGEXREPLACE(BP148&amp;"""",""(?s)(.{1})"",""$1""&amp;CHAR(127)),""'"",""''""),CHAR(127))),1,true),""1"")"),"abcde1")</f>
        <v>abcde1</v>
      </c>
      <c r="BR148" s="16"/>
      <c r="BS148" s="10" t="str">
        <f>IFERROR(__xludf.DUMMYFUNCTION("FILTER(K148:T148,len(K148:T148)=6)"),"bafdec")</f>
        <v>bafdec</v>
      </c>
      <c r="BT148" s="6" t="str">
        <f>IFERROR(__xludf.DUMMYFUNCTION("""COMPUTED_VALUE"""),"gdcbae")</f>
        <v>gdcbae</v>
      </c>
      <c r="BU148" s="6" t="str">
        <f>IFERROR(__xludf.DUMMYFUNCTION("""COMPUTED_VALUE"""),"gdfbea")</f>
        <v>gdfbea</v>
      </c>
      <c r="BV148" s="6" t="str">
        <f>IFERROR(__xludf.DUMMYFUNCTION("REGEXREPLACE( $AR148, CONCATENATE(""["",BS148,""]""), """")"),"g")</f>
        <v>g</v>
      </c>
      <c r="BW148" s="6" t="str">
        <f>IFERROR(__xludf.DUMMYFUNCTION("REGEXREPLACE( $AR148, CONCATENATE(""["",BT148,""]""), """")"),"")</f>
        <v/>
      </c>
      <c r="BX148" s="6" t="str">
        <f>IFERROR(__xludf.DUMMYFUNCTION("REGEXREPLACE( $AR148, CONCATENATE(""["",BU148,""]""), """")"),"")</f>
        <v/>
      </c>
      <c r="BY148" s="12" t="str">
        <f t="shared" si="9"/>
        <v>bafdec</v>
      </c>
      <c r="BZ148" s="12" t="str">
        <f>IFERROR(__xludf.DUMMYFUNCTION("CONCATENATE(SORT(TRANSPOSE(SPLIT(REGEXREPLACE(REGEXREPLACE(BY148&amp;"""",""(?s)(.{1})"",""$1""&amp;CHAR(127)),""'"",""''""),CHAR(127))),1,true),""1"")"),"abcdef1")</f>
        <v>abcdef1</v>
      </c>
      <c r="CA148" s="16"/>
      <c r="CB148" s="12" t="str">
        <f t="shared" si="10"/>
        <v>geb</v>
      </c>
      <c r="CC148" s="12" t="str">
        <f>IFERROR(__xludf.DUMMYFUNCTION("CONCATENATE(SORT(TRANSPOSE(SPLIT(REGEXREPLACE(REGEXREPLACE(CB148&amp;"""",""(?s)(.{1})"",""$1""&amp;CHAR(127)),""'"",""''""),CHAR(127))),1,true),""1"")"),"beg1")</f>
        <v>beg1</v>
      </c>
      <c r="CD148" s="16"/>
      <c r="CE148" s="12" t="str">
        <f t="shared" si="11"/>
        <v>gabdfce</v>
      </c>
      <c r="CF148" s="12" t="str">
        <f>IFERROR(__xludf.DUMMYFUNCTION("CONCATENATE(SORT(TRANSPOSE(SPLIT(REGEXREPLACE(REGEXREPLACE(CE148&amp;"""",""(?s)(.{1})"",""$1""&amp;CHAR(127)),""'"",""''""),CHAR(127))),1,true),""1"")"),"abcdefg1")</f>
        <v>abcdefg1</v>
      </c>
      <c r="CG148" s="16"/>
      <c r="CH148" s="10" t="str">
        <f>IFERROR(__xludf.DUMMYFUNCTION("FILTER(K148:T148,len(K148:T148)=6)"),"bafdec")</f>
        <v>bafdec</v>
      </c>
      <c r="CI148" s="6" t="str">
        <f>IFERROR(__xludf.DUMMYFUNCTION("""COMPUTED_VALUE"""),"gdcbae")</f>
        <v>gdcbae</v>
      </c>
      <c r="CJ148" s="6" t="str">
        <f>IFERROR(__xludf.DUMMYFUNCTION("""COMPUTED_VALUE"""),"gdfbea")</f>
        <v>gdfbea</v>
      </c>
      <c r="CK148" s="6" t="str">
        <f>IFERROR(__xludf.DUMMYFUNCTION("REGEXREPLACE( $BG148, CONCATENATE(""["",CH148,""]""), """")"),"g")</f>
        <v>g</v>
      </c>
      <c r="CL148" s="6" t="str">
        <f>IFERROR(__xludf.DUMMYFUNCTION("REGEXREPLACE( $BG148, CONCATENATE(""["",CI148,""]""), """")"),"")</f>
        <v/>
      </c>
      <c r="CM148" s="6" t="str">
        <f>IFERROR(__xludf.DUMMYFUNCTION("REGEXREPLACE( $BG148, CONCATENATE(""["",CJ148,""]""), """")"),"c")</f>
        <v>c</v>
      </c>
      <c r="CN148" s="12" t="str">
        <f t="shared" si="12"/>
        <v>gdcbae</v>
      </c>
      <c r="CO148" s="12" t="str">
        <f>IFERROR(__xludf.DUMMYFUNCTION("CONCATENATE(SORT(TRANSPOSE(SPLIT(REGEXREPLACE(REGEXREPLACE(CN148&amp;"""",""(?s)(.{1})"",""$1""&amp;CHAR(127)),""'"",""''""),CHAR(127))),1,true),""1"")"),"abcdeg1")</f>
        <v>abcdeg1</v>
      </c>
      <c r="CP148" s="15"/>
    </row>
    <row r="149">
      <c r="A149" s="1" t="s">
        <v>169</v>
      </c>
      <c r="H149" s="6" t="str">
        <f>IFERROR(__xludf.DUMMYFUNCTION("SPLIT(A149,""|"")"),"ge fcead edgac ged dcagb dgbaecf afeg eafcdg bcfade gedcbf ")</f>
        <v>ge fcead edgac ged dcagb dgbaecf afeg eafcdg bcfade gedcbf </v>
      </c>
      <c r="I149" s="6" t="str">
        <f>IFERROR(__xludf.DUMMYFUNCTION("""COMPUTED_VALUE""")," gfea dfgcbe afeg gde")</f>
        <v> gfea dfgcbe afeg gde</v>
      </c>
      <c r="J149" s="15"/>
      <c r="K149" s="6" t="str">
        <f>IFERROR(__xludf.DUMMYFUNCTION("split(H149,"" "")"),"ge")</f>
        <v>ge</v>
      </c>
      <c r="L149" s="6" t="str">
        <f>IFERROR(__xludf.DUMMYFUNCTION("""COMPUTED_VALUE"""),"fcead")</f>
        <v>fcead</v>
      </c>
      <c r="M149" s="6" t="str">
        <f>IFERROR(__xludf.DUMMYFUNCTION("""COMPUTED_VALUE"""),"edgac")</f>
        <v>edgac</v>
      </c>
      <c r="N149" s="6" t="str">
        <f>IFERROR(__xludf.DUMMYFUNCTION("""COMPUTED_VALUE"""),"ged")</f>
        <v>ged</v>
      </c>
      <c r="O149" s="6" t="str">
        <f>IFERROR(__xludf.DUMMYFUNCTION("""COMPUTED_VALUE"""),"dcagb")</f>
        <v>dcagb</v>
      </c>
      <c r="P149" s="6" t="str">
        <f>IFERROR(__xludf.DUMMYFUNCTION("""COMPUTED_VALUE"""),"dgbaecf")</f>
        <v>dgbaecf</v>
      </c>
      <c r="Q149" s="6" t="str">
        <f>IFERROR(__xludf.DUMMYFUNCTION("""COMPUTED_VALUE"""),"afeg")</f>
        <v>afeg</v>
      </c>
      <c r="R149" s="6" t="str">
        <f>IFERROR(__xludf.DUMMYFUNCTION("""COMPUTED_VALUE"""),"eafcdg")</f>
        <v>eafcdg</v>
      </c>
      <c r="S149" s="6" t="str">
        <f>IFERROR(__xludf.DUMMYFUNCTION("""COMPUTED_VALUE"""),"bcfade")</f>
        <v>bcfade</v>
      </c>
      <c r="T149" s="6" t="str">
        <f>IFERROR(__xludf.DUMMYFUNCTION("""COMPUTED_VALUE"""),"gedcbf")</f>
        <v>gedcbf</v>
      </c>
      <c r="U149" s="15"/>
      <c r="V149" s="6" t="str">
        <f>IFERROR(__xludf.DUMMYFUNCTION("split(I149,"" "")"),"gfea")</f>
        <v>gfea</v>
      </c>
      <c r="W149" s="6" t="str">
        <f>IFERROR(__xludf.DUMMYFUNCTION("""COMPUTED_VALUE"""),"dfgcbe")</f>
        <v>dfgcbe</v>
      </c>
      <c r="X149" s="6" t="str">
        <f>IFERROR(__xludf.DUMMYFUNCTION("""COMPUTED_VALUE"""),"afeg")</f>
        <v>afeg</v>
      </c>
      <c r="Y149" s="6" t="str">
        <f>IFERROR(__xludf.DUMMYFUNCTION("""COMPUTED_VALUE"""),"gde")</f>
        <v>gde</v>
      </c>
      <c r="Z149" s="6" t="str">
        <f>IFERROR(__xludf.DUMMYFUNCTION("CONCATENATE(SORT(TRANSPOSE(SPLIT(REGEXREPLACE(REGEXREPLACE(V149&amp;"""",""(?s)(.{1})"",""$1""&amp;CHAR(127)),""'"",""''""),CHAR(127))),1,true))"),"aefg")</f>
        <v>aefg</v>
      </c>
      <c r="AA149" s="6" t="str">
        <f>IFERROR(__xludf.DUMMYFUNCTION("CONCATENATE(SORT(TRANSPOSE(SPLIT(REGEXREPLACE(REGEXREPLACE(W149&amp;"""",""(?s)(.{1})"",""$1""&amp;CHAR(127)),""'"",""''""),CHAR(127))),1,true))"),"bcdefg")</f>
        <v>bcdefg</v>
      </c>
      <c r="AB149" s="6" t="str">
        <f>IFERROR(__xludf.DUMMYFUNCTION("CONCATENATE(SORT(TRANSPOSE(SPLIT(REGEXREPLACE(REGEXREPLACE(X149&amp;"""",""(?s)(.{1})"",""$1""&amp;CHAR(127)),""'"",""''""),CHAR(127))),1,true))"),"aefg")</f>
        <v>aefg</v>
      </c>
      <c r="AC149" s="6" t="str">
        <f>IFERROR(__xludf.DUMMYFUNCTION("CONCATENATE(SORT(TRANSPOSE(SPLIT(REGEXREPLACE(REGEXREPLACE(Y149&amp;"""",""(?s)(.{1})"",""$1""&amp;CHAR(127)),""'"",""''""),CHAR(127))),1,true))"),"deg")</f>
        <v>deg</v>
      </c>
      <c r="AD149" s="6">
        <f t="shared" ref="AD149:AG149" si="159">INDEX($AO$1:$CP$1,1,MATCH(CONCATENATE(Z149,"1"),$AO149:$CP149,0)+1)</f>
        <v>4</v>
      </c>
      <c r="AE149" s="6">
        <f t="shared" si="159"/>
        <v>0</v>
      </c>
      <c r="AF149" s="6">
        <f t="shared" si="159"/>
        <v>4</v>
      </c>
      <c r="AG149" s="6">
        <f t="shared" si="159"/>
        <v>7</v>
      </c>
      <c r="AH149" s="6">
        <f t="shared" si="3"/>
        <v>4047</v>
      </c>
      <c r="AI149" s="16"/>
      <c r="AJ149" s="9" t="str">
        <f>IFERROR(__xludf.DUMMYFUNCTION("REGEXREPLACE(AR149,CONCATENATE(""["",BY149,""]""),"""")"),"g")</f>
        <v>g</v>
      </c>
      <c r="AK149" s="10" t="str">
        <f>IFERROR(__xludf.DUMMYFUNCTION("FILTER($K149:$T149,len($K149:$T149)=6,NOT($K149:$T149=BY149))"),"eafcdg")</f>
        <v>eafcdg</v>
      </c>
      <c r="AL149" s="6" t="str">
        <f>IFERROR(__xludf.DUMMYFUNCTION("""COMPUTED_VALUE"""),"gedcbf")</f>
        <v>gedcbf</v>
      </c>
      <c r="AM149" s="6" t="str">
        <f>IFERROR(__xludf.DUMMYFUNCTION("REGEXREPLACE( $BG149, CONCATENATE(""["",AK149,""]""), """")"),"")</f>
        <v/>
      </c>
      <c r="AN149" s="6" t="str">
        <f>IFERROR(__xludf.DUMMYFUNCTION("REGEXREPLACE( $BG149, CONCATENATE(""["",AL149,""]""), """")"),"a")</f>
        <v>a</v>
      </c>
      <c r="AO149" s="11" t="str">
        <f t="shared" si="4"/>
        <v>gedcbf</v>
      </c>
      <c r="AP149" s="12" t="str">
        <f>IFERROR(__xludf.DUMMYFUNCTION("CONCATENATE(SORT(TRANSPOSE(SPLIT(REGEXREPLACE(REGEXREPLACE(AO149&amp;"""",""(?s)(.{1})"",""$1""&amp;CHAR(127)),""'"",""''""),CHAR(127))),1,true),""1"")"),"bcdefg1")</f>
        <v>bcdefg1</v>
      </c>
      <c r="AQ149" s="16"/>
      <c r="AR149" s="12" t="str">
        <f t="shared" si="5"/>
        <v>ge</v>
      </c>
      <c r="AS149" s="12" t="str">
        <f>IFERROR(__xludf.DUMMYFUNCTION("CONCATENATE(SORT(TRANSPOSE(SPLIT(REGEXREPLACE(REGEXREPLACE(AR149&amp;"""",""(?s)(.{1})"",""$1""&amp;CHAR(127)),""'"",""''""),CHAR(127))),1,true),""1"")"),"eg1")</f>
        <v>eg1</v>
      </c>
      <c r="AT149" s="16"/>
      <c r="AU149" s="13" t="str">
        <f>IFERROR(__xludf.DUMMYFUNCTION("FILTER($K149:$T149,len($K149:$T149)=5,NOT($K149:$T149=BD149),NOT($K149:$T149=BP149))"),"dcagb")</f>
        <v>dcagb</v>
      </c>
      <c r="AV149" s="12" t="str">
        <f>IFERROR(__xludf.DUMMYFUNCTION("CONCATENATE(SORT(TRANSPOSE(SPLIT(REGEXREPLACE(REGEXREPLACE(AU149&amp;"""",""(?s)(.{1})"",""$1""&amp;CHAR(127)),""'"",""''""),CHAR(127))),1,true),""1"")"),"abcdg1")</f>
        <v>abcdg1</v>
      </c>
      <c r="AW149" s="16"/>
      <c r="AX149" s="10" t="str">
        <f>IFERROR(__xludf.DUMMYFUNCTION("FILTER($K149:$T149,len($K149:$T149)=5)"),"fcead")</f>
        <v>fcead</v>
      </c>
      <c r="AY149" s="6" t="str">
        <f>IFERROR(__xludf.DUMMYFUNCTION("""COMPUTED_VALUE"""),"edgac")</f>
        <v>edgac</v>
      </c>
      <c r="AZ149" s="6" t="str">
        <f>IFERROR(__xludf.DUMMYFUNCTION("""COMPUTED_VALUE"""),"dcagb")</f>
        <v>dcagb</v>
      </c>
      <c r="BA149" s="6" t="str">
        <f>IFERROR(__xludf.DUMMYFUNCTION("REGEXREPLACE( $AR149, CONCATENATE(""["",AX149,""]""), """")"),"g")</f>
        <v>g</v>
      </c>
      <c r="BB149" s="6" t="str">
        <f>IFERROR(__xludf.DUMMYFUNCTION("REGEXREPLACE( $AR149, CONCATENATE(""["",AY149,""]""), """")"),"")</f>
        <v/>
      </c>
      <c r="BC149" s="6" t="str">
        <f>IFERROR(__xludf.DUMMYFUNCTION("REGEXREPLACE( $AR149, CONCATENATE(""["",AZ149,""]""), """")"),"e")</f>
        <v>e</v>
      </c>
      <c r="BD149" s="11" t="str">
        <f t="shared" si="6"/>
        <v>edgac</v>
      </c>
      <c r="BE149" s="12" t="str">
        <f>IFERROR(__xludf.DUMMYFUNCTION("CONCATENATE(SORT(TRANSPOSE(SPLIT(REGEXREPLACE(REGEXREPLACE(BD149&amp;"""",""(?s)(.{1})"",""$1""&amp;CHAR(127)),""'"",""''""),CHAR(127))),1,true),""1"")"),"acdeg1")</f>
        <v>acdeg1</v>
      </c>
      <c r="BF149" s="16"/>
      <c r="BG149" s="12" t="str">
        <f t="shared" si="7"/>
        <v>afeg</v>
      </c>
      <c r="BH149" s="12" t="str">
        <f>IFERROR(__xludf.DUMMYFUNCTION("CONCATENATE(SORT(TRANSPOSE(SPLIT(REGEXREPLACE(REGEXREPLACE(BG149&amp;"""",""(?s)(.{1})"",""$1""&amp;CHAR(127)),""'"",""''""),CHAR(127))),1,true),""1"")"),"aefg1")</f>
        <v>aefg1</v>
      </c>
      <c r="BI149" s="16"/>
      <c r="BJ149" s="10" t="str">
        <f>IFERROR(__xludf.DUMMYFUNCTION("FILTER($K149:$T149,len($K149:$T149)=5)"),"fcead")</f>
        <v>fcead</v>
      </c>
      <c r="BK149" s="6" t="str">
        <f>IFERROR(__xludf.DUMMYFUNCTION("""COMPUTED_VALUE"""),"edgac")</f>
        <v>edgac</v>
      </c>
      <c r="BL149" s="6" t="str">
        <f>IFERROR(__xludf.DUMMYFUNCTION("""COMPUTED_VALUE"""),"dcagb")</f>
        <v>dcagb</v>
      </c>
      <c r="BM149" s="14" t="str">
        <f>IFERROR(__xludf.DUMMYFUNCTION("REGEXREPLACE( $BY149, CONCATENATE(""["",BJ149,""]""), """")"),"b")</f>
        <v>b</v>
      </c>
      <c r="BN149" s="14" t="str">
        <f>IFERROR(__xludf.DUMMYFUNCTION("REGEXREPLACE( $BY149, CONCATENATE(""["",BK149,""]""), """")"),"bf")</f>
        <v>bf</v>
      </c>
      <c r="BO149" s="14" t="str">
        <f>IFERROR(__xludf.DUMMYFUNCTION("REGEXREPLACE( $BY149, CONCATENATE(""["",BL149,""]""), """")"),"fe")</f>
        <v>fe</v>
      </c>
      <c r="BP149" s="11" t="str">
        <f t="shared" si="8"/>
        <v>fcead</v>
      </c>
      <c r="BQ149" s="12" t="str">
        <f>IFERROR(__xludf.DUMMYFUNCTION("CONCATENATE(SORT(TRANSPOSE(SPLIT(REGEXREPLACE(REGEXREPLACE(BP149&amp;"""",""(?s)(.{1})"",""$1""&amp;CHAR(127)),""'"",""''""),CHAR(127))),1,true),""1"")"),"acdef1")</f>
        <v>acdef1</v>
      </c>
      <c r="BR149" s="16"/>
      <c r="BS149" s="10" t="str">
        <f>IFERROR(__xludf.DUMMYFUNCTION("FILTER(K149:T149,len(K149:T149)=6)"),"eafcdg")</f>
        <v>eafcdg</v>
      </c>
      <c r="BT149" s="6" t="str">
        <f>IFERROR(__xludf.DUMMYFUNCTION("""COMPUTED_VALUE"""),"bcfade")</f>
        <v>bcfade</v>
      </c>
      <c r="BU149" s="6" t="str">
        <f>IFERROR(__xludf.DUMMYFUNCTION("""COMPUTED_VALUE"""),"gedcbf")</f>
        <v>gedcbf</v>
      </c>
      <c r="BV149" s="6" t="str">
        <f>IFERROR(__xludf.DUMMYFUNCTION("REGEXREPLACE( $AR149, CONCATENATE(""["",BS149,""]""), """")"),"")</f>
        <v/>
      </c>
      <c r="BW149" s="6" t="str">
        <f>IFERROR(__xludf.DUMMYFUNCTION("REGEXREPLACE( $AR149, CONCATENATE(""["",BT149,""]""), """")"),"g")</f>
        <v>g</v>
      </c>
      <c r="BX149" s="6" t="str">
        <f>IFERROR(__xludf.DUMMYFUNCTION("REGEXREPLACE( $AR149, CONCATENATE(""["",BU149,""]""), """")"),"")</f>
        <v/>
      </c>
      <c r="BY149" s="12" t="str">
        <f t="shared" si="9"/>
        <v>bcfade</v>
      </c>
      <c r="BZ149" s="12" t="str">
        <f>IFERROR(__xludf.DUMMYFUNCTION("CONCATENATE(SORT(TRANSPOSE(SPLIT(REGEXREPLACE(REGEXREPLACE(BY149&amp;"""",""(?s)(.{1})"",""$1""&amp;CHAR(127)),""'"",""''""),CHAR(127))),1,true),""1"")"),"abcdef1")</f>
        <v>abcdef1</v>
      </c>
      <c r="CA149" s="16"/>
      <c r="CB149" s="12" t="str">
        <f t="shared" si="10"/>
        <v>ged</v>
      </c>
      <c r="CC149" s="12" t="str">
        <f>IFERROR(__xludf.DUMMYFUNCTION("CONCATENATE(SORT(TRANSPOSE(SPLIT(REGEXREPLACE(REGEXREPLACE(CB149&amp;"""",""(?s)(.{1})"",""$1""&amp;CHAR(127)),""'"",""''""),CHAR(127))),1,true),""1"")"),"deg1")</f>
        <v>deg1</v>
      </c>
      <c r="CD149" s="16"/>
      <c r="CE149" s="12" t="str">
        <f t="shared" si="11"/>
        <v>dgbaecf</v>
      </c>
      <c r="CF149" s="12" t="str">
        <f>IFERROR(__xludf.DUMMYFUNCTION("CONCATENATE(SORT(TRANSPOSE(SPLIT(REGEXREPLACE(REGEXREPLACE(CE149&amp;"""",""(?s)(.{1})"",""$1""&amp;CHAR(127)),""'"",""''""),CHAR(127))),1,true),""1"")"),"abcdefg1")</f>
        <v>abcdefg1</v>
      </c>
      <c r="CG149" s="16"/>
      <c r="CH149" s="10" t="str">
        <f>IFERROR(__xludf.DUMMYFUNCTION("FILTER(K149:T149,len(K149:T149)=6)"),"eafcdg")</f>
        <v>eafcdg</v>
      </c>
      <c r="CI149" s="6" t="str">
        <f>IFERROR(__xludf.DUMMYFUNCTION("""COMPUTED_VALUE"""),"bcfade")</f>
        <v>bcfade</v>
      </c>
      <c r="CJ149" s="6" t="str">
        <f>IFERROR(__xludf.DUMMYFUNCTION("""COMPUTED_VALUE"""),"gedcbf")</f>
        <v>gedcbf</v>
      </c>
      <c r="CK149" s="6" t="str">
        <f>IFERROR(__xludf.DUMMYFUNCTION("REGEXREPLACE( $BG149, CONCATENATE(""["",CH149,""]""), """")"),"")</f>
        <v/>
      </c>
      <c r="CL149" s="6" t="str">
        <f>IFERROR(__xludf.DUMMYFUNCTION("REGEXREPLACE( $BG149, CONCATENATE(""["",CI149,""]""), """")"),"g")</f>
        <v>g</v>
      </c>
      <c r="CM149" s="6" t="str">
        <f>IFERROR(__xludf.DUMMYFUNCTION("REGEXREPLACE( $BG149, CONCATENATE(""["",CJ149,""]""), """")"),"a")</f>
        <v>a</v>
      </c>
      <c r="CN149" s="12" t="str">
        <f t="shared" si="12"/>
        <v>eafcdg</v>
      </c>
      <c r="CO149" s="12" t="str">
        <f>IFERROR(__xludf.DUMMYFUNCTION("CONCATENATE(SORT(TRANSPOSE(SPLIT(REGEXREPLACE(REGEXREPLACE(CN149&amp;"""",""(?s)(.{1})"",""$1""&amp;CHAR(127)),""'"",""''""),CHAR(127))),1,true),""1"")"),"acdefg1")</f>
        <v>acdefg1</v>
      </c>
      <c r="CP149" s="15"/>
    </row>
    <row r="150">
      <c r="A150" s="1" t="s">
        <v>170</v>
      </c>
      <c r="H150" s="6" t="str">
        <f>IFERROR(__xludf.DUMMYFUNCTION("SPLIT(A150,""|"")"),"ceb acdbe cb aegdb acgb cebfgd ecfad efgcdba feabdg cdagbe ")</f>
        <v>ceb acdbe cb aegdb acgb cebfgd ecfad efgcdba feabdg cdagbe </v>
      </c>
      <c r="I150" s="6" t="str">
        <f>IFERROR(__xludf.DUMMYFUNCTION("""COMPUTED_VALUE""")," cbga daecf cabg cb")</f>
        <v> cbga daecf cabg cb</v>
      </c>
      <c r="J150" s="15"/>
      <c r="K150" s="6" t="str">
        <f>IFERROR(__xludf.DUMMYFUNCTION("split(H150,"" "")"),"ceb")</f>
        <v>ceb</v>
      </c>
      <c r="L150" s="6" t="str">
        <f>IFERROR(__xludf.DUMMYFUNCTION("""COMPUTED_VALUE"""),"acdbe")</f>
        <v>acdbe</v>
      </c>
      <c r="M150" s="6" t="str">
        <f>IFERROR(__xludf.DUMMYFUNCTION("""COMPUTED_VALUE"""),"cb")</f>
        <v>cb</v>
      </c>
      <c r="N150" s="6" t="str">
        <f>IFERROR(__xludf.DUMMYFUNCTION("""COMPUTED_VALUE"""),"aegdb")</f>
        <v>aegdb</v>
      </c>
      <c r="O150" s="6" t="str">
        <f>IFERROR(__xludf.DUMMYFUNCTION("""COMPUTED_VALUE"""),"acgb")</f>
        <v>acgb</v>
      </c>
      <c r="P150" s="6" t="str">
        <f>IFERROR(__xludf.DUMMYFUNCTION("""COMPUTED_VALUE"""),"cebfgd")</f>
        <v>cebfgd</v>
      </c>
      <c r="Q150" s="6" t="str">
        <f>IFERROR(__xludf.DUMMYFUNCTION("""COMPUTED_VALUE"""),"ecfad")</f>
        <v>ecfad</v>
      </c>
      <c r="R150" s="6" t="str">
        <f>IFERROR(__xludf.DUMMYFUNCTION("""COMPUTED_VALUE"""),"efgcdba")</f>
        <v>efgcdba</v>
      </c>
      <c r="S150" s="6" t="str">
        <f>IFERROR(__xludf.DUMMYFUNCTION("""COMPUTED_VALUE"""),"feabdg")</f>
        <v>feabdg</v>
      </c>
      <c r="T150" s="6" t="str">
        <f>IFERROR(__xludf.DUMMYFUNCTION("""COMPUTED_VALUE"""),"cdagbe")</f>
        <v>cdagbe</v>
      </c>
      <c r="U150" s="15"/>
      <c r="V150" s="6" t="str">
        <f>IFERROR(__xludf.DUMMYFUNCTION("split(I150,"" "")"),"cbga")</f>
        <v>cbga</v>
      </c>
      <c r="W150" s="6" t="str">
        <f>IFERROR(__xludf.DUMMYFUNCTION("""COMPUTED_VALUE"""),"daecf")</f>
        <v>daecf</v>
      </c>
      <c r="X150" s="6" t="str">
        <f>IFERROR(__xludf.DUMMYFUNCTION("""COMPUTED_VALUE"""),"cabg")</f>
        <v>cabg</v>
      </c>
      <c r="Y150" s="6" t="str">
        <f>IFERROR(__xludf.DUMMYFUNCTION("""COMPUTED_VALUE"""),"cb")</f>
        <v>cb</v>
      </c>
      <c r="Z150" s="6" t="str">
        <f>IFERROR(__xludf.DUMMYFUNCTION("CONCATENATE(SORT(TRANSPOSE(SPLIT(REGEXREPLACE(REGEXREPLACE(V150&amp;"""",""(?s)(.{1})"",""$1""&amp;CHAR(127)),""'"",""''""),CHAR(127))),1,true))"),"abcg")</f>
        <v>abcg</v>
      </c>
      <c r="AA150" s="6" t="str">
        <f>IFERROR(__xludf.DUMMYFUNCTION("CONCATENATE(SORT(TRANSPOSE(SPLIT(REGEXREPLACE(REGEXREPLACE(W150&amp;"""",""(?s)(.{1})"",""$1""&amp;CHAR(127)),""'"",""''""),CHAR(127))),1,true))"),"acdef")</f>
        <v>acdef</v>
      </c>
      <c r="AB150" s="6" t="str">
        <f>IFERROR(__xludf.DUMMYFUNCTION("CONCATENATE(SORT(TRANSPOSE(SPLIT(REGEXREPLACE(REGEXREPLACE(X150&amp;"""",""(?s)(.{1})"",""$1""&amp;CHAR(127)),""'"",""''""),CHAR(127))),1,true))"),"abcg")</f>
        <v>abcg</v>
      </c>
      <c r="AC150" s="6" t="str">
        <f>IFERROR(__xludf.DUMMYFUNCTION("CONCATENATE(SORT(TRANSPOSE(SPLIT(REGEXREPLACE(REGEXREPLACE(Y150&amp;"""",""(?s)(.{1})"",""$1""&amp;CHAR(127)),""'"",""''""),CHAR(127))),1,true))"),"bc")</f>
        <v>bc</v>
      </c>
      <c r="AD150" s="6">
        <f t="shared" ref="AD150:AG150" si="160">INDEX($AO$1:$CP$1,1,MATCH(CONCATENATE(Z150,"1"),$AO150:$CP150,0)+1)</f>
        <v>4</v>
      </c>
      <c r="AE150" s="6">
        <f t="shared" si="160"/>
        <v>2</v>
      </c>
      <c r="AF150" s="6">
        <f t="shared" si="160"/>
        <v>4</v>
      </c>
      <c r="AG150" s="6">
        <f t="shared" si="160"/>
        <v>1</v>
      </c>
      <c r="AH150" s="6">
        <f t="shared" si="3"/>
        <v>4241</v>
      </c>
      <c r="AI150" s="16"/>
      <c r="AJ150" s="9" t="str">
        <f>IFERROR(__xludf.DUMMYFUNCTION("REGEXREPLACE(AR150,CONCATENATE(""["",BY150,""]""),"""")"),"c")</f>
        <v>c</v>
      </c>
      <c r="AK150" s="10" t="str">
        <f>IFERROR(__xludf.DUMMYFUNCTION("FILTER($K150:$T150,len($K150:$T150)=6,NOT($K150:$T150=BY150))"),"cebfgd")</f>
        <v>cebfgd</v>
      </c>
      <c r="AL150" s="6" t="str">
        <f>IFERROR(__xludf.DUMMYFUNCTION("""COMPUTED_VALUE"""),"cdagbe")</f>
        <v>cdagbe</v>
      </c>
      <c r="AM150" s="6" t="str">
        <f>IFERROR(__xludf.DUMMYFUNCTION("REGEXREPLACE( $BG150, CONCATENATE(""["",AK150,""]""), """")"),"a")</f>
        <v>a</v>
      </c>
      <c r="AN150" s="6" t="str">
        <f>IFERROR(__xludf.DUMMYFUNCTION("REGEXREPLACE( $BG150, CONCATENATE(""["",AL150,""]""), """")"),"")</f>
        <v/>
      </c>
      <c r="AO150" s="11" t="str">
        <f t="shared" si="4"/>
        <v>cebfgd</v>
      </c>
      <c r="AP150" s="12" t="str">
        <f>IFERROR(__xludf.DUMMYFUNCTION("CONCATENATE(SORT(TRANSPOSE(SPLIT(REGEXREPLACE(REGEXREPLACE(AO150&amp;"""",""(?s)(.{1})"",""$1""&amp;CHAR(127)),""'"",""''""),CHAR(127))),1,true),""1"")"),"bcdefg1")</f>
        <v>bcdefg1</v>
      </c>
      <c r="AQ150" s="16"/>
      <c r="AR150" s="12" t="str">
        <f t="shared" si="5"/>
        <v>cb</v>
      </c>
      <c r="AS150" s="12" t="str">
        <f>IFERROR(__xludf.DUMMYFUNCTION("CONCATENATE(SORT(TRANSPOSE(SPLIT(REGEXREPLACE(REGEXREPLACE(AR150&amp;"""",""(?s)(.{1})"",""$1""&amp;CHAR(127)),""'"",""''""),CHAR(127))),1,true),""1"")"),"bc1")</f>
        <v>bc1</v>
      </c>
      <c r="AT150" s="16"/>
      <c r="AU150" s="13" t="str">
        <f>IFERROR(__xludf.DUMMYFUNCTION("FILTER($K150:$T150,len($K150:$T150)=5,NOT($K150:$T150=BD150),NOT($K150:$T150=BP150))"),"ecfad")</f>
        <v>ecfad</v>
      </c>
      <c r="AV150" s="12" t="str">
        <f>IFERROR(__xludf.DUMMYFUNCTION("CONCATENATE(SORT(TRANSPOSE(SPLIT(REGEXREPLACE(REGEXREPLACE(AU150&amp;"""",""(?s)(.{1})"",""$1""&amp;CHAR(127)),""'"",""''""),CHAR(127))),1,true),""1"")"),"acdef1")</f>
        <v>acdef1</v>
      </c>
      <c r="AW150" s="16"/>
      <c r="AX150" s="10" t="str">
        <f>IFERROR(__xludf.DUMMYFUNCTION("FILTER($K150:$T150,len($K150:$T150)=5)"),"acdbe")</f>
        <v>acdbe</v>
      </c>
      <c r="AY150" s="6" t="str">
        <f>IFERROR(__xludf.DUMMYFUNCTION("""COMPUTED_VALUE"""),"aegdb")</f>
        <v>aegdb</v>
      </c>
      <c r="AZ150" s="6" t="str">
        <f>IFERROR(__xludf.DUMMYFUNCTION("""COMPUTED_VALUE"""),"ecfad")</f>
        <v>ecfad</v>
      </c>
      <c r="BA150" s="6" t="str">
        <f>IFERROR(__xludf.DUMMYFUNCTION("REGEXREPLACE( $AR150, CONCATENATE(""["",AX150,""]""), """")"),"")</f>
        <v/>
      </c>
      <c r="BB150" s="6" t="str">
        <f>IFERROR(__xludf.DUMMYFUNCTION("REGEXREPLACE( $AR150, CONCATENATE(""["",AY150,""]""), """")"),"c")</f>
        <v>c</v>
      </c>
      <c r="BC150" s="6" t="str">
        <f>IFERROR(__xludf.DUMMYFUNCTION("REGEXREPLACE( $AR150, CONCATENATE(""["",AZ150,""]""), """")"),"b")</f>
        <v>b</v>
      </c>
      <c r="BD150" s="11" t="str">
        <f t="shared" si="6"/>
        <v>acdbe</v>
      </c>
      <c r="BE150" s="12" t="str">
        <f>IFERROR(__xludf.DUMMYFUNCTION("CONCATENATE(SORT(TRANSPOSE(SPLIT(REGEXREPLACE(REGEXREPLACE(BD150&amp;"""",""(?s)(.{1})"",""$1""&amp;CHAR(127)),""'"",""''""),CHAR(127))),1,true),""1"")"),"abcde1")</f>
        <v>abcde1</v>
      </c>
      <c r="BF150" s="16"/>
      <c r="BG150" s="12" t="str">
        <f t="shared" si="7"/>
        <v>acgb</v>
      </c>
      <c r="BH150" s="12" t="str">
        <f>IFERROR(__xludf.DUMMYFUNCTION("CONCATENATE(SORT(TRANSPOSE(SPLIT(REGEXREPLACE(REGEXREPLACE(BG150&amp;"""",""(?s)(.{1})"",""$1""&amp;CHAR(127)),""'"",""''""),CHAR(127))),1,true),""1"")"),"abcg1")</f>
        <v>abcg1</v>
      </c>
      <c r="BI150" s="16"/>
      <c r="BJ150" s="10" t="str">
        <f>IFERROR(__xludf.DUMMYFUNCTION("FILTER($K150:$T150,len($K150:$T150)=5)"),"acdbe")</f>
        <v>acdbe</v>
      </c>
      <c r="BK150" s="6" t="str">
        <f>IFERROR(__xludf.DUMMYFUNCTION("""COMPUTED_VALUE"""),"aegdb")</f>
        <v>aegdb</v>
      </c>
      <c r="BL150" s="6" t="str">
        <f>IFERROR(__xludf.DUMMYFUNCTION("""COMPUTED_VALUE"""),"ecfad")</f>
        <v>ecfad</v>
      </c>
      <c r="BM150" s="14" t="str">
        <f>IFERROR(__xludf.DUMMYFUNCTION("REGEXREPLACE( $BY150, CONCATENATE(""["",BJ150,""]""), """")"),"fg")</f>
        <v>fg</v>
      </c>
      <c r="BN150" s="14" t="str">
        <f>IFERROR(__xludf.DUMMYFUNCTION("REGEXREPLACE( $BY150, CONCATENATE(""["",BK150,""]""), """")"),"f")</f>
        <v>f</v>
      </c>
      <c r="BO150" s="14" t="str">
        <f>IFERROR(__xludf.DUMMYFUNCTION("REGEXREPLACE( $BY150, CONCATENATE(""["",BL150,""]""), """")"),"bg")</f>
        <v>bg</v>
      </c>
      <c r="BP150" s="11" t="str">
        <f t="shared" si="8"/>
        <v>aegdb</v>
      </c>
      <c r="BQ150" s="12" t="str">
        <f>IFERROR(__xludf.DUMMYFUNCTION("CONCATENATE(SORT(TRANSPOSE(SPLIT(REGEXREPLACE(REGEXREPLACE(BP150&amp;"""",""(?s)(.{1})"",""$1""&amp;CHAR(127)),""'"",""''""),CHAR(127))),1,true),""1"")"),"abdeg1")</f>
        <v>abdeg1</v>
      </c>
      <c r="BR150" s="16"/>
      <c r="BS150" s="10" t="str">
        <f>IFERROR(__xludf.DUMMYFUNCTION("FILTER(K150:T150,len(K150:T150)=6)"),"cebfgd")</f>
        <v>cebfgd</v>
      </c>
      <c r="BT150" s="6" t="str">
        <f>IFERROR(__xludf.DUMMYFUNCTION("""COMPUTED_VALUE"""),"feabdg")</f>
        <v>feabdg</v>
      </c>
      <c r="BU150" s="6" t="str">
        <f>IFERROR(__xludf.DUMMYFUNCTION("""COMPUTED_VALUE"""),"cdagbe")</f>
        <v>cdagbe</v>
      </c>
      <c r="BV150" s="6" t="str">
        <f>IFERROR(__xludf.DUMMYFUNCTION("REGEXREPLACE( $AR150, CONCATENATE(""["",BS150,""]""), """")"),"")</f>
        <v/>
      </c>
      <c r="BW150" s="6" t="str">
        <f>IFERROR(__xludf.DUMMYFUNCTION("REGEXREPLACE( $AR150, CONCATENATE(""["",BT150,""]""), """")"),"c")</f>
        <v>c</v>
      </c>
      <c r="BX150" s="6" t="str">
        <f>IFERROR(__xludf.DUMMYFUNCTION("REGEXREPLACE( $AR150, CONCATENATE(""["",BU150,""]""), """")"),"")</f>
        <v/>
      </c>
      <c r="BY150" s="12" t="str">
        <f t="shared" si="9"/>
        <v>feabdg</v>
      </c>
      <c r="BZ150" s="12" t="str">
        <f>IFERROR(__xludf.DUMMYFUNCTION("CONCATENATE(SORT(TRANSPOSE(SPLIT(REGEXREPLACE(REGEXREPLACE(BY150&amp;"""",""(?s)(.{1})"",""$1""&amp;CHAR(127)),""'"",""''""),CHAR(127))),1,true),""1"")"),"abdefg1")</f>
        <v>abdefg1</v>
      </c>
      <c r="CA150" s="16"/>
      <c r="CB150" s="12" t="str">
        <f t="shared" si="10"/>
        <v>ceb</v>
      </c>
      <c r="CC150" s="12" t="str">
        <f>IFERROR(__xludf.DUMMYFUNCTION("CONCATENATE(SORT(TRANSPOSE(SPLIT(REGEXREPLACE(REGEXREPLACE(CB150&amp;"""",""(?s)(.{1})"",""$1""&amp;CHAR(127)),""'"",""''""),CHAR(127))),1,true),""1"")"),"bce1")</f>
        <v>bce1</v>
      </c>
      <c r="CD150" s="16"/>
      <c r="CE150" s="12" t="str">
        <f t="shared" si="11"/>
        <v>efgcdba</v>
      </c>
      <c r="CF150" s="12" t="str">
        <f>IFERROR(__xludf.DUMMYFUNCTION("CONCATENATE(SORT(TRANSPOSE(SPLIT(REGEXREPLACE(REGEXREPLACE(CE150&amp;"""",""(?s)(.{1})"",""$1""&amp;CHAR(127)),""'"",""''""),CHAR(127))),1,true),""1"")"),"abcdefg1")</f>
        <v>abcdefg1</v>
      </c>
      <c r="CG150" s="16"/>
      <c r="CH150" s="10" t="str">
        <f>IFERROR(__xludf.DUMMYFUNCTION("FILTER(K150:T150,len(K150:T150)=6)"),"cebfgd")</f>
        <v>cebfgd</v>
      </c>
      <c r="CI150" s="6" t="str">
        <f>IFERROR(__xludf.DUMMYFUNCTION("""COMPUTED_VALUE"""),"feabdg")</f>
        <v>feabdg</v>
      </c>
      <c r="CJ150" s="6" t="str">
        <f>IFERROR(__xludf.DUMMYFUNCTION("""COMPUTED_VALUE"""),"cdagbe")</f>
        <v>cdagbe</v>
      </c>
      <c r="CK150" s="6" t="str">
        <f>IFERROR(__xludf.DUMMYFUNCTION("REGEXREPLACE( $BG150, CONCATENATE(""["",CH150,""]""), """")"),"a")</f>
        <v>a</v>
      </c>
      <c r="CL150" s="6" t="str">
        <f>IFERROR(__xludf.DUMMYFUNCTION("REGEXREPLACE( $BG150, CONCATENATE(""["",CI150,""]""), """")"),"c")</f>
        <v>c</v>
      </c>
      <c r="CM150" s="6" t="str">
        <f>IFERROR(__xludf.DUMMYFUNCTION("REGEXREPLACE( $BG150, CONCATENATE(""["",CJ150,""]""), """")"),"")</f>
        <v/>
      </c>
      <c r="CN150" s="12" t="str">
        <f t="shared" si="12"/>
        <v>cdagbe</v>
      </c>
      <c r="CO150" s="12" t="str">
        <f>IFERROR(__xludf.DUMMYFUNCTION("CONCATENATE(SORT(TRANSPOSE(SPLIT(REGEXREPLACE(REGEXREPLACE(CN150&amp;"""",""(?s)(.{1})"",""$1""&amp;CHAR(127)),""'"",""''""),CHAR(127))),1,true),""1"")"),"abcdeg1")</f>
        <v>abcdeg1</v>
      </c>
      <c r="CP150" s="15"/>
    </row>
    <row r="151">
      <c r="A151" s="1" t="s">
        <v>171</v>
      </c>
      <c r="H151" s="6" t="str">
        <f>IFERROR(__xludf.DUMMYFUNCTION("SPLIT(A151,""|"")"),"bcgaf gfbea gea cabdge abefcg gabdfce cbgdfa cfea ea gbedf ")</f>
        <v>bcgaf gfbea gea cabdge abefcg gabdfce cbgdfa cfea ea gbedf </v>
      </c>
      <c r="I151" s="6" t="str">
        <f>IFERROR(__xludf.DUMMYFUNCTION("""COMPUTED_VALUE""")," age ae adgbec gea")</f>
        <v> age ae adgbec gea</v>
      </c>
      <c r="J151" s="15"/>
      <c r="K151" s="6" t="str">
        <f>IFERROR(__xludf.DUMMYFUNCTION("split(H151,"" "")"),"bcgaf")</f>
        <v>bcgaf</v>
      </c>
      <c r="L151" s="6" t="str">
        <f>IFERROR(__xludf.DUMMYFUNCTION("""COMPUTED_VALUE"""),"gfbea")</f>
        <v>gfbea</v>
      </c>
      <c r="M151" s="6" t="str">
        <f>IFERROR(__xludf.DUMMYFUNCTION("""COMPUTED_VALUE"""),"gea")</f>
        <v>gea</v>
      </c>
      <c r="N151" s="6" t="str">
        <f>IFERROR(__xludf.DUMMYFUNCTION("""COMPUTED_VALUE"""),"cabdge")</f>
        <v>cabdge</v>
      </c>
      <c r="O151" s="6" t="str">
        <f>IFERROR(__xludf.DUMMYFUNCTION("""COMPUTED_VALUE"""),"abefcg")</f>
        <v>abefcg</v>
      </c>
      <c r="P151" s="6" t="str">
        <f>IFERROR(__xludf.DUMMYFUNCTION("""COMPUTED_VALUE"""),"gabdfce")</f>
        <v>gabdfce</v>
      </c>
      <c r="Q151" s="6" t="str">
        <f>IFERROR(__xludf.DUMMYFUNCTION("""COMPUTED_VALUE"""),"cbgdfa")</f>
        <v>cbgdfa</v>
      </c>
      <c r="R151" s="6" t="str">
        <f>IFERROR(__xludf.DUMMYFUNCTION("""COMPUTED_VALUE"""),"cfea")</f>
        <v>cfea</v>
      </c>
      <c r="S151" s="6" t="str">
        <f>IFERROR(__xludf.DUMMYFUNCTION("""COMPUTED_VALUE"""),"ea")</f>
        <v>ea</v>
      </c>
      <c r="T151" s="6" t="str">
        <f>IFERROR(__xludf.DUMMYFUNCTION("""COMPUTED_VALUE"""),"gbedf")</f>
        <v>gbedf</v>
      </c>
      <c r="U151" s="15"/>
      <c r="V151" s="6" t="str">
        <f>IFERROR(__xludf.DUMMYFUNCTION("split(I151,"" "")"),"age")</f>
        <v>age</v>
      </c>
      <c r="W151" s="6" t="str">
        <f>IFERROR(__xludf.DUMMYFUNCTION("""COMPUTED_VALUE"""),"ae")</f>
        <v>ae</v>
      </c>
      <c r="X151" s="6" t="str">
        <f>IFERROR(__xludf.DUMMYFUNCTION("""COMPUTED_VALUE"""),"adgbec")</f>
        <v>adgbec</v>
      </c>
      <c r="Y151" s="6" t="str">
        <f>IFERROR(__xludf.DUMMYFUNCTION("""COMPUTED_VALUE"""),"gea")</f>
        <v>gea</v>
      </c>
      <c r="Z151" s="6" t="str">
        <f>IFERROR(__xludf.DUMMYFUNCTION("CONCATENATE(SORT(TRANSPOSE(SPLIT(REGEXREPLACE(REGEXREPLACE(V151&amp;"""",""(?s)(.{1})"",""$1""&amp;CHAR(127)),""'"",""''""),CHAR(127))),1,true))"),"aeg")</f>
        <v>aeg</v>
      </c>
      <c r="AA151" s="6" t="str">
        <f>IFERROR(__xludf.DUMMYFUNCTION("CONCATENATE(SORT(TRANSPOSE(SPLIT(REGEXREPLACE(REGEXREPLACE(W151&amp;"""",""(?s)(.{1})"",""$1""&amp;CHAR(127)),""'"",""''""),CHAR(127))),1,true))"),"ae")</f>
        <v>ae</v>
      </c>
      <c r="AB151" s="6" t="str">
        <f>IFERROR(__xludf.DUMMYFUNCTION("CONCATENATE(SORT(TRANSPOSE(SPLIT(REGEXREPLACE(REGEXREPLACE(X151&amp;"""",""(?s)(.{1})"",""$1""&amp;CHAR(127)),""'"",""''""),CHAR(127))),1,true))"),"abcdeg")</f>
        <v>abcdeg</v>
      </c>
      <c r="AC151" s="6" t="str">
        <f>IFERROR(__xludf.DUMMYFUNCTION("CONCATENATE(SORT(TRANSPOSE(SPLIT(REGEXREPLACE(REGEXREPLACE(Y151&amp;"""",""(?s)(.{1})"",""$1""&amp;CHAR(127)),""'"",""''""),CHAR(127))),1,true))"),"aeg")</f>
        <v>aeg</v>
      </c>
      <c r="AD151" s="6">
        <f t="shared" ref="AD151:AG151" si="161">INDEX($AO$1:$CP$1,1,MATCH(CONCATENATE(Z151,"1"),$AO151:$CP151,0)+1)</f>
        <v>7</v>
      </c>
      <c r="AE151" s="6">
        <f t="shared" si="161"/>
        <v>1</v>
      </c>
      <c r="AF151" s="6">
        <f t="shared" si="161"/>
        <v>0</v>
      </c>
      <c r="AG151" s="6">
        <f t="shared" si="161"/>
        <v>7</v>
      </c>
      <c r="AH151" s="6">
        <f t="shared" si="3"/>
        <v>7107</v>
      </c>
      <c r="AI151" s="16"/>
      <c r="AJ151" s="9" t="str">
        <f>IFERROR(__xludf.DUMMYFUNCTION("REGEXREPLACE(AR151,CONCATENATE(""["",BY151,""]""),"""")"),"e")</f>
        <v>e</v>
      </c>
      <c r="AK151" s="10" t="str">
        <f>IFERROR(__xludf.DUMMYFUNCTION("FILTER($K151:$T151,len($K151:$T151)=6,NOT($K151:$T151=BY151))"),"cabdge")</f>
        <v>cabdge</v>
      </c>
      <c r="AL151" s="6" t="str">
        <f>IFERROR(__xludf.DUMMYFUNCTION("""COMPUTED_VALUE"""),"abefcg")</f>
        <v>abefcg</v>
      </c>
      <c r="AM151" s="6" t="str">
        <f>IFERROR(__xludf.DUMMYFUNCTION("REGEXREPLACE( $BG151, CONCATENATE(""["",AK151,""]""), """")"),"f")</f>
        <v>f</v>
      </c>
      <c r="AN151" s="6" t="str">
        <f>IFERROR(__xludf.DUMMYFUNCTION("REGEXREPLACE( $BG151, CONCATENATE(""["",AL151,""]""), """")"),"")</f>
        <v/>
      </c>
      <c r="AO151" s="11" t="str">
        <f t="shared" si="4"/>
        <v>cabdge</v>
      </c>
      <c r="AP151" s="12" t="str">
        <f>IFERROR(__xludf.DUMMYFUNCTION("CONCATENATE(SORT(TRANSPOSE(SPLIT(REGEXREPLACE(REGEXREPLACE(AO151&amp;"""",""(?s)(.{1})"",""$1""&amp;CHAR(127)),""'"",""''""),CHAR(127))),1,true),""1"")"),"abcdeg1")</f>
        <v>abcdeg1</v>
      </c>
      <c r="AQ151" s="16"/>
      <c r="AR151" s="12" t="str">
        <f t="shared" si="5"/>
        <v>ea</v>
      </c>
      <c r="AS151" s="12" t="str">
        <f>IFERROR(__xludf.DUMMYFUNCTION("CONCATENATE(SORT(TRANSPOSE(SPLIT(REGEXREPLACE(REGEXREPLACE(AR151&amp;"""",""(?s)(.{1})"",""$1""&amp;CHAR(127)),""'"",""''""),CHAR(127))),1,true),""1"")"),"ae1")</f>
        <v>ae1</v>
      </c>
      <c r="AT151" s="16"/>
      <c r="AU151" s="13" t="str">
        <f>IFERROR(__xludf.DUMMYFUNCTION("FILTER($K151:$T151,len($K151:$T151)=5,NOT($K151:$T151=BD151),NOT($K151:$T151=BP151))"),"gbedf")</f>
        <v>gbedf</v>
      </c>
      <c r="AV151" s="12" t="str">
        <f>IFERROR(__xludf.DUMMYFUNCTION("CONCATENATE(SORT(TRANSPOSE(SPLIT(REGEXREPLACE(REGEXREPLACE(AU151&amp;"""",""(?s)(.{1})"",""$1""&amp;CHAR(127)),""'"",""''""),CHAR(127))),1,true),""1"")"),"bdefg1")</f>
        <v>bdefg1</v>
      </c>
      <c r="AW151" s="16"/>
      <c r="AX151" s="10" t="str">
        <f>IFERROR(__xludf.DUMMYFUNCTION("FILTER($K151:$T151,len($K151:$T151)=5)"),"bcgaf")</f>
        <v>bcgaf</v>
      </c>
      <c r="AY151" s="6" t="str">
        <f>IFERROR(__xludf.DUMMYFUNCTION("""COMPUTED_VALUE"""),"gfbea")</f>
        <v>gfbea</v>
      </c>
      <c r="AZ151" s="6" t="str">
        <f>IFERROR(__xludf.DUMMYFUNCTION("""COMPUTED_VALUE"""),"gbedf")</f>
        <v>gbedf</v>
      </c>
      <c r="BA151" s="6" t="str">
        <f>IFERROR(__xludf.DUMMYFUNCTION("REGEXREPLACE( $AR151, CONCATENATE(""["",AX151,""]""), """")"),"e")</f>
        <v>e</v>
      </c>
      <c r="BB151" s="6" t="str">
        <f>IFERROR(__xludf.DUMMYFUNCTION("REGEXREPLACE( $AR151, CONCATENATE(""["",AY151,""]""), """")"),"")</f>
        <v/>
      </c>
      <c r="BC151" s="6" t="str">
        <f>IFERROR(__xludf.DUMMYFUNCTION("REGEXREPLACE( $AR151, CONCATENATE(""["",AZ151,""]""), """")"),"a")</f>
        <v>a</v>
      </c>
      <c r="BD151" s="11" t="str">
        <f t="shared" si="6"/>
        <v>gfbea</v>
      </c>
      <c r="BE151" s="12" t="str">
        <f>IFERROR(__xludf.DUMMYFUNCTION("CONCATENATE(SORT(TRANSPOSE(SPLIT(REGEXREPLACE(REGEXREPLACE(BD151&amp;"""",""(?s)(.{1})"",""$1""&amp;CHAR(127)),""'"",""''""),CHAR(127))),1,true),""1"")"),"abefg1")</f>
        <v>abefg1</v>
      </c>
      <c r="BF151" s="16"/>
      <c r="BG151" s="12" t="str">
        <f t="shared" si="7"/>
        <v>cfea</v>
      </c>
      <c r="BH151" s="12" t="str">
        <f>IFERROR(__xludf.DUMMYFUNCTION("CONCATENATE(SORT(TRANSPOSE(SPLIT(REGEXREPLACE(REGEXREPLACE(BG151&amp;"""",""(?s)(.{1})"",""$1""&amp;CHAR(127)),""'"",""''""),CHAR(127))),1,true),""1"")"),"acef1")</f>
        <v>acef1</v>
      </c>
      <c r="BI151" s="16"/>
      <c r="BJ151" s="10" t="str">
        <f>IFERROR(__xludf.DUMMYFUNCTION("FILTER($K151:$T151,len($K151:$T151)=5)"),"bcgaf")</f>
        <v>bcgaf</v>
      </c>
      <c r="BK151" s="6" t="str">
        <f>IFERROR(__xludf.DUMMYFUNCTION("""COMPUTED_VALUE"""),"gfbea")</f>
        <v>gfbea</v>
      </c>
      <c r="BL151" s="6" t="str">
        <f>IFERROR(__xludf.DUMMYFUNCTION("""COMPUTED_VALUE"""),"gbedf")</f>
        <v>gbedf</v>
      </c>
      <c r="BM151" s="14" t="str">
        <f>IFERROR(__xludf.DUMMYFUNCTION("REGEXREPLACE( $BY151, CONCATENATE(""["",BJ151,""]""), """")"),"d")</f>
        <v>d</v>
      </c>
      <c r="BN151" s="14" t="str">
        <f>IFERROR(__xludf.DUMMYFUNCTION("REGEXREPLACE( $BY151, CONCATENATE(""["",BK151,""]""), """")"),"cd")</f>
        <v>cd</v>
      </c>
      <c r="BO151" s="14" t="str">
        <f>IFERROR(__xludf.DUMMYFUNCTION("REGEXREPLACE( $BY151, CONCATENATE(""["",BL151,""]""), """")"),"ca")</f>
        <v>ca</v>
      </c>
      <c r="BP151" s="11" t="str">
        <f t="shared" si="8"/>
        <v>bcgaf</v>
      </c>
      <c r="BQ151" s="12" t="str">
        <f>IFERROR(__xludf.DUMMYFUNCTION("CONCATENATE(SORT(TRANSPOSE(SPLIT(REGEXREPLACE(REGEXREPLACE(BP151&amp;"""",""(?s)(.{1})"",""$1""&amp;CHAR(127)),""'"",""''""),CHAR(127))),1,true),""1"")"),"abcfg1")</f>
        <v>abcfg1</v>
      </c>
      <c r="BR151" s="16"/>
      <c r="BS151" s="10" t="str">
        <f>IFERROR(__xludf.DUMMYFUNCTION("FILTER(K151:T151,len(K151:T151)=6)"),"cabdge")</f>
        <v>cabdge</v>
      </c>
      <c r="BT151" s="6" t="str">
        <f>IFERROR(__xludf.DUMMYFUNCTION("""COMPUTED_VALUE"""),"abefcg")</f>
        <v>abefcg</v>
      </c>
      <c r="BU151" s="6" t="str">
        <f>IFERROR(__xludf.DUMMYFUNCTION("""COMPUTED_VALUE"""),"cbgdfa")</f>
        <v>cbgdfa</v>
      </c>
      <c r="BV151" s="6" t="str">
        <f>IFERROR(__xludf.DUMMYFUNCTION("REGEXREPLACE( $AR151, CONCATENATE(""["",BS151,""]""), """")"),"")</f>
        <v/>
      </c>
      <c r="BW151" s="6" t="str">
        <f>IFERROR(__xludf.DUMMYFUNCTION("REGEXREPLACE( $AR151, CONCATENATE(""["",BT151,""]""), """")"),"")</f>
        <v/>
      </c>
      <c r="BX151" s="6" t="str">
        <f>IFERROR(__xludf.DUMMYFUNCTION("REGEXREPLACE( $AR151, CONCATENATE(""["",BU151,""]""), """")"),"e")</f>
        <v>e</v>
      </c>
      <c r="BY151" s="12" t="str">
        <f t="shared" si="9"/>
        <v>cbgdfa</v>
      </c>
      <c r="BZ151" s="12" t="str">
        <f>IFERROR(__xludf.DUMMYFUNCTION("CONCATENATE(SORT(TRANSPOSE(SPLIT(REGEXREPLACE(REGEXREPLACE(BY151&amp;"""",""(?s)(.{1})"",""$1""&amp;CHAR(127)),""'"",""''""),CHAR(127))),1,true),""1"")"),"abcdfg1")</f>
        <v>abcdfg1</v>
      </c>
      <c r="CA151" s="16"/>
      <c r="CB151" s="12" t="str">
        <f t="shared" si="10"/>
        <v>gea</v>
      </c>
      <c r="CC151" s="12" t="str">
        <f>IFERROR(__xludf.DUMMYFUNCTION("CONCATENATE(SORT(TRANSPOSE(SPLIT(REGEXREPLACE(REGEXREPLACE(CB151&amp;"""",""(?s)(.{1})"",""$1""&amp;CHAR(127)),""'"",""''""),CHAR(127))),1,true),""1"")"),"aeg1")</f>
        <v>aeg1</v>
      </c>
      <c r="CD151" s="16"/>
      <c r="CE151" s="12" t="str">
        <f t="shared" si="11"/>
        <v>gabdfce</v>
      </c>
      <c r="CF151" s="12" t="str">
        <f>IFERROR(__xludf.DUMMYFUNCTION("CONCATENATE(SORT(TRANSPOSE(SPLIT(REGEXREPLACE(REGEXREPLACE(CE151&amp;"""",""(?s)(.{1})"",""$1""&amp;CHAR(127)),""'"",""''""),CHAR(127))),1,true),""1"")"),"abcdefg1")</f>
        <v>abcdefg1</v>
      </c>
      <c r="CG151" s="16"/>
      <c r="CH151" s="10" t="str">
        <f>IFERROR(__xludf.DUMMYFUNCTION("FILTER(K151:T151,len(K151:T151)=6)"),"cabdge")</f>
        <v>cabdge</v>
      </c>
      <c r="CI151" s="6" t="str">
        <f>IFERROR(__xludf.DUMMYFUNCTION("""COMPUTED_VALUE"""),"abefcg")</f>
        <v>abefcg</v>
      </c>
      <c r="CJ151" s="6" t="str">
        <f>IFERROR(__xludf.DUMMYFUNCTION("""COMPUTED_VALUE"""),"cbgdfa")</f>
        <v>cbgdfa</v>
      </c>
      <c r="CK151" s="6" t="str">
        <f>IFERROR(__xludf.DUMMYFUNCTION("REGEXREPLACE( $BG151, CONCATENATE(""["",CH151,""]""), """")"),"f")</f>
        <v>f</v>
      </c>
      <c r="CL151" s="6" t="str">
        <f>IFERROR(__xludf.DUMMYFUNCTION("REGEXREPLACE( $BG151, CONCATENATE(""["",CI151,""]""), """")"),"")</f>
        <v/>
      </c>
      <c r="CM151" s="6" t="str">
        <f>IFERROR(__xludf.DUMMYFUNCTION("REGEXREPLACE( $BG151, CONCATENATE(""["",CJ151,""]""), """")"),"e")</f>
        <v>e</v>
      </c>
      <c r="CN151" s="12" t="str">
        <f t="shared" si="12"/>
        <v>abefcg</v>
      </c>
      <c r="CO151" s="12" t="str">
        <f>IFERROR(__xludf.DUMMYFUNCTION("CONCATENATE(SORT(TRANSPOSE(SPLIT(REGEXREPLACE(REGEXREPLACE(CN151&amp;"""",""(?s)(.{1})"",""$1""&amp;CHAR(127)),""'"",""''""),CHAR(127))),1,true),""1"")"),"abcefg1")</f>
        <v>abcefg1</v>
      </c>
      <c r="CP151" s="15"/>
    </row>
    <row r="152">
      <c r="A152" s="1" t="s">
        <v>172</v>
      </c>
      <c r="H152" s="6" t="str">
        <f>IFERROR(__xludf.DUMMYFUNCTION("SPLIT(A152,""|"")"),"cgdb fbgea cg fadbcg bdecfa abfcd gabfc gfecad cdfeabg gcf ")</f>
        <v>cgdb fbgea cg fadbcg bdecfa abfcd gabfc gfecad cdfeabg gcf </v>
      </c>
      <c r="I152" s="6" t="str">
        <f>IFERROR(__xludf.DUMMYFUNCTION("""COMPUTED_VALUE""")," fcg fdegbca gbeacfd cfg")</f>
        <v> fcg fdegbca gbeacfd cfg</v>
      </c>
      <c r="J152" s="15"/>
      <c r="K152" s="6" t="str">
        <f>IFERROR(__xludf.DUMMYFUNCTION("split(H152,"" "")"),"cgdb")</f>
        <v>cgdb</v>
      </c>
      <c r="L152" s="6" t="str">
        <f>IFERROR(__xludf.DUMMYFUNCTION("""COMPUTED_VALUE"""),"fbgea")</f>
        <v>fbgea</v>
      </c>
      <c r="M152" s="6" t="str">
        <f>IFERROR(__xludf.DUMMYFUNCTION("""COMPUTED_VALUE"""),"cg")</f>
        <v>cg</v>
      </c>
      <c r="N152" s="6" t="str">
        <f>IFERROR(__xludf.DUMMYFUNCTION("""COMPUTED_VALUE"""),"fadbcg")</f>
        <v>fadbcg</v>
      </c>
      <c r="O152" s="6" t="str">
        <f>IFERROR(__xludf.DUMMYFUNCTION("""COMPUTED_VALUE"""),"bdecfa")</f>
        <v>bdecfa</v>
      </c>
      <c r="P152" s="6" t="str">
        <f>IFERROR(__xludf.DUMMYFUNCTION("""COMPUTED_VALUE"""),"abfcd")</f>
        <v>abfcd</v>
      </c>
      <c r="Q152" s="6" t="str">
        <f>IFERROR(__xludf.DUMMYFUNCTION("""COMPUTED_VALUE"""),"gabfc")</f>
        <v>gabfc</v>
      </c>
      <c r="R152" s="6" t="str">
        <f>IFERROR(__xludf.DUMMYFUNCTION("""COMPUTED_VALUE"""),"gfecad")</f>
        <v>gfecad</v>
      </c>
      <c r="S152" s="6" t="str">
        <f>IFERROR(__xludf.DUMMYFUNCTION("""COMPUTED_VALUE"""),"cdfeabg")</f>
        <v>cdfeabg</v>
      </c>
      <c r="T152" s="6" t="str">
        <f>IFERROR(__xludf.DUMMYFUNCTION("""COMPUTED_VALUE"""),"gcf")</f>
        <v>gcf</v>
      </c>
      <c r="U152" s="15"/>
      <c r="V152" s="6" t="str">
        <f>IFERROR(__xludf.DUMMYFUNCTION("split(I152,"" "")"),"fcg")</f>
        <v>fcg</v>
      </c>
      <c r="W152" s="6" t="str">
        <f>IFERROR(__xludf.DUMMYFUNCTION("""COMPUTED_VALUE"""),"fdegbca")</f>
        <v>fdegbca</v>
      </c>
      <c r="X152" s="6" t="str">
        <f>IFERROR(__xludf.DUMMYFUNCTION("""COMPUTED_VALUE"""),"gbeacfd")</f>
        <v>gbeacfd</v>
      </c>
      <c r="Y152" s="6" t="str">
        <f>IFERROR(__xludf.DUMMYFUNCTION("""COMPUTED_VALUE"""),"cfg")</f>
        <v>cfg</v>
      </c>
      <c r="Z152" s="6" t="str">
        <f>IFERROR(__xludf.DUMMYFUNCTION("CONCATENATE(SORT(TRANSPOSE(SPLIT(REGEXREPLACE(REGEXREPLACE(V152&amp;"""",""(?s)(.{1})"",""$1""&amp;CHAR(127)),""'"",""''""),CHAR(127))),1,true))"),"cfg")</f>
        <v>cfg</v>
      </c>
      <c r="AA152" s="6" t="str">
        <f>IFERROR(__xludf.DUMMYFUNCTION("CONCATENATE(SORT(TRANSPOSE(SPLIT(REGEXREPLACE(REGEXREPLACE(W152&amp;"""",""(?s)(.{1})"",""$1""&amp;CHAR(127)),""'"",""''""),CHAR(127))),1,true))"),"abcdefg")</f>
        <v>abcdefg</v>
      </c>
      <c r="AB152" s="6" t="str">
        <f>IFERROR(__xludf.DUMMYFUNCTION("CONCATENATE(SORT(TRANSPOSE(SPLIT(REGEXREPLACE(REGEXREPLACE(X152&amp;"""",""(?s)(.{1})"",""$1""&amp;CHAR(127)),""'"",""''""),CHAR(127))),1,true))"),"abcdefg")</f>
        <v>abcdefg</v>
      </c>
      <c r="AC152" s="6" t="str">
        <f>IFERROR(__xludf.DUMMYFUNCTION("CONCATENATE(SORT(TRANSPOSE(SPLIT(REGEXREPLACE(REGEXREPLACE(Y152&amp;"""",""(?s)(.{1})"",""$1""&amp;CHAR(127)),""'"",""''""),CHAR(127))),1,true))"),"cfg")</f>
        <v>cfg</v>
      </c>
      <c r="AD152" s="6">
        <f t="shared" ref="AD152:AG152" si="162">INDEX($AO$1:$CP$1,1,MATCH(CONCATENATE(Z152,"1"),$AO152:$CP152,0)+1)</f>
        <v>7</v>
      </c>
      <c r="AE152" s="6">
        <f t="shared" si="162"/>
        <v>8</v>
      </c>
      <c r="AF152" s="6">
        <f t="shared" si="162"/>
        <v>8</v>
      </c>
      <c r="AG152" s="6">
        <f t="shared" si="162"/>
        <v>7</v>
      </c>
      <c r="AH152" s="6">
        <f t="shared" si="3"/>
        <v>7887</v>
      </c>
      <c r="AI152" s="16"/>
      <c r="AJ152" s="9" t="str">
        <f>IFERROR(__xludf.DUMMYFUNCTION("REGEXREPLACE(AR152,CONCATENATE(""["",BY152,""]""),"""")"),"g")</f>
        <v>g</v>
      </c>
      <c r="AK152" s="10" t="str">
        <f>IFERROR(__xludf.DUMMYFUNCTION("FILTER($K152:$T152,len($K152:$T152)=6,NOT($K152:$T152=BY152))"),"fadbcg")</f>
        <v>fadbcg</v>
      </c>
      <c r="AL152" s="6" t="str">
        <f>IFERROR(__xludf.DUMMYFUNCTION("""COMPUTED_VALUE"""),"gfecad")</f>
        <v>gfecad</v>
      </c>
      <c r="AM152" s="6" t="str">
        <f>IFERROR(__xludf.DUMMYFUNCTION("REGEXREPLACE( $BG152, CONCATENATE(""["",AK152,""]""), """")"),"")</f>
        <v/>
      </c>
      <c r="AN152" s="6" t="str">
        <f>IFERROR(__xludf.DUMMYFUNCTION("REGEXREPLACE( $BG152, CONCATENATE(""["",AL152,""]""), """")"),"b")</f>
        <v>b</v>
      </c>
      <c r="AO152" s="11" t="str">
        <f t="shared" si="4"/>
        <v>gfecad</v>
      </c>
      <c r="AP152" s="12" t="str">
        <f>IFERROR(__xludf.DUMMYFUNCTION("CONCATENATE(SORT(TRANSPOSE(SPLIT(REGEXREPLACE(REGEXREPLACE(AO152&amp;"""",""(?s)(.{1})"",""$1""&amp;CHAR(127)),""'"",""''""),CHAR(127))),1,true),""1"")"),"acdefg1")</f>
        <v>acdefg1</v>
      </c>
      <c r="AQ152" s="16"/>
      <c r="AR152" s="12" t="str">
        <f t="shared" si="5"/>
        <v>cg</v>
      </c>
      <c r="AS152" s="12" t="str">
        <f>IFERROR(__xludf.DUMMYFUNCTION("CONCATENATE(SORT(TRANSPOSE(SPLIT(REGEXREPLACE(REGEXREPLACE(AR152&amp;"""",""(?s)(.{1})"",""$1""&amp;CHAR(127)),""'"",""''""),CHAR(127))),1,true),""1"")"),"cg1")</f>
        <v>cg1</v>
      </c>
      <c r="AT152" s="16"/>
      <c r="AU152" s="13" t="str">
        <f>IFERROR(__xludf.DUMMYFUNCTION("FILTER($K152:$T152,len($K152:$T152)=5,NOT($K152:$T152=BD152),NOT($K152:$T152=BP152))"),"fbgea")</f>
        <v>fbgea</v>
      </c>
      <c r="AV152" s="12" t="str">
        <f>IFERROR(__xludf.DUMMYFUNCTION("CONCATENATE(SORT(TRANSPOSE(SPLIT(REGEXREPLACE(REGEXREPLACE(AU152&amp;"""",""(?s)(.{1})"",""$1""&amp;CHAR(127)),""'"",""''""),CHAR(127))),1,true),""1"")"),"abefg1")</f>
        <v>abefg1</v>
      </c>
      <c r="AW152" s="16"/>
      <c r="AX152" s="10" t="str">
        <f>IFERROR(__xludf.DUMMYFUNCTION("FILTER($K152:$T152,len($K152:$T152)=5)"),"fbgea")</f>
        <v>fbgea</v>
      </c>
      <c r="AY152" s="6" t="str">
        <f>IFERROR(__xludf.DUMMYFUNCTION("""COMPUTED_VALUE"""),"abfcd")</f>
        <v>abfcd</v>
      </c>
      <c r="AZ152" s="6" t="str">
        <f>IFERROR(__xludf.DUMMYFUNCTION("""COMPUTED_VALUE"""),"gabfc")</f>
        <v>gabfc</v>
      </c>
      <c r="BA152" s="6" t="str">
        <f>IFERROR(__xludf.DUMMYFUNCTION("REGEXREPLACE( $AR152, CONCATENATE(""["",AX152,""]""), """")"),"c")</f>
        <v>c</v>
      </c>
      <c r="BB152" s="6" t="str">
        <f>IFERROR(__xludf.DUMMYFUNCTION("REGEXREPLACE( $AR152, CONCATENATE(""["",AY152,""]""), """")"),"g")</f>
        <v>g</v>
      </c>
      <c r="BC152" s="6" t="str">
        <f>IFERROR(__xludf.DUMMYFUNCTION("REGEXREPLACE( $AR152, CONCATENATE(""["",AZ152,""]""), """")"),"")</f>
        <v/>
      </c>
      <c r="BD152" s="11" t="str">
        <f t="shared" si="6"/>
        <v>gabfc</v>
      </c>
      <c r="BE152" s="12" t="str">
        <f>IFERROR(__xludf.DUMMYFUNCTION("CONCATENATE(SORT(TRANSPOSE(SPLIT(REGEXREPLACE(REGEXREPLACE(BD152&amp;"""",""(?s)(.{1})"",""$1""&amp;CHAR(127)),""'"",""''""),CHAR(127))),1,true),""1"")"),"abcfg1")</f>
        <v>abcfg1</v>
      </c>
      <c r="BF152" s="16"/>
      <c r="BG152" s="12" t="str">
        <f t="shared" si="7"/>
        <v>cgdb</v>
      </c>
      <c r="BH152" s="12" t="str">
        <f>IFERROR(__xludf.DUMMYFUNCTION("CONCATENATE(SORT(TRANSPOSE(SPLIT(REGEXREPLACE(REGEXREPLACE(BG152&amp;"""",""(?s)(.{1})"",""$1""&amp;CHAR(127)),""'"",""''""),CHAR(127))),1,true),""1"")"),"bcdg1")</f>
        <v>bcdg1</v>
      </c>
      <c r="BI152" s="16"/>
      <c r="BJ152" s="10" t="str">
        <f>IFERROR(__xludf.DUMMYFUNCTION("FILTER($K152:$T152,len($K152:$T152)=5)"),"fbgea")</f>
        <v>fbgea</v>
      </c>
      <c r="BK152" s="6" t="str">
        <f>IFERROR(__xludf.DUMMYFUNCTION("""COMPUTED_VALUE"""),"abfcd")</f>
        <v>abfcd</v>
      </c>
      <c r="BL152" s="6" t="str">
        <f>IFERROR(__xludf.DUMMYFUNCTION("""COMPUTED_VALUE"""),"gabfc")</f>
        <v>gabfc</v>
      </c>
      <c r="BM152" s="14" t="str">
        <f>IFERROR(__xludf.DUMMYFUNCTION("REGEXREPLACE( $BY152, CONCATENATE(""["",BJ152,""]""), """")"),"dc")</f>
        <v>dc</v>
      </c>
      <c r="BN152" s="14" t="str">
        <f>IFERROR(__xludf.DUMMYFUNCTION("REGEXREPLACE( $BY152, CONCATENATE(""["",BK152,""]""), """")"),"e")</f>
        <v>e</v>
      </c>
      <c r="BO152" s="14" t="str">
        <f>IFERROR(__xludf.DUMMYFUNCTION("REGEXREPLACE( $BY152, CONCATENATE(""["",BL152,""]""), """")"),"de")</f>
        <v>de</v>
      </c>
      <c r="BP152" s="11" t="str">
        <f t="shared" si="8"/>
        <v>abfcd</v>
      </c>
      <c r="BQ152" s="12" t="str">
        <f>IFERROR(__xludf.DUMMYFUNCTION("CONCATENATE(SORT(TRANSPOSE(SPLIT(REGEXREPLACE(REGEXREPLACE(BP152&amp;"""",""(?s)(.{1})"",""$1""&amp;CHAR(127)),""'"",""''""),CHAR(127))),1,true),""1"")"),"abcdf1")</f>
        <v>abcdf1</v>
      </c>
      <c r="BR152" s="16"/>
      <c r="BS152" s="10" t="str">
        <f>IFERROR(__xludf.DUMMYFUNCTION("FILTER(K152:T152,len(K152:T152)=6)"),"fadbcg")</f>
        <v>fadbcg</v>
      </c>
      <c r="BT152" s="6" t="str">
        <f>IFERROR(__xludf.DUMMYFUNCTION("""COMPUTED_VALUE"""),"bdecfa")</f>
        <v>bdecfa</v>
      </c>
      <c r="BU152" s="6" t="str">
        <f>IFERROR(__xludf.DUMMYFUNCTION("""COMPUTED_VALUE"""),"gfecad")</f>
        <v>gfecad</v>
      </c>
      <c r="BV152" s="6" t="str">
        <f>IFERROR(__xludf.DUMMYFUNCTION("REGEXREPLACE( $AR152, CONCATENATE(""["",BS152,""]""), """")"),"")</f>
        <v/>
      </c>
      <c r="BW152" s="6" t="str">
        <f>IFERROR(__xludf.DUMMYFUNCTION("REGEXREPLACE( $AR152, CONCATENATE(""["",BT152,""]""), """")"),"g")</f>
        <v>g</v>
      </c>
      <c r="BX152" s="6" t="str">
        <f>IFERROR(__xludf.DUMMYFUNCTION("REGEXREPLACE( $AR152, CONCATENATE(""["",BU152,""]""), """")"),"")</f>
        <v/>
      </c>
      <c r="BY152" s="12" t="str">
        <f t="shared" si="9"/>
        <v>bdecfa</v>
      </c>
      <c r="BZ152" s="12" t="str">
        <f>IFERROR(__xludf.DUMMYFUNCTION("CONCATENATE(SORT(TRANSPOSE(SPLIT(REGEXREPLACE(REGEXREPLACE(BY152&amp;"""",""(?s)(.{1})"",""$1""&amp;CHAR(127)),""'"",""''""),CHAR(127))),1,true),""1"")"),"abcdef1")</f>
        <v>abcdef1</v>
      </c>
      <c r="CA152" s="16"/>
      <c r="CB152" s="12" t="str">
        <f t="shared" si="10"/>
        <v>gcf</v>
      </c>
      <c r="CC152" s="12" t="str">
        <f>IFERROR(__xludf.DUMMYFUNCTION("CONCATENATE(SORT(TRANSPOSE(SPLIT(REGEXREPLACE(REGEXREPLACE(CB152&amp;"""",""(?s)(.{1})"",""$1""&amp;CHAR(127)),""'"",""''""),CHAR(127))),1,true),""1"")"),"cfg1")</f>
        <v>cfg1</v>
      </c>
      <c r="CD152" s="16"/>
      <c r="CE152" s="12" t="str">
        <f t="shared" si="11"/>
        <v>cdfeabg</v>
      </c>
      <c r="CF152" s="12" t="str">
        <f>IFERROR(__xludf.DUMMYFUNCTION("CONCATENATE(SORT(TRANSPOSE(SPLIT(REGEXREPLACE(REGEXREPLACE(CE152&amp;"""",""(?s)(.{1})"",""$1""&amp;CHAR(127)),""'"",""''""),CHAR(127))),1,true),""1"")"),"abcdefg1")</f>
        <v>abcdefg1</v>
      </c>
      <c r="CG152" s="16"/>
      <c r="CH152" s="10" t="str">
        <f>IFERROR(__xludf.DUMMYFUNCTION("FILTER(K152:T152,len(K152:T152)=6)"),"fadbcg")</f>
        <v>fadbcg</v>
      </c>
      <c r="CI152" s="6" t="str">
        <f>IFERROR(__xludf.DUMMYFUNCTION("""COMPUTED_VALUE"""),"bdecfa")</f>
        <v>bdecfa</v>
      </c>
      <c r="CJ152" s="6" t="str">
        <f>IFERROR(__xludf.DUMMYFUNCTION("""COMPUTED_VALUE"""),"gfecad")</f>
        <v>gfecad</v>
      </c>
      <c r="CK152" s="6" t="str">
        <f>IFERROR(__xludf.DUMMYFUNCTION("REGEXREPLACE( $BG152, CONCATENATE(""["",CH152,""]""), """")"),"")</f>
        <v/>
      </c>
      <c r="CL152" s="6" t="str">
        <f>IFERROR(__xludf.DUMMYFUNCTION("REGEXREPLACE( $BG152, CONCATENATE(""["",CI152,""]""), """")"),"g")</f>
        <v>g</v>
      </c>
      <c r="CM152" s="6" t="str">
        <f>IFERROR(__xludf.DUMMYFUNCTION("REGEXREPLACE( $BG152, CONCATENATE(""["",CJ152,""]""), """")"),"b")</f>
        <v>b</v>
      </c>
      <c r="CN152" s="12" t="str">
        <f t="shared" si="12"/>
        <v>fadbcg</v>
      </c>
      <c r="CO152" s="12" t="str">
        <f>IFERROR(__xludf.DUMMYFUNCTION("CONCATENATE(SORT(TRANSPOSE(SPLIT(REGEXREPLACE(REGEXREPLACE(CN152&amp;"""",""(?s)(.{1})"",""$1""&amp;CHAR(127)),""'"",""''""),CHAR(127))),1,true),""1"")"),"abcdfg1")</f>
        <v>abcdfg1</v>
      </c>
      <c r="CP152" s="15"/>
    </row>
    <row r="153">
      <c r="A153" s="1" t="s">
        <v>173</v>
      </c>
      <c r="H153" s="6" t="str">
        <f>IFERROR(__xludf.DUMMYFUNCTION("SPLIT(A153,""|"")"),"cbfae bedafgc fbcgde agcbf bga faebgd ag fgabcd dcga dfgbc ")</f>
        <v>cbfae bedafgc fbcgde agcbf bga faebgd ag fgabcd dcga dfgbc </v>
      </c>
      <c r="I153" s="6" t="str">
        <f>IFERROR(__xludf.DUMMYFUNCTION("""COMPUTED_VALUE""")," efcab ebcfa dbcgf cadg")</f>
        <v> efcab ebcfa dbcgf cadg</v>
      </c>
      <c r="J153" s="15"/>
      <c r="K153" s="6" t="str">
        <f>IFERROR(__xludf.DUMMYFUNCTION("split(H153,"" "")"),"cbfae")</f>
        <v>cbfae</v>
      </c>
      <c r="L153" s="6" t="str">
        <f>IFERROR(__xludf.DUMMYFUNCTION("""COMPUTED_VALUE"""),"bedafgc")</f>
        <v>bedafgc</v>
      </c>
      <c r="M153" s="6" t="str">
        <f>IFERROR(__xludf.DUMMYFUNCTION("""COMPUTED_VALUE"""),"fbcgde")</f>
        <v>fbcgde</v>
      </c>
      <c r="N153" s="6" t="str">
        <f>IFERROR(__xludf.DUMMYFUNCTION("""COMPUTED_VALUE"""),"agcbf")</f>
        <v>agcbf</v>
      </c>
      <c r="O153" s="6" t="str">
        <f>IFERROR(__xludf.DUMMYFUNCTION("""COMPUTED_VALUE"""),"bga")</f>
        <v>bga</v>
      </c>
      <c r="P153" s="6" t="str">
        <f>IFERROR(__xludf.DUMMYFUNCTION("""COMPUTED_VALUE"""),"faebgd")</f>
        <v>faebgd</v>
      </c>
      <c r="Q153" s="6" t="str">
        <f>IFERROR(__xludf.DUMMYFUNCTION("""COMPUTED_VALUE"""),"ag")</f>
        <v>ag</v>
      </c>
      <c r="R153" s="6" t="str">
        <f>IFERROR(__xludf.DUMMYFUNCTION("""COMPUTED_VALUE"""),"fgabcd")</f>
        <v>fgabcd</v>
      </c>
      <c r="S153" s="6" t="str">
        <f>IFERROR(__xludf.DUMMYFUNCTION("""COMPUTED_VALUE"""),"dcga")</f>
        <v>dcga</v>
      </c>
      <c r="T153" s="6" t="str">
        <f>IFERROR(__xludf.DUMMYFUNCTION("""COMPUTED_VALUE"""),"dfgbc")</f>
        <v>dfgbc</v>
      </c>
      <c r="U153" s="15"/>
      <c r="V153" s="6" t="str">
        <f>IFERROR(__xludf.DUMMYFUNCTION("split(I153,"" "")"),"efcab")</f>
        <v>efcab</v>
      </c>
      <c r="W153" s="6" t="str">
        <f>IFERROR(__xludf.DUMMYFUNCTION("""COMPUTED_VALUE"""),"ebcfa")</f>
        <v>ebcfa</v>
      </c>
      <c r="X153" s="6" t="str">
        <f>IFERROR(__xludf.DUMMYFUNCTION("""COMPUTED_VALUE"""),"dbcgf")</f>
        <v>dbcgf</v>
      </c>
      <c r="Y153" s="6" t="str">
        <f>IFERROR(__xludf.DUMMYFUNCTION("""COMPUTED_VALUE"""),"cadg")</f>
        <v>cadg</v>
      </c>
      <c r="Z153" s="6" t="str">
        <f>IFERROR(__xludf.DUMMYFUNCTION("CONCATENATE(SORT(TRANSPOSE(SPLIT(REGEXREPLACE(REGEXREPLACE(V153&amp;"""",""(?s)(.{1})"",""$1""&amp;CHAR(127)),""'"",""''""),CHAR(127))),1,true))"),"abcef")</f>
        <v>abcef</v>
      </c>
      <c r="AA153" s="6" t="str">
        <f>IFERROR(__xludf.DUMMYFUNCTION("CONCATENATE(SORT(TRANSPOSE(SPLIT(REGEXREPLACE(REGEXREPLACE(W153&amp;"""",""(?s)(.{1})"",""$1""&amp;CHAR(127)),""'"",""''""),CHAR(127))),1,true))"),"abcef")</f>
        <v>abcef</v>
      </c>
      <c r="AB153" s="6" t="str">
        <f>IFERROR(__xludf.DUMMYFUNCTION("CONCATENATE(SORT(TRANSPOSE(SPLIT(REGEXREPLACE(REGEXREPLACE(X153&amp;"""",""(?s)(.{1})"",""$1""&amp;CHAR(127)),""'"",""''""),CHAR(127))),1,true))"),"bcdfg")</f>
        <v>bcdfg</v>
      </c>
      <c r="AC153" s="6" t="str">
        <f>IFERROR(__xludf.DUMMYFUNCTION("CONCATENATE(SORT(TRANSPOSE(SPLIT(REGEXREPLACE(REGEXREPLACE(Y153&amp;"""",""(?s)(.{1})"",""$1""&amp;CHAR(127)),""'"",""''""),CHAR(127))),1,true))"),"acdg")</f>
        <v>acdg</v>
      </c>
      <c r="AD153" s="6">
        <f t="shared" ref="AD153:AG153" si="163">INDEX($AO$1:$CP$1,1,MATCH(CONCATENATE(Z153,"1"),$AO153:$CP153,0)+1)</f>
        <v>2</v>
      </c>
      <c r="AE153" s="6">
        <f t="shared" si="163"/>
        <v>2</v>
      </c>
      <c r="AF153" s="6">
        <f t="shared" si="163"/>
        <v>5</v>
      </c>
      <c r="AG153" s="6">
        <f t="shared" si="163"/>
        <v>4</v>
      </c>
      <c r="AH153" s="6">
        <f t="shared" si="3"/>
        <v>2254</v>
      </c>
      <c r="AI153" s="16"/>
      <c r="AJ153" s="9" t="str">
        <f>IFERROR(__xludf.DUMMYFUNCTION("REGEXREPLACE(AR153,CONCATENATE(""["",BY153,""]""),"""")"),"a")</f>
        <v>a</v>
      </c>
      <c r="AK153" s="10" t="str">
        <f>IFERROR(__xludf.DUMMYFUNCTION("FILTER($K153:$T153,len($K153:$T153)=6,NOT($K153:$T153=BY153))"),"faebgd")</f>
        <v>faebgd</v>
      </c>
      <c r="AL153" s="6" t="str">
        <f>IFERROR(__xludf.DUMMYFUNCTION("""COMPUTED_VALUE"""),"fgabcd")</f>
        <v>fgabcd</v>
      </c>
      <c r="AM153" s="6" t="str">
        <f>IFERROR(__xludf.DUMMYFUNCTION("REGEXREPLACE( $BG153, CONCATENATE(""["",AK153,""]""), """")"),"c")</f>
        <v>c</v>
      </c>
      <c r="AN153" s="6" t="str">
        <f>IFERROR(__xludf.DUMMYFUNCTION("REGEXREPLACE( $BG153, CONCATENATE(""["",AL153,""]""), """")"),"")</f>
        <v/>
      </c>
      <c r="AO153" s="11" t="str">
        <f t="shared" si="4"/>
        <v>faebgd</v>
      </c>
      <c r="AP153" s="12" t="str">
        <f>IFERROR(__xludf.DUMMYFUNCTION("CONCATENATE(SORT(TRANSPOSE(SPLIT(REGEXREPLACE(REGEXREPLACE(AO153&amp;"""",""(?s)(.{1})"",""$1""&amp;CHAR(127)),""'"",""''""),CHAR(127))),1,true),""1"")"),"abdefg1")</f>
        <v>abdefg1</v>
      </c>
      <c r="AQ153" s="16"/>
      <c r="AR153" s="12" t="str">
        <f t="shared" si="5"/>
        <v>ag</v>
      </c>
      <c r="AS153" s="12" t="str">
        <f>IFERROR(__xludf.DUMMYFUNCTION("CONCATENATE(SORT(TRANSPOSE(SPLIT(REGEXREPLACE(REGEXREPLACE(AR153&amp;"""",""(?s)(.{1})"",""$1""&amp;CHAR(127)),""'"",""''""),CHAR(127))),1,true),""1"")"),"ag1")</f>
        <v>ag1</v>
      </c>
      <c r="AT153" s="16"/>
      <c r="AU153" s="13" t="str">
        <f>IFERROR(__xludf.DUMMYFUNCTION("FILTER($K153:$T153,len($K153:$T153)=5,NOT($K153:$T153=BD153),NOT($K153:$T153=BP153))"),"cbfae")</f>
        <v>cbfae</v>
      </c>
      <c r="AV153" s="12" t="str">
        <f>IFERROR(__xludf.DUMMYFUNCTION("CONCATENATE(SORT(TRANSPOSE(SPLIT(REGEXREPLACE(REGEXREPLACE(AU153&amp;"""",""(?s)(.{1})"",""$1""&amp;CHAR(127)),""'"",""''""),CHAR(127))),1,true),""1"")"),"abcef1")</f>
        <v>abcef1</v>
      </c>
      <c r="AW153" s="16"/>
      <c r="AX153" s="10" t="str">
        <f>IFERROR(__xludf.DUMMYFUNCTION("FILTER($K153:$T153,len($K153:$T153)=5)"),"cbfae")</f>
        <v>cbfae</v>
      </c>
      <c r="AY153" s="6" t="str">
        <f>IFERROR(__xludf.DUMMYFUNCTION("""COMPUTED_VALUE"""),"agcbf")</f>
        <v>agcbf</v>
      </c>
      <c r="AZ153" s="6" t="str">
        <f>IFERROR(__xludf.DUMMYFUNCTION("""COMPUTED_VALUE"""),"dfgbc")</f>
        <v>dfgbc</v>
      </c>
      <c r="BA153" s="6" t="str">
        <f>IFERROR(__xludf.DUMMYFUNCTION("REGEXREPLACE( $AR153, CONCATENATE(""["",AX153,""]""), """")"),"g")</f>
        <v>g</v>
      </c>
      <c r="BB153" s="6" t="str">
        <f>IFERROR(__xludf.DUMMYFUNCTION("REGEXREPLACE( $AR153, CONCATENATE(""["",AY153,""]""), """")"),"")</f>
        <v/>
      </c>
      <c r="BC153" s="6" t="str">
        <f>IFERROR(__xludf.DUMMYFUNCTION("REGEXREPLACE( $AR153, CONCATENATE(""["",AZ153,""]""), """")"),"a")</f>
        <v>a</v>
      </c>
      <c r="BD153" s="11" t="str">
        <f t="shared" si="6"/>
        <v>agcbf</v>
      </c>
      <c r="BE153" s="12" t="str">
        <f>IFERROR(__xludf.DUMMYFUNCTION("CONCATENATE(SORT(TRANSPOSE(SPLIT(REGEXREPLACE(REGEXREPLACE(BD153&amp;"""",""(?s)(.{1})"",""$1""&amp;CHAR(127)),""'"",""''""),CHAR(127))),1,true),""1"")"),"abcfg1")</f>
        <v>abcfg1</v>
      </c>
      <c r="BF153" s="16"/>
      <c r="BG153" s="12" t="str">
        <f t="shared" si="7"/>
        <v>dcga</v>
      </c>
      <c r="BH153" s="12" t="str">
        <f>IFERROR(__xludf.DUMMYFUNCTION("CONCATENATE(SORT(TRANSPOSE(SPLIT(REGEXREPLACE(REGEXREPLACE(BG153&amp;"""",""(?s)(.{1})"",""$1""&amp;CHAR(127)),""'"",""''""),CHAR(127))),1,true),""1"")"),"acdg1")</f>
        <v>acdg1</v>
      </c>
      <c r="BI153" s="16"/>
      <c r="BJ153" s="10" t="str">
        <f>IFERROR(__xludf.DUMMYFUNCTION("FILTER($K153:$T153,len($K153:$T153)=5)"),"cbfae")</f>
        <v>cbfae</v>
      </c>
      <c r="BK153" s="6" t="str">
        <f>IFERROR(__xludf.DUMMYFUNCTION("""COMPUTED_VALUE"""),"agcbf")</f>
        <v>agcbf</v>
      </c>
      <c r="BL153" s="6" t="str">
        <f>IFERROR(__xludf.DUMMYFUNCTION("""COMPUTED_VALUE"""),"dfgbc")</f>
        <v>dfgbc</v>
      </c>
      <c r="BM153" s="14" t="str">
        <f>IFERROR(__xludf.DUMMYFUNCTION("REGEXREPLACE( $BY153, CONCATENATE(""["",BJ153,""]""), """")"),"gd")</f>
        <v>gd</v>
      </c>
      <c r="BN153" s="14" t="str">
        <f>IFERROR(__xludf.DUMMYFUNCTION("REGEXREPLACE( $BY153, CONCATENATE(""["",BK153,""]""), """")"),"de")</f>
        <v>de</v>
      </c>
      <c r="BO153" s="14" t="str">
        <f>IFERROR(__xludf.DUMMYFUNCTION("REGEXREPLACE( $BY153, CONCATENATE(""["",BL153,""]""), """")"),"e")</f>
        <v>e</v>
      </c>
      <c r="BP153" s="11" t="str">
        <f t="shared" si="8"/>
        <v>dfgbc</v>
      </c>
      <c r="BQ153" s="12" t="str">
        <f>IFERROR(__xludf.DUMMYFUNCTION("CONCATENATE(SORT(TRANSPOSE(SPLIT(REGEXREPLACE(REGEXREPLACE(BP153&amp;"""",""(?s)(.{1})"",""$1""&amp;CHAR(127)),""'"",""''""),CHAR(127))),1,true),""1"")"),"bcdfg1")</f>
        <v>bcdfg1</v>
      </c>
      <c r="BR153" s="16"/>
      <c r="BS153" s="10" t="str">
        <f>IFERROR(__xludf.DUMMYFUNCTION("FILTER(K153:T153,len(K153:T153)=6)"),"fbcgde")</f>
        <v>fbcgde</v>
      </c>
      <c r="BT153" s="6" t="str">
        <f>IFERROR(__xludf.DUMMYFUNCTION("""COMPUTED_VALUE"""),"faebgd")</f>
        <v>faebgd</v>
      </c>
      <c r="BU153" s="6" t="str">
        <f>IFERROR(__xludf.DUMMYFUNCTION("""COMPUTED_VALUE"""),"fgabcd")</f>
        <v>fgabcd</v>
      </c>
      <c r="BV153" s="6" t="str">
        <f>IFERROR(__xludf.DUMMYFUNCTION("REGEXREPLACE( $AR153, CONCATENATE(""["",BS153,""]""), """")"),"a")</f>
        <v>a</v>
      </c>
      <c r="BW153" s="6" t="str">
        <f>IFERROR(__xludf.DUMMYFUNCTION("REGEXREPLACE( $AR153, CONCATENATE(""["",BT153,""]""), """")"),"")</f>
        <v/>
      </c>
      <c r="BX153" s="6" t="str">
        <f>IFERROR(__xludf.DUMMYFUNCTION("REGEXREPLACE( $AR153, CONCATENATE(""["",BU153,""]""), """")"),"")</f>
        <v/>
      </c>
      <c r="BY153" s="12" t="str">
        <f t="shared" si="9"/>
        <v>fbcgde</v>
      </c>
      <c r="BZ153" s="12" t="str">
        <f>IFERROR(__xludf.DUMMYFUNCTION("CONCATENATE(SORT(TRANSPOSE(SPLIT(REGEXREPLACE(REGEXREPLACE(BY153&amp;"""",""(?s)(.{1})"",""$1""&amp;CHAR(127)),""'"",""''""),CHAR(127))),1,true),""1"")"),"bcdefg1")</f>
        <v>bcdefg1</v>
      </c>
      <c r="CA153" s="16"/>
      <c r="CB153" s="12" t="str">
        <f t="shared" si="10"/>
        <v>bga</v>
      </c>
      <c r="CC153" s="12" t="str">
        <f>IFERROR(__xludf.DUMMYFUNCTION("CONCATENATE(SORT(TRANSPOSE(SPLIT(REGEXREPLACE(REGEXREPLACE(CB153&amp;"""",""(?s)(.{1})"",""$1""&amp;CHAR(127)),""'"",""''""),CHAR(127))),1,true),""1"")"),"abg1")</f>
        <v>abg1</v>
      </c>
      <c r="CD153" s="16"/>
      <c r="CE153" s="12" t="str">
        <f t="shared" si="11"/>
        <v>bedafgc</v>
      </c>
      <c r="CF153" s="12" t="str">
        <f>IFERROR(__xludf.DUMMYFUNCTION("CONCATENATE(SORT(TRANSPOSE(SPLIT(REGEXREPLACE(REGEXREPLACE(CE153&amp;"""",""(?s)(.{1})"",""$1""&amp;CHAR(127)),""'"",""''""),CHAR(127))),1,true),""1"")"),"abcdefg1")</f>
        <v>abcdefg1</v>
      </c>
      <c r="CG153" s="16"/>
      <c r="CH153" s="10" t="str">
        <f>IFERROR(__xludf.DUMMYFUNCTION("FILTER(K153:T153,len(K153:T153)=6)"),"fbcgde")</f>
        <v>fbcgde</v>
      </c>
      <c r="CI153" s="6" t="str">
        <f>IFERROR(__xludf.DUMMYFUNCTION("""COMPUTED_VALUE"""),"faebgd")</f>
        <v>faebgd</v>
      </c>
      <c r="CJ153" s="6" t="str">
        <f>IFERROR(__xludf.DUMMYFUNCTION("""COMPUTED_VALUE"""),"fgabcd")</f>
        <v>fgabcd</v>
      </c>
      <c r="CK153" s="6" t="str">
        <f>IFERROR(__xludf.DUMMYFUNCTION("REGEXREPLACE( $BG153, CONCATENATE(""["",CH153,""]""), """")"),"a")</f>
        <v>a</v>
      </c>
      <c r="CL153" s="6" t="str">
        <f>IFERROR(__xludf.DUMMYFUNCTION("REGEXREPLACE( $BG153, CONCATENATE(""["",CI153,""]""), """")"),"c")</f>
        <v>c</v>
      </c>
      <c r="CM153" s="6" t="str">
        <f>IFERROR(__xludf.DUMMYFUNCTION("REGEXREPLACE( $BG153, CONCATENATE(""["",CJ153,""]""), """")"),"")</f>
        <v/>
      </c>
      <c r="CN153" s="12" t="str">
        <f t="shared" si="12"/>
        <v>fgabcd</v>
      </c>
      <c r="CO153" s="12" t="str">
        <f>IFERROR(__xludf.DUMMYFUNCTION("CONCATENATE(SORT(TRANSPOSE(SPLIT(REGEXREPLACE(REGEXREPLACE(CN153&amp;"""",""(?s)(.{1})"",""$1""&amp;CHAR(127)),""'"",""''""),CHAR(127))),1,true),""1"")"),"abcdfg1")</f>
        <v>abcdfg1</v>
      </c>
      <c r="CP153" s="15"/>
    </row>
    <row r="154">
      <c r="A154" s="1" t="s">
        <v>174</v>
      </c>
      <c r="H154" s="6" t="str">
        <f>IFERROR(__xludf.DUMMYFUNCTION("SPLIT(A154,""|"")"),"gced egafdc cfeabgd cfdae gecafb fadgc ec fagcbd cea afbed ")</f>
        <v>gced egafdc cfeabgd cfdae gecafb fadgc ec fagcbd cea afbed </v>
      </c>
      <c r="I154" s="6" t="str">
        <f>IFERROR(__xludf.DUMMYFUNCTION("""COMPUTED_VALUE""")," gcbdfae dfgac cbeafg fdcgae")</f>
        <v> gcbdfae dfgac cbeafg fdcgae</v>
      </c>
      <c r="J154" s="15"/>
      <c r="K154" s="6" t="str">
        <f>IFERROR(__xludf.DUMMYFUNCTION("split(H154,"" "")"),"gced")</f>
        <v>gced</v>
      </c>
      <c r="L154" s="6" t="str">
        <f>IFERROR(__xludf.DUMMYFUNCTION("""COMPUTED_VALUE"""),"egafdc")</f>
        <v>egafdc</v>
      </c>
      <c r="M154" s="6" t="str">
        <f>IFERROR(__xludf.DUMMYFUNCTION("""COMPUTED_VALUE"""),"cfeabgd")</f>
        <v>cfeabgd</v>
      </c>
      <c r="N154" s="6" t="str">
        <f>IFERROR(__xludf.DUMMYFUNCTION("""COMPUTED_VALUE"""),"cfdae")</f>
        <v>cfdae</v>
      </c>
      <c r="O154" s="6" t="str">
        <f>IFERROR(__xludf.DUMMYFUNCTION("""COMPUTED_VALUE"""),"gecafb")</f>
        <v>gecafb</v>
      </c>
      <c r="P154" s="6" t="str">
        <f>IFERROR(__xludf.DUMMYFUNCTION("""COMPUTED_VALUE"""),"fadgc")</f>
        <v>fadgc</v>
      </c>
      <c r="Q154" s="6" t="str">
        <f>IFERROR(__xludf.DUMMYFUNCTION("""COMPUTED_VALUE"""),"ec")</f>
        <v>ec</v>
      </c>
      <c r="R154" s="6" t="str">
        <f>IFERROR(__xludf.DUMMYFUNCTION("""COMPUTED_VALUE"""),"fagcbd")</f>
        <v>fagcbd</v>
      </c>
      <c r="S154" s="6" t="str">
        <f>IFERROR(__xludf.DUMMYFUNCTION("""COMPUTED_VALUE"""),"cea")</f>
        <v>cea</v>
      </c>
      <c r="T154" s="6" t="str">
        <f>IFERROR(__xludf.DUMMYFUNCTION("""COMPUTED_VALUE"""),"afbed")</f>
        <v>afbed</v>
      </c>
      <c r="U154" s="15"/>
      <c r="V154" s="6" t="str">
        <f>IFERROR(__xludf.DUMMYFUNCTION("split(I154,"" "")"),"gcbdfae")</f>
        <v>gcbdfae</v>
      </c>
      <c r="W154" s="6" t="str">
        <f>IFERROR(__xludf.DUMMYFUNCTION("""COMPUTED_VALUE"""),"dfgac")</f>
        <v>dfgac</v>
      </c>
      <c r="X154" s="6" t="str">
        <f>IFERROR(__xludf.DUMMYFUNCTION("""COMPUTED_VALUE"""),"cbeafg")</f>
        <v>cbeafg</v>
      </c>
      <c r="Y154" s="6" t="str">
        <f>IFERROR(__xludf.DUMMYFUNCTION("""COMPUTED_VALUE"""),"fdcgae")</f>
        <v>fdcgae</v>
      </c>
      <c r="Z154" s="6" t="str">
        <f>IFERROR(__xludf.DUMMYFUNCTION("CONCATENATE(SORT(TRANSPOSE(SPLIT(REGEXREPLACE(REGEXREPLACE(V154&amp;"""",""(?s)(.{1})"",""$1""&amp;CHAR(127)),""'"",""''""),CHAR(127))),1,true))"),"abcdefg")</f>
        <v>abcdefg</v>
      </c>
      <c r="AA154" s="6" t="str">
        <f>IFERROR(__xludf.DUMMYFUNCTION("CONCATENATE(SORT(TRANSPOSE(SPLIT(REGEXREPLACE(REGEXREPLACE(W154&amp;"""",""(?s)(.{1})"",""$1""&amp;CHAR(127)),""'"",""''""),CHAR(127))),1,true))"),"acdfg")</f>
        <v>acdfg</v>
      </c>
      <c r="AB154" s="6" t="str">
        <f>IFERROR(__xludf.DUMMYFUNCTION("CONCATENATE(SORT(TRANSPOSE(SPLIT(REGEXREPLACE(REGEXREPLACE(X154&amp;"""",""(?s)(.{1})"",""$1""&amp;CHAR(127)),""'"",""''""),CHAR(127))),1,true))"),"abcefg")</f>
        <v>abcefg</v>
      </c>
      <c r="AC154" s="6" t="str">
        <f>IFERROR(__xludf.DUMMYFUNCTION("CONCATENATE(SORT(TRANSPOSE(SPLIT(REGEXREPLACE(REGEXREPLACE(Y154&amp;"""",""(?s)(.{1})"",""$1""&amp;CHAR(127)),""'"",""''""),CHAR(127))),1,true))"),"acdefg")</f>
        <v>acdefg</v>
      </c>
      <c r="AD154" s="6">
        <f t="shared" ref="AD154:AG154" si="164">INDEX($AO$1:$CP$1,1,MATCH(CONCATENATE(Z154,"1"),$AO154:$CP154,0)+1)</f>
        <v>8</v>
      </c>
      <c r="AE154" s="6">
        <f t="shared" si="164"/>
        <v>5</v>
      </c>
      <c r="AF154" s="6">
        <f t="shared" si="164"/>
        <v>0</v>
      </c>
      <c r="AG154" s="6">
        <f t="shared" si="164"/>
        <v>9</v>
      </c>
      <c r="AH154" s="6">
        <f t="shared" si="3"/>
        <v>8509</v>
      </c>
      <c r="AI154" s="16"/>
      <c r="AJ154" s="9" t="str">
        <f>IFERROR(__xludf.DUMMYFUNCTION("REGEXREPLACE(AR154,CONCATENATE(""["",BY154,""]""),"""")"),"e")</f>
        <v>e</v>
      </c>
      <c r="AK154" s="10" t="str">
        <f>IFERROR(__xludf.DUMMYFUNCTION("FILTER($K154:$T154,len($K154:$T154)=6,NOT($K154:$T154=BY154))"),"egafdc")</f>
        <v>egafdc</v>
      </c>
      <c r="AL154" s="6" t="str">
        <f>IFERROR(__xludf.DUMMYFUNCTION("""COMPUTED_VALUE"""),"gecafb")</f>
        <v>gecafb</v>
      </c>
      <c r="AM154" s="6" t="str">
        <f>IFERROR(__xludf.DUMMYFUNCTION("REGEXREPLACE( $BG154, CONCATENATE(""["",AK154,""]""), """")"),"")</f>
        <v/>
      </c>
      <c r="AN154" s="6" t="str">
        <f>IFERROR(__xludf.DUMMYFUNCTION("REGEXREPLACE( $BG154, CONCATENATE(""["",AL154,""]""), """")"),"d")</f>
        <v>d</v>
      </c>
      <c r="AO154" s="11" t="str">
        <f t="shared" si="4"/>
        <v>gecafb</v>
      </c>
      <c r="AP154" s="12" t="str">
        <f>IFERROR(__xludf.DUMMYFUNCTION("CONCATENATE(SORT(TRANSPOSE(SPLIT(REGEXREPLACE(REGEXREPLACE(AO154&amp;"""",""(?s)(.{1})"",""$1""&amp;CHAR(127)),""'"",""''""),CHAR(127))),1,true),""1"")"),"abcefg1")</f>
        <v>abcefg1</v>
      </c>
      <c r="AQ154" s="16"/>
      <c r="AR154" s="12" t="str">
        <f t="shared" si="5"/>
        <v>ec</v>
      </c>
      <c r="AS154" s="12" t="str">
        <f>IFERROR(__xludf.DUMMYFUNCTION("CONCATENATE(SORT(TRANSPOSE(SPLIT(REGEXREPLACE(REGEXREPLACE(AR154&amp;"""",""(?s)(.{1})"",""$1""&amp;CHAR(127)),""'"",""''""),CHAR(127))),1,true),""1"")"),"ce1")</f>
        <v>ce1</v>
      </c>
      <c r="AT154" s="16"/>
      <c r="AU154" s="13" t="str">
        <f>IFERROR(__xludf.DUMMYFUNCTION("FILTER($K154:$T154,len($K154:$T154)=5,NOT($K154:$T154=BD154),NOT($K154:$T154=BP154))"),"afbed")</f>
        <v>afbed</v>
      </c>
      <c r="AV154" s="12" t="str">
        <f>IFERROR(__xludf.DUMMYFUNCTION("CONCATENATE(SORT(TRANSPOSE(SPLIT(REGEXREPLACE(REGEXREPLACE(AU154&amp;"""",""(?s)(.{1})"",""$1""&amp;CHAR(127)),""'"",""''""),CHAR(127))),1,true),""1"")"),"abdef1")</f>
        <v>abdef1</v>
      </c>
      <c r="AW154" s="16"/>
      <c r="AX154" s="10" t="str">
        <f>IFERROR(__xludf.DUMMYFUNCTION("FILTER($K154:$T154,len($K154:$T154)=5)"),"cfdae")</f>
        <v>cfdae</v>
      </c>
      <c r="AY154" s="6" t="str">
        <f>IFERROR(__xludf.DUMMYFUNCTION("""COMPUTED_VALUE"""),"fadgc")</f>
        <v>fadgc</v>
      </c>
      <c r="AZ154" s="6" t="str">
        <f>IFERROR(__xludf.DUMMYFUNCTION("""COMPUTED_VALUE"""),"afbed")</f>
        <v>afbed</v>
      </c>
      <c r="BA154" s="6" t="str">
        <f>IFERROR(__xludf.DUMMYFUNCTION("REGEXREPLACE( $AR154, CONCATENATE(""["",AX154,""]""), """")"),"")</f>
        <v/>
      </c>
      <c r="BB154" s="6" t="str">
        <f>IFERROR(__xludf.DUMMYFUNCTION("REGEXREPLACE( $AR154, CONCATENATE(""["",AY154,""]""), """")"),"e")</f>
        <v>e</v>
      </c>
      <c r="BC154" s="6" t="str">
        <f>IFERROR(__xludf.DUMMYFUNCTION("REGEXREPLACE( $AR154, CONCATENATE(""["",AZ154,""]""), """")"),"c")</f>
        <v>c</v>
      </c>
      <c r="BD154" s="11" t="str">
        <f t="shared" si="6"/>
        <v>cfdae</v>
      </c>
      <c r="BE154" s="12" t="str">
        <f>IFERROR(__xludf.DUMMYFUNCTION("CONCATENATE(SORT(TRANSPOSE(SPLIT(REGEXREPLACE(REGEXREPLACE(BD154&amp;"""",""(?s)(.{1})"",""$1""&amp;CHAR(127)),""'"",""''""),CHAR(127))),1,true),""1"")"),"acdef1")</f>
        <v>acdef1</v>
      </c>
      <c r="BF154" s="16"/>
      <c r="BG154" s="12" t="str">
        <f t="shared" si="7"/>
        <v>gced</v>
      </c>
      <c r="BH154" s="12" t="str">
        <f>IFERROR(__xludf.DUMMYFUNCTION("CONCATENATE(SORT(TRANSPOSE(SPLIT(REGEXREPLACE(REGEXREPLACE(BG154&amp;"""",""(?s)(.{1})"",""$1""&amp;CHAR(127)),""'"",""''""),CHAR(127))),1,true),""1"")"),"cdeg1")</f>
        <v>cdeg1</v>
      </c>
      <c r="BI154" s="16"/>
      <c r="BJ154" s="10" t="str">
        <f>IFERROR(__xludf.DUMMYFUNCTION("FILTER($K154:$T154,len($K154:$T154)=5)"),"cfdae")</f>
        <v>cfdae</v>
      </c>
      <c r="BK154" s="6" t="str">
        <f>IFERROR(__xludf.DUMMYFUNCTION("""COMPUTED_VALUE"""),"fadgc")</f>
        <v>fadgc</v>
      </c>
      <c r="BL154" s="6" t="str">
        <f>IFERROR(__xludf.DUMMYFUNCTION("""COMPUTED_VALUE"""),"afbed")</f>
        <v>afbed</v>
      </c>
      <c r="BM154" s="14" t="str">
        <f>IFERROR(__xludf.DUMMYFUNCTION("REGEXREPLACE( $BY154, CONCATENATE(""["",BJ154,""]""), """")"),"gb")</f>
        <v>gb</v>
      </c>
      <c r="BN154" s="14" t="str">
        <f>IFERROR(__xludf.DUMMYFUNCTION("REGEXREPLACE( $BY154, CONCATENATE(""["",BK154,""]""), """")"),"b")</f>
        <v>b</v>
      </c>
      <c r="BO154" s="14" t="str">
        <f>IFERROR(__xludf.DUMMYFUNCTION("REGEXREPLACE( $BY154, CONCATENATE(""["",BL154,""]""), """")"),"gc")</f>
        <v>gc</v>
      </c>
      <c r="BP154" s="11" t="str">
        <f t="shared" si="8"/>
        <v>fadgc</v>
      </c>
      <c r="BQ154" s="12" t="str">
        <f>IFERROR(__xludf.DUMMYFUNCTION("CONCATENATE(SORT(TRANSPOSE(SPLIT(REGEXREPLACE(REGEXREPLACE(BP154&amp;"""",""(?s)(.{1})"",""$1""&amp;CHAR(127)),""'"",""''""),CHAR(127))),1,true),""1"")"),"acdfg1")</f>
        <v>acdfg1</v>
      </c>
      <c r="BR154" s="16"/>
      <c r="BS154" s="10" t="str">
        <f>IFERROR(__xludf.DUMMYFUNCTION("FILTER(K154:T154,len(K154:T154)=6)"),"egafdc")</f>
        <v>egafdc</v>
      </c>
      <c r="BT154" s="6" t="str">
        <f>IFERROR(__xludf.DUMMYFUNCTION("""COMPUTED_VALUE"""),"gecafb")</f>
        <v>gecafb</v>
      </c>
      <c r="BU154" s="6" t="str">
        <f>IFERROR(__xludf.DUMMYFUNCTION("""COMPUTED_VALUE"""),"fagcbd")</f>
        <v>fagcbd</v>
      </c>
      <c r="BV154" s="6" t="str">
        <f>IFERROR(__xludf.DUMMYFUNCTION("REGEXREPLACE( $AR154, CONCATENATE(""["",BS154,""]""), """")"),"")</f>
        <v/>
      </c>
      <c r="BW154" s="6" t="str">
        <f>IFERROR(__xludf.DUMMYFUNCTION("REGEXREPLACE( $AR154, CONCATENATE(""["",BT154,""]""), """")"),"")</f>
        <v/>
      </c>
      <c r="BX154" s="6" t="str">
        <f>IFERROR(__xludf.DUMMYFUNCTION("REGEXREPLACE( $AR154, CONCATENATE(""["",BU154,""]""), """")"),"e")</f>
        <v>e</v>
      </c>
      <c r="BY154" s="12" t="str">
        <f t="shared" si="9"/>
        <v>fagcbd</v>
      </c>
      <c r="BZ154" s="12" t="str">
        <f>IFERROR(__xludf.DUMMYFUNCTION("CONCATENATE(SORT(TRANSPOSE(SPLIT(REGEXREPLACE(REGEXREPLACE(BY154&amp;"""",""(?s)(.{1})"",""$1""&amp;CHAR(127)),""'"",""''""),CHAR(127))),1,true),""1"")"),"abcdfg1")</f>
        <v>abcdfg1</v>
      </c>
      <c r="CA154" s="16"/>
      <c r="CB154" s="12" t="str">
        <f t="shared" si="10"/>
        <v>cea</v>
      </c>
      <c r="CC154" s="12" t="str">
        <f>IFERROR(__xludf.DUMMYFUNCTION("CONCATENATE(SORT(TRANSPOSE(SPLIT(REGEXREPLACE(REGEXREPLACE(CB154&amp;"""",""(?s)(.{1})"",""$1""&amp;CHAR(127)),""'"",""''""),CHAR(127))),1,true),""1"")"),"ace1")</f>
        <v>ace1</v>
      </c>
      <c r="CD154" s="16"/>
      <c r="CE154" s="12" t="str">
        <f t="shared" si="11"/>
        <v>cfeabgd</v>
      </c>
      <c r="CF154" s="12" t="str">
        <f>IFERROR(__xludf.DUMMYFUNCTION("CONCATENATE(SORT(TRANSPOSE(SPLIT(REGEXREPLACE(REGEXREPLACE(CE154&amp;"""",""(?s)(.{1})"",""$1""&amp;CHAR(127)),""'"",""''""),CHAR(127))),1,true),""1"")"),"abcdefg1")</f>
        <v>abcdefg1</v>
      </c>
      <c r="CG154" s="16"/>
      <c r="CH154" s="10" t="str">
        <f>IFERROR(__xludf.DUMMYFUNCTION("FILTER(K154:T154,len(K154:T154)=6)"),"egafdc")</f>
        <v>egafdc</v>
      </c>
      <c r="CI154" s="6" t="str">
        <f>IFERROR(__xludf.DUMMYFUNCTION("""COMPUTED_VALUE"""),"gecafb")</f>
        <v>gecafb</v>
      </c>
      <c r="CJ154" s="6" t="str">
        <f>IFERROR(__xludf.DUMMYFUNCTION("""COMPUTED_VALUE"""),"fagcbd")</f>
        <v>fagcbd</v>
      </c>
      <c r="CK154" s="6" t="str">
        <f>IFERROR(__xludf.DUMMYFUNCTION("REGEXREPLACE( $BG154, CONCATENATE(""["",CH154,""]""), """")"),"")</f>
        <v/>
      </c>
      <c r="CL154" s="6" t="str">
        <f>IFERROR(__xludf.DUMMYFUNCTION("REGEXREPLACE( $BG154, CONCATENATE(""["",CI154,""]""), """")"),"d")</f>
        <v>d</v>
      </c>
      <c r="CM154" s="6" t="str">
        <f>IFERROR(__xludf.DUMMYFUNCTION("REGEXREPLACE( $BG154, CONCATENATE(""["",CJ154,""]""), """")"),"e")</f>
        <v>e</v>
      </c>
      <c r="CN154" s="12" t="str">
        <f t="shared" si="12"/>
        <v>egafdc</v>
      </c>
      <c r="CO154" s="12" t="str">
        <f>IFERROR(__xludf.DUMMYFUNCTION("CONCATENATE(SORT(TRANSPOSE(SPLIT(REGEXREPLACE(REGEXREPLACE(CN154&amp;"""",""(?s)(.{1})"",""$1""&amp;CHAR(127)),""'"",""''""),CHAR(127))),1,true),""1"")"),"acdefg1")</f>
        <v>acdefg1</v>
      </c>
      <c r="CP154" s="15"/>
    </row>
    <row r="155">
      <c r="A155" s="1" t="s">
        <v>175</v>
      </c>
      <c r="H155" s="6" t="str">
        <f>IFERROR(__xludf.DUMMYFUNCTION("SPLIT(A155,""|"")"),"cagd dcfbg bfdec gd fcagb agedfcb bcgadf gbaefd efcagb fgd ")</f>
        <v>cagd dcfbg bfdec gd fcagb agedfcb bcgadf gbaefd efcagb fgd </v>
      </c>
      <c r="I155" s="6" t="str">
        <f>IFERROR(__xludf.DUMMYFUNCTION("""COMPUTED_VALUE""")," fcadgb gd abcgf cadg")</f>
        <v> fcadgb gd abcgf cadg</v>
      </c>
      <c r="J155" s="15"/>
      <c r="K155" s="6" t="str">
        <f>IFERROR(__xludf.DUMMYFUNCTION("split(H155,"" "")"),"cagd")</f>
        <v>cagd</v>
      </c>
      <c r="L155" s="6" t="str">
        <f>IFERROR(__xludf.DUMMYFUNCTION("""COMPUTED_VALUE"""),"dcfbg")</f>
        <v>dcfbg</v>
      </c>
      <c r="M155" s="6" t="str">
        <f>IFERROR(__xludf.DUMMYFUNCTION("""COMPUTED_VALUE"""),"bfdec")</f>
        <v>bfdec</v>
      </c>
      <c r="N155" s="6" t="str">
        <f>IFERROR(__xludf.DUMMYFUNCTION("""COMPUTED_VALUE"""),"gd")</f>
        <v>gd</v>
      </c>
      <c r="O155" s="6" t="str">
        <f>IFERROR(__xludf.DUMMYFUNCTION("""COMPUTED_VALUE"""),"fcagb")</f>
        <v>fcagb</v>
      </c>
      <c r="P155" s="6" t="str">
        <f>IFERROR(__xludf.DUMMYFUNCTION("""COMPUTED_VALUE"""),"agedfcb")</f>
        <v>agedfcb</v>
      </c>
      <c r="Q155" s="6" t="str">
        <f>IFERROR(__xludf.DUMMYFUNCTION("""COMPUTED_VALUE"""),"bcgadf")</f>
        <v>bcgadf</v>
      </c>
      <c r="R155" s="6" t="str">
        <f>IFERROR(__xludf.DUMMYFUNCTION("""COMPUTED_VALUE"""),"gbaefd")</f>
        <v>gbaefd</v>
      </c>
      <c r="S155" s="6" t="str">
        <f>IFERROR(__xludf.DUMMYFUNCTION("""COMPUTED_VALUE"""),"efcagb")</f>
        <v>efcagb</v>
      </c>
      <c r="T155" s="6" t="str">
        <f>IFERROR(__xludf.DUMMYFUNCTION("""COMPUTED_VALUE"""),"fgd")</f>
        <v>fgd</v>
      </c>
      <c r="U155" s="15"/>
      <c r="V155" s="6" t="str">
        <f>IFERROR(__xludf.DUMMYFUNCTION("split(I155,"" "")"),"fcadgb")</f>
        <v>fcadgb</v>
      </c>
      <c r="W155" s="6" t="str">
        <f>IFERROR(__xludf.DUMMYFUNCTION("""COMPUTED_VALUE"""),"gd")</f>
        <v>gd</v>
      </c>
      <c r="X155" s="6" t="str">
        <f>IFERROR(__xludf.DUMMYFUNCTION("""COMPUTED_VALUE"""),"abcgf")</f>
        <v>abcgf</v>
      </c>
      <c r="Y155" s="6" t="str">
        <f>IFERROR(__xludf.DUMMYFUNCTION("""COMPUTED_VALUE"""),"cadg")</f>
        <v>cadg</v>
      </c>
      <c r="Z155" s="6" t="str">
        <f>IFERROR(__xludf.DUMMYFUNCTION("CONCATENATE(SORT(TRANSPOSE(SPLIT(REGEXREPLACE(REGEXREPLACE(V155&amp;"""",""(?s)(.{1})"",""$1""&amp;CHAR(127)),""'"",""''""),CHAR(127))),1,true))"),"abcdfg")</f>
        <v>abcdfg</v>
      </c>
      <c r="AA155" s="6" t="str">
        <f>IFERROR(__xludf.DUMMYFUNCTION("CONCATENATE(SORT(TRANSPOSE(SPLIT(REGEXREPLACE(REGEXREPLACE(W155&amp;"""",""(?s)(.{1})"",""$1""&amp;CHAR(127)),""'"",""''""),CHAR(127))),1,true))"),"dg")</f>
        <v>dg</v>
      </c>
      <c r="AB155" s="6" t="str">
        <f>IFERROR(__xludf.DUMMYFUNCTION("CONCATENATE(SORT(TRANSPOSE(SPLIT(REGEXREPLACE(REGEXREPLACE(X155&amp;"""",""(?s)(.{1})"",""$1""&amp;CHAR(127)),""'"",""''""),CHAR(127))),1,true))"),"abcfg")</f>
        <v>abcfg</v>
      </c>
      <c r="AC155" s="6" t="str">
        <f>IFERROR(__xludf.DUMMYFUNCTION("CONCATENATE(SORT(TRANSPOSE(SPLIT(REGEXREPLACE(REGEXREPLACE(Y155&amp;"""",""(?s)(.{1})"",""$1""&amp;CHAR(127)),""'"",""''""),CHAR(127))),1,true))"),"acdg")</f>
        <v>acdg</v>
      </c>
      <c r="AD155" s="6">
        <f t="shared" ref="AD155:AG155" si="165">INDEX($AO$1:$CP$1,1,MATCH(CONCATENATE(Z155,"1"),$AO155:$CP155,0)+1)</f>
        <v>9</v>
      </c>
      <c r="AE155" s="6">
        <f t="shared" si="165"/>
        <v>1</v>
      </c>
      <c r="AF155" s="6">
        <f t="shared" si="165"/>
        <v>5</v>
      </c>
      <c r="AG155" s="6">
        <f t="shared" si="165"/>
        <v>4</v>
      </c>
      <c r="AH155" s="6">
        <f t="shared" si="3"/>
        <v>9154</v>
      </c>
      <c r="AI155" s="16"/>
      <c r="AJ155" s="9" t="str">
        <f>IFERROR(__xludf.DUMMYFUNCTION("REGEXREPLACE(AR155,CONCATENATE(""["",BY155,""]""),"""")"),"d")</f>
        <v>d</v>
      </c>
      <c r="AK155" s="10" t="str">
        <f>IFERROR(__xludf.DUMMYFUNCTION("FILTER($K155:$T155,len($K155:$T155)=6,NOT($K155:$T155=BY155))"),"bcgadf")</f>
        <v>bcgadf</v>
      </c>
      <c r="AL155" s="6" t="str">
        <f>IFERROR(__xludf.DUMMYFUNCTION("""COMPUTED_VALUE"""),"gbaefd")</f>
        <v>gbaefd</v>
      </c>
      <c r="AM155" s="6" t="str">
        <f>IFERROR(__xludf.DUMMYFUNCTION("REGEXREPLACE( $BG155, CONCATENATE(""["",AK155,""]""), """")"),"")</f>
        <v/>
      </c>
      <c r="AN155" s="6" t="str">
        <f>IFERROR(__xludf.DUMMYFUNCTION("REGEXREPLACE( $BG155, CONCATENATE(""["",AL155,""]""), """")"),"c")</f>
        <v>c</v>
      </c>
      <c r="AO155" s="11" t="str">
        <f t="shared" si="4"/>
        <v>gbaefd</v>
      </c>
      <c r="AP155" s="12" t="str">
        <f>IFERROR(__xludf.DUMMYFUNCTION("CONCATENATE(SORT(TRANSPOSE(SPLIT(REGEXREPLACE(REGEXREPLACE(AO155&amp;"""",""(?s)(.{1})"",""$1""&amp;CHAR(127)),""'"",""''""),CHAR(127))),1,true),""1"")"),"abdefg1")</f>
        <v>abdefg1</v>
      </c>
      <c r="AQ155" s="16"/>
      <c r="AR155" s="12" t="str">
        <f t="shared" si="5"/>
        <v>gd</v>
      </c>
      <c r="AS155" s="12" t="str">
        <f>IFERROR(__xludf.DUMMYFUNCTION("CONCATENATE(SORT(TRANSPOSE(SPLIT(REGEXREPLACE(REGEXREPLACE(AR155&amp;"""",""(?s)(.{1})"",""$1""&amp;CHAR(127)),""'"",""''""),CHAR(127))),1,true),""1"")"),"dg1")</f>
        <v>dg1</v>
      </c>
      <c r="AT155" s="16"/>
      <c r="AU155" s="13" t="str">
        <f>IFERROR(__xludf.DUMMYFUNCTION("FILTER($K155:$T155,len($K155:$T155)=5,NOT($K155:$T155=BD155),NOT($K155:$T155=BP155))"),"bfdec")</f>
        <v>bfdec</v>
      </c>
      <c r="AV155" s="12" t="str">
        <f>IFERROR(__xludf.DUMMYFUNCTION("CONCATENATE(SORT(TRANSPOSE(SPLIT(REGEXREPLACE(REGEXREPLACE(AU155&amp;"""",""(?s)(.{1})"",""$1""&amp;CHAR(127)),""'"",""''""),CHAR(127))),1,true),""1"")"),"bcdef1")</f>
        <v>bcdef1</v>
      </c>
      <c r="AW155" s="16"/>
      <c r="AX155" s="10" t="str">
        <f>IFERROR(__xludf.DUMMYFUNCTION("FILTER($K155:$T155,len($K155:$T155)=5)"),"dcfbg")</f>
        <v>dcfbg</v>
      </c>
      <c r="AY155" s="6" t="str">
        <f>IFERROR(__xludf.DUMMYFUNCTION("""COMPUTED_VALUE"""),"bfdec")</f>
        <v>bfdec</v>
      </c>
      <c r="AZ155" s="6" t="str">
        <f>IFERROR(__xludf.DUMMYFUNCTION("""COMPUTED_VALUE"""),"fcagb")</f>
        <v>fcagb</v>
      </c>
      <c r="BA155" s="6" t="str">
        <f>IFERROR(__xludf.DUMMYFUNCTION("REGEXREPLACE( $AR155, CONCATENATE(""["",AX155,""]""), """")"),"")</f>
        <v/>
      </c>
      <c r="BB155" s="6" t="str">
        <f>IFERROR(__xludf.DUMMYFUNCTION("REGEXREPLACE( $AR155, CONCATENATE(""["",AY155,""]""), """")"),"g")</f>
        <v>g</v>
      </c>
      <c r="BC155" s="6" t="str">
        <f>IFERROR(__xludf.DUMMYFUNCTION("REGEXREPLACE( $AR155, CONCATENATE(""["",AZ155,""]""), """")"),"d")</f>
        <v>d</v>
      </c>
      <c r="BD155" s="11" t="str">
        <f t="shared" si="6"/>
        <v>dcfbg</v>
      </c>
      <c r="BE155" s="12" t="str">
        <f>IFERROR(__xludf.DUMMYFUNCTION("CONCATENATE(SORT(TRANSPOSE(SPLIT(REGEXREPLACE(REGEXREPLACE(BD155&amp;"""",""(?s)(.{1})"",""$1""&amp;CHAR(127)),""'"",""''""),CHAR(127))),1,true),""1"")"),"bcdfg1")</f>
        <v>bcdfg1</v>
      </c>
      <c r="BF155" s="16"/>
      <c r="BG155" s="12" t="str">
        <f t="shared" si="7"/>
        <v>cagd</v>
      </c>
      <c r="BH155" s="12" t="str">
        <f>IFERROR(__xludf.DUMMYFUNCTION("CONCATENATE(SORT(TRANSPOSE(SPLIT(REGEXREPLACE(REGEXREPLACE(BG155&amp;"""",""(?s)(.{1})"",""$1""&amp;CHAR(127)),""'"",""''""),CHAR(127))),1,true),""1"")"),"acdg1")</f>
        <v>acdg1</v>
      </c>
      <c r="BI155" s="16"/>
      <c r="BJ155" s="10" t="str">
        <f>IFERROR(__xludf.DUMMYFUNCTION("FILTER($K155:$T155,len($K155:$T155)=5)"),"dcfbg")</f>
        <v>dcfbg</v>
      </c>
      <c r="BK155" s="6" t="str">
        <f>IFERROR(__xludf.DUMMYFUNCTION("""COMPUTED_VALUE"""),"bfdec")</f>
        <v>bfdec</v>
      </c>
      <c r="BL155" s="6" t="str">
        <f>IFERROR(__xludf.DUMMYFUNCTION("""COMPUTED_VALUE"""),"fcagb")</f>
        <v>fcagb</v>
      </c>
      <c r="BM155" s="14" t="str">
        <f>IFERROR(__xludf.DUMMYFUNCTION("REGEXREPLACE( $BY155, CONCATENATE(""["",BJ155,""]""), """")"),"ea")</f>
        <v>ea</v>
      </c>
      <c r="BN155" s="14" t="str">
        <f>IFERROR(__xludf.DUMMYFUNCTION("REGEXREPLACE( $BY155, CONCATENATE(""["",BK155,""]""), """")"),"ag")</f>
        <v>ag</v>
      </c>
      <c r="BO155" s="14" t="str">
        <f>IFERROR(__xludf.DUMMYFUNCTION("REGEXREPLACE( $BY155, CONCATENATE(""["",BL155,""]""), """")"),"e")</f>
        <v>e</v>
      </c>
      <c r="BP155" s="11" t="str">
        <f t="shared" si="8"/>
        <v>fcagb</v>
      </c>
      <c r="BQ155" s="12" t="str">
        <f>IFERROR(__xludf.DUMMYFUNCTION("CONCATENATE(SORT(TRANSPOSE(SPLIT(REGEXREPLACE(REGEXREPLACE(BP155&amp;"""",""(?s)(.{1})"",""$1""&amp;CHAR(127)),""'"",""''""),CHAR(127))),1,true),""1"")"),"abcfg1")</f>
        <v>abcfg1</v>
      </c>
      <c r="BR155" s="16"/>
      <c r="BS155" s="10" t="str">
        <f>IFERROR(__xludf.DUMMYFUNCTION("FILTER(K155:T155,len(K155:T155)=6)"),"bcgadf")</f>
        <v>bcgadf</v>
      </c>
      <c r="BT155" s="6" t="str">
        <f>IFERROR(__xludf.DUMMYFUNCTION("""COMPUTED_VALUE"""),"gbaefd")</f>
        <v>gbaefd</v>
      </c>
      <c r="BU155" s="6" t="str">
        <f>IFERROR(__xludf.DUMMYFUNCTION("""COMPUTED_VALUE"""),"efcagb")</f>
        <v>efcagb</v>
      </c>
      <c r="BV155" s="6" t="str">
        <f>IFERROR(__xludf.DUMMYFUNCTION("REGEXREPLACE( $AR155, CONCATENATE(""["",BS155,""]""), """")"),"")</f>
        <v/>
      </c>
      <c r="BW155" s="6" t="str">
        <f>IFERROR(__xludf.DUMMYFUNCTION("REGEXREPLACE( $AR155, CONCATENATE(""["",BT155,""]""), """")"),"")</f>
        <v/>
      </c>
      <c r="BX155" s="6" t="str">
        <f>IFERROR(__xludf.DUMMYFUNCTION("REGEXREPLACE( $AR155, CONCATENATE(""["",BU155,""]""), """")"),"d")</f>
        <v>d</v>
      </c>
      <c r="BY155" s="12" t="str">
        <f t="shared" si="9"/>
        <v>efcagb</v>
      </c>
      <c r="BZ155" s="12" t="str">
        <f>IFERROR(__xludf.DUMMYFUNCTION("CONCATENATE(SORT(TRANSPOSE(SPLIT(REGEXREPLACE(REGEXREPLACE(BY155&amp;"""",""(?s)(.{1})"",""$1""&amp;CHAR(127)),""'"",""''""),CHAR(127))),1,true),""1"")"),"abcefg1")</f>
        <v>abcefg1</v>
      </c>
      <c r="CA155" s="16"/>
      <c r="CB155" s="12" t="str">
        <f t="shared" si="10"/>
        <v>fgd</v>
      </c>
      <c r="CC155" s="12" t="str">
        <f>IFERROR(__xludf.DUMMYFUNCTION("CONCATENATE(SORT(TRANSPOSE(SPLIT(REGEXREPLACE(REGEXREPLACE(CB155&amp;"""",""(?s)(.{1})"",""$1""&amp;CHAR(127)),""'"",""''""),CHAR(127))),1,true),""1"")"),"dfg1")</f>
        <v>dfg1</v>
      </c>
      <c r="CD155" s="16"/>
      <c r="CE155" s="12" t="str">
        <f t="shared" si="11"/>
        <v>agedfcb</v>
      </c>
      <c r="CF155" s="12" t="str">
        <f>IFERROR(__xludf.DUMMYFUNCTION("CONCATENATE(SORT(TRANSPOSE(SPLIT(REGEXREPLACE(REGEXREPLACE(CE155&amp;"""",""(?s)(.{1})"",""$1""&amp;CHAR(127)),""'"",""''""),CHAR(127))),1,true),""1"")"),"abcdefg1")</f>
        <v>abcdefg1</v>
      </c>
      <c r="CG155" s="16"/>
      <c r="CH155" s="10" t="str">
        <f>IFERROR(__xludf.DUMMYFUNCTION("FILTER(K155:T155,len(K155:T155)=6)"),"bcgadf")</f>
        <v>bcgadf</v>
      </c>
      <c r="CI155" s="6" t="str">
        <f>IFERROR(__xludf.DUMMYFUNCTION("""COMPUTED_VALUE"""),"gbaefd")</f>
        <v>gbaefd</v>
      </c>
      <c r="CJ155" s="6" t="str">
        <f>IFERROR(__xludf.DUMMYFUNCTION("""COMPUTED_VALUE"""),"efcagb")</f>
        <v>efcagb</v>
      </c>
      <c r="CK155" s="6" t="str">
        <f>IFERROR(__xludf.DUMMYFUNCTION("REGEXREPLACE( $BG155, CONCATENATE(""["",CH155,""]""), """")"),"")</f>
        <v/>
      </c>
      <c r="CL155" s="6" t="str">
        <f>IFERROR(__xludf.DUMMYFUNCTION("REGEXREPLACE( $BG155, CONCATENATE(""["",CI155,""]""), """")"),"c")</f>
        <v>c</v>
      </c>
      <c r="CM155" s="6" t="str">
        <f>IFERROR(__xludf.DUMMYFUNCTION("REGEXREPLACE( $BG155, CONCATENATE(""["",CJ155,""]""), """")"),"d")</f>
        <v>d</v>
      </c>
      <c r="CN155" s="12" t="str">
        <f t="shared" si="12"/>
        <v>bcgadf</v>
      </c>
      <c r="CO155" s="12" t="str">
        <f>IFERROR(__xludf.DUMMYFUNCTION("CONCATENATE(SORT(TRANSPOSE(SPLIT(REGEXREPLACE(REGEXREPLACE(CN155&amp;"""",""(?s)(.{1})"",""$1""&amp;CHAR(127)),""'"",""''""),CHAR(127))),1,true),""1"")"),"abcdfg1")</f>
        <v>abcdfg1</v>
      </c>
      <c r="CP155" s="15"/>
    </row>
    <row r="156">
      <c r="A156" s="1" t="s">
        <v>176</v>
      </c>
      <c r="H156" s="6" t="str">
        <f>IFERROR(__xludf.DUMMYFUNCTION("SPLIT(A156,""|"")"),"adbfc bcafe cd fadgeb gcfd gbfad gadecb dca ebfgdca acbfgd ")</f>
        <v>adbfc bcafe cd fadgeb gcfd gbfad gadecb dca ebfgdca acbfgd </v>
      </c>
      <c r="I156" s="6" t="str">
        <f>IFERROR(__xludf.DUMMYFUNCTION("""COMPUTED_VALUE""")," acbdfg dgcf bfcagd dagfb")</f>
        <v> acbdfg dgcf bfcagd dagfb</v>
      </c>
      <c r="J156" s="15"/>
      <c r="K156" s="6" t="str">
        <f>IFERROR(__xludf.DUMMYFUNCTION("split(H156,"" "")"),"adbfc")</f>
        <v>adbfc</v>
      </c>
      <c r="L156" s="6" t="str">
        <f>IFERROR(__xludf.DUMMYFUNCTION("""COMPUTED_VALUE"""),"bcafe")</f>
        <v>bcafe</v>
      </c>
      <c r="M156" s="6" t="str">
        <f>IFERROR(__xludf.DUMMYFUNCTION("""COMPUTED_VALUE"""),"cd")</f>
        <v>cd</v>
      </c>
      <c r="N156" s="6" t="str">
        <f>IFERROR(__xludf.DUMMYFUNCTION("""COMPUTED_VALUE"""),"fadgeb")</f>
        <v>fadgeb</v>
      </c>
      <c r="O156" s="6" t="str">
        <f>IFERROR(__xludf.DUMMYFUNCTION("""COMPUTED_VALUE"""),"gcfd")</f>
        <v>gcfd</v>
      </c>
      <c r="P156" s="6" t="str">
        <f>IFERROR(__xludf.DUMMYFUNCTION("""COMPUTED_VALUE"""),"gbfad")</f>
        <v>gbfad</v>
      </c>
      <c r="Q156" s="6" t="str">
        <f>IFERROR(__xludf.DUMMYFUNCTION("""COMPUTED_VALUE"""),"gadecb")</f>
        <v>gadecb</v>
      </c>
      <c r="R156" s="6" t="str">
        <f>IFERROR(__xludf.DUMMYFUNCTION("""COMPUTED_VALUE"""),"dca")</f>
        <v>dca</v>
      </c>
      <c r="S156" s="6" t="str">
        <f>IFERROR(__xludf.DUMMYFUNCTION("""COMPUTED_VALUE"""),"ebfgdca")</f>
        <v>ebfgdca</v>
      </c>
      <c r="T156" s="6" t="str">
        <f>IFERROR(__xludf.DUMMYFUNCTION("""COMPUTED_VALUE"""),"acbfgd")</f>
        <v>acbfgd</v>
      </c>
      <c r="U156" s="15"/>
      <c r="V156" s="6" t="str">
        <f>IFERROR(__xludf.DUMMYFUNCTION("split(I156,"" "")"),"acbdfg")</f>
        <v>acbdfg</v>
      </c>
      <c r="W156" s="6" t="str">
        <f>IFERROR(__xludf.DUMMYFUNCTION("""COMPUTED_VALUE"""),"dgcf")</f>
        <v>dgcf</v>
      </c>
      <c r="X156" s="6" t="str">
        <f>IFERROR(__xludf.DUMMYFUNCTION("""COMPUTED_VALUE"""),"bfcagd")</f>
        <v>bfcagd</v>
      </c>
      <c r="Y156" s="6" t="str">
        <f>IFERROR(__xludf.DUMMYFUNCTION("""COMPUTED_VALUE"""),"dagfb")</f>
        <v>dagfb</v>
      </c>
      <c r="Z156" s="6" t="str">
        <f>IFERROR(__xludf.DUMMYFUNCTION("CONCATENATE(SORT(TRANSPOSE(SPLIT(REGEXREPLACE(REGEXREPLACE(V156&amp;"""",""(?s)(.{1})"",""$1""&amp;CHAR(127)),""'"",""''""),CHAR(127))),1,true))"),"abcdfg")</f>
        <v>abcdfg</v>
      </c>
      <c r="AA156" s="6" t="str">
        <f>IFERROR(__xludf.DUMMYFUNCTION("CONCATENATE(SORT(TRANSPOSE(SPLIT(REGEXREPLACE(REGEXREPLACE(W156&amp;"""",""(?s)(.{1})"",""$1""&amp;CHAR(127)),""'"",""''""),CHAR(127))),1,true))"),"cdfg")</f>
        <v>cdfg</v>
      </c>
      <c r="AB156" s="6" t="str">
        <f>IFERROR(__xludf.DUMMYFUNCTION("CONCATENATE(SORT(TRANSPOSE(SPLIT(REGEXREPLACE(REGEXREPLACE(X156&amp;"""",""(?s)(.{1})"",""$1""&amp;CHAR(127)),""'"",""''""),CHAR(127))),1,true))"),"abcdfg")</f>
        <v>abcdfg</v>
      </c>
      <c r="AC156" s="6" t="str">
        <f>IFERROR(__xludf.DUMMYFUNCTION("CONCATENATE(SORT(TRANSPOSE(SPLIT(REGEXREPLACE(REGEXREPLACE(Y156&amp;"""",""(?s)(.{1})"",""$1""&amp;CHAR(127)),""'"",""''""),CHAR(127))),1,true))"),"abdfg")</f>
        <v>abdfg</v>
      </c>
      <c r="AD156" s="6">
        <f t="shared" ref="AD156:AG156" si="166">INDEX($AO$1:$CP$1,1,MATCH(CONCATENATE(Z156,"1"),$AO156:$CP156,0)+1)</f>
        <v>9</v>
      </c>
      <c r="AE156" s="6">
        <f t="shared" si="166"/>
        <v>4</v>
      </c>
      <c r="AF156" s="6">
        <f t="shared" si="166"/>
        <v>9</v>
      </c>
      <c r="AG156" s="6">
        <f t="shared" si="166"/>
        <v>5</v>
      </c>
      <c r="AH156" s="6">
        <f t="shared" si="3"/>
        <v>9495</v>
      </c>
      <c r="AI156" s="16"/>
      <c r="AJ156" s="9" t="str">
        <f>IFERROR(__xludf.DUMMYFUNCTION("REGEXREPLACE(AR156,CONCATENATE(""["",BY156,""]""),"""")"),"c")</f>
        <v>c</v>
      </c>
      <c r="AK156" s="10" t="str">
        <f>IFERROR(__xludf.DUMMYFUNCTION("FILTER($K156:$T156,len($K156:$T156)=6,NOT($K156:$T156=BY156))"),"gadecb")</f>
        <v>gadecb</v>
      </c>
      <c r="AL156" s="6" t="str">
        <f>IFERROR(__xludf.DUMMYFUNCTION("""COMPUTED_VALUE"""),"acbfgd")</f>
        <v>acbfgd</v>
      </c>
      <c r="AM156" s="6" t="str">
        <f>IFERROR(__xludf.DUMMYFUNCTION("REGEXREPLACE( $BG156, CONCATENATE(""["",AK156,""]""), """")"),"f")</f>
        <v>f</v>
      </c>
      <c r="AN156" s="6" t="str">
        <f>IFERROR(__xludf.DUMMYFUNCTION("REGEXREPLACE( $BG156, CONCATENATE(""["",AL156,""]""), """")"),"")</f>
        <v/>
      </c>
      <c r="AO156" s="11" t="str">
        <f t="shared" si="4"/>
        <v>gadecb</v>
      </c>
      <c r="AP156" s="12" t="str">
        <f>IFERROR(__xludf.DUMMYFUNCTION("CONCATENATE(SORT(TRANSPOSE(SPLIT(REGEXREPLACE(REGEXREPLACE(AO156&amp;"""",""(?s)(.{1})"",""$1""&amp;CHAR(127)),""'"",""''""),CHAR(127))),1,true),""1"")"),"abcdeg1")</f>
        <v>abcdeg1</v>
      </c>
      <c r="AQ156" s="16"/>
      <c r="AR156" s="12" t="str">
        <f t="shared" si="5"/>
        <v>cd</v>
      </c>
      <c r="AS156" s="12" t="str">
        <f>IFERROR(__xludf.DUMMYFUNCTION("CONCATENATE(SORT(TRANSPOSE(SPLIT(REGEXREPLACE(REGEXREPLACE(AR156&amp;"""",""(?s)(.{1})"",""$1""&amp;CHAR(127)),""'"",""''""),CHAR(127))),1,true),""1"")"),"cd1")</f>
        <v>cd1</v>
      </c>
      <c r="AT156" s="16"/>
      <c r="AU156" s="13" t="str">
        <f>IFERROR(__xludf.DUMMYFUNCTION("FILTER($K156:$T156,len($K156:$T156)=5,NOT($K156:$T156=BD156),NOT($K156:$T156=BP156))"),"bcafe")</f>
        <v>bcafe</v>
      </c>
      <c r="AV156" s="12" t="str">
        <f>IFERROR(__xludf.DUMMYFUNCTION("CONCATENATE(SORT(TRANSPOSE(SPLIT(REGEXREPLACE(REGEXREPLACE(AU156&amp;"""",""(?s)(.{1})"",""$1""&amp;CHAR(127)),""'"",""''""),CHAR(127))),1,true),""1"")"),"abcef1")</f>
        <v>abcef1</v>
      </c>
      <c r="AW156" s="16"/>
      <c r="AX156" s="10" t="str">
        <f>IFERROR(__xludf.DUMMYFUNCTION("FILTER($K156:$T156,len($K156:$T156)=5)"),"adbfc")</f>
        <v>adbfc</v>
      </c>
      <c r="AY156" s="6" t="str">
        <f>IFERROR(__xludf.DUMMYFUNCTION("""COMPUTED_VALUE"""),"bcafe")</f>
        <v>bcafe</v>
      </c>
      <c r="AZ156" s="6" t="str">
        <f>IFERROR(__xludf.DUMMYFUNCTION("""COMPUTED_VALUE"""),"gbfad")</f>
        <v>gbfad</v>
      </c>
      <c r="BA156" s="6" t="str">
        <f>IFERROR(__xludf.DUMMYFUNCTION("REGEXREPLACE( $AR156, CONCATENATE(""["",AX156,""]""), """")"),"")</f>
        <v/>
      </c>
      <c r="BB156" s="6" t="str">
        <f>IFERROR(__xludf.DUMMYFUNCTION("REGEXREPLACE( $AR156, CONCATENATE(""["",AY156,""]""), """")"),"d")</f>
        <v>d</v>
      </c>
      <c r="BC156" s="6" t="str">
        <f>IFERROR(__xludf.DUMMYFUNCTION("REGEXREPLACE( $AR156, CONCATENATE(""["",AZ156,""]""), """")"),"c")</f>
        <v>c</v>
      </c>
      <c r="BD156" s="11" t="str">
        <f t="shared" si="6"/>
        <v>adbfc</v>
      </c>
      <c r="BE156" s="12" t="str">
        <f>IFERROR(__xludf.DUMMYFUNCTION("CONCATENATE(SORT(TRANSPOSE(SPLIT(REGEXREPLACE(REGEXREPLACE(BD156&amp;"""",""(?s)(.{1})"",""$1""&amp;CHAR(127)),""'"",""''""),CHAR(127))),1,true),""1"")"),"abcdf1")</f>
        <v>abcdf1</v>
      </c>
      <c r="BF156" s="16"/>
      <c r="BG156" s="12" t="str">
        <f t="shared" si="7"/>
        <v>gcfd</v>
      </c>
      <c r="BH156" s="12" t="str">
        <f>IFERROR(__xludf.DUMMYFUNCTION("CONCATENATE(SORT(TRANSPOSE(SPLIT(REGEXREPLACE(REGEXREPLACE(BG156&amp;"""",""(?s)(.{1})"",""$1""&amp;CHAR(127)),""'"",""''""),CHAR(127))),1,true),""1"")"),"cdfg1")</f>
        <v>cdfg1</v>
      </c>
      <c r="BI156" s="16"/>
      <c r="BJ156" s="10" t="str">
        <f>IFERROR(__xludf.DUMMYFUNCTION("FILTER($K156:$T156,len($K156:$T156)=5)"),"adbfc")</f>
        <v>adbfc</v>
      </c>
      <c r="BK156" s="6" t="str">
        <f>IFERROR(__xludf.DUMMYFUNCTION("""COMPUTED_VALUE"""),"bcafe")</f>
        <v>bcafe</v>
      </c>
      <c r="BL156" s="6" t="str">
        <f>IFERROR(__xludf.DUMMYFUNCTION("""COMPUTED_VALUE"""),"gbfad")</f>
        <v>gbfad</v>
      </c>
      <c r="BM156" s="14" t="str">
        <f>IFERROR(__xludf.DUMMYFUNCTION("REGEXREPLACE( $BY156, CONCATENATE(""["",BJ156,""]""), """")"),"ge")</f>
        <v>ge</v>
      </c>
      <c r="BN156" s="14" t="str">
        <f>IFERROR(__xludf.DUMMYFUNCTION("REGEXREPLACE( $BY156, CONCATENATE(""["",BK156,""]""), """")"),"dg")</f>
        <v>dg</v>
      </c>
      <c r="BO156" s="14" t="str">
        <f>IFERROR(__xludf.DUMMYFUNCTION("REGEXREPLACE( $BY156, CONCATENATE(""["",BL156,""]""), """")"),"e")</f>
        <v>e</v>
      </c>
      <c r="BP156" s="11" t="str">
        <f t="shared" si="8"/>
        <v>gbfad</v>
      </c>
      <c r="BQ156" s="12" t="str">
        <f>IFERROR(__xludf.DUMMYFUNCTION("CONCATENATE(SORT(TRANSPOSE(SPLIT(REGEXREPLACE(REGEXREPLACE(BP156&amp;"""",""(?s)(.{1})"",""$1""&amp;CHAR(127)),""'"",""''""),CHAR(127))),1,true),""1"")"),"abdfg1")</f>
        <v>abdfg1</v>
      </c>
      <c r="BR156" s="16"/>
      <c r="BS156" s="10" t="str">
        <f>IFERROR(__xludf.DUMMYFUNCTION("FILTER(K156:T156,len(K156:T156)=6)"),"fadgeb")</f>
        <v>fadgeb</v>
      </c>
      <c r="BT156" s="6" t="str">
        <f>IFERROR(__xludf.DUMMYFUNCTION("""COMPUTED_VALUE"""),"gadecb")</f>
        <v>gadecb</v>
      </c>
      <c r="BU156" s="6" t="str">
        <f>IFERROR(__xludf.DUMMYFUNCTION("""COMPUTED_VALUE"""),"acbfgd")</f>
        <v>acbfgd</v>
      </c>
      <c r="BV156" s="6" t="str">
        <f>IFERROR(__xludf.DUMMYFUNCTION("REGEXREPLACE( $AR156, CONCATENATE(""["",BS156,""]""), """")"),"c")</f>
        <v>c</v>
      </c>
      <c r="BW156" s="6" t="str">
        <f>IFERROR(__xludf.DUMMYFUNCTION("REGEXREPLACE( $AR156, CONCATENATE(""["",BT156,""]""), """")"),"")</f>
        <v/>
      </c>
      <c r="BX156" s="6" t="str">
        <f>IFERROR(__xludf.DUMMYFUNCTION("REGEXREPLACE( $AR156, CONCATENATE(""["",BU156,""]""), """")"),"")</f>
        <v/>
      </c>
      <c r="BY156" s="12" t="str">
        <f t="shared" si="9"/>
        <v>fadgeb</v>
      </c>
      <c r="BZ156" s="12" t="str">
        <f>IFERROR(__xludf.DUMMYFUNCTION("CONCATENATE(SORT(TRANSPOSE(SPLIT(REGEXREPLACE(REGEXREPLACE(BY156&amp;"""",""(?s)(.{1})"",""$1""&amp;CHAR(127)),""'"",""''""),CHAR(127))),1,true),""1"")"),"abdefg1")</f>
        <v>abdefg1</v>
      </c>
      <c r="CA156" s="16"/>
      <c r="CB156" s="12" t="str">
        <f t="shared" si="10"/>
        <v>dca</v>
      </c>
      <c r="CC156" s="12" t="str">
        <f>IFERROR(__xludf.DUMMYFUNCTION("CONCATENATE(SORT(TRANSPOSE(SPLIT(REGEXREPLACE(REGEXREPLACE(CB156&amp;"""",""(?s)(.{1})"",""$1""&amp;CHAR(127)),""'"",""''""),CHAR(127))),1,true),""1"")"),"acd1")</f>
        <v>acd1</v>
      </c>
      <c r="CD156" s="16"/>
      <c r="CE156" s="12" t="str">
        <f t="shared" si="11"/>
        <v>ebfgdca</v>
      </c>
      <c r="CF156" s="12" t="str">
        <f>IFERROR(__xludf.DUMMYFUNCTION("CONCATENATE(SORT(TRANSPOSE(SPLIT(REGEXREPLACE(REGEXREPLACE(CE156&amp;"""",""(?s)(.{1})"",""$1""&amp;CHAR(127)),""'"",""''""),CHAR(127))),1,true),""1"")"),"abcdefg1")</f>
        <v>abcdefg1</v>
      </c>
      <c r="CG156" s="16"/>
      <c r="CH156" s="10" t="str">
        <f>IFERROR(__xludf.DUMMYFUNCTION("FILTER(K156:T156,len(K156:T156)=6)"),"fadgeb")</f>
        <v>fadgeb</v>
      </c>
      <c r="CI156" s="6" t="str">
        <f>IFERROR(__xludf.DUMMYFUNCTION("""COMPUTED_VALUE"""),"gadecb")</f>
        <v>gadecb</v>
      </c>
      <c r="CJ156" s="6" t="str">
        <f>IFERROR(__xludf.DUMMYFUNCTION("""COMPUTED_VALUE"""),"acbfgd")</f>
        <v>acbfgd</v>
      </c>
      <c r="CK156" s="6" t="str">
        <f>IFERROR(__xludf.DUMMYFUNCTION("REGEXREPLACE( $BG156, CONCATENATE(""["",CH156,""]""), """")"),"c")</f>
        <v>c</v>
      </c>
      <c r="CL156" s="6" t="str">
        <f>IFERROR(__xludf.DUMMYFUNCTION("REGEXREPLACE( $BG156, CONCATENATE(""["",CI156,""]""), """")"),"f")</f>
        <v>f</v>
      </c>
      <c r="CM156" s="6" t="str">
        <f>IFERROR(__xludf.DUMMYFUNCTION("REGEXREPLACE( $BG156, CONCATENATE(""["",CJ156,""]""), """")"),"")</f>
        <v/>
      </c>
      <c r="CN156" s="12" t="str">
        <f t="shared" si="12"/>
        <v>acbfgd</v>
      </c>
      <c r="CO156" s="12" t="str">
        <f>IFERROR(__xludf.DUMMYFUNCTION("CONCATENATE(SORT(TRANSPOSE(SPLIT(REGEXREPLACE(REGEXREPLACE(CN156&amp;"""",""(?s)(.{1})"",""$1""&amp;CHAR(127)),""'"",""''""),CHAR(127))),1,true),""1"")"),"abcdfg1")</f>
        <v>abcdfg1</v>
      </c>
      <c r="CP156" s="15"/>
    </row>
    <row r="157">
      <c r="A157" s="1" t="s">
        <v>177</v>
      </c>
      <c r="H157" s="6" t="str">
        <f>IFERROR(__xludf.DUMMYFUNCTION("SPLIT(A157,""|"")"),"fcaedb eb bdfgcea dcafgb dafbc bdeafg befac efb ecfga dbce ")</f>
        <v>fcaedb eb bdfgcea dcafgb dafbc bdeafg befac efb ecfga dbce </v>
      </c>
      <c r="I157" s="6" t="str">
        <f>IFERROR(__xludf.DUMMYFUNCTION("""COMPUTED_VALUE""")," fbcea eb cdbe eb")</f>
        <v> fbcea eb cdbe eb</v>
      </c>
      <c r="J157" s="15"/>
      <c r="K157" s="6" t="str">
        <f>IFERROR(__xludf.DUMMYFUNCTION("split(H157,"" "")"),"fcaedb")</f>
        <v>fcaedb</v>
      </c>
      <c r="L157" s="6" t="str">
        <f>IFERROR(__xludf.DUMMYFUNCTION("""COMPUTED_VALUE"""),"eb")</f>
        <v>eb</v>
      </c>
      <c r="M157" s="6" t="str">
        <f>IFERROR(__xludf.DUMMYFUNCTION("""COMPUTED_VALUE"""),"bdfgcea")</f>
        <v>bdfgcea</v>
      </c>
      <c r="N157" s="6" t="str">
        <f>IFERROR(__xludf.DUMMYFUNCTION("""COMPUTED_VALUE"""),"dcafgb")</f>
        <v>dcafgb</v>
      </c>
      <c r="O157" s="6" t="str">
        <f>IFERROR(__xludf.DUMMYFUNCTION("""COMPUTED_VALUE"""),"dafbc")</f>
        <v>dafbc</v>
      </c>
      <c r="P157" s="6" t="str">
        <f>IFERROR(__xludf.DUMMYFUNCTION("""COMPUTED_VALUE"""),"bdeafg")</f>
        <v>bdeafg</v>
      </c>
      <c r="Q157" s="6" t="str">
        <f>IFERROR(__xludf.DUMMYFUNCTION("""COMPUTED_VALUE"""),"befac")</f>
        <v>befac</v>
      </c>
      <c r="R157" s="6" t="str">
        <f>IFERROR(__xludf.DUMMYFUNCTION("""COMPUTED_VALUE"""),"efb")</f>
        <v>efb</v>
      </c>
      <c r="S157" s="6" t="str">
        <f>IFERROR(__xludf.DUMMYFUNCTION("""COMPUTED_VALUE"""),"ecfga")</f>
        <v>ecfga</v>
      </c>
      <c r="T157" s="6" t="str">
        <f>IFERROR(__xludf.DUMMYFUNCTION("""COMPUTED_VALUE"""),"dbce")</f>
        <v>dbce</v>
      </c>
      <c r="U157" s="15"/>
      <c r="V157" s="6" t="str">
        <f>IFERROR(__xludf.DUMMYFUNCTION("split(I157,"" "")"),"fbcea")</f>
        <v>fbcea</v>
      </c>
      <c r="W157" s="6" t="str">
        <f>IFERROR(__xludf.DUMMYFUNCTION("""COMPUTED_VALUE"""),"eb")</f>
        <v>eb</v>
      </c>
      <c r="X157" s="6" t="str">
        <f>IFERROR(__xludf.DUMMYFUNCTION("""COMPUTED_VALUE"""),"cdbe")</f>
        <v>cdbe</v>
      </c>
      <c r="Y157" s="6" t="str">
        <f>IFERROR(__xludf.DUMMYFUNCTION("""COMPUTED_VALUE"""),"eb")</f>
        <v>eb</v>
      </c>
      <c r="Z157" s="6" t="str">
        <f>IFERROR(__xludf.DUMMYFUNCTION("CONCATENATE(SORT(TRANSPOSE(SPLIT(REGEXREPLACE(REGEXREPLACE(V157&amp;"""",""(?s)(.{1})"",""$1""&amp;CHAR(127)),""'"",""''""),CHAR(127))),1,true))"),"abcef")</f>
        <v>abcef</v>
      </c>
      <c r="AA157" s="6" t="str">
        <f>IFERROR(__xludf.DUMMYFUNCTION("CONCATENATE(SORT(TRANSPOSE(SPLIT(REGEXREPLACE(REGEXREPLACE(W157&amp;"""",""(?s)(.{1})"",""$1""&amp;CHAR(127)),""'"",""''""),CHAR(127))),1,true))"),"be")</f>
        <v>be</v>
      </c>
      <c r="AB157" s="6" t="str">
        <f>IFERROR(__xludf.DUMMYFUNCTION("CONCATENATE(SORT(TRANSPOSE(SPLIT(REGEXREPLACE(REGEXREPLACE(X157&amp;"""",""(?s)(.{1})"",""$1""&amp;CHAR(127)),""'"",""''""),CHAR(127))),1,true))"),"bcde")</f>
        <v>bcde</v>
      </c>
      <c r="AC157" s="6" t="str">
        <f>IFERROR(__xludf.DUMMYFUNCTION("CONCATENATE(SORT(TRANSPOSE(SPLIT(REGEXREPLACE(REGEXREPLACE(Y157&amp;"""",""(?s)(.{1})"",""$1""&amp;CHAR(127)),""'"",""''""),CHAR(127))),1,true))"),"be")</f>
        <v>be</v>
      </c>
      <c r="AD157" s="6">
        <f t="shared" ref="AD157:AG157" si="167">INDEX($AO$1:$CP$1,1,MATCH(CONCATENATE(Z157,"1"),$AO157:$CP157,0)+1)</f>
        <v>3</v>
      </c>
      <c r="AE157" s="6">
        <f t="shared" si="167"/>
        <v>1</v>
      </c>
      <c r="AF157" s="6">
        <f t="shared" si="167"/>
        <v>4</v>
      </c>
      <c r="AG157" s="6">
        <f t="shared" si="167"/>
        <v>1</v>
      </c>
      <c r="AH157" s="6">
        <f t="shared" si="3"/>
        <v>3141</v>
      </c>
      <c r="AI157" s="16"/>
      <c r="AJ157" s="9" t="str">
        <f>IFERROR(__xludf.DUMMYFUNCTION("REGEXREPLACE(AR157,CONCATENATE(""["",BY157,""]""),"""")"),"e")</f>
        <v>e</v>
      </c>
      <c r="AK157" s="10" t="str">
        <f>IFERROR(__xludf.DUMMYFUNCTION("FILTER($K157:$T157,len($K157:$T157)=6,NOT($K157:$T157=BY157))"),"fcaedb")</f>
        <v>fcaedb</v>
      </c>
      <c r="AL157" s="6" t="str">
        <f>IFERROR(__xludf.DUMMYFUNCTION("""COMPUTED_VALUE"""),"bdeafg")</f>
        <v>bdeafg</v>
      </c>
      <c r="AM157" s="6" t="str">
        <f>IFERROR(__xludf.DUMMYFUNCTION("REGEXREPLACE( $BG157, CONCATENATE(""["",AK157,""]""), """")"),"")</f>
        <v/>
      </c>
      <c r="AN157" s="6" t="str">
        <f>IFERROR(__xludf.DUMMYFUNCTION("REGEXREPLACE( $BG157, CONCATENATE(""["",AL157,""]""), """")"),"c")</f>
        <v>c</v>
      </c>
      <c r="AO157" s="11" t="str">
        <f t="shared" si="4"/>
        <v>bdeafg</v>
      </c>
      <c r="AP157" s="12" t="str">
        <f>IFERROR(__xludf.DUMMYFUNCTION("CONCATENATE(SORT(TRANSPOSE(SPLIT(REGEXREPLACE(REGEXREPLACE(AO157&amp;"""",""(?s)(.{1})"",""$1""&amp;CHAR(127)),""'"",""''""),CHAR(127))),1,true),""1"")"),"abdefg1")</f>
        <v>abdefg1</v>
      </c>
      <c r="AQ157" s="16"/>
      <c r="AR157" s="12" t="str">
        <f t="shared" si="5"/>
        <v>eb</v>
      </c>
      <c r="AS157" s="12" t="str">
        <f>IFERROR(__xludf.DUMMYFUNCTION("CONCATENATE(SORT(TRANSPOSE(SPLIT(REGEXREPLACE(REGEXREPLACE(AR157&amp;"""",""(?s)(.{1})"",""$1""&amp;CHAR(127)),""'"",""''""),CHAR(127))),1,true),""1"")"),"be1")</f>
        <v>be1</v>
      </c>
      <c r="AT157" s="16"/>
      <c r="AU157" s="13" t="str">
        <f>IFERROR(__xludf.DUMMYFUNCTION("FILTER($K157:$T157,len($K157:$T157)=5,NOT($K157:$T157=BD157),NOT($K157:$T157=BP157))"),"ecfga")</f>
        <v>ecfga</v>
      </c>
      <c r="AV157" s="12" t="str">
        <f>IFERROR(__xludf.DUMMYFUNCTION("CONCATENATE(SORT(TRANSPOSE(SPLIT(REGEXREPLACE(REGEXREPLACE(AU157&amp;"""",""(?s)(.{1})"",""$1""&amp;CHAR(127)),""'"",""''""),CHAR(127))),1,true),""1"")"),"acefg1")</f>
        <v>acefg1</v>
      </c>
      <c r="AW157" s="16"/>
      <c r="AX157" s="10" t="str">
        <f>IFERROR(__xludf.DUMMYFUNCTION("FILTER($K157:$T157,len($K157:$T157)=5)"),"dafbc")</f>
        <v>dafbc</v>
      </c>
      <c r="AY157" s="6" t="str">
        <f>IFERROR(__xludf.DUMMYFUNCTION("""COMPUTED_VALUE"""),"befac")</f>
        <v>befac</v>
      </c>
      <c r="AZ157" s="6" t="str">
        <f>IFERROR(__xludf.DUMMYFUNCTION("""COMPUTED_VALUE"""),"ecfga")</f>
        <v>ecfga</v>
      </c>
      <c r="BA157" s="6" t="str">
        <f>IFERROR(__xludf.DUMMYFUNCTION("REGEXREPLACE( $AR157, CONCATENATE(""["",AX157,""]""), """")"),"e")</f>
        <v>e</v>
      </c>
      <c r="BB157" s="6" t="str">
        <f>IFERROR(__xludf.DUMMYFUNCTION("REGEXREPLACE( $AR157, CONCATENATE(""["",AY157,""]""), """")"),"")</f>
        <v/>
      </c>
      <c r="BC157" s="6" t="str">
        <f>IFERROR(__xludf.DUMMYFUNCTION("REGEXREPLACE( $AR157, CONCATENATE(""["",AZ157,""]""), """")"),"b")</f>
        <v>b</v>
      </c>
      <c r="BD157" s="11" t="str">
        <f t="shared" si="6"/>
        <v>befac</v>
      </c>
      <c r="BE157" s="12" t="str">
        <f>IFERROR(__xludf.DUMMYFUNCTION("CONCATENATE(SORT(TRANSPOSE(SPLIT(REGEXREPLACE(REGEXREPLACE(BD157&amp;"""",""(?s)(.{1})"",""$1""&amp;CHAR(127)),""'"",""''""),CHAR(127))),1,true),""1"")"),"abcef1")</f>
        <v>abcef1</v>
      </c>
      <c r="BF157" s="16"/>
      <c r="BG157" s="12" t="str">
        <f t="shared" si="7"/>
        <v>dbce</v>
      </c>
      <c r="BH157" s="12" t="str">
        <f>IFERROR(__xludf.DUMMYFUNCTION("CONCATENATE(SORT(TRANSPOSE(SPLIT(REGEXREPLACE(REGEXREPLACE(BG157&amp;"""",""(?s)(.{1})"",""$1""&amp;CHAR(127)),""'"",""''""),CHAR(127))),1,true),""1"")"),"bcde1")</f>
        <v>bcde1</v>
      </c>
      <c r="BI157" s="16"/>
      <c r="BJ157" s="10" t="str">
        <f>IFERROR(__xludf.DUMMYFUNCTION("FILTER($K157:$T157,len($K157:$T157)=5)"),"dafbc")</f>
        <v>dafbc</v>
      </c>
      <c r="BK157" s="6" t="str">
        <f>IFERROR(__xludf.DUMMYFUNCTION("""COMPUTED_VALUE"""),"befac")</f>
        <v>befac</v>
      </c>
      <c r="BL157" s="6" t="str">
        <f>IFERROR(__xludf.DUMMYFUNCTION("""COMPUTED_VALUE"""),"ecfga")</f>
        <v>ecfga</v>
      </c>
      <c r="BM157" s="14" t="str">
        <f>IFERROR(__xludf.DUMMYFUNCTION("REGEXREPLACE( $BY157, CONCATENATE(""["",BJ157,""]""), """")"),"g")</f>
        <v>g</v>
      </c>
      <c r="BN157" s="14" t="str">
        <f>IFERROR(__xludf.DUMMYFUNCTION("REGEXREPLACE( $BY157, CONCATENATE(""["",BK157,""]""), """")"),"dg")</f>
        <v>dg</v>
      </c>
      <c r="BO157" s="14" t="str">
        <f>IFERROR(__xludf.DUMMYFUNCTION("REGEXREPLACE( $BY157, CONCATENATE(""["",BL157,""]""), """")"),"db")</f>
        <v>db</v>
      </c>
      <c r="BP157" s="11" t="str">
        <f t="shared" si="8"/>
        <v>dafbc</v>
      </c>
      <c r="BQ157" s="12" t="str">
        <f>IFERROR(__xludf.DUMMYFUNCTION("CONCATENATE(SORT(TRANSPOSE(SPLIT(REGEXREPLACE(REGEXREPLACE(BP157&amp;"""",""(?s)(.{1})"",""$1""&amp;CHAR(127)),""'"",""''""),CHAR(127))),1,true),""1"")"),"abcdf1")</f>
        <v>abcdf1</v>
      </c>
      <c r="BR157" s="16"/>
      <c r="BS157" s="10" t="str">
        <f>IFERROR(__xludf.DUMMYFUNCTION("FILTER(K157:T157,len(K157:T157)=6)"),"fcaedb")</f>
        <v>fcaedb</v>
      </c>
      <c r="BT157" s="6" t="str">
        <f>IFERROR(__xludf.DUMMYFUNCTION("""COMPUTED_VALUE"""),"dcafgb")</f>
        <v>dcafgb</v>
      </c>
      <c r="BU157" s="6" t="str">
        <f>IFERROR(__xludf.DUMMYFUNCTION("""COMPUTED_VALUE"""),"bdeafg")</f>
        <v>bdeafg</v>
      </c>
      <c r="BV157" s="6" t="str">
        <f>IFERROR(__xludf.DUMMYFUNCTION("REGEXREPLACE( $AR157, CONCATENATE(""["",BS157,""]""), """")"),"")</f>
        <v/>
      </c>
      <c r="BW157" s="6" t="str">
        <f>IFERROR(__xludf.DUMMYFUNCTION("REGEXREPLACE( $AR157, CONCATENATE(""["",BT157,""]""), """")"),"e")</f>
        <v>e</v>
      </c>
      <c r="BX157" s="6" t="str">
        <f>IFERROR(__xludf.DUMMYFUNCTION("REGEXREPLACE( $AR157, CONCATENATE(""["",BU157,""]""), """")"),"")</f>
        <v/>
      </c>
      <c r="BY157" s="12" t="str">
        <f t="shared" si="9"/>
        <v>dcafgb</v>
      </c>
      <c r="BZ157" s="12" t="str">
        <f>IFERROR(__xludf.DUMMYFUNCTION("CONCATENATE(SORT(TRANSPOSE(SPLIT(REGEXREPLACE(REGEXREPLACE(BY157&amp;"""",""(?s)(.{1})"",""$1""&amp;CHAR(127)),""'"",""''""),CHAR(127))),1,true),""1"")"),"abcdfg1")</f>
        <v>abcdfg1</v>
      </c>
      <c r="CA157" s="16"/>
      <c r="CB157" s="12" t="str">
        <f t="shared" si="10"/>
        <v>efb</v>
      </c>
      <c r="CC157" s="12" t="str">
        <f>IFERROR(__xludf.DUMMYFUNCTION("CONCATENATE(SORT(TRANSPOSE(SPLIT(REGEXREPLACE(REGEXREPLACE(CB157&amp;"""",""(?s)(.{1})"",""$1""&amp;CHAR(127)),""'"",""''""),CHAR(127))),1,true),""1"")"),"bef1")</f>
        <v>bef1</v>
      </c>
      <c r="CD157" s="16"/>
      <c r="CE157" s="12" t="str">
        <f t="shared" si="11"/>
        <v>bdfgcea</v>
      </c>
      <c r="CF157" s="12" t="str">
        <f>IFERROR(__xludf.DUMMYFUNCTION("CONCATENATE(SORT(TRANSPOSE(SPLIT(REGEXREPLACE(REGEXREPLACE(CE157&amp;"""",""(?s)(.{1})"",""$1""&amp;CHAR(127)),""'"",""''""),CHAR(127))),1,true),""1"")"),"abcdefg1")</f>
        <v>abcdefg1</v>
      </c>
      <c r="CG157" s="16"/>
      <c r="CH157" s="10" t="str">
        <f>IFERROR(__xludf.DUMMYFUNCTION("FILTER(K157:T157,len(K157:T157)=6)"),"fcaedb")</f>
        <v>fcaedb</v>
      </c>
      <c r="CI157" s="6" t="str">
        <f>IFERROR(__xludf.DUMMYFUNCTION("""COMPUTED_VALUE"""),"dcafgb")</f>
        <v>dcafgb</v>
      </c>
      <c r="CJ157" s="6" t="str">
        <f>IFERROR(__xludf.DUMMYFUNCTION("""COMPUTED_VALUE"""),"bdeafg")</f>
        <v>bdeafg</v>
      </c>
      <c r="CK157" s="6" t="str">
        <f>IFERROR(__xludf.DUMMYFUNCTION("REGEXREPLACE( $BG157, CONCATENATE(""["",CH157,""]""), """")"),"")</f>
        <v/>
      </c>
      <c r="CL157" s="6" t="str">
        <f>IFERROR(__xludf.DUMMYFUNCTION("REGEXREPLACE( $BG157, CONCATENATE(""["",CI157,""]""), """")"),"e")</f>
        <v>e</v>
      </c>
      <c r="CM157" s="6" t="str">
        <f>IFERROR(__xludf.DUMMYFUNCTION("REGEXREPLACE( $BG157, CONCATENATE(""["",CJ157,""]""), """")"),"c")</f>
        <v>c</v>
      </c>
      <c r="CN157" s="12" t="str">
        <f t="shared" si="12"/>
        <v>fcaedb</v>
      </c>
      <c r="CO157" s="12" t="str">
        <f>IFERROR(__xludf.DUMMYFUNCTION("CONCATENATE(SORT(TRANSPOSE(SPLIT(REGEXREPLACE(REGEXREPLACE(CN157&amp;"""",""(?s)(.{1})"",""$1""&amp;CHAR(127)),""'"",""''""),CHAR(127))),1,true),""1"")"),"abcdef1")</f>
        <v>abcdef1</v>
      </c>
      <c r="CP157" s="15"/>
    </row>
    <row r="158">
      <c r="A158" s="1" t="s">
        <v>178</v>
      </c>
      <c r="H158" s="6" t="str">
        <f>IFERROR(__xludf.DUMMYFUNCTION("SPLIT(A158,""|"")"),"fdagce eca fecgdb edbgac abed dgafbce cegab cabfg bgecd ae ")</f>
        <v>fdagce eca fecgdb edbgac abed dgafbce cegab cabfg bgecd ae </v>
      </c>
      <c r="I158" s="6" t="str">
        <f>IFERROR(__xludf.DUMMYFUNCTION("""COMPUTED_VALUE""")," ebda cea dbcfge fgcab")</f>
        <v> ebda cea dbcfge fgcab</v>
      </c>
      <c r="J158" s="15"/>
      <c r="K158" s="6" t="str">
        <f>IFERROR(__xludf.DUMMYFUNCTION("split(H158,"" "")"),"fdagce")</f>
        <v>fdagce</v>
      </c>
      <c r="L158" s="6" t="str">
        <f>IFERROR(__xludf.DUMMYFUNCTION("""COMPUTED_VALUE"""),"eca")</f>
        <v>eca</v>
      </c>
      <c r="M158" s="6" t="str">
        <f>IFERROR(__xludf.DUMMYFUNCTION("""COMPUTED_VALUE"""),"fecgdb")</f>
        <v>fecgdb</v>
      </c>
      <c r="N158" s="6" t="str">
        <f>IFERROR(__xludf.DUMMYFUNCTION("""COMPUTED_VALUE"""),"edbgac")</f>
        <v>edbgac</v>
      </c>
      <c r="O158" s="6" t="str">
        <f>IFERROR(__xludf.DUMMYFUNCTION("""COMPUTED_VALUE"""),"abed")</f>
        <v>abed</v>
      </c>
      <c r="P158" s="6" t="str">
        <f>IFERROR(__xludf.DUMMYFUNCTION("""COMPUTED_VALUE"""),"dgafbce")</f>
        <v>dgafbce</v>
      </c>
      <c r="Q158" s="6" t="str">
        <f>IFERROR(__xludf.DUMMYFUNCTION("""COMPUTED_VALUE"""),"cegab")</f>
        <v>cegab</v>
      </c>
      <c r="R158" s="6" t="str">
        <f>IFERROR(__xludf.DUMMYFUNCTION("""COMPUTED_VALUE"""),"cabfg")</f>
        <v>cabfg</v>
      </c>
      <c r="S158" s="6" t="str">
        <f>IFERROR(__xludf.DUMMYFUNCTION("""COMPUTED_VALUE"""),"bgecd")</f>
        <v>bgecd</v>
      </c>
      <c r="T158" s="6" t="str">
        <f>IFERROR(__xludf.DUMMYFUNCTION("""COMPUTED_VALUE"""),"ae")</f>
        <v>ae</v>
      </c>
      <c r="U158" s="15"/>
      <c r="V158" s="6" t="str">
        <f>IFERROR(__xludf.DUMMYFUNCTION("split(I158,"" "")"),"ebda")</f>
        <v>ebda</v>
      </c>
      <c r="W158" s="6" t="str">
        <f>IFERROR(__xludf.DUMMYFUNCTION("""COMPUTED_VALUE"""),"cea")</f>
        <v>cea</v>
      </c>
      <c r="X158" s="6" t="str">
        <f>IFERROR(__xludf.DUMMYFUNCTION("""COMPUTED_VALUE"""),"dbcfge")</f>
        <v>dbcfge</v>
      </c>
      <c r="Y158" s="6" t="str">
        <f>IFERROR(__xludf.DUMMYFUNCTION("""COMPUTED_VALUE"""),"fgcab")</f>
        <v>fgcab</v>
      </c>
      <c r="Z158" s="6" t="str">
        <f>IFERROR(__xludf.DUMMYFUNCTION("CONCATENATE(SORT(TRANSPOSE(SPLIT(REGEXREPLACE(REGEXREPLACE(V158&amp;"""",""(?s)(.{1})"",""$1""&amp;CHAR(127)),""'"",""''""),CHAR(127))),1,true))"),"abde")</f>
        <v>abde</v>
      </c>
      <c r="AA158" s="6" t="str">
        <f>IFERROR(__xludf.DUMMYFUNCTION("CONCATENATE(SORT(TRANSPOSE(SPLIT(REGEXREPLACE(REGEXREPLACE(W158&amp;"""",""(?s)(.{1})"",""$1""&amp;CHAR(127)),""'"",""''""),CHAR(127))),1,true))"),"ace")</f>
        <v>ace</v>
      </c>
      <c r="AB158" s="6" t="str">
        <f>IFERROR(__xludf.DUMMYFUNCTION("CONCATENATE(SORT(TRANSPOSE(SPLIT(REGEXREPLACE(REGEXREPLACE(X158&amp;"""",""(?s)(.{1})"",""$1""&amp;CHAR(127)),""'"",""''""),CHAR(127))),1,true))"),"bcdefg")</f>
        <v>bcdefg</v>
      </c>
      <c r="AC158" s="6" t="str">
        <f>IFERROR(__xludf.DUMMYFUNCTION("CONCATENATE(SORT(TRANSPOSE(SPLIT(REGEXREPLACE(REGEXREPLACE(Y158&amp;"""",""(?s)(.{1})"",""$1""&amp;CHAR(127)),""'"",""''""),CHAR(127))),1,true))"),"abcfg")</f>
        <v>abcfg</v>
      </c>
      <c r="AD158" s="6">
        <f t="shared" ref="AD158:AG158" si="168">INDEX($AO$1:$CP$1,1,MATCH(CONCATENATE(Z158,"1"),$AO158:$CP158,0)+1)</f>
        <v>4</v>
      </c>
      <c r="AE158" s="6">
        <f t="shared" si="168"/>
        <v>7</v>
      </c>
      <c r="AF158" s="6">
        <f t="shared" si="168"/>
        <v>6</v>
      </c>
      <c r="AG158" s="6">
        <f t="shared" si="168"/>
        <v>2</v>
      </c>
      <c r="AH158" s="6">
        <f t="shared" si="3"/>
        <v>4762</v>
      </c>
      <c r="AI158" s="16"/>
      <c r="AJ158" s="9" t="str">
        <f>IFERROR(__xludf.DUMMYFUNCTION("REGEXREPLACE(AR158,CONCATENATE(""["",BY158,""]""),"""")"),"a")</f>
        <v>a</v>
      </c>
      <c r="AK158" s="10" t="str">
        <f>IFERROR(__xludf.DUMMYFUNCTION("FILTER($K158:$T158,len($K158:$T158)=6,NOT($K158:$T158=BY158))"),"fdagce")</f>
        <v>fdagce</v>
      </c>
      <c r="AL158" s="6" t="str">
        <f>IFERROR(__xludf.DUMMYFUNCTION("""COMPUTED_VALUE"""),"edbgac")</f>
        <v>edbgac</v>
      </c>
      <c r="AM158" s="6" t="str">
        <f>IFERROR(__xludf.DUMMYFUNCTION("REGEXREPLACE( $BG158, CONCATENATE(""["",AK158,""]""), """")"),"b")</f>
        <v>b</v>
      </c>
      <c r="AN158" s="6" t="str">
        <f>IFERROR(__xludf.DUMMYFUNCTION("REGEXREPLACE( $BG158, CONCATENATE(""["",AL158,""]""), """")"),"")</f>
        <v/>
      </c>
      <c r="AO158" s="11" t="str">
        <f t="shared" si="4"/>
        <v>fdagce</v>
      </c>
      <c r="AP158" s="12" t="str">
        <f>IFERROR(__xludf.DUMMYFUNCTION("CONCATENATE(SORT(TRANSPOSE(SPLIT(REGEXREPLACE(REGEXREPLACE(AO158&amp;"""",""(?s)(.{1})"",""$1""&amp;CHAR(127)),""'"",""''""),CHAR(127))),1,true),""1"")"),"acdefg1")</f>
        <v>acdefg1</v>
      </c>
      <c r="AQ158" s="16"/>
      <c r="AR158" s="12" t="str">
        <f t="shared" si="5"/>
        <v>ae</v>
      </c>
      <c r="AS158" s="12" t="str">
        <f>IFERROR(__xludf.DUMMYFUNCTION("CONCATENATE(SORT(TRANSPOSE(SPLIT(REGEXREPLACE(REGEXREPLACE(AR158&amp;"""",""(?s)(.{1})"",""$1""&amp;CHAR(127)),""'"",""''""),CHAR(127))),1,true),""1"")"),"ae1")</f>
        <v>ae1</v>
      </c>
      <c r="AT158" s="16"/>
      <c r="AU158" s="13" t="str">
        <f>IFERROR(__xludf.DUMMYFUNCTION("FILTER($K158:$T158,len($K158:$T158)=5,NOT($K158:$T158=BD158),NOT($K158:$T158=BP158))"),"cabfg")</f>
        <v>cabfg</v>
      </c>
      <c r="AV158" s="12" t="str">
        <f>IFERROR(__xludf.DUMMYFUNCTION("CONCATENATE(SORT(TRANSPOSE(SPLIT(REGEXREPLACE(REGEXREPLACE(AU158&amp;"""",""(?s)(.{1})"",""$1""&amp;CHAR(127)),""'"",""''""),CHAR(127))),1,true),""1"")"),"abcfg1")</f>
        <v>abcfg1</v>
      </c>
      <c r="AW158" s="16"/>
      <c r="AX158" s="10" t="str">
        <f>IFERROR(__xludf.DUMMYFUNCTION("FILTER($K158:$T158,len($K158:$T158)=5)"),"cegab")</f>
        <v>cegab</v>
      </c>
      <c r="AY158" s="6" t="str">
        <f>IFERROR(__xludf.DUMMYFUNCTION("""COMPUTED_VALUE"""),"cabfg")</f>
        <v>cabfg</v>
      </c>
      <c r="AZ158" s="6" t="str">
        <f>IFERROR(__xludf.DUMMYFUNCTION("""COMPUTED_VALUE"""),"bgecd")</f>
        <v>bgecd</v>
      </c>
      <c r="BA158" s="6" t="str">
        <f>IFERROR(__xludf.DUMMYFUNCTION("REGEXREPLACE( $AR158, CONCATENATE(""["",AX158,""]""), """")"),"")</f>
        <v/>
      </c>
      <c r="BB158" s="6" t="str">
        <f>IFERROR(__xludf.DUMMYFUNCTION("REGEXREPLACE( $AR158, CONCATENATE(""["",AY158,""]""), """")"),"e")</f>
        <v>e</v>
      </c>
      <c r="BC158" s="6" t="str">
        <f>IFERROR(__xludf.DUMMYFUNCTION("REGEXREPLACE( $AR158, CONCATENATE(""["",AZ158,""]""), """")"),"a")</f>
        <v>a</v>
      </c>
      <c r="BD158" s="11" t="str">
        <f t="shared" si="6"/>
        <v>cegab</v>
      </c>
      <c r="BE158" s="12" t="str">
        <f>IFERROR(__xludf.DUMMYFUNCTION("CONCATENATE(SORT(TRANSPOSE(SPLIT(REGEXREPLACE(REGEXREPLACE(BD158&amp;"""",""(?s)(.{1})"",""$1""&amp;CHAR(127)),""'"",""''""),CHAR(127))),1,true),""1"")"),"abceg1")</f>
        <v>abceg1</v>
      </c>
      <c r="BF158" s="16"/>
      <c r="BG158" s="12" t="str">
        <f t="shared" si="7"/>
        <v>abed</v>
      </c>
      <c r="BH158" s="12" t="str">
        <f>IFERROR(__xludf.DUMMYFUNCTION("CONCATENATE(SORT(TRANSPOSE(SPLIT(REGEXREPLACE(REGEXREPLACE(BG158&amp;"""",""(?s)(.{1})"",""$1""&amp;CHAR(127)),""'"",""''""),CHAR(127))),1,true),""1"")"),"abde1")</f>
        <v>abde1</v>
      </c>
      <c r="BI158" s="16"/>
      <c r="BJ158" s="10" t="str">
        <f>IFERROR(__xludf.DUMMYFUNCTION("FILTER($K158:$T158,len($K158:$T158)=5)"),"cegab")</f>
        <v>cegab</v>
      </c>
      <c r="BK158" s="6" t="str">
        <f>IFERROR(__xludf.DUMMYFUNCTION("""COMPUTED_VALUE"""),"cabfg")</f>
        <v>cabfg</v>
      </c>
      <c r="BL158" s="6" t="str">
        <f>IFERROR(__xludf.DUMMYFUNCTION("""COMPUTED_VALUE"""),"bgecd")</f>
        <v>bgecd</v>
      </c>
      <c r="BM158" s="14" t="str">
        <f>IFERROR(__xludf.DUMMYFUNCTION("REGEXREPLACE( $BY158, CONCATENATE(""["",BJ158,""]""), """")"),"fd")</f>
        <v>fd</v>
      </c>
      <c r="BN158" s="14" t="str">
        <f>IFERROR(__xludf.DUMMYFUNCTION("REGEXREPLACE( $BY158, CONCATENATE(""["",BK158,""]""), """")"),"ed")</f>
        <v>ed</v>
      </c>
      <c r="BO158" s="14" t="str">
        <f>IFERROR(__xludf.DUMMYFUNCTION("REGEXREPLACE( $BY158, CONCATENATE(""["",BL158,""]""), """")"),"f")</f>
        <v>f</v>
      </c>
      <c r="BP158" s="11" t="str">
        <f t="shared" si="8"/>
        <v>bgecd</v>
      </c>
      <c r="BQ158" s="12" t="str">
        <f>IFERROR(__xludf.DUMMYFUNCTION("CONCATENATE(SORT(TRANSPOSE(SPLIT(REGEXREPLACE(REGEXREPLACE(BP158&amp;"""",""(?s)(.{1})"",""$1""&amp;CHAR(127)),""'"",""''""),CHAR(127))),1,true),""1"")"),"bcdeg1")</f>
        <v>bcdeg1</v>
      </c>
      <c r="BR158" s="16"/>
      <c r="BS158" s="10" t="str">
        <f>IFERROR(__xludf.DUMMYFUNCTION("FILTER(K158:T158,len(K158:T158)=6)"),"fdagce")</f>
        <v>fdagce</v>
      </c>
      <c r="BT158" s="6" t="str">
        <f>IFERROR(__xludf.DUMMYFUNCTION("""COMPUTED_VALUE"""),"fecgdb")</f>
        <v>fecgdb</v>
      </c>
      <c r="BU158" s="6" t="str">
        <f>IFERROR(__xludf.DUMMYFUNCTION("""COMPUTED_VALUE"""),"edbgac")</f>
        <v>edbgac</v>
      </c>
      <c r="BV158" s="6" t="str">
        <f>IFERROR(__xludf.DUMMYFUNCTION("REGEXREPLACE( $AR158, CONCATENATE(""["",BS158,""]""), """")"),"")</f>
        <v/>
      </c>
      <c r="BW158" s="6" t="str">
        <f>IFERROR(__xludf.DUMMYFUNCTION("REGEXREPLACE( $AR158, CONCATENATE(""["",BT158,""]""), """")"),"a")</f>
        <v>a</v>
      </c>
      <c r="BX158" s="6" t="str">
        <f>IFERROR(__xludf.DUMMYFUNCTION("REGEXREPLACE( $AR158, CONCATENATE(""["",BU158,""]""), """")"),"")</f>
        <v/>
      </c>
      <c r="BY158" s="12" t="str">
        <f t="shared" si="9"/>
        <v>fecgdb</v>
      </c>
      <c r="BZ158" s="12" t="str">
        <f>IFERROR(__xludf.DUMMYFUNCTION("CONCATENATE(SORT(TRANSPOSE(SPLIT(REGEXREPLACE(REGEXREPLACE(BY158&amp;"""",""(?s)(.{1})"",""$1""&amp;CHAR(127)),""'"",""''""),CHAR(127))),1,true),""1"")"),"bcdefg1")</f>
        <v>bcdefg1</v>
      </c>
      <c r="CA158" s="16"/>
      <c r="CB158" s="12" t="str">
        <f t="shared" si="10"/>
        <v>eca</v>
      </c>
      <c r="CC158" s="12" t="str">
        <f>IFERROR(__xludf.DUMMYFUNCTION("CONCATENATE(SORT(TRANSPOSE(SPLIT(REGEXREPLACE(REGEXREPLACE(CB158&amp;"""",""(?s)(.{1})"",""$1""&amp;CHAR(127)),""'"",""''""),CHAR(127))),1,true),""1"")"),"ace1")</f>
        <v>ace1</v>
      </c>
      <c r="CD158" s="16"/>
      <c r="CE158" s="12" t="str">
        <f t="shared" si="11"/>
        <v>dgafbce</v>
      </c>
      <c r="CF158" s="12" t="str">
        <f>IFERROR(__xludf.DUMMYFUNCTION("CONCATENATE(SORT(TRANSPOSE(SPLIT(REGEXREPLACE(REGEXREPLACE(CE158&amp;"""",""(?s)(.{1})"",""$1""&amp;CHAR(127)),""'"",""''""),CHAR(127))),1,true),""1"")"),"abcdefg1")</f>
        <v>abcdefg1</v>
      </c>
      <c r="CG158" s="16"/>
      <c r="CH158" s="10" t="str">
        <f>IFERROR(__xludf.DUMMYFUNCTION("FILTER(K158:T158,len(K158:T158)=6)"),"fdagce")</f>
        <v>fdagce</v>
      </c>
      <c r="CI158" s="6" t="str">
        <f>IFERROR(__xludf.DUMMYFUNCTION("""COMPUTED_VALUE"""),"fecgdb")</f>
        <v>fecgdb</v>
      </c>
      <c r="CJ158" s="6" t="str">
        <f>IFERROR(__xludf.DUMMYFUNCTION("""COMPUTED_VALUE"""),"edbgac")</f>
        <v>edbgac</v>
      </c>
      <c r="CK158" s="6" t="str">
        <f>IFERROR(__xludf.DUMMYFUNCTION("REGEXREPLACE( $BG158, CONCATENATE(""["",CH158,""]""), """")"),"b")</f>
        <v>b</v>
      </c>
      <c r="CL158" s="6" t="str">
        <f>IFERROR(__xludf.DUMMYFUNCTION("REGEXREPLACE( $BG158, CONCATENATE(""["",CI158,""]""), """")"),"a")</f>
        <v>a</v>
      </c>
      <c r="CM158" s="6" t="str">
        <f>IFERROR(__xludf.DUMMYFUNCTION("REGEXREPLACE( $BG158, CONCATENATE(""["",CJ158,""]""), """")"),"")</f>
        <v/>
      </c>
      <c r="CN158" s="12" t="str">
        <f t="shared" si="12"/>
        <v>edbgac</v>
      </c>
      <c r="CO158" s="12" t="str">
        <f>IFERROR(__xludf.DUMMYFUNCTION("CONCATENATE(SORT(TRANSPOSE(SPLIT(REGEXREPLACE(REGEXREPLACE(CN158&amp;"""",""(?s)(.{1})"",""$1""&amp;CHAR(127)),""'"",""''""),CHAR(127))),1,true),""1"")"),"abcdeg1")</f>
        <v>abcdeg1</v>
      </c>
      <c r="CP158" s="15"/>
    </row>
    <row r="159">
      <c r="A159" s="1" t="s">
        <v>179</v>
      </c>
      <c r="H159" s="6" t="str">
        <f>IFERROR(__xludf.DUMMYFUNCTION("SPLIT(A159,""|"")"),"agefdb ec afedg cbgaf daec dbcgefa ecfag ceg cgafed egcbfd ")</f>
        <v>agefdb ec afedg cbgaf daec dbcgefa ecfag ceg cgafed egcbfd </v>
      </c>
      <c r="I159" s="6" t="str">
        <f>IFERROR(__xludf.DUMMYFUNCTION("""COMPUTED_VALUE""")," fdbgce dgfecab bafgde gafbc")</f>
        <v> fdbgce dgfecab bafgde gafbc</v>
      </c>
      <c r="J159" s="15"/>
      <c r="K159" s="6" t="str">
        <f>IFERROR(__xludf.DUMMYFUNCTION("split(H159,"" "")"),"agefdb")</f>
        <v>agefdb</v>
      </c>
      <c r="L159" s="6" t="str">
        <f>IFERROR(__xludf.DUMMYFUNCTION("""COMPUTED_VALUE"""),"ec")</f>
        <v>ec</v>
      </c>
      <c r="M159" s="6" t="str">
        <f>IFERROR(__xludf.DUMMYFUNCTION("""COMPUTED_VALUE"""),"afedg")</f>
        <v>afedg</v>
      </c>
      <c r="N159" s="6" t="str">
        <f>IFERROR(__xludf.DUMMYFUNCTION("""COMPUTED_VALUE"""),"cbgaf")</f>
        <v>cbgaf</v>
      </c>
      <c r="O159" s="6" t="str">
        <f>IFERROR(__xludf.DUMMYFUNCTION("""COMPUTED_VALUE"""),"daec")</f>
        <v>daec</v>
      </c>
      <c r="P159" s="6" t="str">
        <f>IFERROR(__xludf.DUMMYFUNCTION("""COMPUTED_VALUE"""),"dbcgefa")</f>
        <v>dbcgefa</v>
      </c>
      <c r="Q159" s="6" t="str">
        <f>IFERROR(__xludf.DUMMYFUNCTION("""COMPUTED_VALUE"""),"ecfag")</f>
        <v>ecfag</v>
      </c>
      <c r="R159" s="6" t="str">
        <f>IFERROR(__xludf.DUMMYFUNCTION("""COMPUTED_VALUE"""),"ceg")</f>
        <v>ceg</v>
      </c>
      <c r="S159" s="6" t="str">
        <f>IFERROR(__xludf.DUMMYFUNCTION("""COMPUTED_VALUE"""),"cgafed")</f>
        <v>cgafed</v>
      </c>
      <c r="T159" s="6" t="str">
        <f>IFERROR(__xludf.DUMMYFUNCTION("""COMPUTED_VALUE"""),"egcbfd")</f>
        <v>egcbfd</v>
      </c>
      <c r="U159" s="15"/>
      <c r="V159" s="6" t="str">
        <f>IFERROR(__xludf.DUMMYFUNCTION("split(I159,"" "")"),"fdbgce")</f>
        <v>fdbgce</v>
      </c>
      <c r="W159" s="6" t="str">
        <f>IFERROR(__xludf.DUMMYFUNCTION("""COMPUTED_VALUE"""),"dgfecab")</f>
        <v>dgfecab</v>
      </c>
      <c r="X159" s="6" t="str">
        <f>IFERROR(__xludf.DUMMYFUNCTION("""COMPUTED_VALUE"""),"bafgde")</f>
        <v>bafgde</v>
      </c>
      <c r="Y159" s="6" t="str">
        <f>IFERROR(__xludf.DUMMYFUNCTION("""COMPUTED_VALUE"""),"gafbc")</f>
        <v>gafbc</v>
      </c>
      <c r="Z159" s="6" t="str">
        <f>IFERROR(__xludf.DUMMYFUNCTION("CONCATENATE(SORT(TRANSPOSE(SPLIT(REGEXREPLACE(REGEXREPLACE(V159&amp;"""",""(?s)(.{1})"",""$1""&amp;CHAR(127)),""'"",""''""),CHAR(127))),1,true))"),"bcdefg")</f>
        <v>bcdefg</v>
      </c>
      <c r="AA159" s="6" t="str">
        <f>IFERROR(__xludf.DUMMYFUNCTION("CONCATENATE(SORT(TRANSPOSE(SPLIT(REGEXREPLACE(REGEXREPLACE(W159&amp;"""",""(?s)(.{1})"",""$1""&amp;CHAR(127)),""'"",""''""),CHAR(127))),1,true))"),"abcdefg")</f>
        <v>abcdefg</v>
      </c>
      <c r="AB159" s="6" t="str">
        <f>IFERROR(__xludf.DUMMYFUNCTION("CONCATENATE(SORT(TRANSPOSE(SPLIT(REGEXREPLACE(REGEXREPLACE(X159&amp;"""",""(?s)(.{1})"",""$1""&amp;CHAR(127)),""'"",""''""),CHAR(127))),1,true))"),"abdefg")</f>
        <v>abdefg</v>
      </c>
      <c r="AC159" s="6" t="str">
        <f>IFERROR(__xludf.DUMMYFUNCTION("CONCATENATE(SORT(TRANSPOSE(SPLIT(REGEXREPLACE(REGEXREPLACE(Y159&amp;"""",""(?s)(.{1})"",""$1""&amp;CHAR(127)),""'"",""''""),CHAR(127))),1,true))"),"abcfg")</f>
        <v>abcfg</v>
      </c>
      <c r="AD159" s="6">
        <f t="shared" ref="AD159:AG159" si="169">INDEX($AO$1:$CP$1,1,MATCH(CONCATENATE(Z159,"1"),$AO159:$CP159,0)+1)</f>
        <v>0</v>
      </c>
      <c r="AE159" s="6">
        <f t="shared" si="169"/>
        <v>8</v>
      </c>
      <c r="AF159" s="6">
        <f t="shared" si="169"/>
        <v>6</v>
      </c>
      <c r="AG159" s="6">
        <f t="shared" si="169"/>
        <v>2</v>
      </c>
      <c r="AH159" s="6">
        <f t="shared" si="3"/>
        <v>862</v>
      </c>
      <c r="AI159" s="16"/>
      <c r="AJ159" s="9" t="str">
        <f>IFERROR(__xludf.DUMMYFUNCTION("REGEXREPLACE(AR159,CONCATENATE(""["",BY159,""]""),"""")"),"c")</f>
        <v>c</v>
      </c>
      <c r="AK159" s="10" t="str">
        <f>IFERROR(__xludf.DUMMYFUNCTION("FILTER($K159:$T159,len($K159:$T159)=6,NOT($K159:$T159=BY159))"),"cgafed")</f>
        <v>cgafed</v>
      </c>
      <c r="AL159" s="6" t="str">
        <f>IFERROR(__xludf.DUMMYFUNCTION("""COMPUTED_VALUE"""),"egcbfd")</f>
        <v>egcbfd</v>
      </c>
      <c r="AM159" s="6" t="str">
        <f>IFERROR(__xludf.DUMMYFUNCTION("REGEXREPLACE( $BG159, CONCATENATE(""["",AK159,""]""), """")"),"")</f>
        <v/>
      </c>
      <c r="AN159" s="6" t="str">
        <f>IFERROR(__xludf.DUMMYFUNCTION("REGEXREPLACE( $BG159, CONCATENATE(""["",AL159,""]""), """")"),"a")</f>
        <v>a</v>
      </c>
      <c r="AO159" s="11" t="str">
        <f t="shared" si="4"/>
        <v>egcbfd</v>
      </c>
      <c r="AP159" s="12" t="str">
        <f>IFERROR(__xludf.DUMMYFUNCTION("CONCATENATE(SORT(TRANSPOSE(SPLIT(REGEXREPLACE(REGEXREPLACE(AO159&amp;"""",""(?s)(.{1})"",""$1""&amp;CHAR(127)),""'"",""''""),CHAR(127))),1,true),""1"")"),"bcdefg1")</f>
        <v>bcdefg1</v>
      </c>
      <c r="AQ159" s="16"/>
      <c r="AR159" s="12" t="str">
        <f t="shared" si="5"/>
        <v>ec</v>
      </c>
      <c r="AS159" s="12" t="str">
        <f>IFERROR(__xludf.DUMMYFUNCTION("CONCATENATE(SORT(TRANSPOSE(SPLIT(REGEXREPLACE(REGEXREPLACE(AR159&amp;"""",""(?s)(.{1})"",""$1""&amp;CHAR(127)),""'"",""''""),CHAR(127))),1,true),""1"")"),"ce1")</f>
        <v>ce1</v>
      </c>
      <c r="AT159" s="16"/>
      <c r="AU159" s="13" t="str">
        <f>IFERROR(__xludf.DUMMYFUNCTION("FILTER($K159:$T159,len($K159:$T159)=5,NOT($K159:$T159=BD159),NOT($K159:$T159=BP159))"),"cbgaf")</f>
        <v>cbgaf</v>
      </c>
      <c r="AV159" s="12" t="str">
        <f>IFERROR(__xludf.DUMMYFUNCTION("CONCATENATE(SORT(TRANSPOSE(SPLIT(REGEXREPLACE(REGEXREPLACE(AU159&amp;"""",""(?s)(.{1})"",""$1""&amp;CHAR(127)),""'"",""''""),CHAR(127))),1,true),""1"")"),"abcfg1")</f>
        <v>abcfg1</v>
      </c>
      <c r="AW159" s="16"/>
      <c r="AX159" s="10" t="str">
        <f>IFERROR(__xludf.DUMMYFUNCTION("FILTER($K159:$T159,len($K159:$T159)=5)"),"afedg")</f>
        <v>afedg</v>
      </c>
      <c r="AY159" s="6" t="str">
        <f>IFERROR(__xludf.DUMMYFUNCTION("""COMPUTED_VALUE"""),"cbgaf")</f>
        <v>cbgaf</v>
      </c>
      <c r="AZ159" s="6" t="str">
        <f>IFERROR(__xludf.DUMMYFUNCTION("""COMPUTED_VALUE"""),"ecfag")</f>
        <v>ecfag</v>
      </c>
      <c r="BA159" s="6" t="str">
        <f>IFERROR(__xludf.DUMMYFUNCTION("REGEXREPLACE( $AR159, CONCATENATE(""["",AX159,""]""), """")"),"c")</f>
        <v>c</v>
      </c>
      <c r="BB159" s="6" t="str">
        <f>IFERROR(__xludf.DUMMYFUNCTION("REGEXREPLACE( $AR159, CONCATENATE(""["",AY159,""]""), """")"),"e")</f>
        <v>e</v>
      </c>
      <c r="BC159" s="6" t="str">
        <f>IFERROR(__xludf.DUMMYFUNCTION("REGEXREPLACE( $AR159, CONCATENATE(""["",AZ159,""]""), """")"),"")</f>
        <v/>
      </c>
      <c r="BD159" s="11" t="str">
        <f t="shared" si="6"/>
        <v>ecfag</v>
      </c>
      <c r="BE159" s="12" t="str">
        <f>IFERROR(__xludf.DUMMYFUNCTION("CONCATENATE(SORT(TRANSPOSE(SPLIT(REGEXREPLACE(REGEXREPLACE(BD159&amp;"""",""(?s)(.{1})"",""$1""&amp;CHAR(127)),""'"",""''""),CHAR(127))),1,true),""1"")"),"acefg1")</f>
        <v>acefg1</v>
      </c>
      <c r="BF159" s="16"/>
      <c r="BG159" s="12" t="str">
        <f t="shared" si="7"/>
        <v>daec</v>
      </c>
      <c r="BH159" s="12" t="str">
        <f>IFERROR(__xludf.DUMMYFUNCTION("CONCATENATE(SORT(TRANSPOSE(SPLIT(REGEXREPLACE(REGEXREPLACE(BG159&amp;"""",""(?s)(.{1})"",""$1""&amp;CHAR(127)),""'"",""''""),CHAR(127))),1,true),""1"")"),"acde1")</f>
        <v>acde1</v>
      </c>
      <c r="BI159" s="16"/>
      <c r="BJ159" s="10" t="str">
        <f>IFERROR(__xludf.DUMMYFUNCTION("FILTER($K159:$T159,len($K159:$T159)=5)"),"afedg")</f>
        <v>afedg</v>
      </c>
      <c r="BK159" s="6" t="str">
        <f>IFERROR(__xludf.DUMMYFUNCTION("""COMPUTED_VALUE"""),"cbgaf")</f>
        <v>cbgaf</v>
      </c>
      <c r="BL159" s="6" t="str">
        <f>IFERROR(__xludf.DUMMYFUNCTION("""COMPUTED_VALUE"""),"ecfag")</f>
        <v>ecfag</v>
      </c>
      <c r="BM159" s="14" t="str">
        <f>IFERROR(__xludf.DUMMYFUNCTION("REGEXREPLACE( $BY159, CONCATENATE(""["",BJ159,""]""), """")"),"b")</f>
        <v>b</v>
      </c>
      <c r="BN159" s="14" t="str">
        <f>IFERROR(__xludf.DUMMYFUNCTION("REGEXREPLACE( $BY159, CONCATENATE(""["",BK159,""]""), """")"),"ed")</f>
        <v>ed</v>
      </c>
      <c r="BO159" s="14" t="str">
        <f>IFERROR(__xludf.DUMMYFUNCTION("REGEXREPLACE( $BY159, CONCATENATE(""["",BL159,""]""), """")"),"db")</f>
        <v>db</v>
      </c>
      <c r="BP159" s="11" t="str">
        <f t="shared" si="8"/>
        <v>afedg</v>
      </c>
      <c r="BQ159" s="12" t="str">
        <f>IFERROR(__xludf.DUMMYFUNCTION("CONCATENATE(SORT(TRANSPOSE(SPLIT(REGEXREPLACE(REGEXREPLACE(BP159&amp;"""",""(?s)(.{1})"",""$1""&amp;CHAR(127)),""'"",""''""),CHAR(127))),1,true),""1"")"),"adefg1")</f>
        <v>adefg1</v>
      </c>
      <c r="BR159" s="16"/>
      <c r="BS159" s="10" t="str">
        <f>IFERROR(__xludf.DUMMYFUNCTION("FILTER(K159:T159,len(K159:T159)=6)"),"agefdb")</f>
        <v>agefdb</v>
      </c>
      <c r="BT159" s="6" t="str">
        <f>IFERROR(__xludf.DUMMYFUNCTION("""COMPUTED_VALUE"""),"cgafed")</f>
        <v>cgafed</v>
      </c>
      <c r="BU159" s="6" t="str">
        <f>IFERROR(__xludf.DUMMYFUNCTION("""COMPUTED_VALUE"""),"egcbfd")</f>
        <v>egcbfd</v>
      </c>
      <c r="BV159" s="6" t="str">
        <f>IFERROR(__xludf.DUMMYFUNCTION("REGEXREPLACE( $AR159, CONCATENATE(""["",BS159,""]""), """")"),"c")</f>
        <v>c</v>
      </c>
      <c r="BW159" s="6" t="str">
        <f>IFERROR(__xludf.DUMMYFUNCTION("REGEXREPLACE( $AR159, CONCATENATE(""["",BT159,""]""), """")"),"")</f>
        <v/>
      </c>
      <c r="BX159" s="6" t="str">
        <f>IFERROR(__xludf.DUMMYFUNCTION("REGEXREPLACE( $AR159, CONCATENATE(""["",BU159,""]""), """")"),"")</f>
        <v/>
      </c>
      <c r="BY159" s="12" t="str">
        <f t="shared" si="9"/>
        <v>agefdb</v>
      </c>
      <c r="BZ159" s="12" t="str">
        <f>IFERROR(__xludf.DUMMYFUNCTION("CONCATENATE(SORT(TRANSPOSE(SPLIT(REGEXREPLACE(REGEXREPLACE(BY159&amp;"""",""(?s)(.{1})"",""$1""&amp;CHAR(127)),""'"",""''""),CHAR(127))),1,true),""1"")"),"abdefg1")</f>
        <v>abdefg1</v>
      </c>
      <c r="CA159" s="16"/>
      <c r="CB159" s="12" t="str">
        <f t="shared" si="10"/>
        <v>ceg</v>
      </c>
      <c r="CC159" s="12" t="str">
        <f>IFERROR(__xludf.DUMMYFUNCTION("CONCATENATE(SORT(TRANSPOSE(SPLIT(REGEXREPLACE(REGEXREPLACE(CB159&amp;"""",""(?s)(.{1})"",""$1""&amp;CHAR(127)),""'"",""''""),CHAR(127))),1,true),""1"")"),"ceg1")</f>
        <v>ceg1</v>
      </c>
      <c r="CD159" s="16"/>
      <c r="CE159" s="12" t="str">
        <f t="shared" si="11"/>
        <v>dbcgefa</v>
      </c>
      <c r="CF159" s="12" t="str">
        <f>IFERROR(__xludf.DUMMYFUNCTION("CONCATENATE(SORT(TRANSPOSE(SPLIT(REGEXREPLACE(REGEXREPLACE(CE159&amp;"""",""(?s)(.{1})"",""$1""&amp;CHAR(127)),""'"",""''""),CHAR(127))),1,true),""1"")"),"abcdefg1")</f>
        <v>abcdefg1</v>
      </c>
      <c r="CG159" s="16"/>
      <c r="CH159" s="10" t="str">
        <f>IFERROR(__xludf.DUMMYFUNCTION("FILTER(K159:T159,len(K159:T159)=6)"),"agefdb")</f>
        <v>agefdb</v>
      </c>
      <c r="CI159" s="6" t="str">
        <f>IFERROR(__xludf.DUMMYFUNCTION("""COMPUTED_VALUE"""),"cgafed")</f>
        <v>cgafed</v>
      </c>
      <c r="CJ159" s="6" t="str">
        <f>IFERROR(__xludf.DUMMYFUNCTION("""COMPUTED_VALUE"""),"egcbfd")</f>
        <v>egcbfd</v>
      </c>
      <c r="CK159" s="6" t="str">
        <f>IFERROR(__xludf.DUMMYFUNCTION("REGEXREPLACE( $BG159, CONCATENATE(""["",CH159,""]""), """")"),"c")</f>
        <v>c</v>
      </c>
      <c r="CL159" s="6" t="str">
        <f>IFERROR(__xludf.DUMMYFUNCTION("REGEXREPLACE( $BG159, CONCATENATE(""["",CI159,""]""), """")"),"")</f>
        <v/>
      </c>
      <c r="CM159" s="6" t="str">
        <f>IFERROR(__xludf.DUMMYFUNCTION("REGEXREPLACE( $BG159, CONCATENATE(""["",CJ159,""]""), """")"),"a")</f>
        <v>a</v>
      </c>
      <c r="CN159" s="12" t="str">
        <f t="shared" si="12"/>
        <v>cgafed</v>
      </c>
      <c r="CO159" s="12" t="str">
        <f>IFERROR(__xludf.DUMMYFUNCTION("CONCATENATE(SORT(TRANSPOSE(SPLIT(REGEXREPLACE(REGEXREPLACE(CN159&amp;"""",""(?s)(.{1})"",""$1""&amp;CHAR(127)),""'"",""''""),CHAR(127))),1,true),""1"")"),"acdefg1")</f>
        <v>acdefg1</v>
      </c>
      <c r="CP159" s="15"/>
    </row>
    <row r="160">
      <c r="A160" s="1" t="s">
        <v>180</v>
      </c>
      <c r="H160" s="6" t="str">
        <f>IFERROR(__xludf.DUMMYFUNCTION("SPLIT(A160,""|"")"),"bcega eafdcb abfgdc dacef gefadc bcd adegfcb fdeb dcbea db ")</f>
        <v>bcega eafdcb abfgdc dacef gefadc bcd adegfcb fdeb dcbea db </v>
      </c>
      <c r="I160" s="6" t="str">
        <f>IFERROR(__xludf.DUMMYFUNCTION("""COMPUTED_VALUE""")," ceafdb debf bdef eacdb")</f>
        <v> ceafdb debf bdef eacdb</v>
      </c>
      <c r="J160" s="15"/>
      <c r="K160" s="6" t="str">
        <f>IFERROR(__xludf.DUMMYFUNCTION("split(H160,"" "")"),"bcega")</f>
        <v>bcega</v>
      </c>
      <c r="L160" s="6" t="str">
        <f>IFERROR(__xludf.DUMMYFUNCTION("""COMPUTED_VALUE"""),"eafdcb")</f>
        <v>eafdcb</v>
      </c>
      <c r="M160" s="6" t="str">
        <f>IFERROR(__xludf.DUMMYFUNCTION("""COMPUTED_VALUE"""),"abfgdc")</f>
        <v>abfgdc</v>
      </c>
      <c r="N160" s="6" t="str">
        <f>IFERROR(__xludf.DUMMYFUNCTION("""COMPUTED_VALUE"""),"dacef")</f>
        <v>dacef</v>
      </c>
      <c r="O160" s="6" t="str">
        <f>IFERROR(__xludf.DUMMYFUNCTION("""COMPUTED_VALUE"""),"gefadc")</f>
        <v>gefadc</v>
      </c>
      <c r="P160" s="6" t="str">
        <f>IFERROR(__xludf.DUMMYFUNCTION("""COMPUTED_VALUE"""),"bcd")</f>
        <v>bcd</v>
      </c>
      <c r="Q160" s="6" t="str">
        <f>IFERROR(__xludf.DUMMYFUNCTION("""COMPUTED_VALUE"""),"adegfcb")</f>
        <v>adegfcb</v>
      </c>
      <c r="R160" s="6" t="str">
        <f>IFERROR(__xludf.DUMMYFUNCTION("""COMPUTED_VALUE"""),"fdeb")</f>
        <v>fdeb</v>
      </c>
      <c r="S160" s="6" t="str">
        <f>IFERROR(__xludf.DUMMYFUNCTION("""COMPUTED_VALUE"""),"dcbea")</f>
        <v>dcbea</v>
      </c>
      <c r="T160" s="6" t="str">
        <f>IFERROR(__xludf.DUMMYFUNCTION("""COMPUTED_VALUE"""),"db")</f>
        <v>db</v>
      </c>
      <c r="U160" s="15"/>
      <c r="V160" s="6" t="str">
        <f>IFERROR(__xludf.DUMMYFUNCTION("split(I160,"" "")"),"ceafdb")</f>
        <v>ceafdb</v>
      </c>
      <c r="W160" s="6" t="str">
        <f>IFERROR(__xludf.DUMMYFUNCTION("""COMPUTED_VALUE"""),"debf")</f>
        <v>debf</v>
      </c>
      <c r="X160" s="6" t="str">
        <f>IFERROR(__xludf.DUMMYFUNCTION("""COMPUTED_VALUE"""),"bdef")</f>
        <v>bdef</v>
      </c>
      <c r="Y160" s="6" t="str">
        <f>IFERROR(__xludf.DUMMYFUNCTION("""COMPUTED_VALUE"""),"eacdb")</f>
        <v>eacdb</v>
      </c>
      <c r="Z160" s="6" t="str">
        <f>IFERROR(__xludf.DUMMYFUNCTION("CONCATENATE(SORT(TRANSPOSE(SPLIT(REGEXREPLACE(REGEXREPLACE(V160&amp;"""",""(?s)(.{1})"",""$1""&amp;CHAR(127)),""'"",""''""),CHAR(127))),1,true))"),"abcdef")</f>
        <v>abcdef</v>
      </c>
      <c r="AA160" s="6" t="str">
        <f>IFERROR(__xludf.DUMMYFUNCTION("CONCATENATE(SORT(TRANSPOSE(SPLIT(REGEXREPLACE(REGEXREPLACE(W160&amp;"""",""(?s)(.{1})"",""$1""&amp;CHAR(127)),""'"",""''""),CHAR(127))),1,true))"),"bdef")</f>
        <v>bdef</v>
      </c>
      <c r="AB160" s="6" t="str">
        <f>IFERROR(__xludf.DUMMYFUNCTION("CONCATENATE(SORT(TRANSPOSE(SPLIT(REGEXREPLACE(REGEXREPLACE(X160&amp;"""",""(?s)(.{1})"",""$1""&amp;CHAR(127)),""'"",""''""),CHAR(127))),1,true))"),"bdef")</f>
        <v>bdef</v>
      </c>
      <c r="AC160" s="6" t="str">
        <f>IFERROR(__xludf.DUMMYFUNCTION("CONCATENATE(SORT(TRANSPOSE(SPLIT(REGEXREPLACE(REGEXREPLACE(Y160&amp;"""",""(?s)(.{1})"",""$1""&amp;CHAR(127)),""'"",""''""),CHAR(127))),1,true))"),"abcde")</f>
        <v>abcde</v>
      </c>
      <c r="AD160" s="6">
        <f t="shared" ref="AD160:AG160" si="170">INDEX($AO$1:$CP$1,1,MATCH(CONCATENATE(Z160,"1"),$AO160:$CP160,0)+1)</f>
        <v>9</v>
      </c>
      <c r="AE160" s="6">
        <f t="shared" si="170"/>
        <v>4</v>
      </c>
      <c r="AF160" s="6">
        <f t="shared" si="170"/>
        <v>4</v>
      </c>
      <c r="AG160" s="6">
        <f t="shared" si="170"/>
        <v>3</v>
      </c>
      <c r="AH160" s="6">
        <f t="shared" si="3"/>
        <v>9443</v>
      </c>
      <c r="AI160" s="16"/>
      <c r="AJ160" s="9" t="str">
        <f>IFERROR(__xludf.DUMMYFUNCTION("REGEXREPLACE(AR160,CONCATENATE(""["",BY160,""]""),"""")"),"b")</f>
        <v>b</v>
      </c>
      <c r="AK160" s="10" t="str">
        <f>IFERROR(__xludf.DUMMYFUNCTION("FILTER($K160:$T160,len($K160:$T160)=6,NOT($K160:$T160=BY160))"),"eafdcb")</f>
        <v>eafdcb</v>
      </c>
      <c r="AL160" s="6" t="str">
        <f>IFERROR(__xludf.DUMMYFUNCTION("""COMPUTED_VALUE"""),"abfgdc")</f>
        <v>abfgdc</v>
      </c>
      <c r="AM160" s="6" t="str">
        <f>IFERROR(__xludf.DUMMYFUNCTION("REGEXREPLACE( $BG160, CONCATENATE(""["",AK160,""]""), """")"),"")</f>
        <v/>
      </c>
      <c r="AN160" s="6" t="str">
        <f>IFERROR(__xludf.DUMMYFUNCTION("REGEXREPLACE( $BG160, CONCATENATE(""["",AL160,""]""), """")"),"e")</f>
        <v>e</v>
      </c>
      <c r="AO160" s="11" t="str">
        <f t="shared" si="4"/>
        <v>abfgdc</v>
      </c>
      <c r="AP160" s="12" t="str">
        <f>IFERROR(__xludf.DUMMYFUNCTION("CONCATENATE(SORT(TRANSPOSE(SPLIT(REGEXREPLACE(REGEXREPLACE(AO160&amp;"""",""(?s)(.{1})"",""$1""&amp;CHAR(127)),""'"",""''""),CHAR(127))),1,true),""1"")"),"abcdfg1")</f>
        <v>abcdfg1</v>
      </c>
      <c r="AQ160" s="16"/>
      <c r="AR160" s="12" t="str">
        <f t="shared" si="5"/>
        <v>db</v>
      </c>
      <c r="AS160" s="12" t="str">
        <f>IFERROR(__xludf.DUMMYFUNCTION("CONCATENATE(SORT(TRANSPOSE(SPLIT(REGEXREPLACE(REGEXREPLACE(AR160&amp;"""",""(?s)(.{1})"",""$1""&amp;CHAR(127)),""'"",""''""),CHAR(127))),1,true),""1"")"),"bd1")</f>
        <v>bd1</v>
      </c>
      <c r="AT160" s="16"/>
      <c r="AU160" s="13" t="str">
        <f>IFERROR(__xludf.DUMMYFUNCTION("FILTER($K160:$T160,len($K160:$T160)=5,NOT($K160:$T160=BD160),NOT($K160:$T160=BP160))"),"bcega")</f>
        <v>bcega</v>
      </c>
      <c r="AV160" s="12" t="str">
        <f>IFERROR(__xludf.DUMMYFUNCTION("CONCATENATE(SORT(TRANSPOSE(SPLIT(REGEXREPLACE(REGEXREPLACE(AU160&amp;"""",""(?s)(.{1})"",""$1""&amp;CHAR(127)),""'"",""''""),CHAR(127))),1,true),""1"")"),"abceg1")</f>
        <v>abceg1</v>
      </c>
      <c r="AW160" s="16"/>
      <c r="AX160" s="10" t="str">
        <f>IFERROR(__xludf.DUMMYFUNCTION("FILTER($K160:$T160,len($K160:$T160)=5)"),"bcega")</f>
        <v>bcega</v>
      </c>
      <c r="AY160" s="6" t="str">
        <f>IFERROR(__xludf.DUMMYFUNCTION("""COMPUTED_VALUE"""),"dacef")</f>
        <v>dacef</v>
      </c>
      <c r="AZ160" s="6" t="str">
        <f>IFERROR(__xludf.DUMMYFUNCTION("""COMPUTED_VALUE"""),"dcbea")</f>
        <v>dcbea</v>
      </c>
      <c r="BA160" s="6" t="str">
        <f>IFERROR(__xludf.DUMMYFUNCTION("REGEXREPLACE( $AR160, CONCATENATE(""["",AX160,""]""), """")"),"d")</f>
        <v>d</v>
      </c>
      <c r="BB160" s="6" t="str">
        <f>IFERROR(__xludf.DUMMYFUNCTION("REGEXREPLACE( $AR160, CONCATENATE(""["",AY160,""]""), """")"),"b")</f>
        <v>b</v>
      </c>
      <c r="BC160" s="6" t="str">
        <f>IFERROR(__xludf.DUMMYFUNCTION("REGEXREPLACE( $AR160, CONCATENATE(""["",AZ160,""]""), """")"),"")</f>
        <v/>
      </c>
      <c r="BD160" s="11" t="str">
        <f t="shared" si="6"/>
        <v>dcbea</v>
      </c>
      <c r="BE160" s="12" t="str">
        <f>IFERROR(__xludf.DUMMYFUNCTION("CONCATENATE(SORT(TRANSPOSE(SPLIT(REGEXREPLACE(REGEXREPLACE(BD160&amp;"""",""(?s)(.{1})"",""$1""&amp;CHAR(127)),""'"",""''""),CHAR(127))),1,true),""1"")"),"abcde1")</f>
        <v>abcde1</v>
      </c>
      <c r="BF160" s="16"/>
      <c r="BG160" s="12" t="str">
        <f t="shared" si="7"/>
        <v>fdeb</v>
      </c>
      <c r="BH160" s="12" t="str">
        <f>IFERROR(__xludf.DUMMYFUNCTION("CONCATENATE(SORT(TRANSPOSE(SPLIT(REGEXREPLACE(REGEXREPLACE(BG160&amp;"""",""(?s)(.{1})"",""$1""&amp;CHAR(127)),""'"",""''""),CHAR(127))),1,true),""1"")"),"bdef1")</f>
        <v>bdef1</v>
      </c>
      <c r="BI160" s="16"/>
      <c r="BJ160" s="10" t="str">
        <f>IFERROR(__xludf.DUMMYFUNCTION("FILTER($K160:$T160,len($K160:$T160)=5)"),"bcega")</f>
        <v>bcega</v>
      </c>
      <c r="BK160" s="6" t="str">
        <f>IFERROR(__xludf.DUMMYFUNCTION("""COMPUTED_VALUE"""),"dacef")</f>
        <v>dacef</v>
      </c>
      <c r="BL160" s="6" t="str">
        <f>IFERROR(__xludf.DUMMYFUNCTION("""COMPUTED_VALUE"""),"dcbea")</f>
        <v>dcbea</v>
      </c>
      <c r="BM160" s="14" t="str">
        <f>IFERROR(__xludf.DUMMYFUNCTION("REGEXREPLACE( $BY160, CONCATENATE(""["",BJ160,""]""), """")"),"fd")</f>
        <v>fd</v>
      </c>
      <c r="BN160" s="14" t="str">
        <f>IFERROR(__xludf.DUMMYFUNCTION("REGEXREPLACE( $BY160, CONCATENATE(""["",BK160,""]""), """")"),"g")</f>
        <v>g</v>
      </c>
      <c r="BO160" s="14" t="str">
        <f>IFERROR(__xludf.DUMMYFUNCTION("REGEXREPLACE( $BY160, CONCATENATE(""["",BL160,""]""), """")"),"gf")</f>
        <v>gf</v>
      </c>
      <c r="BP160" s="11" t="str">
        <f t="shared" si="8"/>
        <v>dacef</v>
      </c>
      <c r="BQ160" s="12" t="str">
        <f>IFERROR(__xludf.DUMMYFUNCTION("CONCATENATE(SORT(TRANSPOSE(SPLIT(REGEXREPLACE(REGEXREPLACE(BP160&amp;"""",""(?s)(.{1})"",""$1""&amp;CHAR(127)),""'"",""''""),CHAR(127))),1,true),""1"")"),"acdef1")</f>
        <v>acdef1</v>
      </c>
      <c r="BR160" s="16"/>
      <c r="BS160" s="10" t="str">
        <f>IFERROR(__xludf.DUMMYFUNCTION("FILTER(K160:T160,len(K160:T160)=6)"),"eafdcb")</f>
        <v>eafdcb</v>
      </c>
      <c r="BT160" s="6" t="str">
        <f>IFERROR(__xludf.DUMMYFUNCTION("""COMPUTED_VALUE"""),"abfgdc")</f>
        <v>abfgdc</v>
      </c>
      <c r="BU160" s="6" t="str">
        <f>IFERROR(__xludf.DUMMYFUNCTION("""COMPUTED_VALUE"""),"gefadc")</f>
        <v>gefadc</v>
      </c>
      <c r="BV160" s="6" t="str">
        <f>IFERROR(__xludf.DUMMYFUNCTION("REGEXREPLACE( $AR160, CONCATENATE(""["",BS160,""]""), """")"),"")</f>
        <v/>
      </c>
      <c r="BW160" s="6" t="str">
        <f>IFERROR(__xludf.DUMMYFUNCTION("REGEXREPLACE( $AR160, CONCATENATE(""["",BT160,""]""), """")"),"")</f>
        <v/>
      </c>
      <c r="BX160" s="6" t="str">
        <f>IFERROR(__xludf.DUMMYFUNCTION("REGEXREPLACE( $AR160, CONCATENATE(""["",BU160,""]""), """")"),"b")</f>
        <v>b</v>
      </c>
      <c r="BY160" s="12" t="str">
        <f t="shared" si="9"/>
        <v>gefadc</v>
      </c>
      <c r="BZ160" s="12" t="str">
        <f>IFERROR(__xludf.DUMMYFUNCTION("CONCATENATE(SORT(TRANSPOSE(SPLIT(REGEXREPLACE(REGEXREPLACE(BY160&amp;"""",""(?s)(.{1})"",""$1""&amp;CHAR(127)),""'"",""''""),CHAR(127))),1,true),""1"")"),"acdefg1")</f>
        <v>acdefg1</v>
      </c>
      <c r="CA160" s="16"/>
      <c r="CB160" s="12" t="str">
        <f t="shared" si="10"/>
        <v>bcd</v>
      </c>
      <c r="CC160" s="12" t="str">
        <f>IFERROR(__xludf.DUMMYFUNCTION("CONCATENATE(SORT(TRANSPOSE(SPLIT(REGEXREPLACE(REGEXREPLACE(CB160&amp;"""",""(?s)(.{1})"",""$1""&amp;CHAR(127)),""'"",""''""),CHAR(127))),1,true),""1"")"),"bcd1")</f>
        <v>bcd1</v>
      </c>
      <c r="CD160" s="16"/>
      <c r="CE160" s="12" t="str">
        <f t="shared" si="11"/>
        <v>adegfcb</v>
      </c>
      <c r="CF160" s="12" t="str">
        <f>IFERROR(__xludf.DUMMYFUNCTION("CONCATENATE(SORT(TRANSPOSE(SPLIT(REGEXREPLACE(REGEXREPLACE(CE160&amp;"""",""(?s)(.{1})"",""$1""&amp;CHAR(127)),""'"",""''""),CHAR(127))),1,true),""1"")"),"abcdefg1")</f>
        <v>abcdefg1</v>
      </c>
      <c r="CG160" s="16"/>
      <c r="CH160" s="10" t="str">
        <f>IFERROR(__xludf.DUMMYFUNCTION("FILTER(K160:T160,len(K160:T160)=6)"),"eafdcb")</f>
        <v>eafdcb</v>
      </c>
      <c r="CI160" s="6" t="str">
        <f>IFERROR(__xludf.DUMMYFUNCTION("""COMPUTED_VALUE"""),"abfgdc")</f>
        <v>abfgdc</v>
      </c>
      <c r="CJ160" s="6" t="str">
        <f>IFERROR(__xludf.DUMMYFUNCTION("""COMPUTED_VALUE"""),"gefadc")</f>
        <v>gefadc</v>
      </c>
      <c r="CK160" s="6" t="str">
        <f>IFERROR(__xludf.DUMMYFUNCTION("REGEXREPLACE( $BG160, CONCATENATE(""["",CH160,""]""), """")"),"")</f>
        <v/>
      </c>
      <c r="CL160" s="6" t="str">
        <f>IFERROR(__xludf.DUMMYFUNCTION("REGEXREPLACE( $BG160, CONCATENATE(""["",CI160,""]""), """")"),"e")</f>
        <v>e</v>
      </c>
      <c r="CM160" s="6" t="str">
        <f>IFERROR(__xludf.DUMMYFUNCTION("REGEXREPLACE( $BG160, CONCATENATE(""["",CJ160,""]""), """")"),"b")</f>
        <v>b</v>
      </c>
      <c r="CN160" s="12" t="str">
        <f t="shared" si="12"/>
        <v>eafdcb</v>
      </c>
      <c r="CO160" s="12" t="str">
        <f>IFERROR(__xludf.DUMMYFUNCTION("CONCATENATE(SORT(TRANSPOSE(SPLIT(REGEXREPLACE(REGEXREPLACE(CN160&amp;"""",""(?s)(.{1})"",""$1""&amp;CHAR(127)),""'"",""''""),CHAR(127))),1,true),""1"")"),"abcdef1")</f>
        <v>abcdef1</v>
      </c>
      <c r="CP160" s="15"/>
    </row>
    <row r="161">
      <c r="A161" s="1" t="s">
        <v>181</v>
      </c>
      <c r="H161" s="6" t="str">
        <f>IFERROR(__xludf.DUMMYFUNCTION("SPLIT(A161,""|"")"),"afb egaf fgaceb aecdgbf becgf acdefb af abgfc dcbag febdcg ")</f>
        <v>afb egaf fgaceb aecdgbf becgf acdefb af abgfc dcbag febdcg </v>
      </c>
      <c r="I161" s="6" t="str">
        <f>IFERROR(__xludf.DUMMYFUNCTION("""COMPUTED_VALUE""")," fa fa cbgaf eafg")</f>
        <v> fa fa cbgaf eafg</v>
      </c>
      <c r="J161" s="15"/>
      <c r="K161" s="6" t="str">
        <f>IFERROR(__xludf.DUMMYFUNCTION("split(H161,"" "")"),"afb")</f>
        <v>afb</v>
      </c>
      <c r="L161" s="6" t="str">
        <f>IFERROR(__xludf.DUMMYFUNCTION("""COMPUTED_VALUE"""),"egaf")</f>
        <v>egaf</v>
      </c>
      <c r="M161" s="6" t="str">
        <f>IFERROR(__xludf.DUMMYFUNCTION("""COMPUTED_VALUE"""),"fgaceb")</f>
        <v>fgaceb</v>
      </c>
      <c r="N161" s="6" t="str">
        <f>IFERROR(__xludf.DUMMYFUNCTION("""COMPUTED_VALUE"""),"aecdgbf")</f>
        <v>aecdgbf</v>
      </c>
      <c r="O161" s="6" t="str">
        <f>IFERROR(__xludf.DUMMYFUNCTION("""COMPUTED_VALUE"""),"becgf")</f>
        <v>becgf</v>
      </c>
      <c r="P161" s="6" t="str">
        <f>IFERROR(__xludf.DUMMYFUNCTION("""COMPUTED_VALUE"""),"acdefb")</f>
        <v>acdefb</v>
      </c>
      <c r="Q161" s="6" t="str">
        <f>IFERROR(__xludf.DUMMYFUNCTION("""COMPUTED_VALUE"""),"af")</f>
        <v>af</v>
      </c>
      <c r="R161" s="6" t="str">
        <f>IFERROR(__xludf.DUMMYFUNCTION("""COMPUTED_VALUE"""),"abgfc")</f>
        <v>abgfc</v>
      </c>
      <c r="S161" s="6" t="str">
        <f>IFERROR(__xludf.DUMMYFUNCTION("""COMPUTED_VALUE"""),"dcbag")</f>
        <v>dcbag</v>
      </c>
      <c r="T161" s="6" t="str">
        <f>IFERROR(__xludf.DUMMYFUNCTION("""COMPUTED_VALUE"""),"febdcg")</f>
        <v>febdcg</v>
      </c>
      <c r="U161" s="15"/>
      <c r="V161" s="6" t="str">
        <f>IFERROR(__xludf.DUMMYFUNCTION("split(I161,"" "")"),"fa")</f>
        <v>fa</v>
      </c>
      <c r="W161" s="6" t="str">
        <f>IFERROR(__xludf.DUMMYFUNCTION("""COMPUTED_VALUE"""),"fa")</f>
        <v>fa</v>
      </c>
      <c r="X161" s="6" t="str">
        <f>IFERROR(__xludf.DUMMYFUNCTION("""COMPUTED_VALUE"""),"cbgaf")</f>
        <v>cbgaf</v>
      </c>
      <c r="Y161" s="6" t="str">
        <f>IFERROR(__xludf.DUMMYFUNCTION("""COMPUTED_VALUE"""),"eafg")</f>
        <v>eafg</v>
      </c>
      <c r="Z161" s="6" t="str">
        <f>IFERROR(__xludf.DUMMYFUNCTION("CONCATENATE(SORT(TRANSPOSE(SPLIT(REGEXREPLACE(REGEXREPLACE(V161&amp;"""",""(?s)(.{1})"",""$1""&amp;CHAR(127)),""'"",""''""),CHAR(127))),1,true))"),"af")</f>
        <v>af</v>
      </c>
      <c r="AA161" s="6" t="str">
        <f>IFERROR(__xludf.DUMMYFUNCTION("CONCATENATE(SORT(TRANSPOSE(SPLIT(REGEXREPLACE(REGEXREPLACE(W161&amp;"""",""(?s)(.{1})"",""$1""&amp;CHAR(127)),""'"",""''""),CHAR(127))),1,true))"),"af")</f>
        <v>af</v>
      </c>
      <c r="AB161" s="6" t="str">
        <f>IFERROR(__xludf.DUMMYFUNCTION("CONCATENATE(SORT(TRANSPOSE(SPLIT(REGEXREPLACE(REGEXREPLACE(X161&amp;"""",""(?s)(.{1})"",""$1""&amp;CHAR(127)),""'"",""''""),CHAR(127))),1,true))"),"abcfg")</f>
        <v>abcfg</v>
      </c>
      <c r="AC161" s="6" t="str">
        <f>IFERROR(__xludf.DUMMYFUNCTION("CONCATENATE(SORT(TRANSPOSE(SPLIT(REGEXREPLACE(REGEXREPLACE(Y161&amp;"""",""(?s)(.{1})"",""$1""&amp;CHAR(127)),""'"",""''""),CHAR(127))),1,true))"),"aefg")</f>
        <v>aefg</v>
      </c>
      <c r="AD161" s="6">
        <f t="shared" ref="AD161:AG161" si="171">INDEX($AO$1:$CP$1,1,MATCH(CONCATENATE(Z161,"1"),$AO161:$CP161,0)+1)</f>
        <v>1</v>
      </c>
      <c r="AE161" s="6">
        <f t="shared" si="171"/>
        <v>1</v>
      </c>
      <c r="AF161" s="6">
        <f t="shared" si="171"/>
        <v>3</v>
      </c>
      <c r="AG161" s="6">
        <f t="shared" si="171"/>
        <v>4</v>
      </c>
      <c r="AH161" s="6">
        <f t="shared" si="3"/>
        <v>1134</v>
      </c>
      <c r="AI161" s="16"/>
      <c r="AJ161" s="9" t="str">
        <f>IFERROR(__xludf.DUMMYFUNCTION("REGEXREPLACE(AR161,CONCATENATE(""["",BY161,""]""),"""")"),"a")</f>
        <v>a</v>
      </c>
      <c r="AK161" s="10" t="str">
        <f>IFERROR(__xludf.DUMMYFUNCTION("FILTER($K161:$T161,len($K161:$T161)=6,NOT($K161:$T161=BY161))"),"fgaceb")</f>
        <v>fgaceb</v>
      </c>
      <c r="AL161" s="6" t="str">
        <f>IFERROR(__xludf.DUMMYFUNCTION("""COMPUTED_VALUE"""),"acdefb")</f>
        <v>acdefb</v>
      </c>
      <c r="AM161" s="6" t="str">
        <f>IFERROR(__xludf.DUMMYFUNCTION("REGEXREPLACE( $BG161, CONCATENATE(""["",AK161,""]""), """")"),"")</f>
        <v/>
      </c>
      <c r="AN161" s="6" t="str">
        <f>IFERROR(__xludf.DUMMYFUNCTION("REGEXREPLACE( $BG161, CONCATENATE(""["",AL161,""]""), """")"),"g")</f>
        <v>g</v>
      </c>
      <c r="AO161" s="11" t="str">
        <f t="shared" si="4"/>
        <v>acdefb</v>
      </c>
      <c r="AP161" s="12" t="str">
        <f>IFERROR(__xludf.DUMMYFUNCTION("CONCATENATE(SORT(TRANSPOSE(SPLIT(REGEXREPLACE(REGEXREPLACE(AO161&amp;"""",""(?s)(.{1})"",""$1""&amp;CHAR(127)),""'"",""''""),CHAR(127))),1,true),""1"")"),"abcdef1")</f>
        <v>abcdef1</v>
      </c>
      <c r="AQ161" s="16"/>
      <c r="AR161" s="12" t="str">
        <f t="shared" si="5"/>
        <v>af</v>
      </c>
      <c r="AS161" s="12" t="str">
        <f>IFERROR(__xludf.DUMMYFUNCTION("CONCATENATE(SORT(TRANSPOSE(SPLIT(REGEXREPLACE(REGEXREPLACE(AR161&amp;"""",""(?s)(.{1})"",""$1""&amp;CHAR(127)),""'"",""''""),CHAR(127))),1,true),""1"")"),"af1")</f>
        <v>af1</v>
      </c>
      <c r="AT161" s="16"/>
      <c r="AU161" s="13" t="str">
        <f>IFERROR(__xludf.DUMMYFUNCTION("FILTER($K161:$T161,len($K161:$T161)=5,NOT($K161:$T161=BD161),NOT($K161:$T161=BP161))"),"dcbag")</f>
        <v>dcbag</v>
      </c>
      <c r="AV161" s="12" t="str">
        <f>IFERROR(__xludf.DUMMYFUNCTION("CONCATENATE(SORT(TRANSPOSE(SPLIT(REGEXREPLACE(REGEXREPLACE(AU161&amp;"""",""(?s)(.{1})"",""$1""&amp;CHAR(127)),""'"",""''""),CHAR(127))),1,true),""1"")"),"abcdg1")</f>
        <v>abcdg1</v>
      </c>
      <c r="AW161" s="16"/>
      <c r="AX161" s="10" t="str">
        <f>IFERROR(__xludf.DUMMYFUNCTION("FILTER($K161:$T161,len($K161:$T161)=5)"),"becgf")</f>
        <v>becgf</v>
      </c>
      <c r="AY161" s="6" t="str">
        <f>IFERROR(__xludf.DUMMYFUNCTION("""COMPUTED_VALUE"""),"abgfc")</f>
        <v>abgfc</v>
      </c>
      <c r="AZ161" s="6" t="str">
        <f>IFERROR(__xludf.DUMMYFUNCTION("""COMPUTED_VALUE"""),"dcbag")</f>
        <v>dcbag</v>
      </c>
      <c r="BA161" s="6" t="str">
        <f>IFERROR(__xludf.DUMMYFUNCTION("REGEXREPLACE( $AR161, CONCATENATE(""["",AX161,""]""), """")"),"a")</f>
        <v>a</v>
      </c>
      <c r="BB161" s="6" t="str">
        <f>IFERROR(__xludf.DUMMYFUNCTION("REGEXREPLACE( $AR161, CONCATENATE(""["",AY161,""]""), """")"),"")</f>
        <v/>
      </c>
      <c r="BC161" s="6" t="str">
        <f>IFERROR(__xludf.DUMMYFUNCTION("REGEXREPLACE( $AR161, CONCATENATE(""["",AZ161,""]""), """")"),"f")</f>
        <v>f</v>
      </c>
      <c r="BD161" s="11" t="str">
        <f t="shared" si="6"/>
        <v>abgfc</v>
      </c>
      <c r="BE161" s="12" t="str">
        <f>IFERROR(__xludf.DUMMYFUNCTION("CONCATENATE(SORT(TRANSPOSE(SPLIT(REGEXREPLACE(REGEXREPLACE(BD161&amp;"""",""(?s)(.{1})"",""$1""&amp;CHAR(127)),""'"",""''""),CHAR(127))),1,true),""1"")"),"abcfg1")</f>
        <v>abcfg1</v>
      </c>
      <c r="BF161" s="16"/>
      <c r="BG161" s="12" t="str">
        <f t="shared" si="7"/>
        <v>egaf</v>
      </c>
      <c r="BH161" s="12" t="str">
        <f>IFERROR(__xludf.DUMMYFUNCTION("CONCATENATE(SORT(TRANSPOSE(SPLIT(REGEXREPLACE(REGEXREPLACE(BG161&amp;"""",""(?s)(.{1})"",""$1""&amp;CHAR(127)),""'"",""''""),CHAR(127))),1,true),""1"")"),"aefg1")</f>
        <v>aefg1</v>
      </c>
      <c r="BI161" s="16"/>
      <c r="BJ161" s="10" t="str">
        <f>IFERROR(__xludf.DUMMYFUNCTION("FILTER($K161:$T161,len($K161:$T161)=5)"),"becgf")</f>
        <v>becgf</v>
      </c>
      <c r="BK161" s="6" t="str">
        <f>IFERROR(__xludf.DUMMYFUNCTION("""COMPUTED_VALUE"""),"abgfc")</f>
        <v>abgfc</v>
      </c>
      <c r="BL161" s="6" t="str">
        <f>IFERROR(__xludf.DUMMYFUNCTION("""COMPUTED_VALUE"""),"dcbag")</f>
        <v>dcbag</v>
      </c>
      <c r="BM161" s="14" t="str">
        <f>IFERROR(__xludf.DUMMYFUNCTION("REGEXREPLACE( $BY161, CONCATENATE(""["",BJ161,""]""), """")"),"d")</f>
        <v>d</v>
      </c>
      <c r="BN161" s="14" t="str">
        <f>IFERROR(__xludf.DUMMYFUNCTION("REGEXREPLACE( $BY161, CONCATENATE(""["",BK161,""]""), """")"),"ed")</f>
        <v>ed</v>
      </c>
      <c r="BO161" s="14" t="str">
        <f>IFERROR(__xludf.DUMMYFUNCTION("REGEXREPLACE( $BY161, CONCATENATE(""["",BL161,""]""), """")"),"fe")</f>
        <v>fe</v>
      </c>
      <c r="BP161" s="11" t="str">
        <f t="shared" si="8"/>
        <v>becgf</v>
      </c>
      <c r="BQ161" s="12" t="str">
        <f>IFERROR(__xludf.DUMMYFUNCTION("CONCATENATE(SORT(TRANSPOSE(SPLIT(REGEXREPLACE(REGEXREPLACE(BP161&amp;"""",""(?s)(.{1})"",""$1""&amp;CHAR(127)),""'"",""''""),CHAR(127))),1,true),""1"")"),"bcefg1")</f>
        <v>bcefg1</v>
      </c>
      <c r="BR161" s="16"/>
      <c r="BS161" s="10" t="str">
        <f>IFERROR(__xludf.DUMMYFUNCTION("FILTER(K161:T161,len(K161:T161)=6)"),"fgaceb")</f>
        <v>fgaceb</v>
      </c>
      <c r="BT161" s="6" t="str">
        <f>IFERROR(__xludf.DUMMYFUNCTION("""COMPUTED_VALUE"""),"acdefb")</f>
        <v>acdefb</v>
      </c>
      <c r="BU161" s="6" t="str">
        <f>IFERROR(__xludf.DUMMYFUNCTION("""COMPUTED_VALUE"""),"febdcg")</f>
        <v>febdcg</v>
      </c>
      <c r="BV161" s="6" t="str">
        <f>IFERROR(__xludf.DUMMYFUNCTION("REGEXREPLACE( $AR161, CONCATENATE(""["",BS161,""]""), """")"),"")</f>
        <v/>
      </c>
      <c r="BW161" s="6" t="str">
        <f>IFERROR(__xludf.DUMMYFUNCTION("REGEXREPLACE( $AR161, CONCATENATE(""["",BT161,""]""), """")"),"")</f>
        <v/>
      </c>
      <c r="BX161" s="6" t="str">
        <f>IFERROR(__xludf.DUMMYFUNCTION("REGEXREPLACE( $AR161, CONCATENATE(""["",BU161,""]""), """")"),"a")</f>
        <v>a</v>
      </c>
      <c r="BY161" s="12" t="str">
        <f t="shared" si="9"/>
        <v>febdcg</v>
      </c>
      <c r="BZ161" s="12" t="str">
        <f>IFERROR(__xludf.DUMMYFUNCTION("CONCATENATE(SORT(TRANSPOSE(SPLIT(REGEXREPLACE(REGEXREPLACE(BY161&amp;"""",""(?s)(.{1})"",""$1""&amp;CHAR(127)),""'"",""''""),CHAR(127))),1,true),""1"")"),"bcdefg1")</f>
        <v>bcdefg1</v>
      </c>
      <c r="CA161" s="16"/>
      <c r="CB161" s="12" t="str">
        <f t="shared" si="10"/>
        <v>afb</v>
      </c>
      <c r="CC161" s="12" t="str">
        <f>IFERROR(__xludf.DUMMYFUNCTION("CONCATENATE(SORT(TRANSPOSE(SPLIT(REGEXREPLACE(REGEXREPLACE(CB161&amp;"""",""(?s)(.{1})"",""$1""&amp;CHAR(127)),""'"",""''""),CHAR(127))),1,true),""1"")"),"abf1")</f>
        <v>abf1</v>
      </c>
      <c r="CD161" s="16"/>
      <c r="CE161" s="12" t="str">
        <f t="shared" si="11"/>
        <v>aecdgbf</v>
      </c>
      <c r="CF161" s="12" t="str">
        <f>IFERROR(__xludf.DUMMYFUNCTION("CONCATENATE(SORT(TRANSPOSE(SPLIT(REGEXREPLACE(REGEXREPLACE(CE161&amp;"""",""(?s)(.{1})"",""$1""&amp;CHAR(127)),""'"",""''""),CHAR(127))),1,true),""1"")"),"abcdefg1")</f>
        <v>abcdefg1</v>
      </c>
      <c r="CG161" s="16"/>
      <c r="CH161" s="10" t="str">
        <f>IFERROR(__xludf.DUMMYFUNCTION("FILTER(K161:T161,len(K161:T161)=6)"),"fgaceb")</f>
        <v>fgaceb</v>
      </c>
      <c r="CI161" s="6" t="str">
        <f>IFERROR(__xludf.DUMMYFUNCTION("""COMPUTED_VALUE"""),"acdefb")</f>
        <v>acdefb</v>
      </c>
      <c r="CJ161" s="6" t="str">
        <f>IFERROR(__xludf.DUMMYFUNCTION("""COMPUTED_VALUE"""),"febdcg")</f>
        <v>febdcg</v>
      </c>
      <c r="CK161" s="6" t="str">
        <f>IFERROR(__xludf.DUMMYFUNCTION("REGEXREPLACE( $BG161, CONCATENATE(""["",CH161,""]""), """")"),"")</f>
        <v/>
      </c>
      <c r="CL161" s="6" t="str">
        <f>IFERROR(__xludf.DUMMYFUNCTION("REGEXREPLACE( $BG161, CONCATENATE(""["",CI161,""]""), """")"),"g")</f>
        <v>g</v>
      </c>
      <c r="CM161" s="6" t="str">
        <f>IFERROR(__xludf.DUMMYFUNCTION("REGEXREPLACE( $BG161, CONCATENATE(""["",CJ161,""]""), """")"),"a")</f>
        <v>a</v>
      </c>
      <c r="CN161" s="12" t="str">
        <f t="shared" si="12"/>
        <v>fgaceb</v>
      </c>
      <c r="CO161" s="12" t="str">
        <f>IFERROR(__xludf.DUMMYFUNCTION("CONCATENATE(SORT(TRANSPOSE(SPLIT(REGEXREPLACE(REGEXREPLACE(CN161&amp;"""",""(?s)(.{1})"",""$1""&amp;CHAR(127)),""'"",""''""),CHAR(127))),1,true),""1"")"),"abcefg1")</f>
        <v>abcefg1</v>
      </c>
      <c r="CP161" s="15"/>
    </row>
    <row r="162">
      <c r="A162" s="1" t="s">
        <v>182</v>
      </c>
      <c r="H162" s="6" t="str">
        <f>IFERROR(__xludf.DUMMYFUNCTION("SPLIT(A162,""|"")"),"cagbfed cgdbe ag gbedcf aefbc gbeca gdba gae edcfag degbac ")</f>
        <v>cagbfed cgdbe ag gbedcf aefbc gbeca gdba gae edcfag degbac </v>
      </c>
      <c r="I162" s="6" t="str">
        <f>IFERROR(__xludf.DUMMYFUNCTION("""COMPUTED_VALUE""")," ecagb gebac begcdf ag")</f>
        <v> ecagb gebac begcdf ag</v>
      </c>
      <c r="J162" s="15"/>
      <c r="K162" s="6" t="str">
        <f>IFERROR(__xludf.DUMMYFUNCTION("split(H162,"" "")"),"cagbfed")</f>
        <v>cagbfed</v>
      </c>
      <c r="L162" s="6" t="str">
        <f>IFERROR(__xludf.DUMMYFUNCTION("""COMPUTED_VALUE"""),"cgdbe")</f>
        <v>cgdbe</v>
      </c>
      <c r="M162" s="6" t="str">
        <f>IFERROR(__xludf.DUMMYFUNCTION("""COMPUTED_VALUE"""),"ag")</f>
        <v>ag</v>
      </c>
      <c r="N162" s="6" t="str">
        <f>IFERROR(__xludf.DUMMYFUNCTION("""COMPUTED_VALUE"""),"gbedcf")</f>
        <v>gbedcf</v>
      </c>
      <c r="O162" s="6" t="str">
        <f>IFERROR(__xludf.DUMMYFUNCTION("""COMPUTED_VALUE"""),"aefbc")</f>
        <v>aefbc</v>
      </c>
      <c r="P162" s="6" t="str">
        <f>IFERROR(__xludf.DUMMYFUNCTION("""COMPUTED_VALUE"""),"gbeca")</f>
        <v>gbeca</v>
      </c>
      <c r="Q162" s="6" t="str">
        <f>IFERROR(__xludf.DUMMYFUNCTION("""COMPUTED_VALUE"""),"gdba")</f>
        <v>gdba</v>
      </c>
      <c r="R162" s="6" t="str">
        <f>IFERROR(__xludf.DUMMYFUNCTION("""COMPUTED_VALUE"""),"gae")</f>
        <v>gae</v>
      </c>
      <c r="S162" s="6" t="str">
        <f>IFERROR(__xludf.DUMMYFUNCTION("""COMPUTED_VALUE"""),"edcfag")</f>
        <v>edcfag</v>
      </c>
      <c r="T162" s="6" t="str">
        <f>IFERROR(__xludf.DUMMYFUNCTION("""COMPUTED_VALUE"""),"degbac")</f>
        <v>degbac</v>
      </c>
      <c r="U162" s="15"/>
      <c r="V162" s="6" t="str">
        <f>IFERROR(__xludf.DUMMYFUNCTION("split(I162,"" "")"),"ecagb")</f>
        <v>ecagb</v>
      </c>
      <c r="W162" s="6" t="str">
        <f>IFERROR(__xludf.DUMMYFUNCTION("""COMPUTED_VALUE"""),"gebac")</f>
        <v>gebac</v>
      </c>
      <c r="X162" s="6" t="str">
        <f>IFERROR(__xludf.DUMMYFUNCTION("""COMPUTED_VALUE"""),"begcdf")</f>
        <v>begcdf</v>
      </c>
      <c r="Y162" s="6" t="str">
        <f>IFERROR(__xludf.DUMMYFUNCTION("""COMPUTED_VALUE"""),"ag")</f>
        <v>ag</v>
      </c>
      <c r="Z162" s="6" t="str">
        <f>IFERROR(__xludf.DUMMYFUNCTION("CONCATENATE(SORT(TRANSPOSE(SPLIT(REGEXREPLACE(REGEXREPLACE(V162&amp;"""",""(?s)(.{1})"",""$1""&amp;CHAR(127)),""'"",""''""),CHAR(127))),1,true))"),"abceg")</f>
        <v>abceg</v>
      </c>
      <c r="AA162" s="6" t="str">
        <f>IFERROR(__xludf.DUMMYFUNCTION("CONCATENATE(SORT(TRANSPOSE(SPLIT(REGEXREPLACE(REGEXREPLACE(W162&amp;"""",""(?s)(.{1})"",""$1""&amp;CHAR(127)),""'"",""''""),CHAR(127))),1,true))"),"abceg")</f>
        <v>abceg</v>
      </c>
      <c r="AB162" s="6" t="str">
        <f>IFERROR(__xludf.DUMMYFUNCTION("CONCATENATE(SORT(TRANSPOSE(SPLIT(REGEXREPLACE(REGEXREPLACE(X162&amp;"""",""(?s)(.{1})"",""$1""&amp;CHAR(127)),""'"",""''""),CHAR(127))),1,true))"),"bcdefg")</f>
        <v>bcdefg</v>
      </c>
      <c r="AC162" s="6" t="str">
        <f>IFERROR(__xludf.DUMMYFUNCTION("CONCATENATE(SORT(TRANSPOSE(SPLIT(REGEXREPLACE(REGEXREPLACE(Y162&amp;"""",""(?s)(.{1})"",""$1""&amp;CHAR(127)),""'"",""''""),CHAR(127))),1,true))"),"ag")</f>
        <v>ag</v>
      </c>
      <c r="AD162" s="6">
        <f t="shared" ref="AD162:AG162" si="172">INDEX($AO$1:$CP$1,1,MATCH(CONCATENATE(Z162,"1"),$AO162:$CP162,0)+1)</f>
        <v>3</v>
      </c>
      <c r="AE162" s="6">
        <f t="shared" si="172"/>
        <v>3</v>
      </c>
      <c r="AF162" s="6">
        <f t="shared" si="172"/>
        <v>6</v>
      </c>
      <c r="AG162" s="6">
        <f t="shared" si="172"/>
        <v>1</v>
      </c>
      <c r="AH162" s="6">
        <f t="shared" si="3"/>
        <v>3361</v>
      </c>
      <c r="AI162" s="16"/>
      <c r="AJ162" s="9" t="str">
        <f>IFERROR(__xludf.DUMMYFUNCTION("REGEXREPLACE(AR162,CONCATENATE(""["",BY162,""]""),"""")"),"a")</f>
        <v>a</v>
      </c>
      <c r="AK162" s="10" t="str">
        <f>IFERROR(__xludf.DUMMYFUNCTION("FILTER($K162:$T162,len($K162:$T162)=6,NOT($K162:$T162=BY162))"),"edcfag")</f>
        <v>edcfag</v>
      </c>
      <c r="AL162" s="6" t="str">
        <f>IFERROR(__xludf.DUMMYFUNCTION("""COMPUTED_VALUE"""),"degbac")</f>
        <v>degbac</v>
      </c>
      <c r="AM162" s="6" t="str">
        <f>IFERROR(__xludf.DUMMYFUNCTION("REGEXREPLACE( $BG162, CONCATENATE(""["",AK162,""]""), """")"),"b")</f>
        <v>b</v>
      </c>
      <c r="AN162" s="6" t="str">
        <f>IFERROR(__xludf.DUMMYFUNCTION("REGEXREPLACE( $BG162, CONCATENATE(""["",AL162,""]""), """")"),"")</f>
        <v/>
      </c>
      <c r="AO162" s="11" t="str">
        <f t="shared" si="4"/>
        <v>edcfag</v>
      </c>
      <c r="AP162" s="12" t="str">
        <f>IFERROR(__xludf.DUMMYFUNCTION("CONCATENATE(SORT(TRANSPOSE(SPLIT(REGEXREPLACE(REGEXREPLACE(AO162&amp;"""",""(?s)(.{1})"",""$1""&amp;CHAR(127)),""'"",""''""),CHAR(127))),1,true),""1"")"),"acdefg1")</f>
        <v>acdefg1</v>
      </c>
      <c r="AQ162" s="16"/>
      <c r="AR162" s="12" t="str">
        <f t="shared" si="5"/>
        <v>ag</v>
      </c>
      <c r="AS162" s="12" t="str">
        <f>IFERROR(__xludf.DUMMYFUNCTION("CONCATENATE(SORT(TRANSPOSE(SPLIT(REGEXREPLACE(REGEXREPLACE(AR162&amp;"""",""(?s)(.{1})"",""$1""&amp;CHAR(127)),""'"",""''""),CHAR(127))),1,true),""1"")"),"ag1")</f>
        <v>ag1</v>
      </c>
      <c r="AT162" s="16"/>
      <c r="AU162" s="13" t="str">
        <f>IFERROR(__xludf.DUMMYFUNCTION("FILTER($K162:$T162,len($K162:$T162)=5,NOT($K162:$T162=BD162),NOT($K162:$T162=BP162))"),"aefbc")</f>
        <v>aefbc</v>
      </c>
      <c r="AV162" s="12" t="str">
        <f>IFERROR(__xludf.DUMMYFUNCTION("CONCATENATE(SORT(TRANSPOSE(SPLIT(REGEXREPLACE(REGEXREPLACE(AU162&amp;"""",""(?s)(.{1})"",""$1""&amp;CHAR(127)),""'"",""''""),CHAR(127))),1,true),""1"")"),"abcef1")</f>
        <v>abcef1</v>
      </c>
      <c r="AW162" s="16"/>
      <c r="AX162" s="10" t="str">
        <f>IFERROR(__xludf.DUMMYFUNCTION("FILTER($K162:$T162,len($K162:$T162)=5)"),"cgdbe")</f>
        <v>cgdbe</v>
      </c>
      <c r="AY162" s="6" t="str">
        <f>IFERROR(__xludf.DUMMYFUNCTION("""COMPUTED_VALUE"""),"aefbc")</f>
        <v>aefbc</v>
      </c>
      <c r="AZ162" s="6" t="str">
        <f>IFERROR(__xludf.DUMMYFUNCTION("""COMPUTED_VALUE"""),"gbeca")</f>
        <v>gbeca</v>
      </c>
      <c r="BA162" s="6" t="str">
        <f>IFERROR(__xludf.DUMMYFUNCTION("REGEXREPLACE( $AR162, CONCATENATE(""["",AX162,""]""), """")"),"a")</f>
        <v>a</v>
      </c>
      <c r="BB162" s="6" t="str">
        <f>IFERROR(__xludf.DUMMYFUNCTION("REGEXREPLACE( $AR162, CONCATENATE(""["",AY162,""]""), """")"),"g")</f>
        <v>g</v>
      </c>
      <c r="BC162" s="6" t="str">
        <f>IFERROR(__xludf.DUMMYFUNCTION("REGEXREPLACE( $AR162, CONCATENATE(""["",AZ162,""]""), """")"),"")</f>
        <v/>
      </c>
      <c r="BD162" s="11" t="str">
        <f t="shared" si="6"/>
        <v>gbeca</v>
      </c>
      <c r="BE162" s="12" t="str">
        <f>IFERROR(__xludf.DUMMYFUNCTION("CONCATENATE(SORT(TRANSPOSE(SPLIT(REGEXREPLACE(REGEXREPLACE(BD162&amp;"""",""(?s)(.{1})"",""$1""&amp;CHAR(127)),""'"",""''""),CHAR(127))),1,true),""1"")"),"abceg1")</f>
        <v>abceg1</v>
      </c>
      <c r="BF162" s="16"/>
      <c r="BG162" s="12" t="str">
        <f t="shared" si="7"/>
        <v>gdba</v>
      </c>
      <c r="BH162" s="12" t="str">
        <f>IFERROR(__xludf.DUMMYFUNCTION("CONCATENATE(SORT(TRANSPOSE(SPLIT(REGEXREPLACE(REGEXREPLACE(BG162&amp;"""",""(?s)(.{1})"",""$1""&amp;CHAR(127)),""'"",""''""),CHAR(127))),1,true),""1"")"),"abdg1")</f>
        <v>abdg1</v>
      </c>
      <c r="BI162" s="16"/>
      <c r="BJ162" s="10" t="str">
        <f>IFERROR(__xludf.DUMMYFUNCTION("FILTER($K162:$T162,len($K162:$T162)=5)"),"cgdbe")</f>
        <v>cgdbe</v>
      </c>
      <c r="BK162" s="6" t="str">
        <f>IFERROR(__xludf.DUMMYFUNCTION("""COMPUTED_VALUE"""),"aefbc")</f>
        <v>aefbc</v>
      </c>
      <c r="BL162" s="6" t="str">
        <f>IFERROR(__xludf.DUMMYFUNCTION("""COMPUTED_VALUE"""),"gbeca")</f>
        <v>gbeca</v>
      </c>
      <c r="BM162" s="14" t="str">
        <f>IFERROR(__xludf.DUMMYFUNCTION("REGEXREPLACE( $BY162, CONCATENATE(""["",BJ162,""]""), """")"),"f")</f>
        <v>f</v>
      </c>
      <c r="BN162" s="14" t="str">
        <f>IFERROR(__xludf.DUMMYFUNCTION("REGEXREPLACE( $BY162, CONCATENATE(""["",BK162,""]""), """")"),"gd")</f>
        <v>gd</v>
      </c>
      <c r="BO162" s="14" t="str">
        <f>IFERROR(__xludf.DUMMYFUNCTION("REGEXREPLACE( $BY162, CONCATENATE(""["",BL162,""]""), """")"),"df")</f>
        <v>df</v>
      </c>
      <c r="BP162" s="11" t="str">
        <f t="shared" si="8"/>
        <v>cgdbe</v>
      </c>
      <c r="BQ162" s="12" t="str">
        <f>IFERROR(__xludf.DUMMYFUNCTION("CONCATENATE(SORT(TRANSPOSE(SPLIT(REGEXREPLACE(REGEXREPLACE(BP162&amp;"""",""(?s)(.{1})"",""$1""&amp;CHAR(127)),""'"",""''""),CHAR(127))),1,true),""1"")"),"bcdeg1")</f>
        <v>bcdeg1</v>
      </c>
      <c r="BR162" s="16"/>
      <c r="BS162" s="10" t="str">
        <f>IFERROR(__xludf.DUMMYFUNCTION("FILTER(K162:T162,len(K162:T162)=6)"),"gbedcf")</f>
        <v>gbedcf</v>
      </c>
      <c r="BT162" s="6" t="str">
        <f>IFERROR(__xludf.DUMMYFUNCTION("""COMPUTED_VALUE"""),"edcfag")</f>
        <v>edcfag</v>
      </c>
      <c r="BU162" s="6" t="str">
        <f>IFERROR(__xludf.DUMMYFUNCTION("""COMPUTED_VALUE"""),"degbac")</f>
        <v>degbac</v>
      </c>
      <c r="BV162" s="6" t="str">
        <f>IFERROR(__xludf.DUMMYFUNCTION("REGEXREPLACE( $AR162, CONCATENATE(""["",BS162,""]""), """")"),"a")</f>
        <v>a</v>
      </c>
      <c r="BW162" s="6" t="str">
        <f>IFERROR(__xludf.DUMMYFUNCTION("REGEXREPLACE( $AR162, CONCATENATE(""["",BT162,""]""), """")"),"")</f>
        <v/>
      </c>
      <c r="BX162" s="6" t="str">
        <f>IFERROR(__xludf.DUMMYFUNCTION("REGEXREPLACE( $AR162, CONCATENATE(""["",BU162,""]""), """")"),"")</f>
        <v/>
      </c>
      <c r="BY162" s="12" t="str">
        <f t="shared" si="9"/>
        <v>gbedcf</v>
      </c>
      <c r="BZ162" s="12" t="str">
        <f>IFERROR(__xludf.DUMMYFUNCTION("CONCATENATE(SORT(TRANSPOSE(SPLIT(REGEXREPLACE(REGEXREPLACE(BY162&amp;"""",""(?s)(.{1})"",""$1""&amp;CHAR(127)),""'"",""''""),CHAR(127))),1,true),""1"")"),"bcdefg1")</f>
        <v>bcdefg1</v>
      </c>
      <c r="CA162" s="16"/>
      <c r="CB162" s="12" t="str">
        <f t="shared" si="10"/>
        <v>gae</v>
      </c>
      <c r="CC162" s="12" t="str">
        <f>IFERROR(__xludf.DUMMYFUNCTION("CONCATENATE(SORT(TRANSPOSE(SPLIT(REGEXREPLACE(REGEXREPLACE(CB162&amp;"""",""(?s)(.{1})"",""$1""&amp;CHAR(127)),""'"",""''""),CHAR(127))),1,true),""1"")"),"aeg1")</f>
        <v>aeg1</v>
      </c>
      <c r="CD162" s="16"/>
      <c r="CE162" s="12" t="str">
        <f t="shared" si="11"/>
        <v>cagbfed</v>
      </c>
      <c r="CF162" s="12" t="str">
        <f>IFERROR(__xludf.DUMMYFUNCTION("CONCATENATE(SORT(TRANSPOSE(SPLIT(REGEXREPLACE(REGEXREPLACE(CE162&amp;"""",""(?s)(.{1})"",""$1""&amp;CHAR(127)),""'"",""''""),CHAR(127))),1,true),""1"")"),"abcdefg1")</f>
        <v>abcdefg1</v>
      </c>
      <c r="CG162" s="16"/>
      <c r="CH162" s="10" t="str">
        <f>IFERROR(__xludf.DUMMYFUNCTION("FILTER(K162:T162,len(K162:T162)=6)"),"gbedcf")</f>
        <v>gbedcf</v>
      </c>
      <c r="CI162" s="6" t="str">
        <f>IFERROR(__xludf.DUMMYFUNCTION("""COMPUTED_VALUE"""),"edcfag")</f>
        <v>edcfag</v>
      </c>
      <c r="CJ162" s="6" t="str">
        <f>IFERROR(__xludf.DUMMYFUNCTION("""COMPUTED_VALUE"""),"degbac")</f>
        <v>degbac</v>
      </c>
      <c r="CK162" s="6" t="str">
        <f>IFERROR(__xludf.DUMMYFUNCTION("REGEXREPLACE( $BG162, CONCATENATE(""["",CH162,""]""), """")"),"a")</f>
        <v>a</v>
      </c>
      <c r="CL162" s="6" t="str">
        <f>IFERROR(__xludf.DUMMYFUNCTION("REGEXREPLACE( $BG162, CONCATENATE(""["",CI162,""]""), """")"),"b")</f>
        <v>b</v>
      </c>
      <c r="CM162" s="6" t="str">
        <f>IFERROR(__xludf.DUMMYFUNCTION("REGEXREPLACE( $BG162, CONCATENATE(""["",CJ162,""]""), """")"),"")</f>
        <v/>
      </c>
      <c r="CN162" s="12" t="str">
        <f t="shared" si="12"/>
        <v>degbac</v>
      </c>
      <c r="CO162" s="12" t="str">
        <f>IFERROR(__xludf.DUMMYFUNCTION("CONCATENATE(SORT(TRANSPOSE(SPLIT(REGEXREPLACE(REGEXREPLACE(CN162&amp;"""",""(?s)(.{1})"",""$1""&amp;CHAR(127)),""'"",""''""),CHAR(127))),1,true),""1"")"),"abcdeg1")</f>
        <v>abcdeg1</v>
      </c>
      <c r="CP162" s="15"/>
    </row>
    <row r="163">
      <c r="A163" s="1" t="s">
        <v>183</v>
      </c>
      <c r="H163" s="6" t="str">
        <f>IFERROR(__xludf.DUMMYFUNCTION("SPLIT(A163,""|"")"),"adf dgaec eabdcgf cbfga cdgaf fd eafdbg decf cfgaed ecbgad ")</f>
        <v>adf dgaec eabdcgf cbfga cdgaf fd eafdbg decf cfgaed ecbgad </v>
      </c>
      <c r="I163" s="6" t="str">
        <f>IFERROR(__xludf.DUMMYFUNCTION("""COMPUTED_VALUE""")," fda fcgba dfa egcda")</f>
        <v> fda fcgba dfa egcda</v>
      </c>
      <c r="J163" s="15"/>
      <c r="K163" s="6" t="str">
        <f>IFERROR(__xludf.DUMMYFUNCTION("split(H163,"" "")"),"adf")</f>
        <v>adf</v>
      </c>
      <c r="L163" s="6" t="str">
        <f>IFERROR(__xludf.DUMMYFUNCTION("""COMPUTED_VALUE"""),"dgaec")</f>
        <v>dgaec</v>
      </c>
      <c r="M163" s="6" t="str">
        <f>IFERROR(__xludf.DUMMYFUNCTION("""COMPUTED_VALUE"""),"eabdcgf")</f>
        <v>eabdcgf</v>
      </c>
      <c r="N163" s="6" t="str">
        <f>IFERROR(__xludf.DUMMYFUNCTION("""COMPUTED_VALUE"""),"cbfga")</f>
        <v>cbfga</v>
      </c>
      <c r="O163" s="6" t="str">
        <f>IFERROR(__xludf.DUMMYFUNCTION("""COMPUTED_VALUE"""),"cdgaf")</f>
        <v>cdgaf</v>
      </c>
      <c r="P163" s="6" t="str">
        <f>IFERROR(__xludf.DUMMYFUNCTION("""COMPUTED_VALUE"""),"fd")</f>
        <v>fd</v>
      </c>
      <c r="Q163" s="6" t="str">
        <f>IFERROR(__xludf.DUMMYFUNCTION("""COMPUTED_VALUE"""),"eafdbg")</f>
        <v>eafdbg</v>
      </c>
      <c r="R163" s="6" t="str">
        <f>IFERROR(__xludf.DUMMYFUNCTION("""COMPUTED_VALUE"""),"decf")</f>
        <v>decf</v>
      </c>
      <c r="S163" s="6" t="str">
        <f>IFERROR(__xludf.DUMMYFUNCTION("""COMPUTED_VALUE"""),"cfgaed")</f>
        <v>cfgaed</v>
      </c>
      <c r="T163" s="6" t="str">
        <f>IFERROR(__xludf.DUMMYFUNCTION("""COMPUTED_VALUE"""),"ecbgad")</f>
        <v>ecbgad</v>
      </c>
      <c r="U163" s="15"/>
      <c r="V163" s="6" t="str">
        <f>IFERROR(__xludf.DUMMYFUNCTION("split(I163,"" "")"),"fda")</f>
        <v>fda</v>
      </c>
      <c r="W163" s="6" t="str">
        <f>IFERROR(__xludf.DUMMYFUNCTION("""COMPUTED_VALUE"""),"fcgba")</f>
        <v>fcgba</v>
      </c>
      <c r="X163" s="6" t="str">
        <f>IFERROR(__xludf.DUMMYFUNCTION("""COMPUTED_VALUE"""),"dfa")</f>
        <v>dfa</v>
      </c>
      <c r="Y163" s="6" t="str">
        <f>IFERROR(__xludf.DUMMYFUNCTION("""COMPUTED_VALUE"""),"egcda")</f>
        <v>egcda</v>
      </c>
      <c r="Z163" s="6" t="str">
        <f>IFERROR(__xludf.DUMMYFUNCTION("CONCATENATE(SORT(TRANSPOSE(SPLIT(REGEXREPLACE(REGEXREPLACE(V163&amp;"""",""(?s)(.{1})"",""$1""&amp;CHAR(127)),""'"",""''""),CHAR(127))),1,true))"),"adf")</f>
        <v>adf</v>
      </c>
      <c r="AA163" s="6" t="str">
        <f>IFERROR(__xludf.DUMMYFUNCTION("CONCATENATE(SORT(TRANSPOSE(SPLIT(REGEXREPLACE(REGEXREPLACE(W163&amp;"""",""(?s)(.{1})"",""$1""&amp;CHAR(127)),""'"",""''""),CHAR(127))),1,true))"),"abcfg")</f>
        <v>abcfg</v>
      </c>
      <c r="AB163" s="6" t="str">
        <f>IFERROR(__xludf.DUMMYFUNCTION("CONCATENATE(SORT(TRANSPOSE(SPLIT(REGEXREPLACE(REGEXREPLACE(X163&amp;"""",""(?s)(.{1})"",""$1""&amp;CHAR(127)),""'"",""''""),CHAR(127))),1,true))"),"adf")</f>
        <v>adf</v>
      </c>
      <c r="AC163" s="6" t="str">
        <f>IFERROR(__xludf.DUMMYFUNCTION("CONCATENATE(SORT(TRANSPOSE(SPLIT(REGEXREPLACE(REGEXREPLACE(Y163&amp;"""",""(?s)(.{1})"",""$1""&amp;CHAR(127)),""'"",""''""),CHAR(127))),1,true))"),"acdeg")</f>
        <v>acdeg</v>
      </c>
      <c r="AD163" s="6">
        <f t="shared" ref="AD163:AG163" si="173">INDEX($AO$1:$CP$1,1,MATCH(CONCATENATE(Z163,"1"),$AO163:$CP163,0)+1)</f>
        <v>7</v>
      </c>
      <c r="AE163" s="6">
        <f t="shared" si="173"/>
        <v>2</v>
      </c>
      <c r="AF163" s="6">
        <f t="shared" si="173"/>
        <v>7</v>
      </c>
      <c r="AG163" s="6">
        <f t="shared" si="173"/>
        <v>5</v>
      </c>
      <c r="AH163" s="6">
        <f t="shared" si="3"/>
        <v>7275</v>
      </c>
      <c r="AI163" s="16"/>
      <c r="AJ163" s="9" t="str">
        <f>IFERROR(__xludf.DUMMYFUNCTION("REGEXREPLACE(AR163,CONCATENATE(""["",BY163,""]""),"""")"),"f")</f>
        <v>f</v>
      </c>
      <c r="AK163" s="10" t="str">
        <f>IFERROR(__xludf.DUMMYFUNCTION("FILTER($K163:$T163,len($K163:$T163)=6,NOT($K163:$T163=BY163))"),"eafdbg")</f>
        <v>eafdbg</v>
      </c>
      <c r="AL163" s="6" t="str">
        <f>IFERROR(__xludf.DUMMYFUNCTION("""COMPUTED_VALUE"""),"cfgaed")</f>
        <v>cfgaed</v>
      </c>
      <c r="AM163" s="6" t="str">
        <f>IFERROR(__xludf.DUMMYFUNCTION("REGEXREPLACE( $BG163, CONCATENATE(""["",AK163,""]""), """")"),"c")</f>
        <v>c</v>
      </c>
      <c r="AN163" s="6" t="str">
        <f>IFERROR(__xludf.DUMMYFUNCTION("REGEXREPLACE( $BG163, CONCATENATE(""["",AL163,""]""), """")"),"")</f>
        <v/>
      </c>
      <c r="AO163" s="11" t="str">
        <f t="shared" si="4"/>
        <v>eafdbg</v>
      </c>
      <c r="AP163" s="12" t="str">
        <f>IFERROR(__xludf.DUMMYFUNCTION("CONCATENATE(SORT(TRANSPOSE(SPLIT(REGEXREPLACE(REGEXREPLACE(AO163&amp;"""",""(?s)(.{1})"",""$1""&amp;CHAR(127)),""'"",""''""),CHAR(127))),1,true),""1"")"),"abdefg1")</f>
        <v>abdefg1</v>
      </c>
      <c r="AQ163" s="16"/>
      <c r="AR163" s="12" t="str">
        <f t="shared" si="5"/>
        <v>fd</v>
      </c>
      <c r="AS163" s="12" t="str">
        <f>IFERROR(__xludf.DUMMYFUNCTION("CONCATENATE(SORT(TRANSPOSE(SPLIT(REGEXREPLACE(REGEXREPLACE(AR163&amp;"""",""(?s)(.{1})"",""$1""&amp;CHAR(127)),""'"",""''""),CHAR(127))),1,true),""1"")"),"df1")</f>
        <v>df1</v>
      </c>
      <c r="AT163" s="16"/>
      <c r="AU163" s="13" t="str">
        <f>IFERROR(__xludf.DUMMYFUNCTION("FILTER($K163:$T163,len($K163:$T163)=5,NOT($K163:$T163=BD163),NOT($K163:$T163=BP163))"),"cbfga")</f>
        <v>cbfga</v>
      </c>
      <c r="AV163" s="12" t="str">
        <f>IFERROR(__xludf.DUMMYFUNCTION("CONCATENATE(SORT(TRANSPOSE(SPLIT(REGEXREPLACE(REGEXREPLACE(AU163&amp;"""",""(?s)(.{1})"",""$1""&amp;CHAR(127)),""'"",""''""),CHAR(127))),1,true),""1"")"),"abcfg1")</f>
        <v>abcfg1</v>
      </c>
      <c r="AW163" s="16"/>
      <c r="AX163" s="10" t="str">
        <f>IFERROR(__xludf.DUMMYFUNCTION("FILTER($K163:$T163,len($K163:$T163)=5)"),"dgaec")</f>
        <v>dgaec</v>
      </c>
      <c r="AY163" s="6" t="str">
        <f>IFERROR(__xludf.DUMMYFUNCTION("""COMPUTED_VALUE"""),"cbfga")</f>
        <v>cbfga</v>
      </c>
      <c r="AZ163" s="6" t="str">
        <f>IFERROR(__xludf.DUMMYFUNCTION("""COMPUTED_VALUE"""),"cdgaf")</f>
        <v>cdgaf</v>
      </c>
      <c r="BA163" s="6" t="str">
        <f>IFERROR(__xludf.DUMMYFUNCTION("REGEXREPLACE( $AR163, CONCATENATE(""["",AX163,""]""), """")"),"f")</f>
        <v>f</v>
      </c>
      <c r="BB163" s="6" t="str">
        <f>IFERROR(__xludf.DUMMYFUNCTION("REGEXREPLACE( $AR163, CONCATENATE(""["",AY163,""]""), """")"),"d")</f>
        <v>d</v>
      </c>
      <c r="BC163" s="6" t="str">
        <f>IFERROR(__xludf.DUMMYFUNCTION("REGEXREPLACE( $AR163, CONCATENATE(""["",AZ163,""]""), """")"),"")</f>
        <v/>
      </c>
      <c r="BD163" s="11" t="str">
        <f t="shared" si="6"/>
        <v>cdgaf</v>
      </c>
      <c r="BE163" s="12" t="str">
        <f>IFERROR(__xludf.DUMMYFUNCTION("CONCATENATE(SORT(TRANSPOSE(SPLIT(REGEXREPLACE(REGEXREPLACE(BD163&amp;"""",""(?s)(.{1})"",""$1""&amp;CHAR(127)),""'"",""''""),CHAR(127))),1,true),""1"")"),"acdfg1")</f>
        <v>acdfg1</v>
      </c>
      <c r="BF163" s="16"/>
      <c r="BG163" s="12" t="str">
        <f t="shared" si="7"/>
        <v>decf</v>
      </c>
      <c r="BH163" s="12" t="str">
        <f>IFERROR(__xludf.DUMMYFUNCTION("CONCATENATE(SORT(TRANSPOSE(SPLIT(REGEXREPLACE(REGEXREPLACE(BG163&amp;"""",""(?s)(.{1})"",""$1""&amp;CHAR(127)),""'"",""''""),CHAR(127))),1,true),""1"")"),"cdef1")</f>
        <v>cdef1</v>
      </c>
      <c r="BI163" s="16"/>
      <c r="BJ163" s="10" t="str">
        <f>IFERROR(__xludf.DUMMYFUNCTION("FILTER($K163:$T163,len($K163:$T163)=5)"),"dgaec")</f>
        <v>dgaec</v>
      </c>
      <c r="BK163" s="6" t="str">
        <f>IFERROR(__xludf.DUMMYFUNCTION("""COMPUTED_VALUE"""),"cbfga")</f>
        <v>cbfga</v>
      </c>
      <c r="BL163" s="6" t="str">
        <f>IFERROR(__xludf.DUMMYFUNCTION("""COMPUTED_VALUE"""),"cdgaf")</f>
        <v>cdgaf</v>
      </c>
      <c r="BM163" s="14" t="str">
        <f>IFERROR(__xludf.DUMMYFUNCTION("REGEXREPLACE( $BY163, CONCATENATE(""["",BJ163,""]""), """")"),"b")</f>
        <v>b</v>
      </c>
      <c r="BN163" s="14" t="str">
        <f>IFERROR(__xludf.DUMMYFUNCTION("REGEXREPLACE( $BY163, CONCATENATE(""["",BK163,""]""), """")"),"ed")</f>
        <v>ed</v>
      </c>
      <c r="BO163" s="14" t="str">
        <f>IFERROR(__xludf.DUMMYFUNCTION("REGEXREPLACE( $BY163, CONCATENATE(""["",BL163,""]""), """")"),"eb")</f>
        <v>eb</v>
      </c>
      <c r="BP163" s="11" t="str">
        <f t="shared" si="8"/>
        <v>dgaec</v>
      </c>
      <c r="BQ163" s="12" t="str">
        <f>IFERROR(__xludf.DUMMYFUNCTION("CONCATENATE(SORT(TRANSPOSE(SPLIT(REGEXREPLACE(REGEXREPLACE(BP163&amp;"""",""(?s)(.{1})"",""$1""&amp;CHAR(127)),""'"",""''""),CHAR(127))),1,true),""1"")"),"acdeg1")</f>
        <v>acdeg1</v>
      </c>
      <c r="BR163" s="16"/>
      <c r="BS163" s="10" t="str">
        <f>IFERROR(__xludf.DUMMYFUNCTION("FILTER(K163:T163,len(K163:T163)=6)"),"eafdbg")</f>
        <v>eafdbg</v>
      </c>
      <c r="BT163" s="6" t="str">
        <f>IFERROR(__xludf.DUMMYFUNCTION("""COMPUTED_VALUE"""),"cfgaed")</f>
        <v>cfgaed</v>
      </c>
      <c r="BU163" s="6" t="str">
        <f>IFERROR(__xludf.DUMMYFUNCTION("""COMPUTED_VALUE"""),"ecbgad")</f>
        <v>ecbgad</v>
      </c>
      <c r="BV163" s="6" t="str">
        <f>IFERROR(__xludf.DUMMYFUNCTION("REGEXREPLACE( $AR163, CONCATENATE(""["",BS163,""]""), """")"),"")</f>
        <v/>
      </c>
      <c r="BW163" s="6" t="str">
        <f>IFERROR(__xludf.DUMMYFUNCTION("REGEXREPLACE( $AR163, CONCATENATE(""["",BT163,""]""), """")"),"")</f>
        <v/>
      </c>
      <c r="BX163" s="6" t="str">
        <f>IFERROR(__xludf.DUMMYFUNCTION("REGEXREPLACE( $AR163, CONCATENATE(""["",BU163,""]""), """")"),"f")</f>
        <v>f</v>
      </c>
      <c r="BY163" s="12" t="str">
        <f t="shared" si="9"/>
        <v>ecbgad</v>
      </c>
      <c r="BZ163" s="12" t="str">
        <f>IFERROR(__xludf.DUMMYFUNCTION("CONCATENATE(SORT(TRANSPOSE(SPLIT(REGEXREPLACE(REGEXREPLACE(BY163&amp;"""",""(?s)(.{1})"",""$1""&amp;CHAR(127)),""'"",""''""),CHAR(127))),1,true),""1"")"),"abcdeg1")</f>
        <v>abcdeg1</v>
      </c>
      <c r="CA163" s="16"/>
      <c r="CB163" s="12" t="str">
        <f t="shared" si="10"/>
        <v>adf</v>
      </c>
      <c r="CC163" s="12" t="str">
        <f>IFERROR(__xludf.DUMMYFUNCTION("CONCATENATE(SORT(TRANSPOSE(SPLIT(REGEXREPLACE(REGEXREPLACE(CB163&amp;"""",""(?s)(.{1})"",""$1""&amp;CHAR(127)),""'"",""''""),CHAR(127))),1,true),""1"")"),"adf1")</f>
        <v>adf1</v>
      </c>
      <c r="CD163" s="16"/>
      <c r="CE163" s="12" t="str">
        <f t="shared" si="11"/>
        <v>eabdcgf</v>
      </c>
      <c r="CF163" s="12" t="str">
        <f>IFERROR(__xludf.DUMMYFUNCTION("CONCATENATE(SORT(TRANSPOSE(SPLIT(REGEXREPLACE(REGEXREPLACE(CE163&amp;"""",""(?s)(.{1})"",""$1""&amp;CHAR(127)),""'"",""''""),CHAR(127))),1,true),""1"")"),"abcdefg1")</f>
        <v>abcdefg1</v>
      </c>
      <c r="CG163" s="16"/>
      <c r="CH163" s="10" t="str">
        <f>IFERROR(__xludf.DUMMYFUNCTION("FILTER(K163:T163,len(K163:T163)=6)"),"eafdbg")</f>
        <v>eafdbg</v>
      </c>
      <c r="CI163" s="6" t="str">
        <f>IFERROR(__xludf.DUMMYFUNCTION("""COMPUTED_VALUE"""),"cfgaed")</f>
        <v>cfgaed</v>
      </c>
      <c r="CJ163" s="6" t="str">
        <f>IFERROR(__xludf.DUMMYFUNCTION("""COMPUTED_VALUE"""),"ecbgad")</f>
        <v>ecbgad</v>
      </c>
      <c r="CK163" s="6" t="str">
        <f>IFERROR(__xludf.DUMMYFUNCTION("REGEXREPLACE( $BG163, CONCATENATE(""["",CH163,""]""), """")"),"c")</f>
        <v>c</v>
      </c>
      <c r="CL163" s="6" t="str">
        <f>IFERROR(__xludf.DUMMYFUNCTION("REGEXREPLACE( $BG163, CONCATENATE(""["",CI163,""]""), """")"),"")</f>
        <v/>
      </c>
      <c r="CM163" s="6" t="str">
        <f>IFERROR(__xludf.DUMMYFUNCTION("REGEXREPLACE( $BG163, CONCATENATE(""["",CJ163,""]""), """")"),"f")</f>
        <v>f</v>
      </c>
      <c r="CN163" s="12" t="str">
        <f t="shared" si="12"/>
        <v>cfgaed</v>
      </c>
      <c r="CO163" s="12" t="str">
        <f>IFERROR(__xludf.DUMMYFUNCTION("CONCATENATE(SORT(TRANSPOSE(SPLIT(REGEXREPLACE(REGEXREPLACE(CN163&amp;"""",""(?s)(.{1})"",""$1""&amp;CHAR(127)),""'"",""''""),CHAR(127))),1,true),""1"")"),"acdefg1")</f>
        <v>acdefg1</v>
      </c>
      <c r="CP163" s="15"/>
    </row>
    <row r="164">
      <c r="A164" s="1" t="s">
        <v>184</v>
      </c>
      <c r="H164" s="6" t="str">
        <f>IFERROR(__xludf.DUMMYFUNCTION("SPLIT(A164,""|"")"),"adfgce bdgaf agfcd dbeag cdfb bf fgacbe fcgabd fbg cbafegd ")</f>
        <v>adfgce bdgaf agfcd dbeag cdfb bf fgacbe fcgabd fbg cbafegd </v>
      </c>
      <c r="I164" s="6" t="str">
        <f>IFERROR(__xludf.DUMMYFUNCTION("""COMPUTED_VALUE""")," gedab fgaedbc fedbcga gbcafd")</f>
        <v> gedab fgaedbc fedbcga gbcafd</v>
      </c>
      <c r="J164" s="15"/>
      <c r="K164" s="6" t="str">
        <f>IFERROR(__xludf.DUMMYFUNCTION("split(H164,"" "")"),"adfgce")</f>
        <v>adfgce</v>
      </c>
      <c r="L164" s="6" t="str">
        <f>IFERROR(__xludf.DUMMYFUNCTION("""COMPUTED_VALUE"""),"bdgaf")</f>
        <v>bdgaf</v>
      </c>
      <c r="M164" s="6" t="str">
        <f>IFERROR(__xludf.DUMMYFUNCTION("""COMPUTED_VALUE"""),"agfcd")</f>
        <v>agfcd</v>
      </c>
      <c r="N164" s="6" t="str">
        <f>IFERROR(__xludf.DUMMYFUNCTION("""COMPUTED_VALUE"""),"dbeag")</f>
        <v>dbeag</v>
      </c>
      <c r="O164" s="6" t="str">
        <f>IFERROR(__xludf.DUMMYFUNCTION("""COMPUTED_VALUE"""),"cdfb")</f>
        <v>cdfb</v>
      </c>
      <c r="P164" s="6" t="str">
        <f>IFERROR(__xludf.DUMMYFUNCTION("""COMPUTED_VALUE"""),"bf")</f>
        <v>bf</v>
      </c>
      <c r="Q164" s="6" t="str">
        <f>IFERROR(__xludf.DUMMYFUNCTION("""COMPUTED_VALUE"""),"fgacbe")</f>
        <v>fgacbe</v>
      </c>
      <c r="R164" s="6" t="str">
        <f>IFERROR(__xludf.DUMMYFUNCTION("""COMPUTED_VALUE"""),"fcgabd")</f>
        <v>fcgabd</v>
      </c>
      <c r="S164" s="6" t="str">
        <f>IFERROR(__xludf.DUMMYFUNCTION("""COMPUTED_VALUE"""),"fbg")</f>
        <v>fbg</v>
      </c>
      <c r="T164" s="6" t="str">
        <f>IFERROR(__xludf.DUMMYFUNCTION("""COMPUTED_VALUE"""),"cbafegd")</f>
        <v>cbafegd</v>
      </c>
      <c r="U164" s="15"/>
      <c r="V164" s="6" t="str">
        <f>IFERROR(__xludf.DUMMYFUNCTION("split(I164,"" "")"),"gedab")</f>
        <v>gedab</v>
      </c>
      <c r="W164" s="6" t="str">
        <f>IFERROR(__xludf.DUMMYFUNCTION("""COMPUTED_VALUE"""),"fgaedbc")</f>
        <v>fgaedbc</v>
      </c>
      <c r="X164" s="6" t="str">
        <f>IFERROR(__xludf.DUMMYFUNCTION("""COMPUTED_VALUE"""),"fedbcga")</f>
        <v>fedbcga</v>
      </c>
      <c r="Y164" s="6" t="str">
        <f>IFERROR(__xludf.DUMMYFUNCTION("""COMPUTED_VALUE"""),"gbcafd")</f>
        <v>gbcafd</v>
      </c>
      <c r="Z164" s="6" t="str">
        <f>IFERROR(__xludf.DUMMYFUNCTION("CONCATENATE(SORT(TRANSPOSE(SPLIT(REGEXREPLACE(REGEXREPLACE(V164&amp;"""",""(?s)(.{1})"",""$1""&amp;CHAR(127)),""'"",""''""),CHAR(127))),1,true))"),"abdeg")</f>
        <v>abdeg</v>
      </c>
      <c r="AA164" s="6" t="str">
        <f>IFERROR(__xludf.DUMMYFUNCTION("CONCATENATE(SORT(TRANSPOSE(SPLIT(REGEXREPLACE(REGEXREPLACE(W164&amp;"""",""(?s)(.{1})"",""$1""&amp;CHAR(127)),""'"",""''""),CHAR(127))),1,true))"),"abcdefg")</f>
        <v>abcdefg</v>
      </c>
      <c r="AB164" s="6" t="str">
        <f>IFERROR(__xludf.DUMMYFUNCTION("CONCATENATE(SORT(TRANSPOSE(SPLIT(REGEXREPLACE(REGEXREPLACE(X164&amp;"""",""(?s)(.{1})"",""$1""&amp;CHAR(127)),""'"",""''""),CHAR(127))),1,true))"),"abcdefg")</f>
        <v>abcdefg</v>
      </c>
      <c r="AC164" s="6" t="str">
        <f>IFERROR(__xludf.DUMMYFUNCTION("CONCATENATE(SORT(TRANSPOSE(SPLIT(REGEXREPLACE(REGEXREPLACE(Y164&amp;"""",""(?s)(.{1})"",""$1""&amp;CHAR(127)),""'"",""''""),CHAR(127))),1,true))"),"abcdfg")</f>
        <v>abcdfg</v>
      </c>
      <c r="AD164" s="6">
        <f t="shared" ref="AD164:AG164" si="174">INDEX($AO$1:$CP$1,1,MATCH(CONCATENATE(Z164,"1"),$AO164:$CP164,0)+1)</f>
        <v>2</v>
      </c>
      <c r="AE164" s="6">
        <f t="shared" si="174"/>
        <v>8</v>
      </c>
      <c r="AF164" s="6">
        <f t="shared" si="174"/>
        <v>8</v>
      </c>
      <c r="AG164" s="6">
        <f t="shared" si="174"/>
        <v>9</v>
      </c>
      <c r="AH164" s="6">
        <f t="shared" si="3"/>
        <v>2889</v>
      </c>
      <c r="AI164" s="16"/>
      <c r="AJ164" s="9" t="str">
        <f>IFERROR(__xludf.DUMMYFUNCTION("REGEXREPLACE(AR164,CONCATENATE(""["",BY164,""]""),"""")"),"b")</f>
        <v>b</v>
      </c>
      <c r="AK164" s="10" t="str">
        <f>IFERROR(__xludf.DUMMYFUNCTION("FILTER($K164:$T164,len($K164:$T164)=6,NOT($K164:$T164=BY164))"),"fgacbe")</f>
        <v>fgacbe</v>
      </c>
      <c r="AL164" s="6" t="str">
        <f>IFERROR(__xludf.DUMMYFUNCTION("""COMPUTED_VALUE"""),"fcgabd")</f>
        <v>fcgabd</v>
      </c>
      <c r="AM164" s="6" t="str">
        <f>IFERROR(__xludf.DUMMYFUNCTION("REGEXREPLACE( $BG164, CONCATENATE(""["",AK164,""]""), """")"),"d")</f>
        <v>d</v>
      </c>
      <c r="AN164" s="6" t="str">
        <f>IFERROR(__xludf.DUMMYFUNCTION("REGEXREPLACE( $BG164, CONCATENATE(""["",AL164,""]""), """")"),"")</f>
        <v/>
      </c>
      <c r="AO164" s="11" t="str">
        <f t="shared" si="4"/>
        <v>fgacbe</v>
      </c>
      <c r="AP164" s="12" t="str">
        <f>IFERROR(__xludf.DUMMYFUNCTION("CONCATENATE(SORT(TRANSPOSE(SPLIT(REGEXREPLACE(REGEXREPLACE(AO164&amp;"""",""(?s)(.{1})"",""$1""&amp;CHAR(127)),""'"",""''""),CHAR(127))),1,true),""1"")"),"abcefg1")</f>
        <v>abcefg1</v>
      </c>
      <c r="AQ164" s="16"/>
      <c r="AR164" s="12" t="str">
        <f t="shared" si="5"/>
        <v>bf</v>
      </c>
      <c r="AS164" s="12" t="str">
        <f>IFERROR(__xludf.DUMMYFUNCTION("CONCATENATE(SORT(TRANSPOSE(SPLIT(REGEXREPLACE(REGEXREPLACE(AR164&amp;"""",""(?s)(.{1})"",""$1""&amp;CHAR(127)),""'"",""''""),CHAR(127))),1,true),""1"")"),"bf1")</f>
        <v>bf1</v>
      </c>
      <c r="AT164" s="16"/>
      <c r="AU164" s="13" t="str">
        <f>IFERROR(__xludf.DUMMYFUNCTION("FILTER($K164:$T164,len($K164:$T164)=5,NOT($K164:$T164=BD164),NOT($K164:$T164=BP164))"),"dbeag")</f>
        <v>dbeag</v>
      </c>
      <c r="AV164" s="12" t="str">
        <f>IFERROR(__xludf.DUMMYFUNCTION("CONCATENATE(SORT(TRANSPOSE(SPLIT(REGEXREPLACE(REGEXREPLACE(AU164&amp;"""",""(?s)(.{1})"",""$1""&amp;CHAR(127)),""'"",""''""),CHAR(127))),1,true),""1"")"),"abdeg1")</f>
        <v>abdeg1</v>
      </c>
      <c r="AW164" s="16"/>
      <c r="AX164" s="10" t="str">
        <f>IFERROR(__xludf.DUMMYFUNCTION("FILTER($K164:$T164,len($K164:$T164)=5)"),"bdgaf")</f>
        <v>bdgaf</v>
      </c>
      <c r="AY164" s="6" t="str">
        <f>IFERROR(__xludf.DUMMYFUNCTION("""COMPUTED_VALUE"""),"agfcd")</f>
        <v>agfcd</v>
      </c>
      <c r="AZ164" s="6" t="str">
        <f>IFERROR(__xludf.DUMMYFUNCTION("""COMPUTED_VALUE"""),"dbeag")</f>
        <v>dbeag</v>
      </c>
      <c r="BA164" s="6" t="str">
        <f>IFERROR(__xludf.DUMMYFUNCTION("REGEXREPLACE( $AR164, CONCATENATE(""["",AX164,""]""), """")"),"")</f>
        <v/>
      </c>
      <c r="BB164" s="6" t="str">
        <f>IFERROR(__xludf.DUMMYFUNCTION("REGEXREPLACE( $AR164, CONCATENATE(""["",AY164,""]""), """")"),"b")</f>
        <v>b</v>
      </c>
      <c r="BC164" s="6" t="str">
        <f>IFERROR(__xludf.DUMMYFUNCTION("REGEXREPLACE( $AR164, CONCATENATE(""["",AZ164,""]""), """")"),"f")</f>
        <v>f</v>
      </c>
      <c r="BD164" s="11" t="str">
        <f t="shared" si="6"/>
        <v>bdgaf</v>
      </c>
      <c r="BE164" s="12" t="str">
        <f>IFERROR(__xludf.DUMMYFUNCTION("CONCATENATE(SORT(TRANSPOSE(SPLIT(REGEXREPLACE(REGEXREPLACE(BD164&amp;"""",""(?s)(.{1})"",""$1""&amp;CHAR(127)),""'"",""''""),CHAR(127))),1,true),""1"")"),"abdfg1")</f>
        <v>abdfg1</v>
      </c>
      <c r="BF164" s="16"/>
      <c r="BG164" s="12" t="str">
        <f t="shared" si="7"/>
        <v>cdfb</v>
      </c>
      <c r="BH164" s="12" t="str">
        <f>IFERROR(__xludf.DUMMYFUNCTION("CONCATENATE(SORT(TRANSPOSE(SPLIT(REGEXREPLACE(REGEXREPLACE(BG164&amp;"""",""(?s)(.{1})"",""$1""&amp;CHAR(127)),""'"",""''""),CHAR(127))),1,true),""1"")"),"bcdf1")</f>
        <v>bcdf1</v>
      </c>
      <c r="BI164" s="16"/>
      <c r="BJ164" s="10" t="str">
        <f>IFERROR(__xludf.DUMMYFUNCTION("FILTER($K164:$T164,len($K164:$T164)=5)"),"bdgaf")</f>
        <v>bdgaf</v>
      </c>
      <c r="BK164" s="6" t="str">
        <f>IFERROR(__xludf.DUMMYFUNCTION("""COMPUTED_VALUE"""),"agfcd")</f>
        <v>agfcd</v>
      </c>
      <c r="BL164" s="6" t="str">
        <f>IFERROR(__xludf.DUMMYFUNCTION("""COMPUTED_VALUE"""),"dbeag")</f>
        <v>dbeag</v>
      </c>
      <c r="BM164" s="14" t="str">
        <f>IFERROR(__xludf.DUMMYFUNCTION("REGEXREPLACE( $BY164, CONCATENATE(""["",BJ164,""]""), """")"),"ce")</f>
        <v>ce</v>
      </c>
      <c r="BN164" s="14" t="str">
        <f>IFERROR(__xludf.DUMMYFUNCTION("REGEXREPLACE( $BY164, CONCATENATE(""["",BK164,""]""), """")"),"e")</f>
        <v>e</v>
      </c>
      <c r="BO164" s="14" t="str">
        <f>IFERROR(__xludf.DUMMYFUNCTION("REGEXREPLACE( $BY164, CONCATENATE(""["",BL164,""]""), """")"),"fc")</f>
        <v>fc</v>
      </c>
      <c r="BP164" s="11" t="str">
        <f t="shared" si="8"/>
        <v>agfcd</v>
      </c>
      <c r="BQ164" s="12" t="str">
        <f>IFERROR(__xludf.DUMMYFUNCTION("CONCATENATE(SORT(TRANSPOSE(SPLIT(REGEXREPLACE(REGEXREPLACE(BP164&amp;"""",""(?s)(.{1})"",""$1""&amp;CHAR(127)),""'"",""''""),CHAR(127))),1,true),""1"")"),"acdfg1")</f>
        <v>acdfg1</v>
      </c>
      <c r="BR164" s="16"/>
      <c r="BS164" s="10" t="str">
        <f>IFERROR(__xludf.DUMMYFUNCTION("FILTER(K164:T164,len(K164:T164)=6)"),"adfgce")</f>
        <v>adfgce</v>
      </c>
      <c r="BT164" s="6" t="str">
        <f>IFERROR(__xludf.DUMMYFUNCTION("""COMPUTED_VALUE"""),"fgacbe")</f>
        <v>fgacbe</v>
      </c>
      <c r="BU164" s="6" t="str">
        <f>IFERROR(__xludf.DUMMYFUNCTION("""COMPUTED_VALUE"""),"fcgabd")</f>
        <v>fcgabd</v>
      </c>
      <c r="BV164" s="6" t="str">
        <f>IFERROR(__xludf.DUMMYFUNCTION("REGEXREPLACE( $AR164, CONCATENATE(""["",BS164,""]""), """")"),"b")</f>
        <v>b</v>
      </c>
      <c r="BW164" s="6" t="str">
        <f>IFERROR(__xludf.DUMMYFUNCTION("REGEXREPLACE( $AR164, CONCATENATE(""["",BT164,""]""), """")"),"")</f>
        <v/>
      </c>
      <c r="BX164" s="6" t="str">
        <f>IFERROR(__xludf.DUMMYFUNCTION("REGEXREPLACE( $AR164, CONCATENATE(""["",BU164,""]""), """")"),"")</f>
        <v/>
      </c>
      <c r="BY164" s="12" t="str">
        <f t="shared" si="9"/>
        <v>adfgce</v>
      </c>
      <c r="BZ164" s="12" t="str">
        <f>IFERROR(__xludf.DUMMYFUNCTION("CONCATENATE(SORT(TRANSPOSE(SPLIT(REGEXREPLACE(REGEXREPLACE(BY164&amp;"""",""(?s)(.{1})"",""$1""&amp;CHAR(127)),""'"",""''""),CHAR(127))),1,true),""1"")"),"acdefg1")</f>
        <v>acdefg1</v>
      </c>
      <c r="CA164" s="16"/>
      <c r="CB164" s="12" t="str">
        <f t="shared" si="10"/>
        <v>fbg</v>
      </c>
      <c r="CC164" s="12" t="str">
        <f>IFERROR(__xludf.DUMMYFUNCTION("CONCATENATE(SORT(TRANSPOSE(SPLIT(REGEXREPLACE(REGEXREPLACE(CB164&amp;"""",""(?s)(.{1})"",""$1""&amp;CHAR(127)),""'"",""''""),CHAR(127))),1,true),""1"")"),"bfg1")</f>
        <v>bfg1</v>
      </c>
      <c r="CD164" s="16"/>
      <c r="CE164" s="12" t="str">
        <f t="shared" si="11"/>
        <v>cbafegd</v>
      </c>
      <c r="CF164" s="12" t="str">
        <f>IFERROR(__xludf.DUMMYFUNCTION("CONCATENATE(SORT(TRANSPOSE(SPLIT(REGEXREPLACE(REGEXREPLACE(CE164&amp;"""",""(?s)(.{1})"",""$1""&amp;CHAR(127)),""'"",""''""),CHAR(127))),1,true),""1"")"),"abcdefg1")</f>
        <v>abcdefg1</v>
      </c>
      <c r="CG164" s="16"/>
      <c r="CH164" s="10" t="str">
        <f>IFERROR(__xludf.DUMMYFUNCTION("FILTER(K164:T164,len(K164:T164)=6)"),"adfgce")</f>
        <v>adfgce</v>
      </c>
      <c r="CI164" s="6" t="str">
        <f>IFERROR(__xludf.DUMMYFUNCTION("""COMPUTED_VALUE"""),"fgacbe")</f>
        <v>fgacbe</v>
      </c>
      <c r="CJ164" s="6" t="str">
        <f>IFERROR(__xludf.DUMMYFUNCTION("""COMPUTED_VALUE"""),"fcgabd")</f>
        <v>fcgabd</v>
      </c>
      <c r="CK164" s="6" t="str">
        <f>IFERROR(__xludf.DUMMYFUNCTION("REGEXREPLACE( $BG164, CONCATENATE(""["",CH164,""]""), """")"),"b")</f>
        <v>b</v>
      </c>
      <c r="CL164" s="6" t="str">
        <f>IFERROR(__xludf.DUMMYFUNCTION("REGEXREPLACE( $BG164, CONCATENATE(""["",CI164,""]""), """")"),"d")</f>
        <v>d</v>
      </c>
      <c r="CM164" s="6" t="str">
        <f>IFERROR(__xludf.DUMMYFUNCTION("REGEXREPLACE( $BG164, CONCATENATE(""["",CJ164,""]""), """")"),"")</f>
        <v/>
      </c>
      <c r="CN164" s="12" t="str">
        <f t="shared" si="12"/>
        <v>fcgabd</v>
      </c>
      <c r="CO164" s="12" t="str">
        <f>IFERROR(__xludf.DUMMYFUNCTION("CONCATENATE(SORT(TRANSPOSE(SPLIT(REGEXREPLACE(REGEXREPLACE(CN164&amp;"""",""(?s)(.{1})"",""$1""&amp;CHAR(127)),""'"",""''""),CHAR(127))),1,true),""1"")"),"abcdfg1")</f>
        <v>abcdfg1</v>
      </c>
      <c r="CP164" s="15"/>
    </row>
    <row r="165">
      <c r="A165" s="1" t="s">
        <v>185</v>
      </c>
      <c r="H165" s="6" t="str">
        <f>IFERROR(__xludf.DUMMYFUNCTION("SPLIT(A165,""|"")"),"fedbga cefba cbd gbdea cabed ecgd dc gbdeca adbfegc cbagfd ")</f>
        <v>fedbga cefba cbd gbdea cabed ecgd dc gbdeca adbfegc cbagfd </v>
      </c>
      <c r="I165" s="6" t="str">
        <f>IFERROR(__xludf.DUMMYFUNCTION("""COMPUTED_VALUE""")," cd acefgbd befca aecfb")</f>
        <v> cd acefgbd befca aecfb</v>
      </c>
      <c r="J165" s="15"/>
      <c r="K165" s="6" t="str">
        <f>IFERROR(__xludf.DUMMYFUNCTION("split(H165,"" "")"),"fedbga")</f>
        <v>fedbga</v>
      </c>
      <c r="L165" s="6" t="str">
        <f>IFERROR(__xludf.DUMMYFUNCTION("""COMPUTED_VALUE"""),"cefba")</f>
        <v>cefba</v>
      </c>
      <c r="M165" s="6" t="str">
        <f>IFERROR(__xludf.DUMMYFUNCTION("""COMPUTED_VALUE"""),"cbd")</f>
        <v>cbd</v>
      </c>
      <c r="N165" s="6" t="str">
        <f>IFERROR(__xludf.DUMMYFUNCTION("""COMPUTED_VALUE"""),"gbdea")</f>
        <v>gbdea</v>
      </c>
      <c r="O165" s="6" t="str">
        <f>IFERROR(__xludf.DUMMYFUNCTION("""COMPUTED_VALUE"""),"cabed")</f>
        <v>cabed</v>
      </c>
      <c r="P165" s="6" t="str">
        <f>IFERROR(__xludf.DUMMYFUNCTION("""COMPUTED_VALUE"""),"ecgd")</f>
        <v>ecgd</v>
      </c>
      <c r="Q165" s="6" t="str">
        <f>IFERROR(__xludf.DUMMYFUNCTION("""COMPUTED_VALUE"""),"dc")</f>
        <v>dc</v>
      </c>
      <c r="R165" s="6" t="str">
        <f>IFERROR(__xludf.DUMMYFUNCTION("""COMPUTED_VALUE"""),"gbdeca")</f>
        <v>gbdeca</v>
      </c>
      <c r="S165" s="6" t="str">
        <f>IFERROR(__xludf.DUMMYFUNCTION("""COMPUTED_VALUE"""),"adbfegc")</f>
        <v>adbfegc</v>
      </c>
      <c r="T165" s="6" t="str">
        <f>IFERROR(__xludf.DUMMYFUNCTION("""COMPUTED_VALUE"""),"cbagfd")</f>
        <v>cbagfd</v>
      </c>
      <c r="U165" s="15"/>
      <c r="V165" s="6" t="str">
        <f>IFERROR(__xludf.DUMMYFUNCTION("split(I165,"" "")"),"cd")</f>
        <v>cd</v>
      </c>
      <c r="W165" s="6" t="str">
        <f>IFERROR(__xludf.DUMMYFUNCTION("""COMPUTED_VALUE"""),"acefgbd")</f>
        <v>acefgbd</v>
      </c>
      <c r="X165" s="6" t="str">
        <f>IFERROR(__xludf.DUMMYFUNCTION("""COMPUTED_VALUE"""),"befca")</f>
        <v>befca</v>
      </c>
      <c r="Y165" s="6" t="str">
        <f>IFERROR(__xludf.DUMMYFUNCTION("""COMPUTED_VALUE"""),"aecfb")</f>
        <v>aecfb</v>
      </c>
      <c r="Z165" s="6" t="str">
        <f>IFERROR(__xludf.DUMMYFUNCTION("CONCATENATE(SORT(TRANSPOSE(SPLIT(REGEXREPLACE(REGEXREPLACE(V165&amp;"""",""(?s)(.{1})"",""$1""&amp;CHAR(127)),""'"",""''""),CHAR(127))),1,true))"),"cd")</f>
        <v>cd</v>
      </c>
      <c r="AA165" s="6" t="str">
        <f>IFERROR(__xludf.DUMMYFUNCTION("CONCATENATE(SORT(TRANSPOSE(SPLIT(REGEXREPLACE(REGEXREPLACE(W165&amp;"""",""(?s)(.{1})"",""$1""&amp;CHAR(127)),""'"",""''""),CHAR(127))),1,true))"),"abcdefg")</f>
        <v>abcdefg</v>
      </c>
      <c r="AB165" s="6" t="str">
        <f>IFERROR(__xludf.DUMMYFUNCTION("CONCATENATE(SORT(TRANSPOSE(SPLIT(REGEXREPLACE(REGEXREPLACE(X165&amp;"""",""(?s)(.{1})"",""$1""&amp;CHAR(127)),""'"",""''""),CHAR(127))),1,true))"),"abcef")</f>
        <v>abcef</v>
      </c>
      <c r="AC165" s="6" t="str">
        <f>IFERROR(__xludf.DUMMYFUNCTION("CONCATENATE(SORT(TRANSPOSE(SPLIT(REGEXREPLACE(REGEXREPLACE(Y165&amp;"""",""(?s)(.{1})"",""$1""&amp;CHAR(127)),""'"",""''""),CHAR(127))),1,true))"),"abcef")</f>
        <v>abcef</v>
      </c>
      <c r="AD165" s="6">
        <f t="shared" ref="AD165:AG165" si="175">INDEX($AO$1:$CP$1,1,MATCH(CONCATENATE(Z165,"1"),$AO165:$CP165,0)+1)</f>
        <v>1</v>
      </c>
      <c r="AE165" s="6">
        <f t="shared" si="175"/>
        <v>8</v>
      </c>
      <c r="AF165" s="6">
        <f t="shared" si="175"/>
        <v>2</v>
      </c>
      <c r="AG165" s="6">
        <f t="shared" si="175"/>
        <v>2</v>
      </c>
      <c r="AH165" s="6">
        <f t="shared" si="3"/>
        <v>1822</v>
      </c>
      <c r="AI165" s="16"/>
      <c r="AJ165" s="9" t="str">
        <f>IFERROR(__xludf.DUMMYFUNCTION("REGEXREPLACE(AR165,CONCATENATE(""["",BY165,""]""),"""")"),"c")</f>
        <v>c</v>
      </c>
      <c r="AK165" s="10" t="str">
        <f>IFERROR(__xludf.DUMMYFUNCTION("FILTER($K165:$T165,len($K165:$T165)=6,NOT($K165:$T165=BY165))"),"gbdeca")</f>
        <v>gbdeca</v>
      </c>
      <c r="AL165" s="6" t="str">
        <f>IFERROR(__xludf.DUMMYFUNCTION("""COMPUTED_VALUE"""),"cbagfd")</f>
        <v>cbagfd</v>
      </c>
      <c r="AM165" s="6" t="str">
        <f>IFERROR(__xludf.DUMMYFUNCTION("REGEXREPLACE( $BG165, CONCATENATE(""["",AK165,""]""), """")"),"")</f>
        <v/>
      </c>
      <c r="AN165" s="6" t="str">
        <f>IFERROR(__xludf.DUMMYFUNCTION("REGEXREPLACE( $BG165, CONCATENATE(""["",AL165,""]""), """")"),"e")</f>
        <v>e</v>
      </c>
      <c r="AO165" s="11" t="str">
        <f t="shared" si="4"/>
        <v>cbagfd</v>
      </c>
      <c r="AP165" s="12" t="str">
        <f>IFERROR(__xludf.DUMMYFUNCTION("CONCATENATE(SORT(TRANSPOSE(SPLIT(REGEXREPLACE(REGEXREPLACE(AO165&amp;"""",""(?s)(.{1})"",""$1""&amp;CHAR(127)),""'"",""''""),CHAR(127))),1,true),""1"")"),"abcdfg1")</f>
        <v>abcdfg1</v>
      </c>
      <c r="AQ165" s="16"/>
      <c r="AR165" s="12" t="str">
        <f t="shared" si="5"/>
        <v>dc</v>
      </c>
      <c r="AS165" s="12" t="str">
        <f>IFERROR(__xludf.DUMMYFUNCTION("CONCATENATE(SORT(TRANSPOSE(SPLIT(REGEXREPLACE(REGEXREPLACE(AR165&amp;"""",""(?s)(.{1})"",""$1""&amp;CHAR(127)),""'"",""''""),CHAR(127))),1,true),""1"")"),"cd1")</f>
        <v>cd1</v>
      </c>
      <c r="AT165" s="16"/>
      <c r="AU165" s="13" t="str">
        <f>IFERROR(__xludf.DUMMYFUNCTION("FILTER($K165:$T165,len($K165:$T165)=5,NOT($K165:$T165=BD165),NOT($K165:$T165=BP165))"),"cefba")</f>
        <v>cefba</v>
      </c>
      <c r="AV165" s="12" t="str">
        <f>IFERROR(__xludf.DUMMYFUNCTION("CONCATENATE(SORT(TRANSPOSE(SPLIT(REGEXREPLACE(REGEXREPLACE(AU165&amp;"""",""(?s)(.{1})"",""$1""&amp;CHAR(127)),""'"",""''""),CHAR(127))),1,true),""1"")"),"abcef1")</f>
        <v>abcef1</v>
      </c>
      <c r="AW165" s="16"/>
      <c r="AX165" s="10" t="str">
        <f>IFERROR(__xludf.DUMMYFUNCTION("FILTER($K165:$T165,len($K165:$T165)=5)"),"cefba")</f>
        <v>cefba</v>
      </c>
      <c r="AY165" s="6" t="str">
        <f>IFERROR(__xludf.DUMMYFUNCTION("""COMPUTED_VALUE"""),"gbdea")</f>
        <v>gbdea</v>
      </c>
      <c r="AZ165" s="6" t="str">
        <f>IFERROR(__xludf.DUMMYFUNCTION("""COMPUTED_VALUE"""),"cabed")</f>
        <v>cabed</v>
      </c>
      <c r="BA165" s="6" t="str">
        <f>IFERROR(__xludf.DUMMYFUNCTION("REGEXREPLACE( $AR165, CONCATENATE(""["",AX165,""]""), """")"),"d")</f>
        <v>d</v>
      </c>
      <c r="BB165" s="6" t="str">
        <f>IFERROR(__xludf.DUMMYFUNCTION("REGEXREPLACE( $AR165, CONCATENATE(""["",AY165,""]""), """")"),"c")</f>
        <v>c</v>
      </c>
      <c r="BC165" s="6" t="str">
        <f>IFERROR(__xludf.DUMMYFUNCTION("REGEXREPLACE( $AR165, CONCATENATE(""["",AZ165,""]""), """")"),"")</f>
        <v/>
      </c>
      <c r="BD165" s="11" t="str">
        <f t="shared" si="6"/>
        <v>cabed</v>
      </c>
      <c r="BE165" s="12" t="str">
        <f>IFERROR(__xludf.DUMMYFUNCTION("CONCATENATE(SORT(TRANSPOSE(SPLIT(REGEXREPLACE(REGEXREPLACE(BD165&amp;"""",""(?s)(.{1})"",""$1""&amp;CHAR(127)),""'"",""''""),CHAR(127))),1,true),""1"")"),"abcde1")</f>
        <v>abcde1</v>
      </c>
      <c r="BF165" s="16"/>
      <c r="BG165" s="12" t="str">
        <f t="shared" si="7"/>
        <v>ecgd</v>
      </c>
      <c r="BH165" s="12" t="str">
        <f>IFERROR(__xludf.DUMMYFUNCTION("CONCATENATE(SORT(TRANSPOSE(SPLIT(REGEXREPLACE(REGEXREPLACE(BG165&amp;"""",""(?s)(.{1})"",""$1""&amp;CHAR(127)),""'"",""''""),CHAR(127))),1,true),""1"")"),"cdeg1")</f>
        <v>cdeg1</v>
      </c>
      <c r="BI165" s="16"/>
      <c r="BJ165" s="10" t="str">
        <f>IFERROR(__xludf.DUMMYFUNCTION("FILTER($K165:$T165,len($K165:$T165)=5)"),"cefba")</f>
        <v>cefba</v>
      </c>
      <c r="BK165" s="6" t="str">
        <f>IFERROR(__xludf.DUMMYFUNCTION("""COMPUTED_VALUE"""),"gbdea")</f>
        <v>gbdea</v>
      </c>
      <c r="BL165" s="6" t="str">
        <f>IFERROR(__xludf.DUMMYFUNCTION("""COMPUTED_VALUE"""),"cabed")</f>
        <v>cabed</v>
      </c>
      <c r="BM165" s="14" t="str">
        <f>IFERROR(__xludf.DUMMYFUNCTION("REGEXREPLACE( $BY165, CONCATENATE(""["",BJ165,""]""), """")"),"dg")</f>
        <v>dg</v>
      </c>
      <c r="BN165" s="14" t="str">
        <f>IFERROR(__xludf.DUMMYFUNCTION("REGEXREPLACE( $BY165, CONCATENATE(""["",BK165,""]""), """")"),"f")</f>
        <v>f</v>
      </c>
      <c r="BO165" s="14" t="str">
        <f>IFERROR(__xludf.DUMMYFUNCTION("REGEXREPLACE( $BY165, CONCATENATE(""["",BL165,""]""), """")"),"fg")</f>
        <v>fg</v>
      </c>
      <c r="BP165" s="11" t="str">
        <f t="shared" si="8"/>
        <v>gbdea</v>
      </c>
      <c r="BQ165" s="12" t="str">
        <f>IFERROR(__xludf.DUMMYFUNCTION("CONCATENATE(SORT(TRANSPOSE(SPLIT(REGEXREPLACE(REGEXREPLACE(BP165&amp;"""",""(?s)(.{1})"",""$1""&amp;CHAR(127)),""'"",""''""),CHAR(127))),1,true),""1"")"),"abdeg1")</f>
        <v>abdeg1</v>
      </c>
      <c r="BR165" s="16"/>
      <c r="BS165" s="10" t="str">
        <f>IFERROR(__xludf.DUMMYFUNCTION("FILTER(K165:T165,len(K165:T165)=6)"),"fedbga")</f>
        <v>fedbga</v>
      </c>
      <c r="BT165" s="6" t="str">
        <f>IFERROR(__xludf.DUMMYFUNCTION("""COMPUTED_VALUE"""),"gbdeca")</f>
        <v>gbdeca</v>
      </c>
      <c r="BU165" s="6" t="str">
        <f>IFERROR(__xludf.DUMMYFUNCTION("""COMPUTED_VALUE"""),"cbagfd")</f>
        <v>cbagfd</v>
      </c>
      <c r="BV165" s="6" t="str">
        <f>IFERROR(__xludf.DUMMYFUNCTION("REGEXREPLACE( $AR165, CONCATENATE(""["",BS165,""]""), """")"),"c")</f>
        <v>c</v>
      </c>
      <c r="BW165" s="6" t="str">
        <f>IFERROR(__xludf.DUMMYFUNCTION("REGEXREPLACE( $AR165, CONCATENATE(""["",BT165,""]""), """")"),"")</f>
        <v/>
      </c>
      <c r="BX165" s="6" t="str">
        <f>IFERROR(__xludf.DUMMYFUNCTION("REGEXREPLACE( $AR165, CONCATENATE(""["",BU165,""]""), """")"),"")</f>
        <v/>
      </c>
      <c r="BY165" s="12" t="str">
        <f t="shared" si="9"/>
        <v>fedbga</v>
      </c>
      <c r="BZ165" s="12" t="str">
        <f>IFERROR(__xludf.DUMMYFUNCTION("CONCATENATE(SORT(TRANSPOSE(SPLIT(REGEXREPLACE(REGEXREPLACE(BY165&amp;"""",""(?s)(.{1})"",""$1""&amp;CHAR(127)),""'"",""''""),CHAR(127))),1,true),""1"")"),"abdefg1")</f>
        <v>abdefg1</v>
      </c>
      <c r="CA165" s="16"/>
      <c r="CB165" s="12" t="str">
        <f t="shared" si="10"/>
        <v>cbd</v>
      </c>
      <c r="CC165" s="12" t="str">
        <f>IFERROR(__xludf.DUMMYFUNCTION("CONCATENATE(SORT(TRANSPOSE(SPLIT(REGEXREPLACE(REGEXREPLACE(CB165&amp;"""",""(?s)(.{1})"",""$1""&amp;CHAR(127)),""'"",""''""),CHAR(127))),1,true),""1"")"),"bcd1")</f>
        <v>bcd1</v>
      </c>
      <c r="CD165" s="16"/>
      <c r="CE165" s="12" t="str">
        <f t="shared" si="11"/>
        <v>adbfegc</v>
      </c>
      <c r="CF165" s="12" t="str">
        <f>IFERROR(__xludf.DUMMYFUNCTION("CONCATENATE(SORT(TRANSPOSE(SPLIT(REGEXREPLACE(REGEXREPLACE(CE165&amp;"""",""(?s)(.{1})"",""$1""&amp;CHAR(127)),""'"",""''""),CHAR(127))),1,true),""1"")"),"abcdefg1")</f>
        <v>abcdefg1</v>
      </c>
      <c r="CG165" s="16"/>
      <c r="CH165" s="10" t="str">
        <f>IFERROR(__xludf.DUMMYFUNCTION("FILTER(K165:T165,len(K165:T165)=6)"),"fedbga")</f>
        <v>fedbga</v>
      </c>
      <c r="CI165" s="6" t="str">
        <f>IFERROR(__xludf.DUMMYFUNCTION("""COMPUTED_VALUE"""),"gbdeca")</f>
        <v>gbdeca</v>
      </c>
      <c r="CJ165" s="6" t="str">
        <f>IFERROR(__xludf.DUMMYFUNCTION("""COMPUTED_VALUE"""),"cbagfd")</f>
        <v>cbagfd</v>
      </c>
      <c r="CK165" s="6" t="str">
        <f>IFERROR(__xludf.DUMMYFUNCTION("REGEXREPLACE( $BG165, CONCATENATE(""["",CH165,""]""), """")"),"c")</f>
        <v>c</v>
      </c>
      <c r="CL165" s="6" t="str">
        <f>IFERROR(__xludf.DUMMYFUNCTION("REGEXREPLACE( $BG165, CONCATENATE(""["",CI165,""]""), """")"),"")</f>
        <v/>
      </c>
      <c r="CM165" s="6" t="str">
        <f>IFERROR(__xludf.DUMMYFUNCTION("REGEXREPLACE( $BG165, CONCATENATE(""["",CJ165,""]""), """")"),"e")</f>
        <v>e</v>
      </c>
      <c r="CN165" s="12" t="str">
        <f t="shared" si="12"/>
        <v>gbdeca</v>
      </c>
      <c r="CO165" s="12" t="str">
        <f>IFERROR(__xludf.DUMMYFUNCTION("CONCATENATE(SORT(TRANSPOSE(SPLIT(REGEXREPLACE(REGEXREPLACE(CN165&amp;"""",""(?s)(.{1})"",""$1""&amp;CHAR(127)),""'"",""''""),CHAR(127))),1,true),""1"")"),"abcdeg1")</f>
        <v>abcdeg1</v>
      </c>
      <c r="CP165" s="15"/>
    </row>
    <row r="166">
      <c r="A166" s="1" t="s">
        <v>186</v>
      </c>
      <c r="H166" s="6" t="str">
        <f>IFERROR(__xludf.DUMMYFUNCTION("SPLIT(A166,""|"")"),"agecbd facegd gefadcb gcaed geaf gcf dcbfe dgefc dafgbc gf ")</f>
        <v>agecbd facegd gefadcb gcaed geaf gcf dcbfe dgefc dafgbc gf </v>
      </c>
      <c r="I166" s="6" t="str">
        <f>IFERROR(__xludf.DUMMYFUNCTION("""COMPUTED_VALUE""")," eadgcf aefg gdbcfae gf")</f>
        <v> eadgcf aefg gdbcfae gf</v>
      </c>
      <c r="J166" s="15"/>
      <c r="K166" s="6" t="str">
        <f>IFERROR(__xludf.DUMMYFUNCTION("split(H166,"" "")"),"agecbd")</f>
        <v>agecbd</v>
      </c>
      <c r="L166" s="6" t="str">
        <f>IFERROR(__xludf.DUMMYFUNCTION("""COMPUTED_VALUE"""),"facegd")</f>
        <v>facegd</v>
      </c>
      <c r="M166" s="6" t="str">
        <f>IFERROR(__xludf.DUMMYFUNCTION("""COMPUTED_VALUE"""),"gefadcb")</f>
        <v>gefadcb</v>
      </c>
      <c r="N166" s="6" t="str">
        <f>IFERROR(__xludf.DUMMYFUNCTION("""COMPUTED_VALUE"""),"gcaed")</f>
        <v>gcaed</v>
      </c>
      <c r="O166" s="6" t="str">
        <f>IFERROR(__xludf.DUMMYFUNCTION("""COMPUTED_VALUE"""),"geaf")</f>
        <v>geaf</v>
      </c>
      <c r="P166" s="6" t="str">
        <f>IFERROR(__xludf.DUMMYFUNCTION("""COMPUTED_VALUE"""),"gcf")</f>
        <v>gcf</v>
      </c>
      <c r="Q166" s="6" t="str">
        <f>IFERROR(__xludf.DUMMYFUNCTION("""COMPUTED_VALUE"""),"dcbfe")</f>
        <v>dcbfe</v>
      </c>
      <c r="R166" s="6" t="str">
        <f>IFERROR(__xludf.DUMMYFUNCTION("""COMPUTED_VALUE"""),"dgefc")</f>
        <v>dgefc</v>
      </c>
      <c r="S166" s="6" t="str">
        <f>IFERROR(__xludf.DUMMYFUNCTION("""COMPUTED_VALUE"""),"dafgbc")</f>
        <v>dafgbc</v>
      </c>
      <c r="T166" s="6" t="str">
        <f>IFERROR(__xludf.DUMMYFUNCTION("""COMPUTED_VALUE"""),"gf")</f>
        <v>gf</v>
      </c>
      <c r="U166" s="15"/>
      <c r="V166" s="6" t="str">
        <f>IFERROR(__xludf.DUMMYFUNCTION("split(I166,"" "")"),"eadgcf")</f>
        <v>eadgcf</v>
      </c>
      <c r="W166" s="6" t="str">
        <f>IFERROR(__xludf.DUMMYFUNCTION("""COMPUTED_VALUE"""),"aefg")</f>
        <v>aefg</v>
      </c>
      <c r="X166" s="6" t="str">
        <f>IFERROR(__xludf.DUMMYFUNCTION("""COMPUTED_VALUE"""),"gdbcfae")</f>
        <v>gdbcfae</v>
      </c>
      <c r="Y166" s="6" t="str">
        <f>IFERROR(__xludf.DUMMYFUNCTION("""COMPUTED_VALUE"""),"gf")</f>
        <v>gf</v>
      </c>
      <c r="Z166" s="6" t="str">
        <f>IFERROR(__xludf.DUMMYFUNCTION("CONCATENATE(SORT(TRANSPOSE(SPLIT(REGEXREPLACE(REGEXREPLACE(V166&amp;"""",""(?s)(.{1})"",""$1""&amp;CHAR(127)),""'"",""''""),CHAR(127))),1,true))"),"acdefg")</f>
        <v>acdefg</v>
      </c>
      <c r="AA166" s="6" t="str">
        <f>IFERROR(__xludf.DUMMYFUNCTION("CONCATENATE(SORT(TRANSPOSE(SPLIT(REGEXREPLACE(REGEXREPLACE(W166&amp;"""",""(?s)(.{1})"",""$1""&amp;CHAR(127)),""'"",""''""),CHAR(127))),1,true))"),"aefg")</f>
        <v>aefg</v>
      </c>
      <c r="AB166" s="6" t="str">
        <f>IFERROR(__xludf.DUMMYFUNCTION("CONCATENATE(SORT(TRANSPOSE(SPLIT(REGEXREPLACE(REGEXREPLACE(X166&amp;"""",""(?s)(.{1})"",""$1""&amp;CHAR(127)),""'"",""''""),CHAR(127))),1,true))"),"abcdefg")</f>
        <v>abcdefg</v>
      </c>
      <c r="AC166" s="6" t="str">
        <f>IFERROR(__xludf.DUMMYFUNCTION("CONCATENATE(SORT(TRANSPOSE(SPLIT(REGEXREPLACE(REGEXREPLACE(Y166&amp;"""",""(?s)(.{1})"",""$1""&amp;CHAR(127)),""'"",""''""),CHAR(127))),1,true))"),"fg")</f>
        <v>fg</v>
      </c>
      <c r="AD166" s="6">
        <f t="shared" ref="AD166:AG166" si="176">INDEX($AO$1:$CP$1,1,MATCH(CONCATENATE(Z166,"1"),$AO166:$CP166,0)+1)</f>
        <v>9</v>
      </c>
      <c r="AE166" s="6">
        <f t="shared" si="176"/>
        <v>4</v>
      </c>
      <c r="AF166" s="6">
        <f t="shared" si="176"/>
        <v>8</v>
      </c>
      <c r="AG166" s="6">
        <f t="shared" si="176"/>
        <v>1</v>
      </c>
      <c r="AH166" s="6">
        <f t="shared" si="3"/>
        <v>9481</v>
      </c>
      <c r="AI166" s="16"/>
      <c r="AJ166" s="9" t="str">
        <f>IFERROR(__xludf.DUMMYFUNCTION("REGEXREPLACE(AR166,CONCATENATE(""["",BY166,""]""),"""")"),"f")</f>
        <v>f</v>
      </c>
      <c r="AK166" s="10" t="str">
        <f>IFERROR(__xludf.DUMMYFUNCTION("FILTER($K166:$T166,len($K166:$T166)=6,NOT($K166:$T166=BY166))"),"facegd")</f>
        <v>facegd</v>
      </c>
      <c r="AL166" s="6" t="str">
        <f>IFERROR(__xludf.DUMMYFUNCTION("""COMPUTED_VALUE"""),"dafgbc")</f>
        <v>dafgbc</v>
      </c>
      <c r="AM166" s="6" t="str">
        <f>IFERROR(__xludf.DUMMYFUNCTION("REGEXREPLACE( $BG166, CONCATENATE(""["",AK166,""]""), """")"),"")</f>
        <v/>
      </c>
      <c r="AN166" s="6" t="str">
        <f>IFERROR(__xludf.DUMMYFUNCTION("REGEXREPLACE( $BG166, CONCATENATE(""["",AL166,""]""), """")"),"e")</f>
        <v>e</v>
      </c>
      <c r="AO166" s="11" t="str">
        <f t="shared" si="4"/>
        <v>dafgbc</v>
      </c>
      <c r="AP166" s="12" t="str">
        <f>IFERROR(__xludf.DUMMYFUNCTION("CONCATENATE(SORT(TRANSPOSE(SPLIT(REGEXREPLACE(REGEXREPLACE(AO166&amp;"""",""(?s)(.{1})"",""$1""&amp;CHAR(127)),""'"",""''""),CHAR(127))),1,true),""1"")"),"abcdfg1")</f>
        <v>abcdfg1</v>
      </c>
      <c r="AQ166" s="16"/>
      <c r="AR166" s="12" t="str">
        <f t="shared" si="5"/>
        <v>gf</v>
      </c>
      <c r="AS166" s="12" t="str">
        <f>IFERROR(__xludf.DUMMYFUNCTION("CONCATENATE(SORT(TRANSPOSE(SPLIT(REGEXREPLACE(REGEXREPLACE(AR166&amp;"""",""(?s)(.{1})"",""$1""&amp;CHAR(127)),""'"",""''""),CHAR(127))),1,true),""1"")"),"fg1")</f>
        <v>fg1</v>
      </c>
      <c r="AT166" s="16"/>
      <c r="AU166" s="13" t="str">
        <f>IFERROR(__xludf.DUMMYFUNCTION("FILTER($K166:$T166,len($K166:$T166)=5,NOT($K166:$T166=BD166),NOT($K166:$T166=BP166))"),"dcbfe")</f>
        <v>dcbfe</v>
      </c>
      <c r="AV166" s="12" t="str">
        <f>IFERROR(__xludf.DUMMYFUNCTION("CONCATENATE(SORT(TRANSPOSE(SPLIT(REGEXREPLACE(REGEXREPLACE(AU166&amp;"""",""(?s)(.{1})"",""$1""&amp;CHAR(127)),""'"",""''""),CHAR(127))),1,true),""1"")"),"bcdef1")</f>
        <v>bcdef1</v>
      </c>
      <c r="AW166" s="16"/>
      <c r="AX166" s="10" t="str">
        <f>IFERROR(__xludf.DUMMYFUNCTION("FILTER($K166:$T166,len($K166:$T166)=5)"),"gcaed")</f>
        <v>gcaed</v>
      </c>
      <c r="AY166" s="6" t="str">
        <f>IFERROR(__xludf.DUMMYFUNCTION("""COMPUTED_VALUE"""),"dcbfe")</f>
        <v>dcbfe</v>
      </c>
      <c r="AZ166" s="6" t="str">
        <f>IFERROR(__xludf.DUMMYFUNCTION("""COMPUTED_VALUE"""),"dgefc")</f>
        <v>dgefc</v>
      </c>
      <c r="BA166" s="6" t="str">
        <f>IFERROR(__xludf.DUMMYFUNCTION("REGEXREPLACE( $AR166, CONCATENATE(""["",AX166,""]""), """")"),"f")</f>
        <v>f</v>
      </c>
      <c r="BB166" s="6" t="str">
        <f>IFERROR(__xludf.DUMMYFUNCTION("REGEXREPLACE( $AR166, CONCATENATE(""["",AY166,""]""), """")"),"g")</f>
        <v>g</v>
      </c>
      <c r="BC166" s="6" t="str">
        <f>IFERROR(__xludf.DUMMYFUNCTION("REGEXREPLACE( $AR166, CONCATENATE(""["",AZ166,""]""), """")"),"")</f>
        <v/>
      </c>
      <c r="BD166" s="11" t="str">
        <f t="shared" si="6"/>
        <v>dgefc</v>
      </c>
      <c r="BE166" s="12" t="str">
        <f>IFERROR(__xludf.DUMMYFUNCTION("CONCATENATE(SORT(TRANSPOSE(SPLIT(REGEXREPLACE(REGEXREPLACE(BD166&amp;"""",""(?s)(.{1})"",""$1""&amp;CHAR(127)),""'"",""''""),CHAR(127))),1,true),""1"")"),"cdefg1")</f>
        <v>cdefg1</v>
      </c>
      <c r="BF166" s="16"/>
      <c r="BG166" s="12" t="str">
        <f t="shared" si="7"/>
        <v>geaf</v>
      </c>
      <c r="BH166" s="12" t="str">
        <f>IFERROR(__xludf.DUMMYFUNCTION("CONCATENATE(SORT(TRANSPOSE(SPLIT(REGEXREPLACE(REGEXREPLACE(BG166&amp;"""",""(?s)(.{1})"",""$1""&amp;CHAR(127)),""'"",""''""),CHAR(127))),1,true),""1"")"),"aefg1")</f>
        <v>aefg1</v>
      </c>
      <c r="BI166" s="16"/>
      <c r="BJ166" s="10" t="str">
        <f>IFERROR(__xludf.DUMMYFUNCTION("FILTER($K166:$T166,len($K166:$T166)=5)"),"gcaed")</f>
        <v>gcaed</v>
      </c>
      <c r="BK166" s="6" t="str">
        <f>IFERROR(__xludf.DUMMYFUNCTION("""COMPUTED_VALUE"""),"dcbfe")</f>
        <v>dcbfe</v>
      </c>
      <c r="BL166" s="6" t="str">
        <f>IFERROR(__xludf.DUMMYFUNCTION("""COMPUTED_VALUE"""),"dgefc")</f>
        <v>dgefc</v>
      </c>
      <c r="BM166" s="14" t="str">
        <f>IFERROR(__xludf.DUMMYFUNCTION("REGEXREPLACE( $BY166, CONCATENATE(""["",BJ166,""]""), """")"),"b")</f>
        <v>b</v>
      </c>
      <c r="BN166" s="14" t="str">
        <f>IFERROR(__xludf.DUMMYFUNCTION("REGEXREPLACE( $BY166, CONCATENATE(""["",BK166,""]""), """")"),"ag")</f>
        <v>ag</v>
      </c>
      <c r="BO166" s="14" t="str">
        <f>IFERROR(__xludf.DUMMYFUNCTION("REGEXREPLACE( $BY166, CONCATENATE(""["",BL166,""]""), """")"),"ab")</f>
        <v>ab</v>
      </c>
      <c r="BP166" s="11" t="str">
        <f t="shared" si="8"/>
        <v>gcaed</v>
      </c>
      <c r="BQ166" s="12" t="str">
        <f>IFERROR(__xludf.DUMMYFUNCTION("CONCATENATE(SORT(TRANSPOSE(SPLIT(REGEXREPLACE(REGEXREPLACE(BP166&amp;"""",""(?s)(.{1})"",""$1""&amp;CHAR(127)),""'"",""''""),CHAR(127))),1,true),""1"")"),"acdeg1")</f>
        <v>acdeg1</v>
      </c>
      <c r="BR166" s="16"/>
      <c r="BS166" s="10" t="str">
        <f>IFERROR(__xludf.DUMMYFUNCTION("FILTER(K166:T166,len(K166:T166)=6)"),"agecbd")</f>
        <v>agecbd</v>
      </c>
      <c r="BT166" s="6" t="str">
        <f>IFERROR(__xludf.DUMMYFUNCTION("""COMPUTED_VALUE"""),"facegd")</f>
        <v>facegd</v>
      </c>
      <c r="BU166" s="6" t="str">
        <f>IFERROR(__xludf.DUMMYFUNCTION("""COMPUTED_VALUE"""),"dafgbc")</f>
        <v>dafgbc</v>
      </c>
      <c r="BV166" s="6" t="str">
        <f>IFERROR(__xludf.DUMMYFUNCTION("REGEXREPLACE( $AR166, CONCATENATE(""["",BS166,""]""), """")"),"f")</f>
        <v>f</v>
      </c>
      <c r="BW166" s="6" t="str">
        <f>IFERROR(__xludf.DUMMYFUNCTION("REGEXREPLACE( $AR166, CONCATENATE(""["",BT166,""]""), """")"),"")</f>
        <v/>
      </c>
      <c r="BX166" s="6" t="str">
        <f>IFERROR(__xludf.DUMMYFUNCTION("REGEXREPLACE( $AR166, CONCATENATE(""["",BU166,""]""), """")"),"")</f>
        <v/>
      </c>
      <c r="BY166" s="12" t="str">
        <f t="shared" si="9"/>
        <v>agecbd</v>
      </c>
      <c r="BZ166" s="12" t="str">
        <f>IFERROR(__xludf.DUMMYFUNCTION("CONCATENATE(SORT(TRANSPOSE(SPLIT(REGEXREPLACE(REGEXREPLACE(BY166&amp;"""",""(?s)(.{1})"",""$1""&amp;CHAR(127)),""'"",""''""),CHAR(127))),1,true),""1"")"),"abcdeg1")</f>
        <v>abcdeg1</v>
      </c>
      <c r="CA166" s="16"/>
      <c r="CB166" s="12" t="str">
        <f t="shared" si="10"/>
        <v>gcf</v>
      </c>
      <c r="CC166" s="12" t="str">
        <f>IFERROR(__xludf.DUMMYFUNCTION("CONCATENATE(SORT(TRANSPOSE(SPLIT(REGEXREPLACE(REGEXREPLACE(CB166&amp;"""",""(?s)(.{1})"",""$1""&amp;CHAR(127)),""'"",""''""),CHAR(127))),1,true),""1"")"),"cfg1")</f>
        <v>cfg1</v>
      </c>
      <c r="CD166" s="16"/>
      <c r="CE166" s="12" t="str">
        <f t="shared" si="11"/>
        <v>gefadcb</v>
      </c>
      <c r="CF166" s="12" t="str">
        <f>IFERROR(__xludf.DUMMYFUNCTION("CONCATENATE(SORT(TRANSPOSE(SPLIT(REGEXREPLACE(REGEXREPLACE(CE166&amp;"""",""(?s)(.{1})"",""$1""&amp;CHAR(127)),""'"",""''""),CHAR(127))),1,true),""1"")"),"abcdefg1")</f>
        <v>abcdefg1</v>
      </c>
      <c r="CG166" s="16"/>
      <c r="CH166" s="10" t="str">
        <f>IFERROR(__xludf.DUMMYFUNCTION("FILTER(K166:T166,len(K166:T166)=6)"),"agecbd")</f>
        <v>agecbd</v>
      </c>
      <c r="CI166" s="6" t="str">
        <f>IFERROR(__xludf.DUMMYFUNCTION("""COMPUTED_VALUE"""),"facegd")</f>
        <v>facegd</v>
      </c>
      <c r="CJ166" s="6" t="str">
        <f>IFERROR(__xludf.DUMMYFUNCTION("""COMPUTED_VALUE"""),"dafgbc")</f>
        <v>dafgbc</v>
      </c>
      <c r="CK166" s="6" t="str">
        <f>IFERROR(__xludf.DUMMYFUNCTION("REGEXREPLACE( $BG166, CONCATENATE(""["",CH166,""]""), """")"),"f")</f>
        <v>f</v>
      </c>
      <c r="CL166" s="6" t="str">
        <f>IFERROR(__xludf.DUMMYFUNCTION("REGEXREPLACE( $BG166, CONCATENATE(""["",CI166,""]""), """")"),"")</f>
        <v/>
      </c>
      <c r="CM166" s="6" t="str">
        <f>IFERROR(__xludf.DUMMYFUNCTION("REGEXREPLACE( $BG166, CONCATENATE(""["",CJ166,""]""), """")"),"e")</f>
        <v>e</v>
      </c>
      <c r="CN166" s="12" t="str">
        <f t="shared" si="12"/>
        <v>facegd</v>
      </c>
      <c r="CO166" s="12" t="str">
        <f>IFERROR(__xludf.DUMMYFUNCTION("CONCATENATE(SORT(TRANSPOSE(SPLIT(REGEXREPLACE(REGEXREPLACE(CN166&amp;"""",""(?s)(.{1})"",""$1""&amp;CHAR(127)),""'"",""''""),CHAR(127))),1,true),""1"")"),"acdefg1")</f>
        <v>acdefg1</v>
      </c>
      <c r="CP166" s="15"/>
    </row>
    <row r="167">
      <c r="A167" s="1" t="s">
        <v>187</v>
      </c>
      <c r="H167" s="6" t="str">
        <f>IFERROR(__xludf.DUMMYFUNCTION("SPLIT(A167,""|"")"),"bdgaec efadbg fcadeb dbegc agdc bcgef edagb aedgbfc dcb cd ")</f>
        <v>bdgaec efadbg fcadeb dbegc agdc bcgef edagb aedgbfc dcb cd </v>
      </c>
      <c r="I167" s="6" t="str">
        <f>IFERROR(__xludf.DUMMYFUNCTION("""COMPUTED_VALUE""")," bedag dcga bcd fdeagb")</f>
        <v> bedag dcga bcd fdeagb</v>
      </c>
      <c r="J167" s="15"/>
      <c r="K167" s="6" t="str">
        <f>IFERROR(__xludf.DUMMYFUNCTION("split(H167,"" "")"),"bdgaec")</f>
        <v>bdgaec</v>
      </c>
      <c r="L167" s="6" t="str">
        <f>IFERROR(__xludf.DUMMYFUNCTION("""COMPUTED_VALUE"""),"efadbg")</f>
        <v>efadbg</v>
      </c>
      <c r="M167" s="6" t="str">
        <f>IFERROR(__xludf.DUMMYFUNCTION("""COMPUTED_VALUE"""),"fcadeb")</f>
        <v>fcadeb</v>
      </c>
      <c r="N167" s="6" t="str">
        <f>IFERROR(__xludf.DUMMYFUNCTION("""COMPUTED_VALUE"""),"dbegc")</f>
        <v>dbegc</v>
      </c>
      <c r="O167" s="6" t="str">
        <f>IFERROR(__xludf.DUMMYFUNCTION("""COMPUTED_VALUE"""),"agdc")</f>
        <v>agdc</v>
      </c>
      <c r="P167" s="6" t="str">
        <f>IFERROR(__xludf.DUMMYFUNCTION("""COMPUTED_VALUE"""),"bcgef")</f>
        <v>bcgef</v>
      </c>
      <c r="Q167" s="6" t="str">
        <f>IFERROR(__xludf.DUMMYFUNCTION("""COMPUTED_VALUE"""),"edagb")</f>
        <v>edagb</v>
      </c>
      <c r="R167" s="6" t="str">
        <f>IFERROR(__xludf.DUMMYFUNCTION("""COMPUTED_VALUE"""),"aedgbfc")</f>
        <v>aedgbfc</v>
      </c>
      <c r="S167" s="6" t="str">
        <f>IFERROR(__xludf.DUMMYFUNCTION("""COMPUTED_VALUE"""),"dcb")</f>
        <v>dcb</v>
      </c>
      <c r="T167" s="6" t="str">
        <f>IFERROR(__xludf.DUMMYFUNCTION("""COMPUTED_VALUE"""),"cd")</f>
        <v>cd</v>
      </c>
      <c r="U167" s="15"/>
      <c r="V167" s="6" t="str">
        <f>IFERROR(__xludf.DUMMYFUNCTION("split(I167,"" "")"),"bedag")</f>
        <v>bedag</v>
      </c>
      <c r="W167" s="6" t="str">
        <f>IFERROR(__xludf.DUMMYFUNCTION("""COMPUTED_VALUE"""),"dcga")</f>
        <v>dcga</v>
      </c>
      <c r="X167" s="6" t="str">
        <f>IFERROR(__xludf.DUMMYFUNCTION("""COMPUTED_VALUE"""),"bcd")</f>
        <v>bcd</v>
      </c>
      <c r="Y167" s="6" t="str">
        <f>IFERROR(__xludf.DUMMYFUNCTION("""COMPUTED_VALUE"""),"fdeagb")</f>
        <v>fdeagb</v>
      </c>
      <c r="Z167" s="6" t="str">
        <f>IFERROR(__xludf.DUMMYFUNCTION("CONCATENATE(SORT(TRANSPOSE(SPLIT(REGEXREPLACE(REGEXREPLACE(V167&amp;"""",""(?s)(.{1})"",""$1""&amp;CHAR(127)),""'"",""''""),CHAR(127))),1,true))"),"abdeg")</f>
        <v>abdeg</v>
      </c>
      <c r="AA167" s="6" t="str">
        <f>IFERROR(__xludf.DUMMYFUNCTION("CONCATENATE(SORT(TRANSPOSE(SPLIT(REGEXREPLACE(REGEXREPLACE(W167&amp;"""",""(?s)(.{1})"",""$1""&amp;CHAR(127)),""'"",""''""),CHAR(127))),1,true))"),"acdg")</f>
        <v>acdg</v>
      </c>
      <c r="AB167" s="6" t="str">
        <f>IFERROR(__xludf.DUMMYFUNCTION("CONCATENATE(SORT(TRANSPOSE(SPLIT(REGEXREPLACE(REGEXREPLACE(X167&amp;"""",""(?s)(.{1})"",""$1""&amp;CHAR(127)),""'"",""''""),CHAR(127))),1,true))"),"bcd")</f>
        <v>bcd</v>
      </c>
      <c r="AC167" s="6" t="str">
        <f>IFERROR(__xludf.DUMMYFUNCTION("CONCATENATE(SORT(TRANSPOSE(SPLIT(REGEXREPLACE(REGEXREPLACE(Y167&amp;"""",""(?s)(.{1})"",""$1""&amp;CHAR(127)),""'"",""''""),CHAR(127))),1,true))"),"abdefg")</f>
        <v>abdefg</v>
      </c>
      <c r="AD167" s="6">
        <f t="shared" ref="AD167:AG167" si="177">INDEX($AO$1:$CP$1,1,MATCH(CONCATENATE(Z167,"1"),$AO167:$CP167,0)+1)</f>
        <v>5</v>
      </c>
      <c r="AE167" s="6">
        <f t="shared" si="177"/>
        <v>4</v>
      </c>
      <c r="AF167" s="6">
        <f t="shared" si="177"/>
        <v>7</v>
      </c>
      <c r="AG167" s="6">
        <f t="shared" si="177"/>
        <v>6</v>
      </c>
      <c r="AH167" s="6">
        <f t="shared" si="3"/>
        <v>5476</v>
      </c>
      <c r="AI167" s="16"/>
      <c r="AJ167" s="9" t="str">
        <f>IFERROR(__xludf.DUMMYFUNCTION("REGEXREPLACE(AR167,CONCATENATE(""["",BY167,""]""),"""")"),"c")</f>
        <v>c</v>
      </c>
      <c r="AK167" s="10" t="str">
        <f>IFERROR(__xludf.DUMMYFUNCTION("FILTER($K167:$T167,len($K167:$T167)=6,NOT($K167:$T167=BY167))"),"bdgaec")</f>
        <v>bdgaec</v>
      </c>
      <c r="AL167" s="6" t="str">
        <f>IFERROR(__xludf.DUMMYFUNCTION("""COMPUTED_VALUE"""),"fcadeb")</f>
        <v>fcadeb</v>
      </c>
      <c r="AM167" s="6" t="str">
        <f>IFERROR(__xludf.DUMMYFUNCTION("REGEXREPLACE( $BG167, CONCATENATE(""["",AK167,""]""), """")"),"")</f>
        <v/>
      </c>
      <c r="AN167" s="6" t="str">
        <f>IFERROR(__xludf.DUMMYFUNCTION("REGEXREPLACE( $BG167, CONCATENATE(""["",AL167,""]""), """")"),"g")</f>
        <v>g</v>
      </c>
      <c r="AO167" s="11" t="str">
        <f t="shared" si="4"/>
        <v>fcadeb</v>
      </c>
      <c r="AP167" s="12" t="str">
        <f>IFERROR(__xludf.DUMMYFUNCTION("CONCATENATE(SORT(TRANSPOSE(SPLIT(REGEXREPLACE(REGEXREPLACE(AO167&amp;"""",""(?s)(.{1})"",""$1""&amp;CHAR(127)),""'"",""''""),CHAR(127))),1,true),""1"")"),"abcdef1")</f>
        <v>abcdef1</v>
      </c>
      <c r="AQ167" s="16"/>
      <c r="AR167" s="12" t="str">
        <f t="shared" si="5"/>
        <v>cd</v>
      </c>
      <c r="AS167" s="12" t="str">
        <f>IFERROR(__xludf.DUMMYFUNCTION("CONCATENATE(SORT(TRANSPOSE(SPLIT(REGEXREPLACE(REGEXREPLACE(AR167&amp;"""",""(?s)(.{1})"",""$1""&amp;CHAR(127)),""'"",""''""),CHAR(127))),1,true),""1"")"),"cd1")</f>
        <v>cd1</v>
      </c>
      <c r="AT167" s="16"/>
      <c r="AU167" s="13" t="str">
        <f>IFERROR(__xludf.DUMMYFUNCTION("FILTER($K167:$T167,len($K167:$T167)=5,NOT($K167:$T167=BD167),NOT($K167:$T167=BP167))"),"bcgef")</f>
        <v>bcgef</v>
      </c>
      <c r="AV167" s="12" t="str">
        <f>IFERROR(__xludf.DUMMYFUNCTION("CONCATENATE(SORT(TRANSPOSE(SPLIT(REGEXREPLACE(REGEXREPLACE(AU167&amp;"""",""(?s)(.{1})"",""$1""&amp;CHAR(127)),""'"",""''""),CHAR(127))),1,true),""1"")"),"bcefg1")</f>
        <v>bcefg1</v>
      </c>
      <c r="AW167" s="16"/>
      <c r="AX167" s="10" t="str">
        <f>IFERROR(__xludf.DUMMYFUNCTION("FILTER($K167:$T167,len($K167:$T167)=5)"),"dbegc")</f>
        <v>dbegc</v>
      </c>
      <c r="AY167" s="6" t="str">
        <f>IFERROR(__xludf.DUMMYFUNCTION("""COMPUTED_VALUE"""),"bcgef")</f>
        <v>bcgef</v>
      </c>
      <c r="AZ167" s="6" t="str">
        <f>IFERROR(__xludf.DUMMYFUNCTION("""COMPUTED_VALUE"""),"edagb")</f>
        <v>edagb</v>
      </c>
      <c r="BA167" s="6" t="str">
        <f>IFERROR(__xludf.DUMMYFUNCTION("REGEXREPLACE( $AR167, CONCATENATE(""["",AX167,""]""), """")"),"")</f>
        <v/>
      </c>
      <c r="BB167" s="6" t="str">
        <f>IFERROR(__xludf.DUMMYFUNCTION("REGEXREPLACE( $AR167, CONCATENATE(""["",AY167,""]""), """")"),"d")</f>
        <v>d</v>
      </c>
      <c r="BC167" s="6" t="str">
        <f>IFERROR(__xludf.DUMMYFUNCTION("REGEXREPLACE( $AR167, CONCATENATE(""["",AZ167,""]""), """")"),"c")</f>
        <v>c</v>
      </c>
      <c r="BD167" s="11" t="str">
        <f t="shared" si="6"/>
        <v>dbegc</v>
      </c>
      <c r="BE167" s="12" t="str">
        <f>IFERROR(__xludf.DUMMYFUNCTION("CONCATENATE(SORT(TRANSPOSE(SPLIT(REGEXREPLACE(REGEXREPLACE(BD167&amp;"""",""(?s)(.{1})"",""$1""&amp;CHAR(127)),""'"",""''""),CHAR(127))),1,true),""1"")"),"bcdeg1")</f>
        <v>bcdeg1</v>
      </c>
      <c r="BF167" s="16"/>
      <c r="BG167" s="12" t="str">
        <f t="shared" si="7"/>
        <v>agdc</v>
      </c>
      <c r="BH167" s="12" t="str">
        <f>IFERROR(__xludf.DUMMYFUNCTION("CONCATENATE(SORT(TRANSPOSE(SPLIT(REGEXREPLACE(REGEXREPLACE(BG167&amp;"""",""(?s)(.{1})"",""$1""&amp;CHAR(127)),""'"",""''""),CHAR(127))),1,true),""1"")"),"acdg1")</f>
        <v>acdg1</v>
      </c>
      <c r="BI167" s="16"/>
      <c r="BJ167" s="10" t="str">
        <f>IFERROR(__xludf.DUMMYFUNCTION("FILTER($K167:$T167,len($K167:$T167)=5)"),"dbegc")</f>
        <v>dbegc</v>
      </c>
      <c r="BK167" s="6" t="str">
        <f>IFERROR(__xludf.DUMMYFUNCTION("""COMPUTED_VALUE"""),"bcgef")</f>
        <v>bcgef</v>
      </c>
      <c r="BL167" s="6" t="str">
        <f>IFERROR(__xludf.DUMMYFUNCTION("""COMPUTED_VALUE"""),"edagb")</f>
        <v>edagb</v>
      </c>
      <c r="BM167" s="14" t="str">
        <f>IFERROR(__xludf.DUMMYFUNCTION("REGEXREPLACE( $BY167, CONCATENATE(""["",BJ167,""]""), """")"),"fa")</f>
        <v>fa</v>
      </c>
      <c r="BN167" s="14" t="str">
        <f>IFERROR(__xludf.DUMMYFUNCTION("REGEXREPLACE( $BY167, CONCATENATE(""["",BK167,""]""), """")"),"ad")</f>
        <v>ad</v>
      </c>
      <c r="BO167" s="14" t="str">
        <f>IFERROR(__xludf.DUMMYFUNCTION("REGEXREPLACE( $BY167, CONCATENATE(""["",BL167,""]""), """")"),"f")</f>
        <v>f</v>
      </c>
      <c r="BP167" s="11" t="str">
        <f t="shared" si="8"/>
        <v>edagb</v>
      </c>
      <c r="BQ167" s="12" t="str">
        <f>IFERROR(__xludf.DUMMYFUNCTION("CONCATENATE(SORT(TRANSPOSE(SPLIT(REGEXREPLACE(REGEXREPLACE(BP167&amp;"""",""(?s)(.{1})"",""$1""&amp;CHAR(127)),""'"",""''""),CHAR(127))),1,true),""1"")"),"abdeg1")</f>
        <v>abdeg1</v>
      </c>
      <c r="BR167" s="16"/>
      <c r="BS167" s="10" t="str">
        <f>IFERROR(__xludf.DUMMYFUNCTION("FILTER(K167:T167,len(K167:T167)=6)"),"bdgaec")</f>
        <v>bdgaec</v>
      </c>
      <c r="BT167" s="6" t="str">
        <f>IFERROR(__xludf.DUMMYFUNCTION("""COMPUTED_VALUE"""),"efadbg")</f>
        <v>efadbg</v>
      </c>
      <c r="BU167" s="6" t="str">
        <f>IFERROR(__xludf.DUMMYFUNCTION("""COMPUTED_VALUE"""),"fcadeb")</f>
        <v>fcadeb</v>
      </c>
      <c r="BV167" s="6" t="str">
        <f>IFERROR(__xludf.DUMMYFUNCTION("REGEXREPLACE( $AR167, CONCATENATE(""["",BS167,""]""), """")"),"")</f>
        <v/>
      </c>
      <c r="BW167" s="6" t="str">
        <f>IFERROR(__xludf.DUMMYFUNCTION("REGEXREPLACE( $AR167, CONCATENATE(""["",BT167,""]""), """")"),"c")</f>
        <v>c</v>
      </c>
      <c r="BX167" s="6" t="str">
        <f>IFERROR(__xludf.DUMMYFUNCTION("REGEXREPLACE( $AR167, CONCATENATE(""["",BU167,""]""), """")"),"")</f>
        <v/>
      </c>
      <c r="BY167" s="12" t="str">
        <f t="shared" si="9"/>
        <v>efadbg</v>
      </c>
      <c r="BZ167" s="12" t="str">
        <f>IFERROR(__xludf.DUMMYFUNCTION("CONCATENATE(SORT(TRANSPOSE(SPLIT(REGEXREPLACE(REGEXREPLACE(BY167&amp;"""",""(?s)(.{1})"",""$1""&amp;CHAR(127)),""'"",""''""),CHAR(127))),1,true),""1"")"),"abdefg1")</f>
        <v>abdefg1</v>
      </c>
      <c r="CA167" s="16"/>
      <c r="CB167" s="12" t="str">
        <f t="shared" si="10"/>
        <v>dcb</v>
      </c>
      <c r="CC167" s="12" t="str">
        <f>IFERROR(__xludf.DUMMYFUNCTION("CONCATENATE(SORT(TRANSPOSE(SPLIT(REGEXREPLACE(REGEXREPLACE(CB167&amp;"""",""(?s)(.{1})"",""$1""&amp;CHAR(127)),""'"",""''""),CHAR(127))),1,true),""1"")"),"bcd1")</f>
        <v>bcd1</v>
      </c>
      <c r="CD167" s="16"/>
      <c r="CE167" s="12" t="str">
        <f t="shared" si="11"/>
        <v>aedgbfc</v>
      </c>
      <c r="CF167" s="12" t="str">
        <f>IFERROR(__xludf.DUMMYFUNCTION("CONCATENATE(SORT(TRANSPOSE(SPLIT(REGEXREPLACE(REGEXREPLACE(CE167&amp;"""",""(?s)(.{1})"",""$1""&amp;CHAR(127)),""'"",""''""),CHAR(127))),1,true),""1"")"),"abcdefg1")</f>
        <v>abcdefg1</v>
      </c>
      <c r="CG167" s="16"/>
      <c r="CH167" s="10" t="str">
        <f>IFERROR(__xludf.DUMMYFUNCTION("FILTER(K167:T167,len(K167:T167)=6)"),"bdgaec")</f>
        <v>bdgaec</v>
      </c>
      <c r="CI167" s="6" t="str">
        <f>IFERROR(__xludf.DUMMYFUNCTION("""COMPUTED_VALUE"""),"efadbg")</f>
        <v>efadbg</v>
      </c>
      <c r="CJ167" s="6" t="str">
        <f>IFERROR(__xludf.DUMMYFUNCTION("""COMPUTED_VALUE"""),"fcadeb")</f>
        <v>fcadeb</v>
      </c>
      <c r="CK167" s="6" t="str">
        <f>IFERROR(__xludf.DUMMYFUNCTION("REGEXREPLACE( $BG167, CONCATENATE(""["",CH167,""]""), """")"),"")</f>
        <v/>
      </c>
      <c r="CL167" s="6" t="str">
        <f>IFERROR(__xludf.DUMMYFUNCTION("REGEXREPLACE( $BG167, CONCATENATE(""["",CI167,""]""), """")"),"c")</f>
        <v>c</v>
      </c>
      <c r="CM167" s="6" t="str">
        <f>IFERROR(__xludf.DUMMYFUNCTION("REGEXREPLACE( $BG167, CONCATENATE(""["",CJ167,""]""), """")"),"g")</f>
        <v>g</v>
      </c>
      <c r="CN167" s="12" t="str">
        <f t="shared" si="12"/>
        <v>bdgaec</v>
      </c>
      <c r="CO167" s="12" t="str">
        <f>IFERROR(__xludf.DUMMYFUNCTION("CONCATENATE(SORT(TRANSPOSE(SPLIT(REGEXREPLACE(REGEXREPLACE(CN167&amp;"""",""(?s)(.{1})"",""$1""&amp;CHAR(127)),""'"",""''""),CHAR(127))),1,true),""1"")"),"abcdeg1")</f>
        <v>abcdeg1</v>
      </c>
      <c r="CP167" s="15"/>
    </row>
    <row r="168">
      <c r="A168" s="1" t="s">
        <v>188</v>
      </c>
      <c r="H168" s="6" t="str">
        <f>IFERROR(__xludf.DUMMYFUNCTION("SPLIT(A168,""|"")"),"adfbg bfc cdgbaf dcab fdabge bfdcgea cbgaef cgdfb cb egfdc ")</f>
        <v>adfbg bfc cdgbaf dcab fdabge bfdcgea cbgaef cgdfb cb egfdc </v>
      </c>
      <c r="I168" s="6" t="str">
        <f>IFERROR(__xludf.DUMMYFUNCTION("""COMPUTED_VALUE""")," bgafed cb cdba dbafg")</f>
        <v> bgafed cb cdba dbafg</v>
      </c>
      <c r="J168" s="15"/>
      <c r="K168" s="6" t="str">
        <f>IFERROR(__xludf.DUMMYFUNCTION("split(H168,"" "")"),"adfbg")</f>
        <v>adfbg</v>
      </c>
      <c r="L168" s="6" t="str">
        <f>IFERROR(__xludf.DUMMYFUNCTION("""COMPUTED_VALUE"""),"bfc")</f>
        <v>bfc</v>
      </c>
      <c r="M168" s="6" t="str">
        <f>IFERROR(__xludf.DUMMYFUNCTION("""COMPUTED_VALUE"""),"cdgbaf")</f>
        <v>cdgbaf</v>
      </c>
      <c r="N168" s="6" t="str">
        <f>IFERROR(__xludf.DUMMYFUNCTION("""COMPUTED_VALUE"""),"dcab")</f>
        <v>dcab</v>
      </c>
      <c r="O168" s="6" t="str">
        <f>IFERROR(__xludf.DUMMYFUNCTION("""COMPUTED_VALUE"""),"fdabge")</f>
        <v>fdabge</v>
      </c>
      <c r="P168" s="6" t="str">
        <f>IFERROR(__xludf.DUMMYFUNCTION("""COMPUTED_VALUE"""),"bfdcgea")</f>
        <v>bfdcgea</v>
      </c>
      <c r="Q168" s="6" t="str">
        <f>IFERROR(__xludf.DUMMYFUNCTION("""COMPUTED_VALUE"""),"cbgaef")</f>
        <v>cbgaef</v>
      </c>
      <c r="R168" s="6" t="str">
        <f>IFERROR(__xludf.DUMMYFUNCTION("""COMPUTED_VALUE"""),"cgdfb")</f>
        <v>cgdfb</v>
      </c>
      <c r="S168" s="6" t="str">
        <f>IFERROR(__xludf.DUMMYFUNCTION("""COMPUTED_VALUE"""),"cb")</f>
        <v>cb</v>
      </c>
      <c r="T168" s="6" t="str">
        <f>IFERROR(__xludf.DUMMYFUNCTION("""COMPUTED_VALUE"""),"egfdc")</f>
        <v>egfdc</v>
      </c>
      <c r="U168" s="15"/>
      <c r="V168" s="6" t="str">
        <f>IFERROR(__xludf.DUMMYFUNCTION("split(I168,"" "")"),"bgafed")</f>
        <v>bgafed</v>
      </c>
      <c r="W168" s="6" t="str">
        <f>IFERROR(__xludf.DUMMYFUNCTION("""COMPUTED_VALUE"""),"cb")</f>
        <v>cb</v>
      </c>
      <c r="X168" s="6" t="str">
        <f>IFERROR(__xludf.DUMMYFUNCTION("""COMPUTED_VALUE"""),"cdba")</f>
        <v>cdba</v>
      </c>
      <c r="Y168" s="6" t="str">
        <f>IFERROR(__xludf.DUMMYFUNCTION("""COMPUTED_VALUE"""),"dbafg")</f>
        <v>dbafg</v>
      </c>
      <c r="Z168" s="6" t="str">
        <f>IFERROR(__xludf.DUMMYFUNCTION("CONCATENATE(SORT(TRANSPOSE(SPLIT(REGEXREPLACE(REGEXREPLACE(V168&amp;"""",""(?s)(.{1})"",""$1""&amp;CHAR(127)),""'"",""''""),CHAR(127))),1,true))"),"abdefg")</f>
        <v>abdefg</v>
      </c>
      <c r="AA168" s="6" t="str">
        <f>IFERROR(__xludf.DUMMYFUNCTION("CONCATENATE(SORT(TRANSPOSE(SPLIT(REGEXREPLACE(REGEXREPLACE(W168&amp;"""",""(?s)(.{1})"",""$1""&amp;CHAR(127)),""'"",""''""),CHAR(127))),1,true))"),"bc")</f>
        <v>bc</v>
      </c>
      <c r="AB168" s="6" t="str">
        <f>IFERROR(__xludf.DUMMYFUNCTION("CONCATENATE(SORT(TRANSPOSE(SPLIT(REGEXREPLACE(REGEXREPLACE(X168&amp;"""",""(?s)(.{1})"",""$1""&amp;CHAR(127)),""'"",""''""),CHAR(127))),1,true))"),"abcd")</f>
        <v>abcd</v>
      </c>
      <c r="AC168" s="6" t="str">
        <f>IFERROR(__xludf.DUMMYFUNCTION("CONCATENATE(SORT(TRANSPOSE(SPLIT(REGEXREPLACE(REGEXREPLACE(Y168&amp;"""",""(?s)(.{1})"",""$1""&amp;CHAR(127)),""'"",""''""),CHAR(127))),1,true))"),"abdfg")</f>
        <v>abdfg</v>
      </c>
      <c r="AD168" s="6">
        <f t="shared" ref="AD168:AG168" si="178">INDEX($AO$1:$CP$1,1,MATCH(CONCATENATE(Z168,"1"),$AO168:$CP168,0)+1)</f>
        <v>6</v>
      </c>
      <c r="AE168" s="6">
        <f t="shared" si="178"/>
        <v>1</v>
      </c>
      <c r="AF168" s="6">
        <f t="shared" si="178"/>
        <v>4</v>
      </c>
      <c r="AG168" s="6">
        <f t="shared" si="178"/>
        <v>5</v>
      </c>
      <c r="AH168" s="6">
        <f t="shared" si="3"/>
        <v>6145</v>
      </c>
      <c r="AI168" s="16"/>
      <c r="AJ168" s="9" t="str">
        <f>IFERROR(__xludf.DUMMYFUNCTION("REGEXREPLACE(AR168,CONCATENATE(""["",BY168,""]""),"""")"),"c")</f>
        <v>c</v>
      </c>
      <c r="AK168" s="10" t="str">
        <f>IFERROR(__xludf.DUMMYFUNCTION("FILTER($K168:$T168,len($K168:$T168)=6,NOT($K168:$T168=BY168))"),"cdgbaf")</f>
        <v>cdgbaf</v>
      </c>
      <c r="AL168" s="6" t="str">
        <f>IFERROR(__xludf.DUMMYFUNCTION("""COMPUTED_VALUE"""),"cbgaef")</f>
        <v>cbgaef</v>
      </c>
      <c r="AM168" s="6" t="str">
        <f>IFERROR(__xludf.DUMMYFUNCTION("REGEXREPLACE( $BG168, CONCATENATE(""["",AK168,""]""), """")"),"")</f>
        <v/>
      </c>
      <c r="AN168" s="6" t="str">
        <f>IFERROR(__xludf.DUMMYFUNCTION("REGEXREPLACE( $BG168, CONCATENATE(""["",AL168,""]""), """")"),"d")</f>
        <v>d</v>
      </c>
      <c r="AO168" s="11" t="str">
        <f t="shared" si="4"/>
        <v>cbgaef</v>
      </c>
      <c r="AP168" s="12" t="str">
        <f>IFERROR(__xludf.DUMMYFUNCTION("CONCATENATE(SORT(TRANSPOSE(SPLIT(REGEXREPLACE(REGEXREPLACE(AO168&amp;"""",""(?s)(.{1})"",""$1""&amp;CHAR(127)),""'"",""''""),CHAR(127))),1,true),""1"")"),"abcefg1")</f>
        <v>abcefg1</v>
      </c>
      <c r="AQ168" s="16"/>
      <c r="AR168" s="12" t="str">
        <f t="shared" si="5"/>
        <v>cb</v>
      </c>
      <c r="AS168" s="12" t="str">
        <f>IFERROR(__xludf.DUMMYFUNCTION("CONCATENATE(SORT(TRANSPOSE(SPLIT(REGEXREPLACE(REGEXREPLACE(AR168&amp;"""",""(?s)(.{1})"",""$1""&amp;CHAR(127)),""'"",""''""),CHAR(127))),1,true),""1"")"),"bc1")</f>
        <v>bc1</v>
      </c>
      <c r="AT168" s="16"/>
      <c r="AU168" s="13" t="str">
        <f>IFERROR(__xludf.DUMMYFUNCTION("FILTER($K168:$T168,len($K168:$T168)=5,NOT($K168:$T168=BD168),NOT($K168:$T168=BP168))"),"egfdc")</f>
        <v>egfdc</v>
      </c>
      <c r="AV168" s="12" t="str">
        <f>IFERROR(__xludf.DUMMYFUNCTION("CONCATENATE(SORT(TRANSPOSE(SPLIT(REGEXREPLACE(REGEXREPLACE(AU168&amp;"""",""(?s)(.{1})"",""$1""&amp;CHAR(127)),""'"",""''""),CHAR(127))),1,true),""1"")"),"cdefg1")</f>
        <v>cdefg1</v>
      </c>
      <c r="AW168" s="16"/>
      <c r="AX168" s="10" t="str">
        <f>IFERROR(__xludf.DUMMYFUNCTION("FILTER($K168:$T168,len($K168:$T168)=5)"),"adfbg")</f>
        <v>adfbg</v>
      </c>
      <c r="AY168" s="6" t="str">
        <f>IFERROR(__xludf.DUMMYFUNCTION("""COMPUTED_VALUE"""),"cgdfb")</f>
        <v>cgdfb</v>
      </c>
      <c r="AZ168" s="6" t="str">
        <f>IFERROR(__xludf.DUMMYFUNCTION("""COMPUTED_VALUE"""),"egfdc")</f>
        <v>egfdc</v>
      </c>
      <c r="BA168" s="6" t="str">
        <f>IFERROR(__xludf.DUMMYFUNCTION("REGEXREPLACE( $AR168, CONCATENATE(""["",AX168,""]""), """")"),"c")</f>
        <v>c</v>
      </c>
      <c r="BB168" s="6" t="str">
        <f>IFERROR(__xludf.DUMMYFUNCTION("REGEXREPLACE( $AR168, CONCATENATE(""["",AY168,""]""), """")"),"")</f>
        <v/>
      </c>
      <c r="BC168" s="6" t="str">
        <f>IFERROR(__xludf.DUMMYFUNCTION("REGEXREPLACE( $AR168, CONCATENATE(""["",AZ168,""]""), """")"),"b")</f>
        <v>b</v>
      </c>
      <c r="BD168" s="11" t="str">
        <f t="shared" si="6"/>
        <v>cgdfb</v>
      </c>
      <c r="BE168" s="12" t="str">
        <f>IFERROR(__xludf.DUMMYFUNCTION("CONCATENATE(SORT(TRANSPOSE(SPLIT(REGEXREPLACE(REGEXREPLACE(BD168&amp;"""",""(?s)(.{1})"",""$1""&amp;CHAR(127)),""'"",""''""),CHAR(127))),1,true),""1"")"),"bcdfg1")</f>
        <v>bcdfg1</v>
      </c>
      <c r="BF168" s="16"/>
      <c r="BG168" s="12" t="str">
        <f t="shared" si="7"/>
        <v>dcab</v>
      </c>
      <c r="BH168" s="12" t="str">
        <f>IFERROR(__xludf.DUMMYFUNCTION("CONCATENATE(SORT(TRANSPOSE(SPLIT(REGEXREPLACE(REGEXREPLACE(BG168&amp;"""",""(?s)(.{1})"",""$1""&amp;CHAR(127)),""'"",""''""),CHAR(127))),1,true),""1"")"),"abcd1")</f>
        <v>abcd1</v>
      </c>
      <c r="BI168" s="16"/>
      <c r="BJ168" s="10" t="str">
        <f>IFERROR(__xludf.DUMMYFUNCTION("FILTER($K168:$T168,len($K168:$T168)=5)"),"adfbg")</f>
        <v>adfbg</v>
      </c>
      <c r="BK168" s="6" t="str">
        <f>IFERROR(__xludf.DUMMYFUNCTION("""COMPUTED_VALUE"""),"cgdfb")</f>
        <v>cgdfb</v>
      </c>
      <c r="BL168" s="6" t="str">
        <f>IFERROR(__xludf.DUMMYFUNCTION("""COMPUTED_VALUE"""),"egfdc")</f>
        <v>egfdc</v>
      </c>
      <c r="BM168" s="14" t="str">
        <f>IFERROR(__xludf.DUMMYFUNCTION("REGEXREPLACE( $BY168, CONCATENATE(""["",BJ168,""]""), """")"),"e")</f>
        <v>e</v>
      </c>
      <c r="BN168" s="14" t="str">
        <f>IFERROR(__xludf.DUMMYFUNCTION("REGEXREPLACE( $BY168, CONCATENATE(""["",BK168,""]""), """")"),"ae")</f>
        <v>ae</v>
      </c>
      <c r="BO168" s="14" t="str">
        <f>IFERROR(__xludf.DUMMYFUNCTION("REGEXREPLACE( $BY168, CONCATENATE(""["",BL168,""]""), """")"),"ab")</f>
        <v>ab</v>
      </c>
      <c r="BP168" s="11" t="str">
        <f t="shared" si="8"/>
        <v>adfbg</v>
      </c>
      <c r="BQ168" s="12" t="str">
        <f>IFERROR(__xludf.DUMMYFUNCTION("CONCATENATE(SORT(TRANSPOSE(SPLIT(REGEXREPLACE(REGEXREPLACE(BP168&amp;"""",""(?s)(.{1})"",""$1""&amp;CHAR(127)),""'"",""''""),CHAR(127))),1,true),""1"")"),"abdfg1")</f>
        <v>abdfg1</v>
      </c>
      <c r="BR168" s="16"/>
      <c r="BS168" s="10" t="str">
        <f>IFERROR(__xludf.DUMMYFUNCTION("FILTER(K168:T168,len(K168:T168)=6)"),"cdgbaf")</f>
        <v>cdgbaf</v>
      </c>
      <c r="BT168" s="6" t="str">
        <f>IFERROR(__xludf.DUMMYFUNCTION("""COMPUTED_VALUE"""),"fdabge")</f>
        <v>fdabge</v>
      </c>
      <c r="BU168" s="6" t="str">
        <f>IFERROR(__xludf.DUMMYFUNCTION("""COMPUTED_VALUE"""),"cbgaef")</f>
        <v>cbgaef</v>
      </c>
      <c r="BV168" s="6" t="str">
        <f>IFERROR(__xludf.DUMMYFUNCTION("REGEXREPLACE( $AR168, CONCATENATE(""["",BS168,""]""), """")"),"")</f>
        <v/>
      </c>
      <c r="BW168" s="6" t="str">
        <f>IFERROR(__xludf.DUMMYFUNCTION("REGEXREPLACE( $AR168, CONCATENATE(""["",BT168,""]""), """")"),"c")</f>
        <v>c</v>
      </c>
      <c r="BX168" s="6" t="str">
        <f>IFERROR(__xludf.DUMMYFUNCTION("REGEXREPLACE( $AR168, CONCATENATE(""["",BU168,""]""), """")"),"")</f>
        <v/>
      </c>
      <c r="BY168" s="12" t="str">
        <f t="shared" si="9"/>
        <v>fdabge</v>
      </c>
      <c r="BZ168" s="12" t="str">
        <f>IFERROR(__xludf.DUMMYFUNCTION("CONCATENATE(SORT(TRANSPOSE(SPLIT(REGEXREPLACE(REGEXREPLACE(BY168&amp;"""",""(?s)(.{1})"",""$1""&amp;CHAR(127)),""'"",""''""),CHAR(127))),1,true),""1"")"),"abdefg1")</f>
        <v>abdefg1</v>
      </c>
      <c r="CA168" s="16"/>
      <c r="CB168" s="12" t="str">
        <f t="shared" si="10"/>
        <v>bfc</v>
      </c>
      <c r="CC168" s="12" t="str">
        <f>IFERROR(__xludf.DUMMYFUNCTION("CONCATENATE(SORT(TRANSPOSE(SPLIT(REGEXREPLACE(REGEXREPLACE(CB168&amp;"""",""(?s)(.{1})"",""$1""&amp;CHAR(127)),""'"",""''""),CHAR(127))),1,true),""1"")"),"bcf1")</f>
        <v>bcf1</v>
      </c>
      <c r="CD168" s="16"/>
      <c r="CE168" s="12" t="str">
        <f t="shared" si="11"/>
        <v>bfdcgea</v>
      </c>
      <c r="CF168" s="12" t="str">
        <f>IFERROR(__xludf.DUMMYFUNCTION("CONCATENATE(SORT(TRANSPOSE(SPLIT(REGEXREPLACE(REGEXREPLACE(CE168&amp;"""",""(?s)(.{1})"",""$1""&amp;CHAR(127)),""'"",""''""),CHAR(127))),1,true),""1"")"),"abcdefg1")</f>
        <v>abcdefg1</v>
      </c>
      <c r="CG168" s="16"/>
      <c r="CH168" s="10" t="str">
        <f>IFERROR(__xludf.DUMMYFUNCTION("FILTER(K168:T168,len(K168:T168)=6)"),"cdgbaf")</f>
        <v>cdgbaf</v>
      </c>
      <c r="CI168" s="6" t="str">
        <f>IFERROR(__xludf.DUMMYFUNCTION("""COMPUTED_VALUE"""),"fdabge")</f>
        <v>fdabge</v>
      </c>
      <c r="CJ168" s="6" t="str">
        <f>IFERROR(__xludf.DUMMYFUNCTION("""COMPUTED_VALUE"""),"cbgaef")</f>
        <v>cbgaef</v>
      </c>
      <c r="CK168" s="6" t="str">
        <f>IFERROR(__xludf.DUMMYFUNCTION("REGEXREPLACE( $BG168, CONCATENATE(""["",CH168,""]""), """")"),"")</f>
        <v/>
      </c>
      <c r="CL168" s="6" t="str">
        <f>IFERROR(__xludf.DUMMYFUNCTION("REGEXREPLACE( $BG168, CONCATENATE(""["",CI168,""]""), """")"),"c")</f>
        <v>c</v>
      </c>
      <c r="CM168" s="6" t="str">
        <f>IFERROR(__xludf.DUMMYFUNCTION("REGEXREPLACE( $BG168, CONCATENATE(""["",CJ168,""]""), """")"),"d")</f>
        <v>d</v>
      </c>
      <c r="CN168" s="12" t="str">
        <f t="shared" si="12"/>
        <v>cdgbaf</v>
      </c>
      <c r="CO168" s="12" t="str">
        <f>IFERROR(__xludf.DUMMYFUNCTION("CONCATENATE(SORT(TRANSPOSE(SPLIT(REGEXREPLACE(REGEXREPLACE(CN168&amp;"""",""(?s)(.{1})"",""$1""&amp;CHAR(127)),""'"",""''""),CHAR(127))),1,true),""1"")"),"abcdfg1")</f>
        <v>abcdfg1</v>
      </c>
      <c r="CP168" s="15"/>
    </row>
    <row r="169">
      <c r="A169" s="1" t="s">
        <v>189</v>
      </c>
      <c r="H169" s="6" t="str">
        <f>IFERROR(__xludf.DUMMYFUNCTION("SPLIT(A169,""|"")"),"gdbaec bge gbad efcbd egadc gfdcaeb bg egfcda cgdbe cbaefg ")</f>
        <v>gdbaec bge gbad efcbd egadc gfdcaeb bg egfcda cgdbe cbaefg </v>
      </c>
      <c r="I169" s="6" t="str">
        <f>IFERROR(__xludf.DUMMYFUNCTION("""COMPUTED_VALUE""")," gcfabe gdba bg fgecad")</f>
        <v> gcfabe gdba bg fgecad</v>
      </c>
      <c r="J169" s="15"/>
      <c r="K169" s="6" t="str">
        <f>IFERROR(__xludf.DUMMYFUNCTION("split(H169,"" "")"),"gdbaec")</f>
        <v>gdbaec</v>
      </c>
      <c r="L169" s="6" t="str">
        <f>IFERROR(__xludf.DUMMYFUNCTION("""COMPUTED_VALUE"""),"bge")</f>
        <v>bge</v>
      </c>
      <c r="M169" s="6" t="str">
        <f>IFERROR(__xludf.DUMMYFUNCTION("""COMPUTED_VALUE"""),"gbad")</f>
        <v>gbad</v>
      </c>
      <c r="N169" s="6" t="str">
        <f>IFERROR(__xludf.DUMMYFUNCTION("""COMPUTED_VALUE"""),"efcbd")</f>
        <v>efcbd</v>
      </c>
      <c r="O169" s="6" t="str">
        <f>IFERROR(__xludf.DUMMYFUNCTION("""COMPUTED_VALUE"""),"egadc")</f>
        <v>egadc</v>
      </c>
      <c r="P169" s="6" t="str">
        <f>IFERROR(__xludf.DUMMYFUNCTION("""COMPUTED_VALUE"""),"gfdcaeb")</f>
        <v>gfdcaeb</v>
      </c>
      <c r="Q169" s="6" t="str">
        <f>IFERROR(__xludf.DUMMYFUNCTION("""COMPUTED_VALUE"""),"bg")</f>
        <v>bg</v>
      </c>
      <c r="R169" s="6" t="str">
        <f>IFERROR(__xludf.DUMMYFUNCTION("""COMPUTED_VALUE"""),"egfcda")</f>
        <v>egfcda</v>
      </c>
      <c r="S169" s="6" t="str">
        <f>IFERROR(__xludf.DUMMYFUNCTION("""COMPUTED_VALUE"""),"cgdbe")</f>
        <v>cgdbe</v>
      </c>
      <c r="T169" s="6" t="str">
        <f>IFERROR(__xludf.DUMMYFUNCTION("""COMPUTED_VALUE"""),"cbaefg")</f>
        <v>cbaefg</v>
      </c>
      <c r="U169" s="15"/>
      <c r="V169" s="6" t="str">
        <f>IFERROR(__xludf.DUMMYFUNCTION("split(I169,"" "")"),"gcfabe")</f>
        <v>gcfabe</v>
      </c>
      <c r="W169" s="6" t="str">
        <f>IFERROR(__xludf.DUMMYFUNCTION("""COMPUTED_VALUE"""),"gdba")</f>
        <v>gdba</v>
      </c>
      <c r="X169" s="6" t="str">
        <f>IFERROR(__xludf.DUMMYFUNCTION("""COMPUTED_VALUE"""),"bg")</f>
        <v>bg</v>
      </c>
      <c r="Y169" s="6" t="str">
        <f>IFERROR(__xludf.DUMMYFUNCTION("""COMPUTED_VALUE"""),"fgecad")</f>
        <v>fgecad</v>
      </c>
      <c r="Z169" s="6" t="str">
        <f>IFERROR(__xludf.DUMMYFUNCTION("CONCATENATE(SORT(TRANSPOSE(SPLIT(REGEXREPLACE(REGEXREPLACE(V169&amp;"""",""(?s)(.{1})"",""$1""&amp;CHAR(127)),""'"",""''""),CHAR(127))),1,true))"),"abcefg")</f>
        <v>abcefg</v>
      </c>
      <c r="AA169" s="6" t="str">
        <f>IFERROR(__xludf.DUMMYFUNCTION("CONCATENATE(SORT(TRANSPOSE(SPLIT(REGEXREPLACE(REGEXREPLACE(W169&amp;"""",""(?s)(.{1})"",""$1""&amp;CHAR(127)),""'"",""''""),CHAR(127))),1,true))"),"abdg")</f>
        <v>abdg</v>
      </c>
      <c r="AB169" s="6" t="str">
        <f>IFERROR(__xludf.DUMMYFUNCTION("CONCATENATE(SORT(TRANSPOSE(SPLIT(REGEXREPLACE(REGEXREPLACE(X169&amp;"""",""(?s)(.{1})"",""$1""&amp;CHAR(127)),""'"",""''""),CHAR(127))),1,true))"),"bg")</f>
        <v>bg</v>
      </c>
      <c r="AC169" s="6" t="str">
        <f>IFERROR(__xludf.DUMMYFUNCTION("CONCATENATE(SORT(TRANSPOSE(SPLIT(REGEXREPLACE(REGEXREPLACE(Y169&amp;"""",""(?s)(.{1})"",""$1""&amp;CHAR(127)),""'"",""''""),CHAR(127))),1,true))"),"acdefg")</f>
        <v>acdefg</v>
      </c>
      <c r="AD169" s="6">
        <f t="shared" ref="AD169:AG169" si="179">INDEX($AO$1:$CP$1,1,MATCH(CONCATENATE(Z169,"1"),$AO169:$CP169,0)+1)</f>
        <v>0</v>
      </c>
      <c r="AE169" s="6">
        <f t="shared" si="179"/>
        <v>4</v>
      </c>
      <c r="AF169" s="6">
        <f t="shared" si="179"/>
        <v>1</v>
      </c>
      <c r="AG169" s="6">
        <f t="shared" si="179"/>
        <v>6</v>
      </c>
      <c r="AH169" s="6">
        <f t="shared" si="3"/>
        <v>416</v>
      </c>
      <c r="AI169" s="16"/>
      <c r="AJ169" s="9" t="str">
        <f>IFERROR(__xludf.DUMMYFUNCTION("REGEXREPLACE(AR169,CONCATENATE(""["",BY169,""]""),"""")"),"b")</f>
        <v>b</v>
      </c>
      <c r="AK169" s="10" t="str">
        <f>IFERROR(__xludf.DUMMYFUNCTION("FILTER($K169:$T169,len($K169:$T169)=6,NOT($K169:$T169=BY169))"),"gdbaec")</f>
        <v>gdbaec</v>
      </c>
      <c r="AL169" s="6" t="str">
        <f>IFERROR(__xludf.DUMMYFUNCTION("""COMPUTED_VALUE"""),"cbaefg")</f>
        <v>cbaefg</v>
      </c>
      <c r="AM169" s="6" t="str">
        <f>IFERROR(__xludf.DUMMYFUNCTION("REGEXREPLACE( $BG169, CONCATENATE(""["",AK169,""]""), """")"),"")</f>
        <v/>
      </c>
      <c r="AN169" s="6" t="str">
        <f>IFERROR(__xludf.DUMMYFUNCTION("REGEXREPLACE( $BG169, CONCATENATE(""["",AL169,""]""), """")"),"d")</f>
        <v>d</v>
      </c>
      <c r="AO169" s="11" t="str">
        <f t="shared" si="4"/>
        <v>cbaefg</v>
      </c>
      <c r="AP169" s="12" t="str">
        <f>IFERROR(__xludf.DUMMYFUNCTION("CONCATENATE(SORT(TRANSPOSE(SPLIT(REGEXREPLACE(REGEXREPLACE(AO169&amp;"""",""(?s)(.{1})"",""$1""&amp;CHAR(127)),""'"",""''""),CHAR(127))),1,true),""1"")"),"abcefg1")</f>
        <v>abcefg1</v>
      </c>
      <c r="AQ169" s="16"/>
      <c r="AR169" s="12" t="str">
        <f t="shared" si="5"/>
        <v>bg</v>
      </c>
      <c r="AS169" s="12" t="str">
        <f>IFERROR(__xludf.DUMMYFUNCTION("CONCATENATE(SORT(TRANSPOSE(SPLIT(REGEXREPLACE(REGEXREPLACE(AR169&amp;"""",""(?s)(.{1})"",""$1""&amp;CHAR(127)),""'"",""''""),CHAR(127))),1,true),""1"")"),"bg1")</f>
        <v>bg1</v>
      </c>
      <c r="AT169" s="16"/>
      <c r="AU169" s="13" t="str">
        <f>IFERROR(__xludf.DUMMYFUNCTION("FILTER($K169:$T169,len($K169:$T169)=5,NOT($K169:$T169=BD169),NOT($K169:$T169=BP169))"),"efcbd")</f>
        <v>efcbd</v>
      </c>
      <c r="AV169" s="12" t="str">
        <f>IFERROR(__xludf.DUMMYFUNCTION("CONCATENATE(SORT(TRANSPOSE(SPLIT(REGEXREPLACE(REGEXREPLACE(AU169&amp;"""",""(?s)(.{1})"",""$1""&amp;CHAR(127)),""'"",""''""),CHAR(127))),1,true),""1"")"),"bcdef1")</f>
        <v>bcdef1</v>
      </c>
      <c r="AW169" s="16"/>
      <c r="AX169" s="10" t="str">
        <f>IFERROR(__xludf.DUMMYFUNCTION("FILTER($K169:$T169,len($K169:$T169)=5)"),"efcbd")</f>
        <v>efcbd</v>
      </c>
      <c r="AY169" s="6" t="str">
        <f>IFERROR(__xludf.DUMMYFUNCTION("""COMPUTED_VALUE"""),"egadc")</f>
        <v>egadc</v>
      </c>
      <c r="AZ169" s="6" t="str">
        <f>IFERROR(__xludf.DUMMYFUNCTION("""COMPUTED_VALUE"""),"cgdbe")</f>
        <v>cgdbe</v>
      </c>
      <c r="BA169" s="6" t="str">
        <f>IFERROR(__xludf.DUMMYFUNCTION("REGEXREPLACE( $AR169, CONCATENATE(""["",AX169,""]""), """")"),"g")</f>
        <v>g</v>
      </c>
      <c r="BB169" s="6" t="str">
        <f>IFERROR(__xludf.DUMMYFUNCTION("REGEXREPLACE( $AR169, CONCATENATE(""["",AY169,""]""), """")"),"b")</f>
        <v>b</v>
      </c>
      <c r="BC169" s="6" t="str">
        <f>IFERROR(__xludf.DUMMYFUNCTION("REGEXREPLACE( $AR169, CONCATENATE(""["",AZ169,""]""), """")"),"")</f>
        <v/>
      </c>
      <c r="BD169" s="11" t="str">
        <f t="shared" si="6"/>
        <v>cgdbe</v>
      </c>
      <c r="BE169" s="12" t="str">
        <f>IFERROR(__xludf.DUMMYFUNCTION("CONCATENATE(SORT(TRANSPOSE(SPLIT(REGEXREPLACE(REGEXREPLACE(BD169&amp;"""",""(?s)(.{1})"",""$1""&amp;CHAR(127)),""'"",""''""),CHAR(127))),1,true),""1"")"),"bcdeg1")</f>
        <v>bcdeg1</v>
      </c>
      <c r="BF169" s="16"/>
      <c r="BG169" s="12" t="str">
        <f t="shared" si="7"/>
        <v>gbad</v>
      </c>
      <c r="BH169" s="12" t="str">
        <f>IFERROR(__xludf.DUMMYFUNCTION("CONCATENATE(SORT(TRANSPOSE(SPLIT(REGEXREPLACE(REGEXREPLACE(BG169&amp;"""",""(?s)(.{1})"",""$1""&amp;CHAR(127)),""'"",""''""),CHAR(127))),1,true),""1"")"),"abdg1")</f>
        <v>abdg1</v>
      </c>
      <c r="BI169" s="16"/>
      <c r="BJ169" s="10" t="str">
        <f>IFERROR(__xludf.DUMMYFUNCTION("FILTER($K169:$T169,len($K169:$T169)=5)"),"efcbd")</f>
        <v>efcbd</v>
      </c>
      <c r="BK169" s="6" t="str">
        <f>IFERROR(__xludf.DUMMYFUNCTION("""COMPUTED_VALUE"""),"egadc")</f>
        <v>egadc</v>
      </c>
      <c r="BL169" s="6" t="str">
        <f>IFERROR(__xludf.DUMMYFUNCTION("""COMPUTED_VALUE"""),"cgdbe")</f>
        <v>cgdbe</v>
      </c>
      <c r="BM169" s="14" t="str">
        <f>IFERROR(__xludf.DUMMYFUNCTION("REGEXREPLACE( $BY169, CONCATENATE(""["",BJ169,""]""), """")"),"ga")</f>
        <v>ga</v>
      </c>
      <c r="BN169" s="14" t="str">
        <f>IFERROR(__xludf.DUMMYFUNCTION("REGEXREPLACE( $BY169, CONCATENATE(""["",BK169,""]""), """")"),"f")</f>
        <v>f</v>
      </c>
      <c r="BO169" s="14" t="str">
        <f>IFERROR(__xludf.DUMMYFUNCTION("REGEXREPLACE( $BY169, CONCATENATE(""["",BL169,""]""), """")"),"fa")</f>
        <v>fa</v>
      </c>
      <c r="BP169" s="11" t="str">
        <f t="shared" si="8"/>
        <v>egadc</v>
      </c>
      <c r="BQ169" s="12" t="str">
        <f>IFERROR(__xludf.DUMMYFUNCTION("CONCATENATE(SORT(TRANSPOSE(SPLIT(REGEXREPLACE(REGEXREPLACE(BP169&amp;"""",""(?s)(.{1})"",""$1""&amp;CHAR(127)),""'"",""''""),CHAR(127))),1,true),""1"")"),"acdeg1")</f>
        <v>acdeg1</v>
      </c>
      <c r="BR169" s="16"/>
      <c r="BS169" s="10" t="str">
        <f>IFERROR(__xludf.DUMMYFUNCTION("FILTER(K169:T169,len(K169:T169)=6)"),"gdbaec")</f>
        <v>gdbaec</v>
      </c>
      <c r="BT169" s="6" t="str">
        <f>IFERROR(__xludf.DUMMYFUNCTION("""COMPUTED_VALUE"""),"egfcda")</f>
        <v>egfcda</v>
      </c>
      <c r="BU169" s="6" t="str">
        <f>IFERROR(__xludf.DUMMYFUNCTION("""COMPUTED_VALUE"""),"cbaefg")</f>
        <v>cbaefg</v>
      </c>
      <c r="BV169" s="6" t="str">
        <f>IFERROR(__xludf.DUMMYFUNCTION("REGEXREPLACE( $AR169, CONCATENATE(""["",BS169,""]""), """")"),"")</f>
        <v/>
      </c>
      <c r="BW169" s="6" t="str">
        <f>IFERROR(__xludf.DUMMYFUNCTION("REGEXREPLACE( $AR169, CONCATENATE(""["",BT169,""]""), """")"),"b")</f>
        <v>b</v>
      </c>
      <c r="BX169" s="6" t="str">
        <f>IFERROR(__xludf.DUMMYFUNCTION("REGEXREPLACE( $AR169, CONCATENATE(""["",BU169,""]""), """")"),"")</f>
        <v/>
      </c>
      <c r="BY169" s="12" t="str">
        <f t="shared" si="9"/>
        <v>egfcda</v>
      </c>
      <c r="BZ169" s="12" t="str">
        <f>IFERROR(__xludf.DUMMYFUNCTION("CONCATENATE(SORT(TRANSPOSE(SPLIT(REGEXREPLACE(REGEXREPLACE(BY169&amp;"""",""(?s)(.{1})"",""$1""&amp;CHAR(127)),""'"",""''""),CHAR(127))),1,true),""1"")"),"acdefg1")</f>
        <v>acdefg1</v>
      </c>
      <c r="CA169" s="16"/>
      <c r="CB169" s="12" t="str">
        <f t="shared" si="10"/>
        <v>bge</v>
      </c>
      <c r="CC169" s="12" t="str">
        <f>IFERROR(__xludf.DUMMYFUNCTION("CONCATENATE(SORT(TRANSPOSE(SPLIT(REGEXREPLACE(REGEXREPLACE(CB169&amp;"""",""(?s)(.{1})"",""$1""&amp;CHAR(127)),""'"",""''""),CHAR(127))),1,true),""1"")"),"beg1")</f>
        <v>beg1</v>
      </c>
      <c r="CD169" s="16"/>
      <c r="CE169" s="12" t="str">
        <f t="shared" si="11"/>
        <v>gfdcaeb</v>
      </c>
      <c r="CF169" s="12" t="str">
        <f>IFERROR(__xludf.DUMMYFUNCTION("CONCATENATE(SORT(TRANSPOSE(SPLIT(REGEXREPLACE(REGEXREPLACE(CE169&amp;"""",""(?s)(.{1})"",""$1""&amp;CHAR(127)),""'"",""''""),CHAR(127))),1,true),""1"")"),"abcdefg1")</f>
        <v>abcdefg1</v>
      </c>
      <c r="CG169" s="16"/>
      <c r="CH169" s="10" t="str">
        <f>IFERROR(__xludf.DUMMYFUNCTION("FILTER(K169:T169,len(K169:T169)=6)"),"gdbaec")</f>
        <v>gdbaec</v>
      </c>
      <c r="CI169" s="6" t="str">
        <f>IFERROR(__xludf.DUMMYFUNCTION("""COMPUTED_VALUE"""),"egfcda")</f>
        <v>egfcda</v>
      </c>
      <c r="CJ169" s="6" t="str">
        <f>IFERROR(__xludf.DUMMYFUNCTION("""COMPUTED_VALUE"""),"cbaefg")</f>
        <v>cbaefg</v>
      </c>
      <c r="CK169" s="6" t="str">
        <f>IFERROR(__xludf.DUMMYFUNCTION("REGEXREPLACE( $BG169, CONCATENATE(""["",CH169,""]""), """")"),"")</f>
        <v/>
      </c>
      <c r="CL169" s="6" t="str">
        <f>IFERROR(__xludf.DUMMYFUNCTION("REGEXREPLACE( $BG169, CONCATENATE(""["",CI169,""]""), """")"),"b")</f>
        <v>b</v>
      </c>
      <c r="CM169" s="6" t="str">
        <f>IFERROR(__xludf.DUMMYFUNCTION("REGEXREPLACE( $BG169, CONCATENATE(""["",CJ169,""]""), """")"),"d")</f>
        <v>d</v>
      </c>
      <c r="CN169" s="12" t="str">
        <f t="shared" si="12"/>
        <v>gdbaec</v>
      </c>
      <c r="CO169" s="12" t="str">
        <f>IFERROR(__xludf.DUMMYFUNCTION("CONCATENATE(SORT(TRANSPOSE(SPLIT(REGEXREPLACE(REGEXREPLACE(CN169&amp;"""",""(?s)(.{1})"",""$1""&amp;CHAR(127)),""'"",""''""),CHAR(127))),1,true),""1"")"),"abcdeg1")</f>
        <v>abcdeg1</v>
      </c>
      <c r="CP169" s="15"/>
    </row>
    <row r="170">
      <c r="A170" s="1" t="s">
        <v>190</v>
      </c>
      <c r="H170" s="6" t="str">
        <f>IFERROR(__xludf.DUMMYFUNCTION("SPLIT(A170,""|"")"),"cfdagb cgaf gfdab fa eabdg afb ebdcfa fbcgde gafcebd cgdfb ")</f>
        <v>cfdagb cgaf gfdab fa eabdg afb ebdcfa fbcgde gafcebd cgdfb </v>
      </c>
      <c r="I170" s="6" t="str">
        <f>IFERROR(__xludf.DUMMYFUNCTION("""COMPUTED_VALUE""")," fa af bfa dacegbf")</f>
        <v> fa af bfa dacegbf</v>
      </c>
      <c r="J170" s="15"/>
      <c r="K170" s="6" t="str">
        <f>IFERROR(__xludf.DUMMYFUNCTION("split(H170,"" "")"),"cfdagb")</f>
        <v>cfdagb</v>
      </c>
      <c r="L170" s="6" t="str">
        <f>IFERROR(__xludf.DUMMYFUNCTION("""COMPUTED_VALUE"""),"cgaf")</f>
        <v>cgaf</v>
      </c>
      <c r="M170" s="6" t="str">
        <f>IFERROR(__xludf.DUMMYFUNCTION("""COMPUTED_VALUE"""),"gfdab")</f>
        <v>gfdab</v>
      </c>
      <c r="N170" s="6" t="str">
        <f>IFERROR(__xludf.DUMMYFUNCTION("""COMPUTED_VALUE"""),"fa")</f>
        <v>fa</v>
      </c>
      <c r="O170" s="6" t="str">
        <f>IFERROR(__xludf.DUMMYFUNCTION("""COMPUTED_VALUE"""),"eabdg")</f>
        <v>eabdg</v>
      </c>
      <c r="P170" s="6" t="str">
        <f>IFERROR(__xludf.DUMMYFUNCTION("""COMPUTED_VALUE"""),"afb")</f>
        <v>afb</v>
      </c>
      <c r="Q170" s="6" t="str">
        <f>IFERROR(__xludf.DUMMYFUNCTION("""COMPUTED_VALUE"""),"ebdcfa")</f>
        <v>ebdcfa</v>
      </c>
      <c r="R170" s="6" t="str">
        <f>IFERROR(__xludf.DUMMYFUNCTION("""COMPUTED_VALUE"""),"fbcgde")</f>
        <v>fbcgde</v>
      </c>
      <c r="S170" s="6" t="str">
        <f>IFERROR(__xludf.DUMMYFUNCTION("""COMPUTED_VALUE"""),"gafcebd")</f>
        <v>gafcebd</v>
      </c>
      <c r="T170" s="6" t="str">
        <f>IFERROR(__xludf.DUMMYFUNCTION("""COMPUTED_VALUE"""),"cgdfb")</f>
        <v>cgdfb</v>
      </c>
      <c r="U170" s="15"/>
      <c r="V170" s="6" t="str">
        <f>IFERROR(__xludf.DUMMYFUNCTION("split(I170,"" "")"),"fa")</f>
        <v>fa</v>
      </c>
      <c r="W170" s="6" t="str">
        <f>IFERROR(__xludf.DUMMYFUNCTION("""COMPUTED_VALUE"""),"af")</f>
        <v>af</v>
      </c>
      <c r="X170" s="6" t="str">
        <f>IFERROR(__xludf.DUMMYFUNCTION("""COMPUTED_VALUE"""),"bfa")</f>
        <v>bfa</v>
      </c>
      <c r="Y170" s="6" t="str">
        <f>IFERROR(__xludf.DUMMYFUNCTION("""COMPUTED_VALUE"""),"dacegbf")</f>
        <v>dacegbf</v>
      </c>
      <c r="Z170" s="6" t="str">
        <f>IFERROR(__xludf.DUMMYFUNCTION("CONCATENATE(SORT(TRANSPOSE(SPLIT(REGEXREPLACE(REGEXREPLACE(V170&amp;"""",""(?s)(.{1})"",""$1""&amp;CHAR(127)),""'"",""''""),CHAR(127))),1,true))"),"af")</f>
        <v>af</v>
      </c>
      <c r="AA170" s="6" t="str">
        <f>IFERROR(__xludf.DUMMYFUNCTION("CONCATENATE(SORT(TRANSPOSE(SPLIT(REGEXREPLACE(REGEXREPLACE(W170&amp;"""",""(?s)(.{1})"",""$1""&amp;CHAR(127)),""'"",""''""),CHAR(127))),1,true))"),"af")</f>
        <v>af</v>
      </c>
      <c r="AB170" s="6" t="str">
        <f>IFERROR(__xludf.DUMMYFUNCTION("CONCATENATE(SORT(TRANSPOSE(SPLIT(REGEXREPLACE(REGEXREPLACE(X170&amp;"""",""(?s)(.{1})"",""$1""&amp;CHAR(127)),""'"",""''""),CHAR(127))),1,true))"),"abf")</f>
        <v>abf</v>
      </c>
      <c r="AC170" s="6" t="str">
        <f>IFERROR(__xludf.DUMMYFUNCTION("CONCATENATE(SORT(TRANSPOSE(SPLIT(REGEXREPLACE(REGEXREPLACE(Y170&amp;"""",""(?s)(.{1})"",""$1""&amp;CHAR(127)),""'"",""''""),CHAR(127))),1,true))"),"abcdefg")</f>
        <v>abcdefg</v>
      </c>
      <c r="AD170" s="6">
        <f t="shared" ref="AD170:AG170" si="180">INDEX($AO$1:$CP$1,1,MATCH(CONCATENATE(Z170,"1"),$AO170:$CP170,0)+1)</f>
        <v>1</v>
      </c>
      <c r="AE170" s="6">
        <f t="shared" si="180"/>
        <v>1</v>
      </c>
      <c r="AF170" s="6">
        <f t="shared" si="180"/>
        <v>7</v>
      </c>
      <c r="AG170" s="6">
        <f t="shared" si="180"/>
        <v>8</v>
      </c>
      <c r="AH170" s="6">
        <f t="shared" si="3"/>
        <v>1178</v>
      </c>
      <c r="AI170" s="16"/>
      <c r="AJ170" s="9" t="str">
        <f>IFERROR(__xludf.DUMMYFUNCTION("REGEXREPLACE(AR170,CONCATENATE(""["",BY170,""]""),"""")"),"a")</f>
        <v>a</v>
      </c>
      <c r="AK170" s="10" t="str">
        <f>IFERROR(__xludf.DUMMYFUNCTION("FILTER($K170:$T170,len($K170:$T170)=6,NOT($K170:$T170=BY170))"),"cfdagb")</f>
        <v>cfdagb</v>
      </c>
      <c r="AL170" s="6" t="str">
        <f>IFERROR(__xludf.DUMMYFUNCTION("""COMPUTED_VALUE"""),"ebdcfa")</f>
        <v>ebdcfa</v>
      </c>
      <c r="AM170" s="6" t="str">
        <f>IFERROR(__xludf.DUMMYFUNCTION("REGEXREPLACE( $BG170, CONCATENATE(""["",AK170,""]""), """")"),"")</f>
        <v/>
      </c>
      <c r="AN170" s="6" t="str">
        <f>IFERROR(__xludf.DUMMYFUNCTION("REGEXREPLACE( $BG170, CONCATENATE(""["",AL170,""]""), """")"),"g")</f>
        <v>g</v>
      </c>
      <c r="AO170" s="11" t="str">
        <f t="shared" si="4"/>
        <v>ebdcfa</v>
      </c>
      <c r="AP170" s="12" t="str">
        <f>IFERROR(__xludf.DUMMYFUNCTION("CONCATENATE(SORT(TRANSPOSE(SPLIT(REGEXREPLACE(REGEXREPLACE(AO170&amp;"""",""(?s)(.{1})"",""$1""&amp;CHAR(127)),""'"",""''""),CHAR(127))),1,true),""1"")"),"abcdef1")</f>
        <v>abcdef1</v>
      </c>
      <c r="AQ170" s="16"/>
      <c r="AR170" s="12" t="str">
        <f t="shared" si="5"/>
        <v>fa</v>
      </c>
      <c r="AS170" s="12" t="str">
        <f>IFERROR(__xludf.DUMMYFUNCTION("CONCATENATE(SORT(TRANSPOSE(SPLIT(REGEXREPLACE(REGEXREPLACE(AR170&amp;"""",""(?s)(.{1})"",""$1""&amp;CHAR(127)),""'"",""''""),CHAR(127))),1,true),""1"")"),"af1")</f>
        <v>af1</v>
      </c>
      <c r="AT170" s="16"/>
      <c r="AU170" s="13" t="str">
        <f>IFERROR(__xludf.DUMMYFUNCTION("FILTER($K170:$T170,len($K170:$T170)=5,NOT($K170:$T170=BD170),NOT($K170:$T170=BP170))"),"eabdg")</f>
        <v>eabdg</v>
      </c>
      <c r="AV170" s="12" t="str">
        <f>IFERROR(__xludf.DUMMYFUNCTION("CONCATENATE(SORT(TRANSPOSE(SPLIT(REGEXREPLACE(REGEXREPLACE(AU170&amp;"""",""(?s)(.{1})"",""$1""&amp;CHAR(127)),""'"",""''""),CHAR(127))),1,true),""1"")"),"abdeg1")</f>
        <v>abdeg1</v>
      </c>
      <c r="AW170" s="16"/>
      <c r="AX170" s="10" t="str">
        <f>IFERROR(__xludf.DUMMYFUNCTION("FILTER($K170:$T170,len($K170:$T170)=5)"),"gfdab")</f>
        <v>gfdab</v>
      </c>
      <c r="AY170" s="6" t="str">
        <f>IFERROR(__xludf.DUMMYFUNCTION("""COMPUTED_VALUE"""),"eabdg")</f>
        <v>eabdg</v>
      </c>
      <c r="AZ170" s="6" t="str">
        <f>IFERROR(__xludf.DUMMYFUNCTION("""COMPUTED_VALUE"""),"cgdfb")</f>
        <v>cgdfb</v>
      </c>
      <c r="BA170" s="6" t="str">
        <f>IFERROR(__xludf.DUMMYFUNCTION("REGEXREPLACE( $AR170, CONCATENATE(""["",AX170,""]""), """")"),"")</f>
        <v/>
      </c>
      <c r="BB170" s="6" t="str">
        <f>IFERROR(__xludf.DUMMYFUNCTION("REGEXREPLACE( $AR170, CONCATENATE(""["",AY170,""]""), """")"),"f")</f>
        <v>f</v>
      </c>
      <c r="BC170" s="6" t="str">
        <f>IFERROR(__xludf.DUMMYFUNCTION("REGEXREPLACE( $AR170, CONCATENATE(""["",AZ170,""]""), """")"),"a")</f>
        <v>a</v>
      </c>
      <c r="BD170" s="11" t="str">
        <f t="shared" si="6"/>
        <v>gfdab</v>
      </c>
      <c r="BE170" s="12" t="str">
        <f>IFERROR(__xludf.DUMMYFUNCTION("CONCATENATE(SORT(TRANSPOSE(SPLIT(REGEXREPLACE(REGEXREPLACE(BD170&amp;"""",""(?s)(.{1})"",""$1""&amp;CHAR(127)),""'"",""''""),CHAR(127))),1,true),""1"")"),"abdfg1")</f>
        <v>abdfg1</v>
      </c>
      <c r="BF170" s="16"/>
      <c r="BG170" s="12" t="str">
        <f t="shared" si="7"/>
        <v>cgaf</v>
      </c>
      <c r="BH170" s="12" t="str">
        <f>IFERROR(__xludf.DUMMYFUNCTION("CONCATENATE(SORT(TRANSPOSE(SPLIT(REGEXREPLACE(REGEXREPLACE(BG170&amp;"""",""(?s)(.{1})"",""$1""&amp;CHAR(127)),""'"",""''""),CHAR(127))),1,true),""1"")"),"acfg1")</f>
        <v>acfg1</v>
      </c>
      <c r="BI170" s="16"/>
      <c r="BJ170" s="10" t="str">
        <f>IFERROR(__xludf.DUMMYFUNCTION("FILTER($K170:$T170,len($K170:$T170)=5)"),"gfdab")</f>
        <v>gfdab</v>
      </c>
      <c r="BK170" s="6" t="str">
        <f>IFERROR(__xludf.DUMMYFUNCTION("""COMPUTED_VALUE"""),"eabdg")</f>
        <v>eabdg</v>
      </c>
      <c r="BL170" s="6" t="str">
        <f>IFERROR(__xludf.DUMMYFUNCTION("""COMPUTED_VALUE"""),"cgdfb")</f>
        <v>cgdfb</v>
      </c>
      <c r="BM170" s="14" t="str">
        <f>IFERROR(__xludf.DUMMYFUNCTION("REGEXREPLACE( $BY170, CONCATENATE(""["",BJ170,""]""), """")"),"ce")</f>
        <v>ce</v>
      </c>
      <c r="BN170" s="14" t="str">
        <f>IFERROR(__xludf.DUMMYFUNCTION("REGEXREPLACE( $BY170, CONCATENATE(""["",BK170,""]""), """")"),"fc")</f>
        <v>fc</v>
      </c>
      <c r="BO170" s="14" t="str">
        <f>IFERROR(__xludf.DUMMYFUNCTION("REGEXREPLACE( $BY170, CONCATENATE(""["",BL170,""]""), """")"),"e")</f>
        <v>e</v>
      </c>
      <c r="BP170" s="11" t="str">
        <f t="shared" si="8"/>
        <v>cgdfb</v>
      </c>
      <c r="BQ170" s="12" t="str">
        <f>IFERROR(__xludf.DUMMYFUNCTION("CONCATENATE(SORT(TRANSPOSE(SPLIT(REGEXREPLACE(REGEXREPLACE(BP170&amp;"""",""(?s)(.{1})"",""$1""&amp;CHAR(127)),""'"",""''""),CHAR(127))),1,true),""1"")"),"bcdfg1")</f>
        <v>bcdfg1</v>
      </c>
      <c r="BR170" s="16"/>
      <c r="BS170" s="10" t="str">
        <f>IFERROR(__xludf.DUMMYFUNCTION("FILTER(K170:T170,len(K170:T170)=6)"),"cfdagb")</f>
        <v>cfdagb</v>
      </c>
      <c r="BT170" s="6" t="str">
        <f>IFERROR(__xludf.DUMMYFUNCTION("""COMPUTED_VALUE"""),"ebdcfa")</f>
        <v>ebdcfa</v>
      </c>
      <c r="BU170" s="6" t="str">
        <f>IFERROR(__xludf.DUMMYFUNCTION("""COMPUTED_VALUE"""),"fbcgde")</f>
        <v>fbcgde</v>
      </c>
      <c r="BV170" s="6" t="str">
        <f>IFERROR(__xludf.DUMMYFUNCTION("REGEXREPLACE( $AR170, CONCATENATE(""["",BS170,""]""), """")"),"")</f>
        <v/>
      </c>
      <c r="BW170" s="6" t="str">
        <f>IFERROR(__xludf.DUMMYFUNCTION("REGEXREPLACE( $AR170, CONCATENATE(""["",BT170,""]""), """")"),"")</f>
        <v/>
      </c>
      <c r="BX170" s="6" t="str">
        <f>IFERROR(__xludf.DUMMYFUNCTION("REGEXREPLACE( $AR170, CONCATENATE(""["",BU170,""]""), """")"),"a")</f>
        <v>a</v>
      </c>
      <c r="BY170" s="12" t="str">
        <f t="shared" si="9"/>
        <v>fbcgde</v>
      </c>
      <c r="BZ170" s="12" t="str">
        <f>IFERROR(__xludf.DUMMYFUNCTION("CONCATENATE(SORT(TRANSPOSE(SPLIT(REGEXREPLACE(REGEXREPLACE(BY170&amp;"""",""(?s)(.{1})"",""$1""&amp;CHAR(127)),""'"",""''""),CHAR(127))),1,true),""1"")"),"bcdefg1")</f>
        <v>bcdefg1</v>
      </c>
      <c r="CA170" s="16"/>
      <c r="CB170" s="12" t="str">
        <f t="shared" si="10"/>
        <v>afb</v>
      </c>
      <c r="CC170" s="12" t="str">
        <f>IFERROR(__xludf.DUMMYFUNCTION("CONCATENATE(SORT(TRANSPOSE(SPLIT(REGEXREPLACE(REGEXREPLACE(CB170&amp;"""",""(?s)(.{1})"",""$1""&amp;CHAR(127)),""'"",""''""),CHAR(127))),1,true),""1"")"),"abf1")</f>
        <v>abf1</v>
      </c>
      <c r="CD170" s="16"/>
      <c r="CE170" s="12" t="str">
        <f t="shared" si="11"/>
        <v>gafcebd</v>
      </c>
      <c r="CF170" s="12" t="str">
        <f>IFERROR(__xludf.DUMMYFUNCTION("CONCATENATE(SORT(TRANSPOSE(SPLIT(REGEXREPLACE(REGEXREPLACE(CE170&amp;"""",""(?s)(.{1})"",""$1""&amp;CHAR(127)),""'"",""''""),CHAR(127))),1,true),""1"")"),"abcdefg1")</f>
        <v>abcdefg1</v>
      </c>
      <c r="CG170" s="16"/>
      <c r="CH170" s="10" t="str">
        <f>IFERROR(__xludf.DUMMYFUNCTION("FILTER(K170:T170,len(K170:T170)=6)"),"cfdagb")</f>
        <v>cfdagb</v>
      </c>
      <c r="CI170" s="6" t="str">
        <f>IFERROR(__xludf.DUMMYFUNCTION("""COMPUTED_VALUE"""),"ebdcfa")</f>
        <v>ebdcfa</v>
      </c>
      <c r="CJ170" s="6" t="str">
        <f>IFERROR(__xludf.DUMMYFUNCTION("""COMPUTED_VALUE"""),"fbcgde")</f>
        <v>fbcgde</v>
      </c>
      <c r="CK170" s="6" t="str">
        <f>IFERROR(__xludf.DUMMYFUNCTION("REGEXREPLACE( $BG170, CONCATENATE(""["",CH170,""]""), """")"),"")</f>
        <v/>
      </c>
      <c r="CL170" s="6" t="str">
        <f>IFERROR(__xludf.DUMMYFUNCTION("REGEXREPLACE( $BG170, CONCATENATE(""["",CI170,""]""), """")"),"g")</f>
        <v>g</v>
      </c>
      <c r="CM170" s="6" t="str">
        <f>IFERROR(__xludf.DUMMYFUNCTION("REGEXREPLACE( $BG170, CONCATENATE(""["",CJ170,""]""), """")"),"a")</f>
        <v>a</v>
      </c>
      <c r="CN170" s="12" t="str">
        <f t="shared" si="12"/>
        <v>cfdagb</v>
      </c>
      <c r="CO170" s="12" t="str">
        <f>IFERROR(__xludf.DUMMYFUNCTION("CONCATENATE(SORT(TRANSPOSE(SPLIT(REGEXREPLACE(REGEXREPLACE(CN170&amp;"""",""(?s)(.{1})"",""$1""&amp;CHAR(127)),""'"",""''""),CHAR(127))),1,true),""1"")"),"abcdfg1")</f>
        <v>abcdfg1</v>
      </c>
      <c r="CP170" s="15"/>
    </row>
    <row r="171">
      <c r="A171" s="1" t="s">
        <v>191</v>
      </c>
      <c r="H171" s="6" t="str">
        <f>IFERROR(__xludf.DUMMYFUNCTION("SPLIT(A171,""|"")"),"ecafgb cfedga abdcg debf dcbfea be bec dacbefg beadc adecf ")</f>
        <v>ecafgb cfedga abdcg debf dcbfea be bec dacbefg beadc adecf </v>
      </c>
      <c r="I171" s="6" t="str">
        <f>IFERROR(__xludf.DUMMYFUNCTION("""COMPUTED_VALUE""")," eb faedc debf cbe")</f>
        <v> eb faedc debf cbe</v>
      </c>
      <c r="J171" s="15"/>
      <c r="K171" s="6" t="str">
        <f>IFERROR(__xludf.DUMMYFUNCTION("split(H171,"" "")"),"ecafgb")</f>
        <v>ecafgb</v>
      </c>
      <c r="L171" s="6" t="str">
        <f>IFERROR(__xludf.DUMMYFUNCTION("""COMPUTED_VALUE"""),"cfedga")</f>
        <v>cfedga</v>
      </c>
      <c r="M171" s="6" t="str">
        <f>IFERROR(__xludf.DUMMYFUNCTION("""COMPUTED_VALUE"""),"abdcg")</f>
        <v>abdcg</v>
      </c>
      <c r="N171" s="6" t="str">
        <f>IFERROR(__xludf.DUMMYFUNCTION("""COMPUTED_VALUE"""),"debf")</f>
        <v>debf</v>
      </c>
      <c r="O171" s="6" t="str">
        <f>IFERROR(__xludf.DUMMYFUNCTION("""COMPUTED_VALUE"""),"dcbfea")</f>
        <v>dcbfea</v>
      </c>
      <c r="P171" s="6" t="str">
        <f>IFERROR(__xludf.DUMMYFUNCTION("""COMPUTED_VALUE"""),"be")</f>
        <v>be</v>
      </c>
      <c r="Q171" s="6" t="str">
        <f>IFERROR(__xludf.DUMMYFUNCTION("""COMPUTED_VALUE"""),"bec")</f>
        <v>bec</v>
      </c>
      <c r="R171" s="6" t="str">
        <f>IFERROR(__xludf.DUMMYFUNCTION("""COMPUTED_VALUE"""),"dacbefg")</f>
        <v>dacbefg</v>
      </c>
      <c r="S171" s="6" t="str">
        <f>IFERROR(__xludf.DUMMYFUNCTION("""COMPUTED_VALUE"""),"beadc")</f>
        <v>beadc</v>
      </c>
      <c r="T171" s="6" t="str">
        <f>IFERROR(__xludf.DUMMYFUNCTION("""COMPUTED_VALUE"""),"adecf")</f>
        <v>adecf</v>
      </c>
      <c r="U171" s="15"/>
      <c r="V171" s="6" t="str">
        <f>IFERROR(__xludf.DUMMYFUNCTION("split(I171,"" "")"),"eb")</f>
        <v>eb</v>
      </c>
      <c r="W171" s="6" t="str">
        <f>IFERROR(__xludf.DUMMYFUNCTION("""COMPUTED_VALUE"""),"faedc")</f>
        <v>faedc</v>
      </c>
      <c r="X171" s="6" t="str">
        <f>IFERROR(__xludf.DUMMYFUNCTION("""COMPUTED_VALUE"""),"debf")</f>
        <v>debf</v>
      </c>
      <c r="Y171" s="6" t="str">
        <f>IFERROR(__xludf.DUMMYFUNCTION("""COMPUTED_VALUE"""),"cbe")</f>
        <v>cbe</v>
      </c>
      <c r="Z171" s="6" t="str">
        <f>IFERROR(__xludf.DUMMYFUNCTION("CONCATENATE(SORT(TRANSPOSE(SPLIT(REGEXREPLACE(REGEXREPLACE(V171&amp;"""",""(?s)(.{1})"",""$1""&amp;CHAR(127)),""'"",""''""),CHAR(127))),1,true))"),"be")</f>
        <v>be</v>
      </c>
      <c r="AA171" s="6" t="str">
        <f>IFERROR(__xludf.DUMMYFUNCTION("CONCATENATE(SORT(TRANSPOSE(SPLIT(REGEXREPLACE(REGEXREPLACE(W171&amp;"""",""(?s)(.{1})"",""$1""&amp;CHAR(127)),""'"",""''""),CHAR(127))),1,true))"),"acdef")</f>
        <v>acdef</v>
      </c>
      <c r="AB171" s="6" t="str">
        <f>IFERROR(__xludf.DUMMYFUNCTION("CONCATENATE(SORT(TRANSPOSE(SPLIT(REGEXREPLACE(REGEXREPLACE(X171&amp;"""",""(?s)(.{1})"",""$1""&amp;CHAR(127)),""'"",""''""),CHAR(127))),1,true))"),"bdef")</f>
        <v>bdef</v>
      </c>
      <c r="AC171" s="6" t="str">
        <f>IFERROR(__xludf.DUMMYFUNCTION("CONCATENATE(SORT(TRANSPOSE(SPLIT(REGEXREPLACE(REGEXREPLACE(Y171&amp;"""",""(?s)(.{1})"",""$1""&amp;CHAR(127)),""'"",""''""),CHAR(127))),1,true))"),"bce")</f>
        <v>bce</v>
      </c>
      <c r="AD171" s="6">
        <f t="shared" ref="AD171:AG171" si="181">INDEX($AO$1:$CP$1,1,MATCH(CONCATENATE(Z171,"1"),$AO171:$CP171,0)+1)</f>
        <v>1</v>
      </c>
      <c r="AE171" s="6">
        <f t="shared" si="181"/>
        <v>5</v>
      </c>
      <c r="AF171" s="6">
        <f t="shared" si="181"/>
        <v>4</v>
      </c>
      <c r="AG171" s="6">
        <f t="shared" si="181"/>
        <v>7</v>
      </c>
      <c r="AH171" s="6">
        <f t="shared" si="3"/>
        <v>1547</v>
      </c>
      <c r="AI171" s="16"/>
      <c r="AJ171" s="9" t="str">
        <f>IFERROR(__xludf.DUMMYFUNCTION("REGEXREPLACE(AR171,CONCATENATE(""["",BY171,""]""),"""")"),"b")</f>
        <v>b</v>
      </c>
      <c r="AK171" s="10" t="str">
        <f>IFERROR(__xludf.DUMMYFUNCTION("FILTER($K171:$T171,len($K171:$T171)=6,NOT($K171:$T171=BY171))"),"ecafgb")</f>
        <v>ecafgb</v>
      </c>
      <c r="AL171" s="6" t="str">
        <f>IFERROR(__xludf.DUMMYFUNCTION("""COMPUTED_VALUE"""),"dcbfea")</f>
        <v>dcbfea</v>
      </c>
      <c r="AM171" s="6" t="str">
        <f>IFERROR(__xludf.DUMMYFUNCTION("REGEXREPLACE( $BG171, CONCATENATE(""["",AK171,""]""), """")"),"d")</f>
        <v>d</v>
      </c>
      <c r="AN171" s="6" t="str">
        <f>IFERROR(__xludf.DUMMYFUNCTION("REGEXREPLACE( $BG171, CONCATENATE(""["",AL171,""]""), """")"),"")</f>
        <v/>
      </c>
      <c r="AO171" s="11" t="str">
        <f t="shared" si="4"/>
        <v>ecafgb</v>
      </c>
      <c r="AP171" s="12" t="str">
        <f>IFERROR(__xludf.DUMMYFUNCTION("CONCATENATE(SORT(TRANSPOSE(SPLIT(REGEXREPLACE(REGEXREPLACE(AO171&amp;"""",""(?s)(.{1})"",""$1""&amp;CHAR(127)),""'"",""''""),CHAR(127))),1,true),""1"")"),"abcefg1")</f>
        <v>abcefg1</v>
      </c>
      <c r="AQ171" s="16"/>
      <c r="AR171" s="12" t="str">
        <f t="shared" si="5"/>
        <v>be</v>
      </c>
      <c r="AS171" s="12" t="str">
        <f>IFERROR(__xludf.DUMMYFUNCTION("CONCATENATE(SORT(TRANSPOSE(SPLIT(REGEXREPLACE(REGEXREPLACE(AR171&amp;"""",""(?s)(.{1})"",""$1""&amp;CHAR(127)),""'"",""''""),CHAR(127))),1,true),""1"")"),"be1")</f>
        <v>be1</v>
      </c>
      <c r="AT171" s="16"/>
      <c r="AU171" s="13" t="str">
        <f>IFERROR(__xludf.DUMMYFUNCTION("FILTER($K171:$T171,len($K171:$T171)=5,NOT($K171:$T171=BD171),NOT($K171:$T171=BP171))"),"abdcg")</f>
        <v>abdcg</v>
      </c>
      <c r="AV171" s="12" t="str">
        <f>IFERROR(__xludf.DUMMYFUNCTION("CONCATENATE(SORT(TRANSPOSE(SPLIT(REGEXREPLACE(REGEXREPLACE(AU171&amp;"""",""(?s)(.{1})"",""$1""&amp;CHAR(127)),""'"",""''""),CHAR(127))),1,true),""1"")"),"abcdg1")</f>
        <v>abcdg1</v>
      </c>
      <c r="AW171" s="16"/>
      <c r="AX171" s="10" t="str">
        <f>IFERROR(__xludf.DUMMYFUNCTION("FILTER($K171:$T171,len($K171:$T171)=5)"),"abdcg")</f>
        <v>abdcg</v>
      </c>
      <c r="AY171" s="6" t="str">
        <f>IFERROR(__xludf.DUMMYFUNCTION("""COMPUTED_VALUE"""),"beadc")</f>
        <v>beadc</v>
      </c>
      <c r="AZ171" s="6" t="str">
        <f>IFERROR(__xludf.DUMMYFUNCTION("""COMPUTED_VALUE"""),"adecf")</f>
        <v>adecf</v>
      </c>
      <c r="BA171" s="6" t="str">
        <f>IFERROR(__xludf.DUMMYFUNCTION("REGEXREPLACE( $AR171, CONCATENATE(""["",AX171,""]""), """")"),"e")</f>
        <v>e</v>
      </c>
      <c r="BB171" s="6" t="str">
        <f>IFERROR(__xludf.DUMMYFUNCTION("REGEXREPLACE( $AR171, CONCATENATE(""["",AY171,""]""), """")"),"")</f>
        <v/>
      </c>
      <c r="BC171" s="6" t="str">
        <f>IFERROR(__xludf.DUMMYFUNCTION("REGEXREPLACE( $AR171, CONCATENATE(""["",AZ171,""]""), """")"),"b")</f>
        <v>b</v>
      </c>
      <c r="BD171" s="11" t="str">
        <f t="shared" si="6"/>
        <v>beadc</v>
      </c>
      <c r="BE171" s="12" t="str">
        <f>IFERROR(__xludf.DUMMYFUNCTION("CONCATENATE(SORT(TRANSPOSE(SPLIT(REGEXREPLACE(REGEXREPLACE(BD171&amp;"""",""(?s)(.{1})"",""$1""&amp;CHAR(127)),""'"",""''""),CHAR(127))),1,true),""1"")"),"abcde1")</f>
        <v>abcde1</v>
      </c>
      <c r="BF171" s="16"/>
      <c r="BG171" s="12" t="str">
        <f t="shared" si="7"/>
        <v>debf</v>
      </c>
      <c r="BH171" s="12" t="str">
        <f>IFERROR(__xludf.DUMMYFUNCTION("CONCATENATE(SORT(TRANSPOSE(SPLIT(REGEXREPLACE(REGEXREPLACE(BG171&amp;"""",""(?s)(.{1})"",""$1""&amp;CHAR(127)),""'"",""''""),CHAR(127))),1,true),""1"")"),"bdef1")</f>
        <v>bdef1</v>
      </c>
      <c r="BI171" s="16"/>
      <c r="BJ171" s="10" t="str">
        <f>IFERROR(__xludf.DUMMYFUNCTION("FILTER($K171:$T171,len($K171:$T171)=5)"),"abdcg")</f>
        <v>abdcg</v>
      </c>
      <c r="BK171" s="6" t="str">
        <f>IFERROR(__xludf.DUMMYFUNCTION("""COMPUTED_VALUE"""),"beadc")</f>
        <v>beadc</v>
      </c>
      <c r="BL171" s="6" t="str">
        <f>IFERROR(__xludf.DUMMYFUNCTION("""COMPUTED_VALUE"""),"adecf")</f>
        <v>adecf</v>
      </c>
      <c r="BM171" s="14" t="str">
        <f>IFERROR(__xludf.DUMMYFUNCTION("REGEXREPLACE( $BY171, CONCATENATE(""["",BJ171,""]""), """")"),"fe")</f>
        <v>fe</v>
      </c>
      <c r="BN171" s="14" t="str">
        <f>IFERROR(__xludf.DUMMYFUNCTION("REGEXREPLACE( $BY171, CONCATENATE(""["",BK171,""]""), """")"),"fg")</f>
        <v>fg</v>
      </c>
      <c r="BO171" s="14" t="str">
        <f>IFERROR(__xludf.DUMMYFUNCTION("REGEXREPLACE( $BY171, CONCATENATE(""["",BL171,""]""), """")"),"g")</f>
        <v>g</v>
      </c>
      <c r="BP171" s="11" t="str">
        <f t="shared" si="8"/>
        <v>adecf</v>
      </c>
      <c r="BQ171" s="12" t="str">
        <f>IFERROR(__xludf.DUMMYFUNCTION("CONCATENATE(SORT(TRANSPOSE(SPLIT(REGEXREPLACE(REGEXREPLACE(BP171&amp;"""",""(?s)(.{1})"",""$1""&amp;CHAR(127)),""'"",""''""),CHAR(127))),1,true),""1"")"),"acdef1")</f>
        <v>acdef1</v>
      </c>
      <c r="BR171" s="16"/>
      <c r="BS171" s="10" t="str">
        <f>IFERROR(__xludf.DUMMYFUNCTION("FILTER(K171:T171,len(K171:T171)=6)"),"ecafgb")</f>
        <v>ecafgb</v>
      </c>
      <c r="BT171" s="6" t="str">
        <f>IFERROR(__xludf.DUMMYFUNCTION("""COMPUTED_VALUE"""),"cfedga")</f>
        <v>cfedga</v>
      </c>
      <c r="BU171" s="6" t="str">
        <f>IFERROR(__xludf.DUMMYFUNCTION("""COMPUTED_VALUE"""),"dcbfea")</f>
        <v>dcbfea</v>
      </c>
      <c r="BV171" s="6" t="str">
        <f>IFERROR(__xludf.DUMMYFUNCTION("REGEXREPLACE( $AR171, CONCATENATE(""["",BS171,""]""), """")"),"")</f>
        <v/>
      </c>
      <c r="BW171" s="6" t="str">
        <f>IFERROR(__xludf.DUMMYFUNCTION("REGEXREPLACE( $AR171, CONCATENATE(""["",BT171,""]""), """")"),"b")</f>
        <v>b</v>
      </c>
      <c r="BX171" s="6" t="str">
        <f>IFERROR(__xludf.DUMMYFUNCTION("REGEXREPLACE( $AR171, CONCATENATE(""["",BU171,""]""), """")"),"")</f>
        <v/>
      </c>
      <c r="BY171" s="12" t="str">
        <f t="shared" si="9"/>
        <v>cfedga</v>
      </c>
      <c r="BZ171" s="12" t="str">
        <f>IFERROR(__xludf.DUMMYFUNCTION("CONCATENATE(SORT(TRANSPOSE(SPLIT(REGEXREPLACE(REGEXREPLACE(BY171&amp;"""",""(?s)(.{1})"",""$1""&amp;CHAR(127)),""'"",""''""),CHAR(127))),1,true),""1"")"),"acdefg1")</f>
        <v>acdefg1</v>
      </c>
      <c r="CA171" s="16"/>
      <c r="CB171" s="12" t="str">
        <f t="shared" si="10"/>
        <v>bec</v>
      </c>
      <c r="CC171" s="12" t="str">
        <f>IFERROR(__xludf.DUMMYFUNCTION("CONCATENATE(SORT(TRANSPOSE(SPLIT(REGEXREPLACE(REGEXREPLACE(CB171&amp;"""",""(?s)(.{1})"",""$1""&amp;CHAR(127)),""'"",""''""),CHAR(127))),1,true),""1"")"),"bce1")</f>
        <v>bce1</v>
      </c>
      <c r="CD171" s="16"/>
      <c r="CE171" s="12" t="str">
        <f t="shared" si="11"/>
        <v>dacbefg</v>
      </c>
      <c r="CF171" s="12" t="str">
        <f>IFERROR(__xludf.DUMMYFUNCTION("CONCATENATE(SORT(TRANSPOSE(SPLIT(REGEXREPLACE(REGEXREPLACE(CE171&amp;"""",""(?s)(.{1})"",""$1""&amp;CHAR(127)),""'"",""''""),CHAR(127))),1,true),""1"")"),"abcdefg1")</f>
        <v>abcdefg1</v>
      </c>
      <c r="CG171" s="16"/>
      <c r="CH171" s="10" t="str">
        <f>IFERROR(__xludf.DUMMYFUNCTION("FILTER(K171:T171,len(K171:T171)=6)"),"ecafgb")</f>
        <v>ecafgb</v>
      </c>
      <c r="CI171" s="6" t="str">
        <f>IFERROR(__xludf.DUMMYFUNCTION("""COMPUTED_VALUE"""),"cfedga")</f>
        <v>cfedga</v>
      </c>
      <c r="CJ171" s="6" t="str">
        <f>IFERROR(__xludf.DUMMYFUNCTION("""COMPUTED_VALUE"""),"dcbfea")</f>
        <v>dcbfea</v>
      </c>
      <c r="CK171" s="6" t="str">
        <f>IFERROR(__xludf.DUMMYFUNCTION("REGEXREPLACE( $BG171, CONCATENATE(""["",CH171,""]""), """")"),"d")</f>
        <v>d</v>
      </c>
      <c r="CL171" s="6" t="str">
        <f>IFERROR(__xludf.DUMMYFUNCTION("REGEXREPLACE( $BG171, CONCATENATE(""["",CI171,""]""), """")"),"b")</f>
        <v>b</v>
      </c>
      <c r="CM171" s="6" t="str">
        <f>IFERROR(__xludf.DUMMYFUNCTION("REGEXREPLACE( $BG171, CONCATENATE(""["",CJ171,""]""), """")"),"")</f>
        <v/>
      </c>
      <c r="CN171" s="12" t="str">
        <f t="shared" si="12"/>
        <v>dcbfea</v>
      </c>
      <c r="CO171" s="12" t="str">
        <f>IFERROR(__xludf.DUMMYFUNCTION("CONCATENATE(SORT(TRANSPOSE(SPLIT(REGEXREPLACE(REGEXREPLACE(CN171&amp;"""",""(?s)(.{1})"",""$1""&amp;CHAR(127)),""'"",""''""),CHAR(127))),1,true),""1"")"),"abcdef1")</f>
        <v>abcdef1</v>
      </c>
      <c r="CP171" s="15"/>
    </row>
    <row r="172">
      <c r="A172" s="1" t="s">
        <v>192</v>
      </c>
      <c r="H172" s="6" t="str">
        <f>IFERROR(__xludf.DUMMYFUNCTION("SPLIT(A172,""|"")"),"gd cafbgd efbga agd edafcgb gbadec cdeab edgc geabd cbfead ")</f>
        <v>gd cafbgd efbga agd edafcgb gbadec cdeab edgc geabd cbfead </v>
      </c>
      <c r="I172" s="6" t="str">
        <f>IFERROR(__xludf.DUMMYFUNCTION("""COMPUTED_VALUE""")," dga dg agd dg")</f>
        <v> dga dg agd dg</v>
      </c>
      <c r="J172" s="15"/>
      <c r="K172" s="6" t="str">
        <f>IFERROR(__xludf.DUMMYFUNCTION("split(H172,"" "")"),"gd")</f>
        <v>gd</v>
      </c>
      <c r="L172" s="6" t="str">
        <f>IFERROR(__xludf.DUMMYFUNCTION("""COMPUTED_VALUE"""),"cafbgd")</f>
        <v>cafbgd</v>
      </c>
      <c r="M172" s="6" t="str">
        <f>IFERROR(__xludf.DUMMYFUNCTION("""COMPUTED_VALUE"""),"efbga")</f>
        <v>efbga</v>
      </c>
      <c r="N172" s="6" t="str">
        <f>IFERROR(__xludf.DUMMYFUNCTION("""COMPUTED_VALUE"""),"agd")</f>
        <v>agd</v>
      </c>
      <c r="O172" s="6" t="str">
        <f>IFERROR(__xludf.DUMMYFUNCTION("""COMPUTED_VALUE"""),"edafcgb")</f>
        <v>edafcgb</v>
      </c>
      <c r="P172" s="6" t="str">
        <f>IFERROR(__xludf.DUMMYFUNCTION("""COMPUTED_VALUE"""),"gbadec")</f>
        <v>gbadec</v>
      </c>
      <c r="Q172" s="6" t="str">
        <f>IFERROR(__xludf.DUMMYFUNCTION("""COMPUTED_VALUE"""),"cdeab")</f>
        <v>cdeab</v>
      </c>
      <c r="R172" s="6" t="str">
        <f>IFERROR(__xludf.DUMMYFUNCTION("""COMPUTED_VALUE"""),"edgc")</f>
        <v>edgc</v>
      </c>
      <c r="S172" s="6" t="str">
        <f>IFERROR(__xludf.DUMMYFUNCTION("""COMPUTED_VALUE"""),"geabd")</f>
        <v>geabd</v>
      </c>
      <c r="T172" s="6" t="str">
        <f>IFERROR(__xludf.DUMMYFUNCTION("""COMPUTED_VALUE"""),"cbfead")</f>
        <v>cbfead</v>
      </c>
      <c r="U172" s="15"/>
      <c r="V172" s="6" t="str">
        <f>IFERROR(__xludf.DUMMYFUNCTION("split(I172,"" "")"),"dga")</f>
        <v>dga</v>
      </c>
      <c r="W172" s="6" t="str">
        <f>IFERROR(__xludf.DUMMYFUNCTION("""COMPUTED_VALUE"""),"dg")</f>
        <v>dg</v>
      </c>
      <c r="X172" s="6" t="str">
        <f>IFERROR(__xludf.DUMMYFUNCTION("""COMPUTED_VALUE"""),"agd")</f>
        <v>agd</v>
      </c>
      <c r="Y172" s="6" t="str">
        <f>IFERROR(__xludf.DUMMYFUNCTION("""COMPUTED_VALUE"""),"dg")</f>
        <v>dg</v>
      </c>
      <c r="Z172" s="6" t="str">
        <f>IFERROR(__xludf.DUMMYFUNCTION("CONCATENATE(SORT(TRANSPOSE(SPLIT(REGEXREPLACE(REGEXREPLACE(V172&amp;"""",""(?s)(.{1})"",""$1""&amp;CHAR(127)),""'"",""''""),CHAR(127))),1,true))"),"adg")</f>
        <v>adg</v>
      </c>
      <c r="AA172" s="6" t="str">
        <f>IFERROR(__xludf.DUMMYFUNCTION("CONCATENATE(SORT(TRANSPOSE(SPLIT(REGEXREPLACE(REGEXREPLACE(W172&amp;"""",""(?s)(.{1})"",""$1""&amp;CHAR(127)),""'"",""''""),CHAR(127))),1,true))"),"dg")</f>
        <v>dg</v>
      </c>
      <c r="AB172" s="6" t="str">
        <f>IFERROR(__xludf.DUMMYFUNCTION("CONCATENATE(SORT(TRANSPOSE(SPLIT(REGEXREPLACE(REGEXREPLACE(X172&amp;"""",""(?s)(.{1})"",""$1""&amp;CHAR(127)),""'"",""''""),CHAR(127))),1,true))"),"adg")</f>
        <v>adg</v>
      </c>
      <c r="AC172" s="6" t="str">
        <f>IFERROR(__xludf.DUMMYFUNCTION("CONCATENATE(SORT(TRANSPOSE(SPLIT(REGEXREPLACE(REGEXREPLACE(Y172&amp;"""",""(?s)(.{1})"",""$1""&amp;CHAR(127)),""'"",""''""),CHAR(127))),1,true))"),"dg")</f>
        <v>dg</v>
      </c>
      <c r="AD172" s="6">
        <f t="shared" ref="AD172:AG172" si="182">INDEX($AO$1:$CP$1,1,MATCH(CONCATENATE(Z172,"1"),$AO172:$CP172,0)+1)</f>
        <v>7</v>
      </c>
      <c r="AE172" s="6">
        <f t="shared" si="182"/>
        <v>1</v>
      </c>
      <c r="AF172" s="6">
        <f t="shared" si="182"/>
        <v>7</v>
      </c>
      <c r="AG172" s="6">
        <f t="shared" si="182"/>
        <v>1</v>
      </c>
      <c r="AH172" s="6">
        <f t="shared" si="3"/>
        <v>7171</v>
      </c>
      <c r="AI172" s="16"/>
      <c r="AJ172" s="9" t="str">
        <f>IFERROR(__xludf.DUMMYFUNCTION("REGEXREPLACE(AR172,CONCATENATE(""["",BY172,""]""),"""")"),"g")</f>
        <v>g</v>
      </c>
      <c r="AK172" s="10" t="str">
        <f>IFERROR(__xludf.DUMMYFUNCTION("FILTER($K172:$T172,len($K172:$T172)=6,NOT($K172:$T172=BY172))"),"cafbgd")</f>
        <v>cafbgd</v>
      </c>
      <c r="AL172" s="6" t="str">
        <f>IFERROR(__xludf.DUMMYFUNCTION("""COMPUTED_VALUE"""),"gbadec")</f>
        <v>gbadec</v>
      </c>
      <c r="AM172" s="6" t="str">
        <f>IFERROR(__xludf.DUMMYFUNCTION("REGEXREPLACE( $BG172, CONCATENATE(""["",AK172,""]""), """")"),"e")</f>
        <v>e</v>
      </c>
      <c r="AN172" s="6" t="str">
        <f>IFERROR(__xludf.DUMMYFUNCTION("REGEXREPLACE( $BG172, CONCATENATE(""["",AL172,""]""), """")"),"")</f>
        <v/>
      </c>
      <c r="AO172" s="11" t="str">
        <f t="shared" si="4"/>
        <v>cafbgd</v>
      </c>
      <c r="AP172" s="12" t="str">
        <f>IFERROR(__xludf.DUMMYFUNCTION("CONCATENATE(SORT(TRANSPOSE(SPLIT(REGEXREPLACE(REGEXREPLACE(AO172&amp;"""",""(?s)(.{1})"",""$1""&amp;CHAR(127)),""'"",""''""),CHAR(127))),1,true),""1"")"),"abcdfg1")</f>
        <v>abcdfg1</v>
      </c>
      <c r="AQ172" s="16"/>
      <c r="AR172" s="12" t="str">
        <f t="shared" si="5"/>
        <v>gd</v>
      </c>
      <c r="AS172" s="12" t="str">
        <f>IFERROR(__xludf.DUMMYFUNCTION("CONCATENATE(SORT(TRANSPOSE(SPLIT(REGEXREPLACE(REGEXREPLACE(AR172&amp;"""",""(?s)(.{1})"",""$1""&amp;CHAR(127)),""'"",""''""),CHAR(127))),1,true),""1"")"),"dg1")</f>
        <v>dg1</v>
      </c>
      <c r="AT172" s="16"/>
      <c r="AU172" s="13" t="str">
        <f>IFERROR(__xludf.DUMMYFUNCTION("FILTER($K172:$T172,len($K172:$T172)=5,NOT($K172:$T172=BD172),NOT($K172:$T172=BP172))"),"efbga")</f>
        <v>efbga</v>
      </c>
      <c r="AV172" s="12" t="str">
        <f>IFERROR(__xludf.DUMMYFUNCTION("CONCATENATE(SORT(TRANSPOSE(SPLIT(REGEXREPLACE(REGEXREPLACE(AU172&amp;"""",""(?s)(.{1})"",""$1""&amp;CHAR(127)),""'"",""''""),CHAR(127))),1,true),""1"")"),"abefg1")</f>
        <v>abefg1</v>
      </c>
      <c r="AW172" s="16"/>
      <c r="AX172" s="10" t="str">
        <f>IFERROR(__xludf.DUMMYFUNCTION("FILTER($K172:$T172,len($K172:$T172)=5)"),"efbga")</f>
        <v>efbga</v>
      </c>
      <c r="AY172" s="6" t="str">
        <f>IFERROR(__xludf.DUMMYFUNCTION("""COMPUTED_VALUE"""),"cdeab")</f>
        <v>cdeab</v>
      </c>
      <c r="AZ172" s="6" t="str">
        <f>IFERROR(__xludf.DUMMYFUNCTION("""COMPUTED_VALUE"""),"geabd")</f>
        <v>geabd</v>
      </c>
      <c r="BA172" s="6" t="str">
        <f>IFERROR(__xludf.DUMMYFUNCTION("REGEXREPLACE( $AR172, CONCATENATE(""["",AX172,""]""), """")"),"d")</f>
        <v>d</v>
      </c>
      <c r="BB172" s="6" t="str">
        <f>IFERROR(__xludf.DUMMYFUNCTION("REGEXREPLACE( $AR172, CONCATENATE(""["",AY172,""]""), """")"),"g")</f>
        <v>g</v>
      </c>
      <c r="BC172" s="6" t="str">
        <f>IFERROR(__xludf.DUMMYFUNCTION("REGEXREPLACE( $AR172, CONCATENATE(""["",AZ172,""]""), """")"),"")</f>
        <v/>
      </c>
      <c r="BD172" s="11" t="str">
        <f t="shared" si="6"/>
        <v>geabd</v>
      </c>
      <c r="BE172" s="12" t="str">
        <f>IFERROR(__xludf.DUMMYFUNCTION("CONCATENATE(SORT(TRANSPOSE(SPLIT(REGEXREPLACE(REGEXREPLACE(BD172&amp;"""",""(?s)(.{1})"",""$1""&amp;CHAR(127)),""'"",""''""),CHAR(127))),1,true),""1"")"),"abdeg1")</f>
        <v>abdeg1</v>
      </c>
      <c r="BF172" s="16"/>
      <c r="BG172" s="12" t="str">
        <f t="shared" si="7"/>
        <v>edgc</v>
      </c>
      <c r="BH172" s="12" t="str">
        <f>IFERROR(__xludf.DUMMYFUNCTION("CONCATENATE(SORT(TRANSPOSE(SPLIT(REGEXREPLACE(REGEXREPLACE(BG172&amp;"""",""(?s)(.{1})"",""$1""&amp;CHAR(127)),""'"",""''""),CHAR(127))),1,true),""1"")"),"cdeg1")</f>
        <v>cdeg1</v>
      </c>
      <c r="BI172" s="16"/>
      <c r="BJ172" s="10" t="str">
        <f>IFERROR(__xludf.DUMMYFUNCTION("FILTER($K172:$T172,len($K172:$T172)=5)"),"efbga")</f>
        <v>efbga</v>
      </c>
      <c r="BK172" s="6" t="str">
        <f>IFERROR(__xludf.DUMMYFUNCTION("""COMPUTED_VALUE"""),"cdeab")</f>
        <v>cdeab</v>
      </c>
      <c r="BL172" s="6" t="str">
        <f>IFERROR(__xludf.DUMMYFUNCTION("""COMPUTED_VALUE"""),"geabd")</f>
        <v>geabd</v>
      </c>
      <c r="BM172" s="14" t="str">
        <f>IFERROR(__xludf.DUMMYFUNCTION("REGEXREPLACE( $BY172, CONCATENATE(""["",BJ172,""]""), """")"),"cd")</f>
        <v>cd</v>
      </c>
      <c r="BN172" s="14" t="str">
        <f>IFERROR(__xludf.DUMMYFUNCTION("REGEXREPLACE( $BY172, CONCATENATE(""["",BK172,""]""), """")"),"f")</f>
        <v>f</v>
      </c>
      <c r="BO172" s="14" t="str">
        <f>IFERROR(__xludf.DUMMYFUNCTION("REGEXREPLACE( $BY172, CONCATENATE(""["",BL172,""]""), """")"),"cf")</f>
        <v>cf</v>
      </c>
      <c r="BP172" s="11" t="str">
        <f t="shared" si="8"/>
        <v>cdeab</v>
      </c>
      <c r="BQ172" s="12" t="str">
        <f>IFERROR(__xludf.DUMMYFUNCTION("CONCATENATE(SORT(TRANSPOSE(SPLIT(REGEXREPLACE(REGEXREPLACE(BP172&amp;"""",""(?s)(.{1})"",""$1""&amp;CHAR(127)),""'"",""''""),CHAR(127))),1,true),""1"")"),"abcde1")</f>
        <v>abcde1</v>
      </c>
      <c r="BR172" s="16"/>
      <c r="BS172" s="10" t="str">
        <f>IFERROR(__xludf.DUMMYFUNCTION("FILTER(K172:T172,len(K172:T172)=6)"),"cafbgd")</f>
        <v>cafbgd</v>
      </c>
      <c r="BT172" s="6" t="str">
        <f>IFERROR(__xludf.DUMMYFUNCTION("""COMPUTED_VALUE"""),"gbadec")</f>
        <v>gbadec</v>
      </c>
      <c r="BU172" s="6" t="str">
        <f>IFERROR(__xludf.DUMMYFUNCTION("""COMPUTED_VALUE"""),"cbfead")</f>
        <v>cbfead</v>
      </c>
      <c r="BV172" s="6" t="str">
        <f>IFERROR(__xludf.DUMMYFUNCTION("REGEXREPLACE( $AR172, CONCATENATE(""["",BS172,""]""), """")"),"")</f>
        <v/>
      </c>
      <c r="BW172" s="6" t="str">
        <f>IFERROR(__xludf.DUMMYFUNCTION("REGEXREPLACE( $AR172, CONCATENATE(""["",BT172,""]""), """")"),"")</f>
        <v/>
      </c>
      <c r="BX172" s="6" t="str">
        <f>IFERROR(__xludf.DUMMYFUNCTION("REGEXREPLACE( $AR172, CONCATENATE(""["",BU172,""]""), """")"),"g")</f>
        <v>g</v>
      </c>
      <c r="BY172" s="12" t="str">
        <f t="shared" si="9"/>
        <v>cbfead</v>
      </c>
      <c r="BZ172" s="12" t="str">
        <f>IFERROR(__xludf.DUMMYFUNCTION("CONCATENATE(SORT(TRANSPOSE(SPLIT(REGEXREPLACE(REGEXREPLACE(BY172&amp;"""",""(?s)(.{1})"",""$1""&amp;CHAR(127)),""'"",""''""),CHAR(127))),1,true),""1"")"),"abcdef1")</f>
        <v>abcdef1</v>
      </c>
      <c r="CA172" s="16"/>
      <c r="CB172" s="12" t="str">
        <f t="shared" si="10"/>
        <v>agd</v>
      </c>
      <c r="CC172" s="12" t="str">
        <f>IFERROR(__xludf.DUMMYFUNCTION("CONCATENATE(SORT(TRANSPOSE(SPLIT(REGEXREPLACE(REGEXREPLACE(CB172&amp;"""",""(?s)(.{1})"",""$1""&amp;CHAR(127)),""'"",""''""),CHAR(127))),1,true),""1"")"),"adg1")</f>
        <v>adg1</v>
      </c>
      <c r="CD172" s="16"/>
      <c r="CE172" s="12" t="str">
        <f t="shared" si="11"/>
        <v>edafcgb</v>
      </c>
      <c r="CF172" s="12" t="str">
        <f>IFERROR(__xludf.DUMMYFUNCTION("CONCATENATE(SORT(TRANSPOSE(SPLIT(REGEXREPLACE(REGEXREPLACE(CE172&amp;"""",""(?s)(.{1})"",""$1""&amp;CHAR(127)),""'"",""''""),CHAR(127))),1,true),""1"")"),"abcdefg1")</f>
        <v>abcdefg1</v>
      </c>
      <c r="CG172" s="16"/>
      <c r="CH172" s="10" t="str">
        <f>IFERROR(__xludf.DUMMYFUNCTION("FILTER(K172:T172,len(K172:T172)=6)"),"cafbgd")</f>
        <v>cafbgd</v>
      </c>
      <c r="CI172" s="6" t="str">
        <f>IFERROR(__xludf.DUMMYFUNCTION("""COMPUTED_VALUE"""),"gbadec")</f>
        <v>gbadec</v>
      </c>
      <c r="CJ172" s="6" t="str">
        <f>IFERROR(__xludf.DUMMYFUNCTION("""COMPUTED_VALUE"""),"cbfead")</f>
        <v>cbfead</v>
      </c>
      <c r="CK172" s="6" t="str">
        <f>IFERROR(__xludf.DUMMYFUNCTION("REGEXREPLACE( $BG172, CONCATENATE(""["",CH172,""]""), """")"),"e")</f>
        <v>e</v>
      </c>
      <c r="CL172" s="6" t="str">
        <f>IFERROR(__xludf.DUMMYFUNCTION("REGEXREPLACE( $BG172, CONCATENATE(""["",CI172,""]""), """")"),"")</f>
        <v/>
      </c>
      <c r="CM172" s="6" t="str">
        <f>IFERROR(__xludf.DUMMYFUNCTION("REGEXREPLACE( $BG172, CONCATENATE(""["",CJ172,""]""), """")"),"g")</f>
        <v>g</v>
      </c>
      <c r="CN172" s="12" t="str">
        <f t="shared" si="12"/>
        <v>gbadec</v>
      </c>
      <c r="CO172" s="12" t="str">
        <f>IFERROR(__xludf.DUMMYFUNCTION("CONCATENATE(SORT(TRANSPOSE(SPLIT(REGEXREPLACE(REGEXREPLACE(CN172&amp;"""",""(?s)(.{1})"",""$1""&amp;CHAR(127)),""'"",""''""),CHAR(127))),1,true),""1"")"),"abcdeg1")</f>
        <v>abcdeg1</v>
      </c>
      <c r="CP172" s="15"/>
    </row>
    <row r="173">
      <c r="A173" s="1" t="s">
        <v>193</v>
      </c>
      <c r="H173" s="6" t="str">
        <f>IFERROR(__xludf.DUMMYFUNCTION("SPLIT(A173,""|"")"),"abefdgc dfae dbfcg fa gabfce agf cebagd dgace dfcage cdgaf ")</f>
        <v>abefdgc dfae dbfcg fa gabfce agf cebagd dgace dfcage cdgaf </v>
      </c>
      <c r="I173" s="6" t="str">
        <f>IFERROR(__xludf.DUMMYFUNCTION("""COMPUTED_VALUE""")," cgdfb fdae efgadcb gdcea")</f>
        <v> cgdfb fdae efgadcb gdcea</v>
      </c>
      <c r="J173" s="15"/>
      <c r="K173" s="6" t="str">
        <f>IFERROR(__xludf.DUMMYFUNCTION("split(H173,"" "")"),"abefdgc")</f>
        <v>abefdgc</v>
      </c>
      <c r="L173" s="6" t="str">
        <f>IFERROR(__xludf.DUMMYFUNCTION("""COMPUTED_VALUE"""),"dfae")</f>
        <v>dfae</v>
      </c>
      <c r="M173" s="6" t="str">
        <f>IFERROR(__xludf.DUMMYFUNCTION("""COMPUTED_VALUE"""),"dbfcg")</f>
        <v>dbfcg</v>
      </c>
      <c r="N173" s="6" t="str">
        <f>IFERROR(__xludf.DUMMYFUNCTION("""COMPUTED_VALUE"""),"fa")</f>
        <v>fa</v>
      </c>
      <c r="O173" s="6" t="str">
        <f>IFERROR(__xludf.DUMMYFUNCTION("""COMPUTED_VALUE"""),"gabfce")</f>
        <v>gabfce</v>
      </c>
      <c r="P173" s="6" t="str">
        <f>IFERROR(__xludf.DUMMYFUNCTION("""COMPUTED_VALUE"""),"agf")</f>
        <v>agf</v>
      </c>
      <c r="Q173" s="6" t="str">
        <f>IFERROR(__xludf.DUMMYFUNCTION("""COMPUTED_VALUE"""),"cebagd")</f>
        <v>cebagd</v>
      </c>
      <c r="R173" s="6" t="str">
        <f>IFERROR(__xludf.DUMMYFUNCTION("""COMPUTED_VALUE"""),"dgace")</f>
        <v>dgace</v>
      </c>
      <c r="S173" s="6" t="str">
        <f>IFERROR(__xludf.DUMMYFUNCTION("""COMPUTED_VALUE"""),"dfcage")</f>
        <v>dfcage</v>
      </c>
      <c r="T173" s="6" t="str">
        <f>IFERROR(__xludf.DUMMYFUNCTION("""COMPUTED_VALUE"""),"cdgaf")</f>
        <v>cdgaf</v>
      </c>
      <c r="U173" s="15"/>
      <c r="V173" s="6" t="str">
        <f>IFERROR(__xludf.DUMMYFUNCTION("split(I173,"" "")"),"cgdfb")</f>
        <v>cgdfb</v>
      </c>
      <c r="W173" s="6" t="str">
        <f>IFERROR(__xludf.DUMMYFUNCTION("""COMPUTED_VALUE"""),"fdae")</f>
        <v>fdae</v>
      </c>
      <c r="X173" s="6" t="str">
        <f>IFERROR(__xludf.DUMMYFUNCTION("""COMPUTED_VALUE"""),"efgadcb")</f>
        <v>efgadcb</v>
      </c>
      <c r="Y173" s="6" t="str">
        <f>IFERROR(__xludf.DUMMYFUNCTION("""COMPUTED_VALUE"""),"gdcea")</f>
        <v>gdcea</v>
      </c>
      <c r="Z173" s="6" t="str">
        <f>IFERROR(__xludf.DUMMYFUNCTION("CONCATENATE(SORT(TRANSPOSE(SPLIT(REGEXREPLACE(REGEXREPLACE(V173&amp;"""",""(?s)(.{1})"",""$1""&amp;CHAR(127)),""'"",""''""),CHAR(127))),1,true))"),"bcdfg")</f>
        <v>bcdfg</v>
      </c>
      <c r="AA173" s="6" t="str">
        <f>IFERROR(__xludf.DUMMYFUNCTION("CONCATENATE(SORT(TRANSPOSE(SPLIT(REGEXREPLACE(REGEXREPLACE(W173&amp;"""",""(?s)(.{1})"",""$1""&amp;CHAR(127)),""'"",""''""),CHAR(127))),1,true))"),"adef")</f>
        <v>adef</v>
      </c>
      <c r="AB173" s="6" t="str">
        <f>IFERROR(__xludf.DUMMYFUNCTION("CONCATENATE(SORT(TRANSPOSE(SPLIT(REGEXREPLACE(REGEXREPLACE(X173&amp;"""",""(?s)(.{1})"",""$1""&amp;CHAR(127)),""'"",""''""),CHAR(127))),1,true))"),"abcdefg")</f>
        <v>abcdefg</v>
      </c>
      <c r="AC173" s="6" t="str">
        <f>IFERROR(__xludf.DUMMYFUNCTION("CONCATENATE(SORT(TRANSPOSE(SPLIT(REGEXREPLACE(REGEXREPLACE(Y173&amp;"""",""(?s)(.{1})"",""$1""&amp;CHAR(127)),""'"",""''""),CHAR(127))),1,true))"),"acdeg")</f>
        <v>acdeg</v>
      </c>
      <c r="AD173" s="6">
        <f t="shared" ref="AD173:AG173" si="183">INDEX($AO$1:$CP$1,1,MATCH(CONCATENATE(Z173,"1"),$AO173:$CP173,0)+1)</f>
        <v>2</v>
      </c>
      <c r="AE173" s="6">
        <f t="shared" si="183"/>
        <v>4</v>
      </c>
      <c r="AF173" s="6">
        <f t="shared" si="183"/>
        <v>8</v>
      </c>
      <c r="AG173" s="6">
        <f t="shared" si="183"/>
        <v>5</v>
      </c>
      <c r="AH173" s="6">
        <f t="shared" si="3"/>
        <v>2485</v>
      </c>
      <c r="AI173" s="16"/>
      <c r="AJ173" s="9" t="str">
        <f>IFERROR(__xludf.DUMMYFUNCTION("REGEXREPLACE(AR173,CONCATENATE(""["",BY173,""]""),"""")"),"f")</f>
        <v>f</v>
      </c>
      <c r="AK173" s="10" t="str">
        <f>IFERROR(__xludf.DUMMYFUNCTION("FILTER($K173:$T173,len($K173:$T173)=6,NOT($K173:$T173=BY173))"),"gabfce")</f>
        <v>gabfce</v>
      </c>
      <c r="AL173" s="6" t="str">
        <f>IFERROR(__xludf.DUMMYFUNCTION("""COMPUTED_VALUE"""),"dfcage")</f>
        <v>dfcage</v>
      </c>
      <c r="AM173" s="6" t="str">
        <f>IFERROR(__xludf.DUMMYFUNCTION("REGEXREPLACE( $BG173, CONCATENATE(""["",AK173,""]""), """")"),"d")</f>
        <v>d</v>
      </c>
      <c r="AN173" s="6" t="str">
        <f>IFERROR(__xludf.DUMMYFUNCTION("REGEXREPLACE( $BG173, CONCATENATE(""["",AL173,""]""), """")"),"")</f>
        <v/>
      </c>
      <c r="AO173" s="11" t="str">
        <f t="shared" si="4"/>
        <v>gabfce</v>
      </c>
      <c r="AP173" s="12" t="str">
        <f>IFERROR(__xludf.DUMMYFUNCTION("CONCATENATE(SORT(TRANSPOSE(SPLIT(REGEXREPLACE(REGEXREPLACE(AO173&amp;"""",""(?s)(.{1})"",""$1""&amp;CHAR(127)),""'"",""''""),CHAR(127))),1,true),""1"")"),"abcefg1")</f>
        <v>abcefg1</v>
      </c>
      <c r="AQ173" s="16"/>
      <c r="AR173" s="12" t="str">
        <f t="shared" si="5"/>
        <v>fa</v>
      </c>
      <c r="AS173" s="12" t="str">
        <f>IFERROR(__xludf.DUMMYFUNCTION("CONCATENATE(SORT(TRANSPOSE(SPLIT(REGEXREPLACE(REGEXREPLACE(AR173&amp;"""",""(?s)(.{1})"",""$1""&amp;CHAR(127)),""'"",""''""),CHAR(127))),1,true),""1"")"),"af1")</f>
        <v>af1</v>
      </c>
      <c r="AT173" s="16"/>
      <c r="AU173" s="13" t="str">
        <f>IFERROR(__xludf.DUMMYFUNCTION("FILTER($K173:$T173,len($K173:$T173)=5,NOT($K173:$T173=BD173),NOT($K173:$T173=BP173))"),"dbfcg")</f>
        <v>dbfcg</v>
      </c>
      <c r="AV173" s="12" t="str">
        <f>IFERROR(__xludf.DUMMYFUNCTION("CONCATENATE(SORT(TRANSPOSE(SPLIT(REGEXREPLACE(REGEXREPLACE(AU173&amp;"""",""(?s)(.{1})"",""$1""&amp;CHAR(127)),""'"",""''""),CHAR(127))),1,true),""1"")"),"bcdfg1")</f>
        <v>bcdfg1</v>
      </c>
      <c r="AW173" s="16"/>
      <c r="AX173" s="10" t="str">
        <f>IFERROR(__xludf.DUMMYFUNCTION("FILTER($K173:$T173,len($K173:$T173)=5)"),"dbfcg")</f>
        <v>dbfcg</v>
      </c>
      <c r="AY173" s="6" t="str">
        <f>IFERROR(__xludf.DUMMYFUNCTION("""COMPUTED_VALUE"""),"dgace")</f>
        <v>dgace</v>
      </c>
      <c r="AZ173" s="6" t="str">
        <f>IFERROR(__xludf.DUMMYFUNCTION("""COMPUTED_VALUE"""),"cdgaf")</f>
        <v>cdgaf</v>
      </c>
      <c r="BA173" s="6" t="str">
        <f>IFERROR(__xludf.DUMMYFUNCTION("REGEXREPLACE( $AR173, CONCATENATE(""["",AX173,""]""), """")"),"a")</f>
        <v>a</v>
      </c>
      <c r="BB173" s="6" t="str">
        <f>IFERROR(__xludf.DUMMYFUNCTION("REGEXREPLACE( $AR173, CONCATENATE(""["",AY173,""]""), """")"),"f")</f>
        <v>f</v>
      </c>
      <c r="BC173" s="6" t="str">
        <f>IFERROR(__xludf.DUMMYFUNCTION("REGEXREPLACE( $AR173, CONCATENATE(""["",AZ173,""]""), """")"),"")</f>
        <v/>
      </c>
      <c r="BD173" s="11" t="str">
        <f t="shared" si="6"/>
        <v>cdgaf</v>
      </c>
      <c r="BE173" s="12" t="str">
        <f>IFERROR(__xludf.DUMMYFUNCTION("CONCATENATE(SORT(TRANSPOSE(SPLIT(REGEXREPLACE(REGEXREPLACE(BD173&amp;"""",""(?s)(.{1})"",""$1""&amp;CHAR(127)),""'"",""''""),CHAR(127))),1,true),""1"")"),"acdfg1")</f>
        <v>acdfg1</v>
      </c>
      <c r="BF173" s="16"/>
      <c r="BG173" s="12" t="str">
        <f t="shared" si="7"/>
        <v>dfae</v>
      </c>
      <c r="BH173" s="12" t="str">
        <f>IFERROR(__xludf.DUMMYFUNCTION("CONCATENATE(SORT(TRANSPOSE(SPLIT(REGEXREPLACE(REGEXREPLACE(BG173&amp;"""",""(?s)(.{1})"",""$1""&amp;CHAR(127)),""'"",""''""),CHAR(127))),1,true),""1"")"),"adef1")</f>
        <v>adef1</v>
      </c>
      <c r="BI173" s="16"/>
      <c r="BJ173" s="10" t="str">
        <f>IFERROR(__xludf.DUMMYFUNCTION("FILTER($K173:$T173,len($K173:$T173)=5)"),"dbfcg")</f>
        <v>dbfcg</v>
      </c>
      <c r="BK173" s="6" t="str">
        <f>IFERROR(__xludf.DUMMYFUNCTION("""COMPUTED_VALUE"""),"dgace")</f>
        <v>dgace</v>
      </c>
      <c r="BL173" s="6" t="str">
        <f>IFERROR(__xludf.DUMMYFUNCTION("""COMPUTED_VALUE"""),"cdgaf")</f>
        <v>cdgaf</v>
      </c>
      <c r="BM173" s="14" t="str">
        <f>IFERROR(__xludf.DUMMYFUNCTION("REGEXREPLACE( $BY173, CONCATENATE(""["",BJ173,""]""), """")"),"ea")</f>
        <v>ea</v>
      </c>
      <c r="BN173" s="14" t="str">
        <f>IFERROR(__xludf.DUMMYFUNCTION("REGEXREPLACE( $BY173, CONCATENATE(""["",BK173,""]""), """")"),"b")</f>
        <v>b</v>
      </c>
      <c r="BO173" s="14" t="str">
        <f>IFERROR(__xludf.DUMMYFUNCTION("REGEXREPLACE( $BY173, CONCATENATE(""["",BL173,""]""), """")"),"eb")</f>
        <v>eb</v>
      </c>
      <c r="BP173" s="11" t="str">
        <f t="shared" si="8"/>
        <v>dgace</v>
      </c>
      <c r="BQ173" s="12" t="str">
        <f>IFERROR(__xludf.DUMMYFUNCTION("CONCATENATE(SORT(TRANSPOSE(SPLIT(REGEXREPLACE(REGEXREPLACE(BP173&amp;"""",""(?s)(.{1})"",""$1""&amp;CHAR(127)),""'"",""''""),CHAR(127))),1,true),""1"")"),"acdeg1")</f>
        <v>acdeg1</v>
      </c>
      <c r="BR173" s="16"/>
      <c r="BS173" s="10" t="str">
        <f>IFERROR(__xludf.DUMMYFUNCTION("FILTER(K173:T173,len(K173:T173)=6)"),"gabfce")</f>
        <v>gabfce</v>
      </c>
      <c r="BT173" s="6" t="str">
        <f>IFERROR(__xludf.DUMMYFUNCTION("""COMPUTED_VALUE"""),"cebagd")</f>
        <v>cebagd</v>
      </c>
      <c r="BU173" s="6" t="str">
        <f>IFERROR(__xludf.DUMMYFUNCTION("""COMPUTED_VALUE"""),"dfcage")</f>
        <v>dfcage</v>
      </c>
      <c r="BV173" s="6" t="str">
        <f>IFERROR(__xludf.DUMMYFUNCTION("REGEXREPLACE( $AR173, CONCATENATE(""["",BS173,""]""), """")"),"")</f>
        <v/>
      </c>
      <c r="BW173" s="6" t="str">
        <f>IFERROR(__xludf.DUMMYFUNCTION("REGEXREPLACE( $AR173, CONCATENATE(""["",BT173,""]""), """")"),"f")</f>
        <v>f</v>
      </c>
      <c r="BX173" s="6" t="str">
        <f>IFERROR(__xludf.DUMMYFUNCTION("REGEXREPLACE( $AR173, CONCATENATE(""["",BU173,""]""), """")"),"")</f>
        <v/>
      </c>
      <c r="BY173" s="12" t="str">
        <f t="shared" si="9"/>
        <v>cebagd</v>
      </c>
      <c r="BZ173" s="12" t="str">
        <f>IFERROR(__xludf.DUMMYFUNCTION("CONCATENATE(SORT(TRANSPOSE(SPLIT(REGEXREPLACE(REGEXREPLACE(BY173&amp;"""",""(?s)(.{1})"",""$1""&amp;CHAR(127)),""'"",""''""),CHAR(127))),1,true),""1"")"),"abcdeg1")</f>
        <v>abcdeg1</v>
      </c>
      <c r="CA173" s="16"/>
      <c r="CB173" s="12" t="str">
        <f t="shared" si="10"/>
        <v>agf</v>
      </c>
      <c r="CC173" s="12" t="str">
        <f>IFERROR(__xludf.DUMMYFUNCTION("CONCATENATE(SORT(TRANSPOSE(SPLIT(REGEXREPLACE(REGEXREPLACE(CB173&amp;"""",""(?s)(.{1})"",""$1""&amp;CHAR(127)),""'"",""''""),CHAR(127))),1,true),""1"")"),"afg1")</f>
        <v>afg1</v>
      </c>
      <c r="CD173" s="16"/>
      <c r="CE173" s="12" t="str">
        <f t="shared" si="11"/>
        <v>abefdgc</v>
      </c>
      <c r="CF173" s="12" t="str">
        <f>IFERROR(__xludf.DUMMYFUNCTION("CONCATENATE(SORT(TRANSPOSE(SPLIT(REGEXREPLACE(REGEXREPLACE(CE173&amp;"""",""(?s)(.{1})"",""$1""&amp;CHAR(127)),""'"",""''""),CHAR(127))),1,true),""1"")"),"abcdefg1")</f>
        <v>abcdefg1</v>
      </c>
      <c r="CG173" s="16"/>
      <c r="CH173" s="10" t="str">
        <f>IFERROR(__xludf.DUMMYFUNCTION("FILTER(K173:T173,len(K173:T173)=6)"),"gabfce")</f>
        <v>gabfce</v>
      </c>
      <c r="CI173" s="6" t="str">
        <f>IFERROR(__xludf.DUMMYFUNCTION("""COMPUTED_VALUE"""),"cebagd")</f>
        <v>cebagd</v>
      </c>
      <c r="CJ173" s="6" t="str">
        <f>IFERROR(__xludf.DUMMYFUNCTION("""COMPUTED_VALUE"""),"dfcage")</f>
        <v>dfcage</v>
      </c>
      <c r="CK173" s="6" t="str">
        <f>IFERROR(__xludf.DUMMYFUNCTION("REGEXREPLACE( $BG173, CONCATENATE(""["",CH173,""]""), """")"),"d")</f>
        <v>d</v>
      </c>
      <c r="CL173" s="6" t="str">
        <f>IFERROR(__xludf.DUMMYFUNCTION("REGEXREPLACE( $BG173, CONCATENATE(""["",CI173,""]""), """")"),"f")</f>
        <v>f</v>
      </c>
      <c r="CM173" s="6" t="str">
        <f>IFERROR(__xludf.DUMMYFUNCTION("REGEXREPLACE( $BG173, CONCATENATE(""["",CJ173,""]""), """")"),"")</f>
        <v/>
      </c>
      <c r="CN173" s="12" t="str">
        <f t="shared" si="12"/>
        <v>dfcage</v>
      </c>
      <c r="CO173" s="12" t="str">
        <f>IFERROR(__xludf.DUMMYFUNCTION("CONCATENATE(SORT(TRANSPOSE(SPLIT(REGEXREPLACE(REGEXREPLACE(CN173&amp;"""",""(?s)(.{1})"",""$1""&amp;CHAR(127)),""'"",""''""),CHAR(127))),1,true),""1"")"),"acdefg1")</f>
        <v>acdefg1</v>
      </c>
      <c r="CP173" s="15"/>
    </row>
    <row r="174">
      <c r="A174" s="1" t="s">
        <v>194</v>
      </c>
      <c r="H174" s="6" t="str">
        <f>IFERROR(__xludf.DUMMYFUNCTION("SPLIT(A174,""|"")"),"egdbc cadf gfceda ebagfc dagec cgeaf bdagef gad ecafbgd ad ")</f>
        <v>egdbc cadf gfceda ebagfc dagec cgeaf bdagef gad ecafbgd ad </v>
      </c>
      <c r="I174" s="6" t="str">
        <f>IFERROR(__xludf.DUMMYFUNCTION("""COMPUTED_VALUE""")," cegda eacdfbg da dfac")</f>
        <v> cegda eacdfbg da dfac</v>
      </c>
      <c r="J174" s="15"/>
      <c r="K174" s="6" t="str">
        <f>IFERROR(__xludf.DUMMYFUNCTION("split(H174,"" "")"),"egdbc")</f>
        <v>egdbc</v>
      </c>
      <c r="L174" s="6" t="str">
        <f>IFERROR(__xludf.DUMMYFUNCTION("""COMPUTED_VALUE"""),"cadf")</f>
        <v>cadf</v>
      </c>
      <c r="M174" s="6" t="str">
        <f>IFERROR(__xludf.DUMMYFUNCTION("""COMPUTED_VALUE"""),"gfceda")</f>
        <v>gfceda</v>
      </c>
      <c r="N174" s="6" t="str">
        <f>IFERROR(__xludf.DUMMYFUNCTION("""COMPUTED_VALUE"""),"ebagfc")</f>
        <v>ebagfc</v>
      </c>
      <c r="O174" s="6" t="str">
        <f>IFERROR(__xludf.DUMMYFUNCTION("""COMPUTED_VALUE"""),"dagec")</f>
        <v>dagec</v>
      </c>
      <c r="P174" s="6" t="str">
        <f>IFERROR(__xludf.DUMMYFUNCTION("""COMPUTED_VALUE"""),"cgeaf")</f>
        <v>cgeaf</v>
      </c>
      <c r="Q174" s="6" t="str">
        <f>IFERROR(__xludf.DUMMYFUNCTION("""COMPUTED_VALUE"""),"bdagef")</f>
        <v>bdagef</v>
      </c>
      <c r="R174" s="6" t="str">
        <f>IFERROR(__xludf.DUMMYFUNCTION("""COMPUTED_VALUE"""),"gad")</f>
        <v>gad</v>
      </c>
      <c r="S174" s="6" t="str">
        <f>IFERROR(__xludf.DUMMYFUNCTION("""COMPUTED_VALUE"""),"ecafbgd")</f>
        <v>ecafbgd</v>
      </c>
      <c r="T174" s="6" t="str">
        <f>IFERROR(__xludf.DUMMYFUNCTION("""COMPUTED_VALUE"""),"ad")</f>
        <v>ad</v>
      </c>
      <c r="U174" s="15"/>
      <c r="V174" s="6" t="str">
        <f>IFERROR(__xludf.DUMMYFUNCTION("split(I174,"" "")"),"cegda")</f>
        <v>cegda</v>
      </c>
      <c r="W174" s="6" t="str">
        <f>IFERROR(__xludf.DUMMYFUNCTION("""COMPUTED_VALUE"""),"eacdfbg")</f>
        <v>eacdfbg</v>
      </c>
      <c r="X174" s="6" t="str">
        <f>IFERROR(__xludf.DUMMYFUNCTION("""COMPUTED_VALUE"""),"da")</f>
        <v>da</v>
      </c>
      <c r="Y174" s="6" t="str">
        <f>IFERROR(__xludf.DUMMYFUNCTION("""COMPUTED_VALUE"""),"dfac")</f>
        <v>dfac</v>
      </c>
      <c r="Z174" s="6" t="str">
        <f>IFERROR(__xludf.DUMMYFUNCTION("CONCATENATE(SORT(TRANSPOSE(SPLIT(REGEXREPLACE(REGEXREPLACE(V174&amp;"""",""(?s)(.{1})"",""$1""&amp;CHAR(127)),""'"",""''""),CHAR(127))),1,true))"),"acdeg")</f>
        <v>acdeg</v>
      </c>
      <c r="AA174" s="6" t="str">
        <f>IFERROR(__xludf.DUMMYFUNCTION("CONCATENATE(SORT(TRANSPOSE(SPLIT(REGEXREPLACE(REGEXREPLACE(W174&amp;"""",""(?s)(.{1})"",""$1""&amp;CHAR(127)),""'"",""''""),CHAR(127))),1,true))"),"abcdefg")</f>
        <v>abcdefg</v>
      </c>
      <c r="AB174" s="6" t="str">
        <f>IFERROR(__xludf.DUMMYFUNCTION("CONCATENATE(SORT(TRANSPOSE(SPLIT(REGEXREPLACE(REGEXREPLACE(X174&amp;"""",""(?s)(.{1})"",""$1""&amp;CHAR(127)),""'"",""''""),CHAR(127))),1,true))"),"ad")</f>
        <v>ad</v>
      </c>
      <c r="AC174" s="6" t="str">
        <f>IFERROR(__xludf.DUMMYFUNCTION("CONCATENATE(SORT(TRANSPOSE(SPLIT(REGEXREPLACE(REGEXREPLACE(Y174&amp;"""",""(?s)(.{1})"",""$1""&amp;CHAR(127)),""'"",""''""),CHAR(127))),1,true))"),"acdf")</f>
        <v>acdf</v>
      </c>
      <c r="AD174" s="6">
        <f t="shared" ref="AD174:AG174" si="184">INDEX($AO$1:$CP$1,1,MATCH(CONCATENATE(Z174,"1"),$AO174:$CP174,0)+1)</f>
        <v>3</v>
      </c>
      <c r="AE174" s="6">
        <f t="shared" si="184"/>
        <v>8</v>
      </c>
      <c r="AF174" s="6">
        <f t="shared" si="184"/>
        <v>1</v>
      </c>
      <c r="AG174" s="6">
        <f t="shared" si="184"/>
        <v>4</v>
      </c>
      <c r="AH174" s="6">
        <f t="shared" si="3"/>
        <v>3814</v>
      </c>
      <c r="AI174" s="16"/>
      <c r="AJ174" s="9" t="str">
        <f>IFERROR(__xludf.DUMMYFUNCTION("REGEXREPLACE(AR174,CONCATENATE(""["",BY174,""]""),"""")"),"d")</f>
        <v>d</v>
      </c>
      <c r="AK174" s="10" t="str">
        <f>IFERROR(__xludf.DUMMYFUNCTION("FILTER($K174:$T174,len($K174:$T174)=6,NOT($K174:$T174=BY174))"),"gfceda")</f>
        <v>gfceda</v>
      </c>
      <c r="AL174" s="6" t="str">
        <f>IFERROR(__xludf.DUMMYFUNCTION("""COMPUTED_VALUE"""),"bdagef")</f>
        <v>bdagef</v>
      </c>
      <c r="AM174" s="6" t="str">
        <f>IFERROR(__xludf.DUMMYFUNCTION("REGEXREPLACE( $BG174, CONCATENATE(""["",AK174,""]""), """")"),"")</f>
        <v/>
      </c>
      <c r="AN174" s="6" t="str">
        <f>IFERROR(__xludf.DUMMYFUNCTION("REGEXREPLACE( $BG174, CONCATENATE(""["",AL174,""]""), """")"),"c")</f>
        <v>c</v>
      </c>
      <c r="AO174" s="11" t="str">
        <f t="shared" si="4"/>
        <v>bdagef</v>
      </c>
      <c r="AP174" s="12" t="str">
        <f>IFERROR(__xludf.DUMMYFUNCTION("CONCATENATE(SORT(TRANSPOSE(SPLIT(REGEXREPLACE(REGEXREPLACE(AO174&amp;"""",""(?s)(.{1})"",""$1""&amp;CHAR(127)),""'"",""''""),CHAR(127))),1,true),""1"")"),"abdefg1")</f>
        <v>abdefg1</v>
      </c>
      <c r="AQ174" s="16"/>
      <c r="AR174" s="12" t="str">
        <f t="shared" si="5"/>
        <v>ad</v>
      </c>
      <c r="AS174" s="12" t="str">
        <f>IFERROR(__xludf.DUMMYFUNCTION("CONCATENATE(SORT(TRANSPOSE(SPLIT(REGEXREPLACE(REGEXREPLACE(AR174&amp;"""",""(?s)(.{1})"",""$1""&amp;CHAR(127)),""'"",""''""),CHAR(127))),1,true),""1"")"),"ad1")</f>
        <v>ad1</v>
      </c>
      <c r="AT174" s="16"/>
      <c r="AU174" s="13" t="str">
        <f>IFERROR(__xludf.DUMMYFUNCTION("FILTER($K174:$T174,len($K174:$T174)=5,NOT($K174:$T174=BD174),NOT($K174:$T174=BP174))"),"egdbc")</f>
        <v>egdbc</v>
      </c>
      <c r="AV174" s="12" t="str">
        <f>IFERROR(__xludf.DUMMYFUNCTION("CONCATENATE(SORT(TRANSPOSE(SPLIT(REGEXREPLACE(REGEXREPLACE(AU174&amp;"""",""(?s)(.{1})"",""$1""&amp;CHAR(127)),""'"",""''""),CHAR(127))),1,true),""1"")"),"bcdeg1")</f>
        <v>bcdeg1</v>
      </c>
      <c r="AW174" s="16"/>
      <c r="AX174" s="10" t="str">
        <f>IFERROR(__xludf.DUMMYFUNCTION("FILTER($K174:$T174,len($K174:$T174)=5)"),"egdbc")</f>
        <v>egdbc</v>
      </c>
      <c r="AY174" s="6" t="str">
        <f>IFERROR(__xludf.DUMMYFUNCTION("""COMPUTED_VALUE"""),"dagec")</f>
        <v>dagec</v>
      </c>
      <c r="AZ174" s="6" t="str">
        <f>IFERROR(__xludf.DUMMYFUNCTION("""COMPUTED_VALUE"""),"cgeaf")</f>
        <v>cgeaf</v>
      </c>
      <c r="BA174" s="6" t="str">
        <f>IFERROR(__xludf.DUMMYFUNCTION("REGEXREPLACE( $AR174, CONCATENATE(""["",AX174,""]""), """")"),"a")</f>
        <v>a</v>
      </c>
      <c r="BB174" s="6" t="str">
        <f>IFERROR(__xludf.DUMMYFUNCTION("REGEXREPLACE( $AR174, CONCATENATE(""["",AY174,""]""), """")"),"")</f>
        <v/>
      </c>
      <c r="BC174" s="6" t="str">
        <f>IFERROR(__xludf.DUMMYFUNCTION("REGEXREPLACE( $AR174, CONCATENATE(""["",AZ174,""]""), """")"),"d")</f>
        <v>d</v>
      </c>
      <c r="BD174" s="11" t="str">
        <f t="shared" si="6"/>
        <v>dagec</v>
      </c>
      <c r="BE174" s="12" t="str">
        <f>IFERROR(__xludf.DUMMYFUNCTION("CONCATENATE(SORT(TRANSPOSE(SPLIT(REGEXREPLACE(REGEXREPLACE(BD174&amp;"""",""(?s)(.{1})"",""$1""&amp;CHAR(127)),""'"",""''""),CHAR(127))),1,true),""1"")"),"acdeg1")</f>
        <v>acdeg1</v>
      </c>
      <c r="BF174" s="16"/>
      <c r="BG174" s="12" t="str">
        <f t="shared" si="7"/>
        <v>cadf</v>
      </c>
      <c r="BH174" s="12" t="str">
        <f>IFERROR(__xludf.DUMMYFUNCTION("CONCATENATE(SORT(TRANSPOSE(SPLIT(REGEXREPLACE(REGEXREPLACE(BG174&amp;"""",""(?s)(.{1})"",""$1""&amp;CHAR(127)),""'"",""''""),CHAR(127))),1,true),""1"")"),"acdf1")</f>
        <v>acdf1</v>
      </c>
      <c r="BI174" s="16"/>
      <c r="BJ174" s="10" t="str">
        <f>IFERROR(__xludf.DUMMYFUNCTION("FILTER($K174:$T174,len($K174:$T174)=5)"),"egdbc")</f>
        <v>egdbc</v>
      </c>
      <c r="BK174" s="6" t="str">
        <f>IFERROR(__xludf.DUMMYFUNCTION("""COMPUTED_VALUE"""),"dagec")</f>
        <v>dagec</v>
      </c>
      <c r="BL174" s="6" t="str">
        <f>IFERROR(__xludf.DUMMYFUNCTION("""COMPUTED_VALUE"""),"cgeaf")</f>
        <v>cgeaf</v>
      </c>
      <c r="BM174" s="14" t="str">
        <f>IFERROR(__xludf.DUMMYFUNCTION("REGEXREPLACE( $BY174, CONCATENATE(""["",BJ174,""]""), """")"),"af")</f>
        <v>af</v>
      </c>
      <c r="BN174" s="14" t="str">
        <f>IFERROR(__xludf.DUMMYFUNCTION("REGEXREPLACE( $BY174, CONCATENATE(""["",BK174,""]""), """")"),"bf")</f>
        <v>bf</v>
      </c>
      <c r="BO174" s="14" t="str">
        <f>IFERROR(__xludf.DUMMYFUNCTION("REGEXREPLACE( $BY174, CONCATENATE(""["",BL174,""]""), """")"),"b")</f>
        <v>b</v>
      </c>
      <c r="BP174" s="11" t="str">
        <f t="shared" si="8"/>
        <v>cgeaf</v>
      </c>
      <c r="BQ174" s="12" t="str">
        <f>IFERROR(__xludf.DUMMYFUNCTION("CONCATENATE(SORT(TRANSPOSE(SPLIT(REGEXREPLACE(REGEXREPLACE(BP174&amp;"""",""(?s)(.{1})"",""$1""&amp;CHAR(127)),""'"",""''""),CHAR(127))),1,true),""1"")"),"acefg1")</f>
        <v>acefg1</v>
      </c>
      <c r="BR174" s="16"/>
      <c r="BS174" s="10" t="str">
        <f>IFERROR(__xludf.DUMMYFUNCTION("FILTER(K174:T174,len(K174:T174)=6)"),"gfceda")</f>
        <v>gfceda</v>
      </c>
      <c r="BT174" s="6" t="str">
        <f>IFERROR(__xludf.DUMMYFUNCTION("""COMPUTED_VALUE"""),"ebagfc")</f>
        <v>ebagfc</v>
      </c>
      <c r="BU174" s="6" t="str">
        <f>IFERROR(__xludf.DUMMYFUNCTION("""COMPUTED_VALUE"""),"bdagef")</f>
        <v>bdagef</v>
      </c>
      <c r="BV174" s="6" t="str">
        <f>IFERROR(__xludf.DUMMYFUNCTION("REGEXREPLACE( $AR174, CONCATENATE(""["",BS174,""]""), """")"),"")</f>
        <v/>
      </c>
      <c r="BW174" s="6" t="str">
        <f>IFERROR(__xludf.DUMMYFUNCTION("REGEXREPLACE( $AR174, CONCATENATE(""["",BT174,""]""), """")"),"d")</f>
        <v>d</v>
      </c>
      <c r="BX174" s="6" t="str">
        <f>IFERROR(__xludf.DUMMYFUNCTION("REGEXREPLACE( $AR174, CONCATENATE(""["",BU174,""]""), """")"),"")</f>
        <v/>
      </c>
      <c r="BY174" s="12" t="str">
        <f t="shared" si="9"/>
        <v>ebagfc</v>
      </c>
      <c r="BZ174" s="12" t="str">
        <f>IFERROR(__xludf.DUMMYFUNCTION("CONCATENATE(SORT(TRANSPOSE(SPLIT(REGEXREPLACE(REGEXREPLACE(BY174&amp;"""",""(?s)(.{1})"",""$1""&amp;CHAR(127)),""'"",""''""),CHAR(127))),1,true),""1"")"),"abcefg1")</f>
        <v>abcefg1</v>
      </c>
      <c r="CA174" s="16"/>
      <c r="CB174" s="12" t="str">
        <f t="shared" si="10"/>
        <v>gad</v>
      </c>
      <c r="CC174" s="12" t="str">
        <f>IFERROR(__xludf.DUMMYFUNCTION("CONCATENATE(SORT(TRANSPOSE(SPLIT(REGEXREPLACE(REGEXREPLACE(CB174&amp;"""",""(?s)(.{1})"",""$1""&amp;CHAR(127)),""'"",""''""),CHAR(127))),1,true),""1"")"),"adg1")</f>
        <v>adg1</v>
      </c>
      <c r="CD174" s="16"/>
      <c r="CE174" s="12" t="str">
        <f t="shared" si="11"/>
        <v>ecafbgd</v>
      </c>
      <c r="CF174" s="12" t="str">
        <f>IFERROR(__xludf.DUMMYFUNCTION("CONCATENATE(SORT(TRANSPOSE(SPLIT(REGEXREPLACE(REGEXREPLACE(CE174&amp;"""",""(?s)(.{1})"",""$1""&amp;CHAR(127)),""'"",""''""),CHAR(127))),1,true),""1"")"),"abcdefg1")</f>
        <v>abcdefg1</v>
      </c>
      <c r="CG174" s="16"/>
      <c r="CH174" s="10" t="str">
        <f>IFERROR(__xludf.DUMMYFUNCTION("FILTER(K174:T174,len(K174:T174)=6)"),"gfceda")</f>
        <v>gfceda</v>
      </c>
      <c r="CI174" s="6" t="str">
        <f>IFERROR(__xludf.DUMMYFUNCTION("""COMPUTED_VALUE"""),"ebagfc")</f>
        <v>ebagfc</v>
      </c>
      <c r="CJ174" s="6" t="str">
        <f>IFERROR(__xludf.DUMMYFUNCTION("""COMPUTED_VALUE"""),"bdagef")</f>
        <v>bdagef</v>
      </c>
      <c r="CK174" s="6" t="str">
        <f>IFERROR(__xludf.DUMMYFUNCTION("REGEXREPLACE( $BG174, CONCATENATE(""["",CH174,""]""), """")"),"")</f>
        <v/>
      </c>
      <c r="CL174" s="6" t="str">
        <f>IFERROR(__xludf.DUMMYFUNCTION("REGEXREPLACE( $BG174, CONCATENATE(""["",CI174,""]""), """")"),"d")</f>
        <v>d</v>
      </c>
      <c r="CM174" s="6" t="str">
        <f>IFERROR(__xludf.DUMMYFUNCTION("REGEXREPLACE( $BG174, CONCATENATE(""["",CJ174,""]""), """")"),"c")</f>
        <v>c</v>
      </c>
      <c r="CN174" s="12" t="str">
        <f t="shared" si="12"/>
        <v>gfceda</v>
      </c>
      <c r="CO174" s="12" t="str">
        <f>IFERROR(__xludf.DUMMYFUNCTION("CONCATENATE(SORT(TRANSPOSE(SPLIT(REGEXREPLACE(REGEXREPLACE(CN174&amp;"""",""(?s)(.{1})"",""$1""&amp;CHAR(127)),""'"",""''""),CHAR(127))),1,true),""1"")"),"acdefg1")</f>
        <v>acdefg1</v>
      </c>
      <c r="CP174" s="15"/>
    </row>
    <row r="175">
      <c r="A175" s="1" t="s">
        <v>195</v>
      </c>
      <c r="H175" s="6" t="str">
        <f>IFERROR(__xludf.DUMMYFUNCTION("SPLIT(A175,""|"")"),"gfadc aced dcgbfa ae dfebg efagd fdeacg fbgeac cegfbda age ")</f>
        <v>gfadc aced dcgbfa ae dfebg efagd fdeacg fbgeac cegfbda age </v>
      </c>
      <c r="I175" s="6" t="str">
        <f>IFERROR(__xludf.DUMMYFUNCTION("""COMPUTED_VALUE""")," bfdeg cgeabf gea cead")</f>
        <v> bfdeg cgeabf gea cead</v>
      </c>
      <c r="J175" s="15"/>
      <c r="K175" s="6" t="str">
        <f>IFERROR(__xludf.DUMMYFUNCTION("split(H175,"" "")"),"gfadc")</f>
        <v>gfadc</v>
      </c>
      <c r="L175" s="6" t="str">
        <f>IFERROR(__xludf.DUMMYFUNCTION("""COMPUTED_VALUE"""),"aced")</f>
        <v>aced</v>
      </c>
      <c r="M175" s="6" t="str">
        <f>IFERROR(__xludf.DUMMYFUNCTION("""COMPUTED_VALUE"""),"dcgbfa")</f>
        <v>dcgbfa</v>
      </c>
      <c r="N175" s="6" t="str">
        <f>IFERROR(__xludf.DUMMYFUNCTION("""COMPUTED_VALUE"""),"ae")</f>
        <v>ae</v>
      </c>
      <c r="O175" s="6" t="str">
        <f>IFERROR(__xludf.DUMMYFUNCTION("""COMPUTED_VALUE"""),"dfebg")</f>
        <v>dfebg</v>
      </c>
      <c r="P175" s="6" t="str">
        <f>IFERROR(__xludf.DUMMYFUNCTION("""COMPUTED_VALUE"""),"efagd")</f>
        <v>efagd</v>
      </c>
      <c r="Q175" s="6" t="str">
        <f>IFERROR(__xludf.DUMMYFUNCTION("""COMPUTED_VALUE"""),"fdeacg")</f>
        <v>fdeacg</v>
      </c>
      <c r="R175" s="6" t="str">
        <f>IFERROR(__xludf.DUMMYFUNCTION("""COMPUTED_VALUE"""),"fbgeac")</f>
        <v>fbgeac</v>
      </c>
      <c r="S175" s="6" t="str">
        <f>IFERROR(__xludf.DUMMYFUNCTION("""COMPUTED_VALUE"""),"cegfbda")</f>
        <v>cegfbda</v>
      </c>
      <c r="T175" s="6" t="str">
        <f>IFERROR(__xludf.DUMMYFUNCTION("""COMPUTED_VALUE"""),"age")</f>
        <v>age</v>
      </c>
      <c r="U175" s="15"/>
      <c r="V175" s="6" t="str">
        <f>IFERROR(__xludf.DUMMYFUNCTION("split(I175,"" "")"),"bfdeg")</f>
        <v>bfdeg</v>
      </c>
      <c r="W175" s="6" t="str">
        <f>IFERROR(__xludf.DUMMYFUNCTION("""COMPUTED_VALUE"""),"cgeabf")</f>
        <v>cgeabf</v>
      </c>
      <c r="X175" s="6" t="str">
        <f>IFERROR(__xludf.DUMMYFUNCTION("""COMPUTED_VALUE"""),"gea")</f>
        <v>gea</v>
      </c>
      <c r="Y175" s="6" t="str">
        <f>IFERROR(__xludf.DUMMYFUNCTION("""COMPUTED_VALUE"""),"cead")</f>
        <v>cead</v>
      </c>
      <c r="Z175" s="6" t="str">
        <f>IFERROR(__xludf.DUMMYFUNCTION("CONCATENATE(SORT(TRANSPOSE(SPLIT(REGEXREPLACE(REGEXREPLACE(V175&amp;"""",""(?s)(.{1})"",""$1""&amp;CHAR(127)),""'"",""''""),CHAR(127))),1,true))"),"bdefg")</f>
        <v>bdefg</v>
      </c>
      <c r="AA175" s="6" t="str">
        <f>IFERROR(__xludf.DUMMYFUNCTION("CONCATENATE(SORT(TRANSPOSE(SPLIT(REGEXREPLACE(REGEXREPLACE(W175&amp;"""",""(?s)(.{1})"",""$1""&amp;CHAR(127)),""'"",""''""),CHAR(127))),1,true))"),"abcefg")</f>
        <v>abcefg</v>
      </c>
      <c r="AB175" s="6" t="str">
        <f>IFERROR(__xludf.DUMMYFUNCTION("CONCATENATE(SORT(TRANSPOSE(SPLIT(REGEXREPLACE(REGEXREPLACE(X175&amp;"""",""(?s)(.{1})"",""$1""&amp;CHAR(127)),""'"",""''""),CHAR(127))),1,true))"),"aeg")</f>
        <v>aeg</v>
      </c>
      <c r="AC175" s="6" t="str">
        <f>IFERROR(__xludf.DUMMYFUNCTION("CONCATENATE(SORT(TRANSPOSE(SPLIT(REGEXREPLACE(REGEXREPLACE(Y175&amp;"""",""(?s)(.{1})"",""$1""&amp;CHAR(127)),""'"",""''""),CHAR(127))),1,true))"),"acde")</f>
        <v>acde</v>
      </c>
      <c r="AD175" s="6">
        <f t="shared" ref="AD175:AG175" si="185">INDEX($AO$1:$CP$1,1,MATCH(CONCATENATE(Z175,"1"),$AO175:$CP175,0)+1)</f>
        <v>2</v>
      </c>
      <c r="AE175" s="6">
        <f t="shared" si="185"/>
        <v>0</v>
      </c>
      <c r="AF175" s="6">
        <f t="shared" si="185"/>
        <v>7</v>
      </c>
      <c r="AG175" s="6">
        <f t="shared" si="185"/>
        <v>4</v>
      </c>
      <c r="AH175" s="6">
        <f t="shared" si="3"/>
        <v>2074</v>
      </c>
      <c r="AI175" s="16"/>
      <c r="AJ175" s="9" t="str">
        <f>IFERROR(__xludf.DUMMYFUNCTION("REGEXREPLACE(AR175,CONCATENATE(""["",BY175,""]""),"""")"),"e")</f>
        <v>e</v>
      </c>
      <c r="AK175" s="10" t="str">
        <f>IFERROR(__xludf.DUMMYFUNCTION("FILTER($K175:$T175,len($K175:$T175)=6,NOT($K175:$T175=BY175))"),"fdeacg")</f>
        <v>fdeacg</v>
      </c>
      <c r="AL175" s="6" t="str">
        <f>IFERROR(__xludf.DUMMYFUNCTION("""COMPUTED_VALUE"""),"fbgeac")</f>
        <v>fbgeac</v>
      </c>
      <c r="AM175" s="6" t="str">
        <f>IFERROR(__xludf.DUMMYFUNCTION("REGEXREPLACE( $BG175, CONCATENATE(""["",AK175,""]""), """")"),"")</f>
        <v/>
      </c>
      <c r="AN175" s="6" t="str">
        <f>IFERROR(__xludf.DUMMYFUNCTION("REGEXREPLACE( $BG175, CONCATENATE(""["",AL175,""]""), """")"),"d")</f>
        <v>d</v>
      </c>
      <c r="AO175" s="11" t="str">
        <f t="shared" si="4"/>
        <v>fbgeac</v>
      </c>
      <c r="AP175" s="12" t="str">
        <f>IFERROR(__xludf.DUMMYFUNCTION("CONCATENATE(SORT(TRANSPOSE(SPLIT(REGEXREPLACE(REGEXREPLACE(AO175&amp;"""",""(?s)(.{1})"",""$1""&amp;CHAR(127)),""'"",""''""),CHAR(127))),1,true),""1"")"),"abcefg1")</f>
        <v>abcefg1</v>
      </c>
      <c r="AQ175" s="16"/>
      <c r="AR175" s="12" t="str">
        <f t="shared" si="5"/>
        <v>ae</v>
      </c>
      <c r="AS175" s="12" t="str">
        <f>IFERROR(__xludf.DUMMYFUNCTION("CONCATENATE(SORT(TRANSPOSE(SPLIT(REGEXREPLACE(REGEXREPLACE(AR175&amp;"""",""(?s)(.{1})"",""$1""&amp;CHAR(127)),""'"",""''""),CHAR(127))),1,true),""1"")"),"ae1")</f>
        <v>ae1</v>
      </c>
      <c r="AT175" s="16"/>
      <c r="AU175" s="13" t="str">
        <f>IFERROR(__xludf.DUMMYFUNCTION("FILTER($K175:$T175,len($K175:$T175)=5,NOT($K175:$T175=BD175),NOT($K175:$T175=BP175))"),"dfebg")</f>
        <v>dfebg</v>
      </c>
      <c r="AV175" s="12" t="str">
        <f>IFERROR(__xludf.DUMMYFUNCTION("CONCATENATE(SORT(TRANSPOSE(SPLIT(REGEXREPLACE(REGEXREPLACE(AU175&amp;"""",""(?s)(.{1})"",""$1""&amp;CHAR(127)),""'"",""''""),CHAR(127))),1,true),""1"")"),"bdefg1")</f>
        <v>bdefg1</v>
      </c>
      <c r="AW175" s="16"/>
      <c r="AX175" s="10" t="str">
        <f>IFERROR(__xludf.DUMMYFUNCTION("FILTER($K175:$T175,len($K175:$T175)=5)"),"gfadc")</f>
        <v>gfadc</v>
      </c>
      <c r="AY175" s="6" t="str">
        <f>IFERROR(__xludf.DUMMYFUNCTION("""COMPUTED_VALUE"""),"dfebg")</f>
        <v>dfebg</v>
      </c>
      <c r="AZ175" s="6" t="str">
        <f>IFERROR(__xludf.DUMMYFUNCTION("""COMPUTED_VALUE"""),"efagd")</f>
        <v>efagd</v>
      </c>
      <c r="BA175" s="6" t="str">
        <f>IFERROR(__xludf.DUMMYFUNCTION("REGEXREPLACE( $AR175, CONCATENATE(""["",AX175,""]""), """")"),"e")</f>
        <v>e</v>
      </c>
      <c r="BB175" s="6" t="str">
        <f>IFERROR(__xludf.DUMMYFUNCTION("REGEXREPLACE( $AR175, CONCATENATE(""["",AY175,""]""), """")"),"a")</f>
        <v>a</v>
      </c>
      <c r="BC175" s="6" t="str">
        <f>IFERROR(__xludf.DUMMYFUNCTION("REGEXREPLACE( $AR175, CONCATENATE(""["",AZ175,""]""), """")"),"")</f>
        <v/>
      </c>
      <c r="BD175" s="11" t="str">
        <f t="shared" si="6"/>
        <v>efagd</v>
      </c>
      <c r="BE175" s="12" t="str">
        <f>IFERROR(__xludf.DUMMYFUNCTION("CONCATENATE(SORT(TRANSPOSE(SPLIT(REGEXREPLACE(REGEXREPLACE(BD175&amp;"""",""(?s)(.{1})"",""$1""&amp;CHAR(127)),""'"",""''""),CHAR(127))),1,true),""1"")"),"adefg1")</f>
        <v>adefg1</v>
      </c>
      <c r="BF175" s="16"/>
      <c r="BG175" s="12" t="str">
        <f t="shared" si="7"/>
        <v>aced</v>
      </c>
      <c r="BH175" s="12" t="str">
        <f>IFERROR(__xludf.DUMMYFUNCTION("CONCATENATE(SORT(TRANSPOSE(SPLIT(REGEXREPLACE(REGEXREPLACE(BG175&amp;"""",""(?s)(.{1})"",""$1""&amp;CHAR(127)),""'"",""''""),CHAR(127))),1,true),""1"")"),"acde1")</f>
        <v>acde1</v>
      </c>
      <c r="BI175" s="16"/>
      <c r="BJ175" s="10" t="str">
        <f>IFERROR(__xludf.DUMMYFUNCTION("FILTER($K175:$T175,len($K175:$T175)=5)"),"gfadc")</f>
        <v>gfadc</v>
      </c>
      <c r="BK175" s="6" t="str">
        <f>IFERROR(__xludf.DUMMYFUNCTION("""COMPUTED_VALUE"""),"dfebg")</f>
        <v>dfebg</v>
      </c>
      <c r="BL175" s="6" t="str">
        <f>IFERROR(__xludf.DUMMYFUNCTION("""COMPUTED_VALUE"""),"efagd")</f>
        <v>efagd</v>
      </c>
      <c r="BM175" s="14" t="str">
        <f>IFERROR(__xludf.DUMMYFUNCTION("REGEXREPLACE( $BY175, CONCATENATE(""["",BJ175,""]""), """")"),"b")</f>
        <v>b</v>
      </c>
      <c r="BN175" s="14" t="str">
        <f>IFERROR(__xludf.DUMMYFUNCTION("REGEXREPLACE( $BY175, CONCATENATE(""["",BK175,""]""), """")"),"ca")</f>
        <v>ca</v>
      </c>
      <c r="BO175" s="14" t="str">
        <f>IFERROR(__xludf.DUMMYFUNCTION("REGEXREPLACE( $BY175, CONCATENATE(""["",BL175,""]""), """")"),"cb")</f>
        <v>cb</v>
      </c>
      <c r="BP175" s="11" t="str">
        <f t="shared" si="8"/>
        <v>gfadc</v>
      </c>
      <c r="BQ175" s="12" t="str">
        <f>IFERROR(__xludf.DUMMYFUNCTION("CONCATENATE(SORT(TRANSPOSE(SPLIT(REGEXREPLACE(REGEXREPLACE(BP175&amp;"""",""(?s)(.{1})"",""$1""&amp;CHAR(127)),""'"",""''""),CHAR(127))),1,true),""1"")"),"acdfg1")</f>
        <v>acdfg1</v>
      </c>
      <c r="BR175" s="16"/>
      <c r="BS175" s="10" t="str">
        <f>IFERROR(__xludf.DUMMYFUNCTION("FILTER(K175:T175,len(K175:T175)=6)"),"dcgbfa")</f>
        <v>dcgbfa</v>
      </c>
      <c r="BT175" s="6" t="str">
        <f>IFERROR(__xludf.DUMMYFUNCTION("""COMPUTED_VALUE"""),"fdeacg")</f>
        <v>fdeacg</v>
      </c>
      <c r="BU175" s="6" t="str">
        <f>IFERROR(__xludf.DUMMYFUNCTION("""COMPUTED_VALUE"""),"fbgeac")</f>
        <v>fbgeac</v>
      </c>
      <c r="BV175" s="6" t="str">
        <f>IFERROR(__xludf.DUMMYFUNCTION("REGEXREPLACE( $AR175, CONCATENATE(""["",BS175,""]""), """")"),"e")</f>
        <v>e</v>
      </c>
      <c r="BW175" s="6" t="str">
        <f>IFERROR(__xludf.DUMMYFUNCTION("REGEXREPLACE( $AR175, CONCATENATE(""["",BT175,""]""), """")"),"")</f>
        <v/>
      </c>
      <c r="BX175" s="6" t="str">
        <f>IFERROR(__xludf.DUMMYFUNCTION("REGEXREPLACE( $AR175, CONCATENATE(""["",BU175,""]""), """")"),"")</f>
        <v/>
      </c>
      <c r="BY175" s="12" t="str">
        <f t="shared" si="9"/>
        <v>dcgbfa</v>
      </c>
      <c r="BZ175" s="12" t="str">
        <f>IFERROR(__xludf.DUMMYFUNCTION("CONCATENATE(SORT(TRANSPOSE(SPLIT(REGEXREPLACE(REGEXREPLACE(BY175&amp;"""",""(?s)(.{1})"",""$1""&amp;CHAR(127)),""'"",""''""),CHAR(127))),1,true),""1"")"),"abcdfg1")</f>
        <v>abcdfg1</v>
      </c>
      <c r="CA175" s="16"/>
      <c r="CB175" s="12" t="str">
        <f t="shared" si="10"/>
        <v>age</v>
      </c>
      <c r="CC175" s="12" t="str">
        <f>IFERROR(__xludf.DUMMYFUNCTION("CONCATENATE(SORT(TRANSPOSE(SPLIT(REGEXREPLACE(REGEXREPLACE(CB175&amp;"""",""(?s)(.{1})"",""$1""&amp;CHAR(127)),""'"",""''""),CHAR(127))),1,true),""1"")"),"aeg1")</f>
        <v>aeg1</v>
      </c>
      <c r="CD175" s="16"/>
      <c r="CE175" s="12" t="str">
        <f t="shared" si="11"/>
        <v>cegfbda</v>
      </c>
      <c r="CF175" s="12" t="str">
        <f>IFERROR(__xludf.DUMMYFUNCTION("CONCATENATE(SORT(TRANSPOSE(SPLIT(REGEXREPLACE(REGEXREPLACE(CE175&amp;"""",""(?s)(.{1})"",""$1""&amp;CHAR(127)),""'"",""''""),CHAR(127))),1,true),""1"")"),"abcdefg1")</f>
        <v>abcdefg1</v>
      </c>
      <c r="CG175" s="16"/>
      <c r="CH175" s="10" t="str">
        <f>IFERROR(__xludf.DUMMYFUNCTION("FILTER(K175:T175,len(K175:T175)=6)"),"dcgbfa")</f>
        <v>dcgbfa</v>
      </c>
      <c r="CI175" s="6" t="str">
        <f>IFERROR(__xludf.DUMMYFUNCTION("""COMPUTED_VALUE"""),"fdeacg")</f>
        <v>fdeacg</v>
      </c>
      <c r="CJ175" s="6" t="str">
        <f>IFERROR(__xludf.DUMMYFUNCTION("""COMPUTED_VALUE"""),"fbgeac")</f>
        <v>fbgeac</v>
      </c>
      <c r="CK175" s="6" t="str">
        <f>IFERROR(__xludf.DUMMYFUNCTION("REGEXREPLACE( $BG175, CONCATENATE(""["",CH175,""]""), """")"),"e")</f>
        <v>e</v>
      </c>
      <c r="CL175" s="6" t="str">
        <f>IFERROR(__xludf.DUMMYFUNCTION("REGEXREPLACE( $BG175, CONCATENATE(""["",CI175,""]""), """")"),"")</f>
        <v/>
      </c>
      <c r="CM175" s="6" t="str">
        <f>IFERROR(__xludf.DUMMYFUNCTION("REGEXREPLACE( $BG175, CONCATENATE(""["",CJ175,""]""), """")"),"d")</f>
        <v>d</v>
      </c>
      <c r="CN175" s="12" t="str">
        <f t="shared" si="12"/>
        <v>fdeacg</v>
      </c>
      <c r="CO175" s="12" t="str">
        <f>IFERROR(__xludf.DUMMYFUNCTION("CONCATENATE(SORT(TRANSPOSE(SPLIT(REGEXREPLACE(REGEXREPLACE(CN175&amp;"""",""(?s)(.{1})"",""$1""&amp;CHAR(127)),""'"",""''""),CHAR(127))),1,true),""1"")"),"acdefg1")</f>
        <v>acdefg1</v>
      </c>
      <c r="CP175" s="15"/>
    </row>
    <row r="176">
      <c r="A176" s="1" t="s">
        <v>196</v>
      </c>
      <c r="H176" s="6" t="str">
        <f>IFERROR(__xludf.DUMMYFUNCTION("SPLIT(A176,""|"")"),"bc bfdega fbc bgaef ecdbaf cfbgae acgb egdafcb gefdc gecfb ")</f>
        <v>bc bfdega fbc bgaef ecdbaf cfbgae acgb egdafcb gefdc gecfb </v>
      </c>
      <c r="I176" s="6" t="str">
        <f>IFERROR(__xludf.DUMMYFUNCTION("""COMPUTED_VALUE""")," cbefg bfc dcfeab bcefg")</f>
        <v> cbefg bfc dcfeab bcefg</v>
      </c>
      <c r="J176" s="15"/>
      <c r="K176" s="6" t="str">
        <f>IFERROR(__xludf.DUMMYFUNCTION("split(H176,"" "")"),"bc")</f>
        <v>bc</v>
      </c>
      <c r="L176" s="6" t="str">
        <f>IFERROR(__xludf.DUMMYFUNCTION("""COMPUTED_VALUE"""),"bfdega")</f>
        <v>bfdega</v>
      </c>
      <c r="M176" s="6" t="str">
        <f>IFERROR(__xludf.DUMMYFUNCTION("""COMPUTED_VALUE"""),"fbc")</f>
        <v>fbc</v>
      </c>
      <c r="N176" s="6" t="str">
        <f>IFERROR(__xludf.DUMMYFUNCTION("""COMPUTED_VALUE"""),"bgaef")</f>
        <v>bgaef</v>
      </c>
      <c r="O176" s="6" t="str">
        <f>IFERROR(__xludf.DUMMYFUNCTION("""COMPUTED_VALUE"""),"ecdbaf")</f>
        <v>ecdbaf</v>
      </c>
      <c r="P176" s="6" t="str">
        <f>IFERROR(__xludf.DUMMYFUNCTION("""COMPUTED_VALUE"""),"cfbgae")</f>
        <v>cfbgae</v>
      </c>
      <c r="Q176" s="6" t="str">
        <f>IFERROR(__xludf.DUMMYFUNCTION("""COMPUTED_VALUE"""),"acgb")</f>
        <v>acgb</v>
      </c>
      <c r="R176" s="6" t="str">
        <f>IFERROR(__xludf.DUMMYFUNCTION("""COMPUTED_VALUE"""),"egdafcb")</f>
        <v>egdafcb</v>
      </c>
      <c r="S176" s="6" t="str">
        <f>IFERROR(__xludf.DUMMYFUNCTION("""COMPUTED_VALUE"""),"gefdc")</f>
        <v>gefdc</v>
      </c>
      <c r="T176" s="6" t="str">
        <f>IFERROR(__xludf.DUMMYFUNCTION("""COMPUTED_VALUE"""),"gecfb")</f>
        <v>gecfb</v>
      </c>
      <c r="U176" s="15"/>
      <c r="V176" s="6" t="str">
        <f>IFERROR(__xludf.DUMMYFUNCTION("split(I176,"" "")"),"cbefg")</f>
        <v>cbefg</v>
      </c>
      <c r="W176" s="6" t="str">
        <f>IFERROR(__xludf.DUMMYFUNCTION("""COMPUTED_VALUE"""),"bfc")</f>
        <v>bfc</v>
      </c>
      <c r="X176" s="6" t="str">
        <f>IFERROR(__xludf.DUMMYFUNCTION("""COMPUTED_VALUE"""),"dcfeab")</f>
        <v>dcfeab</v>
      </c>
      <c r="Y176" s="6" t="str">
        <f>IFERROR(__xludf.DUMMYFUNCTION("""COMPUTED_VALUE"""),"bcefg")</f>
        <v>bcefg</v>
      </c>
      <c r="Z176" s="6" t="str">
        <f>IFERROR(__xludf.DUMMYFUNCTION("CONCATENATE(SORT(TRANSPOSE(SPLIT(REGEXREPLACE(REGEXREPLACE(V176&amp;"""",""(?s)(.{1})"",""$1""&amp;CHAR(127)),""'"",""''""),CHAR(127))),1,true))"),"bcefg")</f>
        <v>bcefg</v>
      </c>
      <c r="AA176" s="6" t="str">
        <f>IFERROR(__xludf.DUMMYFUNCTION("CONCATENATE(SORT(TRANSPOSE(SPLIT(REGEXREPLACE(REGEXREPLACE(W176&amp;"""",""(?s)(.{1})"",""$1""&amp;CHAR(127)),""'"",""''""),CHAR(127))),1,true))"),"bcf")</f>
        <v>bcf</v>
      </c>
      <c r="AB176" s="6" t="str">
        <f>IFERROR(__xludf.DUMMYFUNCTION("CONCATENATE(SORT(TRANSPOSE(SPLIT(REGEXREPLACE(REGEXREPLACE(X176&amp;"""",""(?s)(.{1})"",""$1""&amp;CHAR(127)),""'"",""''""),CHAR(127))),1,true))"),"abcdef")</f>
        <v>abcdef</v>
      </c>
      <c r="AC176" s="6" t="str">
        <f>IFERROR(__xludf.DUMMYFUNCTION("CONCATENATE(SORT(TRANSPOSE(SPLIT(REGEXREPLACE(REGEXREPLACE(Y176&amp;"""",""(?s)(.{1})"",""$1""&amp;CHAR(127)),""'"",""''""),CHAR(127))),1,true))"),"bcefg")</f>
        <v>bcefg</v>
      </c>
      <c r="AD176" s="6">
        <f t="shared" ref="AD176:AG176" si="186">INDEX($AO$1:$CP$1,1,MATCH(CONCATENATE(Z176,"1"),$AO176:$CP176,0)+1)</f>
        <v>3</v>
      </c>
      <c r="AE176" s="6">
        <f t="shared" si="186"/>
        <v>7</v>
      </c>
      <c r="AF176" s="6">
        <f t="shared" si="186"/>
        <v>0</v>
      </c>
      <c r="AG176" s="6">
        <f t="shared" si="186"/>
        <v>3</v>
      </c>
      <c r="AH176" s="6">
        <f t="shared" si="3"/>
        <v>3703</v>
      </c>
      <c r="AI176" s="16"/>
      <c r="AJ176" s="9" t="str">
        <f>IFERROR(__xludf.DUMMYFUNCTION("REGEXREPLACE(AR176,CONCATENATE(""["",BY176,""]""),"""")"),"c")</f>
        <v>c</v>
      </c>
      <c r="AK176" s="10" t="str">
        <f>IFERROR(__xludf.DUMMYFUNCTION("FILTER($K176:$T176,len($K176:$T176)=6,NOT($K176:$T176=BY176))"),"ecdbaf")</f>
        <v>ecdbaf</v>
      </c>
      <c r="AL176" s="6" t="str">
        <f>IFERROR(__xludf.DUMMYFUNCTION("""COMPUTED_VALUE"""),"cfbgae")</f>
        <v>cfbgae</v>
      </c>
      <c r="AM176" s="6" t="str">
        <f>IFERROR(__xludf.DUMMYFUNCTION("REGEXREPLACE( $BG176, CONCATENATE(""["",AK176,""]""), """")"),"g")</f>
        <v>g</v>
      </c>
      <c r="AN176" s="6" t="str">
        <f>IFERROR(__xludf.DUMMYFUNCTION("REGEXREPLACE( $BG176, CONCATENATE(""["",AL176,""]""), """")"),"")</f>
        <v/>
      </c>
      <c r="AO176" s="11" t="str">
        <f t="shared" si="4"/>
        <v>ecdbaf</v>
      </c>
      <c r="AP176" s="12" t="str">
        <f>IFERROR(__xludf.DUMMYFUNCTION("CONCATENATE(SORT(TRANSPOSE(SPLIT(REGEXREPLACE(REGEXREPLACE(AO176&amp;"""",""(?s)(.{1})"",""$1""&amp;CHAR(127)),""'"",""''""),CHAR(127))),1,true),""1"")"),"abcdef1")</f>
        <v>abcdef1</v>
      </c>
      <c r="AQ176" s="16"/>
      <c r="AR176" s="12" t="str">
        <f t="shared" si="5"/>
        <v>bc</v>
      </c>
      <c r="AS176" s="12" t="str">
        <f>IFERROR(__xludf.DUMMYFUNCTION("CONCATENATE(SORT(TRANSPOSE(SPLIT(REGEXREPLACE(REGEXREPLACE(AR176&amp;"""",""(?s)(.{1})"",""$1""&amp;CHAR(127)),""'"",""''""),CHAR(127))),1,true),""1"")"),"bc1")</f>
        <v>bc1</v>
      </c>
      <c r="AT176" s="16"/>
      <c r="AU176" s="13" t="str">
        <f>IFERROR(__xludf.DUMMYFUNCTION("FILTER($K176:$T176,len($K176:$T176)=5,NOT($K176:$T176=BD176),NOT($K176:$T176=BP176))"),"gefdc")</f>
        <v>gefdc</v>
      </c>
      <c r="AV176" s="12" t="str">
        <f>IFERROR(__xludf.DUMMYFUNCTION("CONCATENATE(SORT(TRANSPOSE(SPLIT(REGEXREPLACE(REGEXREPLACE(AU176&amp;"""",""(?s)(.{1})"",""$1""&amp;CHAR(127)),""'"",""''""),CHAR(127))),1,true),""1"")"),"cdefg1")</f>
        <v>cdefg1</v>
      </c>
      <c r="AW176" s="16"/>
      <c r="AX176" s="10" t="str">
        <f>IFERROR(__xludf.DUMMYFUNCTION("FILTER($K176:$T176,len($K176:$T176)=5)"),"bgaef")</f>
        <v>bgaef</v>
      </c>
      <c r="AY176" s="6" t="str">
        <f>IFERROR(__xludf.DUMMYFUNCTION("""COMPUTED_VALUE"""),"gefdc")</f>
        <v>gefdc</v>
      </c>
      <c r="AZ176" s="6" t="str">
        <f>IFERROR(__xludf.DUMMYFUNCTION("""COMPUTED_VALUE"""),"gecfb")</f>
        <v>gecfb</v>
      </c>
      <c r="BA176" s="6" t="str">
        <f>IFERROR(__xludf.DUMMYFUNCTION("REGEXREPLACE( $AR176, CONCATENATE(""["",AX176,""]""), """")"),"c")</f>
        <v>c</v>
      </c>
      <c r="BB176" s="6" t="str">
        <f>IFERROR(__xludf.DUMMYFUNCTION("REGEXREPLACE( $AR176, CONCATENATE(""["",AY176,""]""), """")"),"b")</f>
        <v>b</v>
      </c>
      <c r="BC176" s="6" t="str">
        <f>IFERROR(__xludf.DUMMYFUNCTION("REGEXREPLACE( $AR176, CONCATENATE(""["",AZ176,""]""), """")"),"")</f>
        <v/>
      </c>
      <c r="BD176" s="11" t="str">
        <f t="shared" si="6"/>
        <v>gecfb</v>
      </c>
      <c r="BE176" s="12" t="str">
        <f>IFERROR(__xludf.DUMMYFUNCTION("CONCATENATE(SORT(TRANSPOSE(SPLIT(REGEXREPLACE(REGEXREPLACE(BD176&amp;"""",""(?s)(.{1})"",""$1""&amp;CHAR(127)),""'"",""''""),CHAR(127))),1,true),""1"")"),"bcefg1")</f>
        <v>bcefg1</v>
      </c>
      <c r="BF176" s="16"/>
      <c r="BG176" s="12" t="str">
        <f t="shared" si="7"/>
        <v>acgb</v>
      </c>
      <c r="BH176" s="12" t="str">
        <f>IFERROR(__xludf.DUMMYFUNCTION("CONCATENATE(SORT(TRANSPOSE(SPLIT(REGEXREPLACE(REGEXREPLACE(BG176&amp;"""",""(?s)(.{1})"",""$1""&amp;CHAR(127)),""'"",""''""),CHAR(127))),1,true),""1"")"),"abcg1")</f>
        <v>abcg1</v>
      </c>
      <c r="BI176" s="16"/>
      <c r="BJ176" s="10" t="str">
        <f>IFERROR(__xludf.DUMMYFUNCTION("FILTER($K176:$T176,len($K176:$T176)=5)"),"bgaef")</f>
        <v>bgaef</v>
      </c>
      <c r="BK176" s="6" t="str">
        <f>IFERROR(__xludf.DUMMYFUNCTION("""COMPUTED_VALUE"""),"gefdc")</f>
        <v>gefdc</v>
      </c>
      <c r="BL176" s="6" t="str">
        <f>IFERROR(__xludf.DUMMYFUNCTION("""COMPUTED_VALUE"""),"gecfb")</f>
        <v>gecfb</v>
      </c>
      <c r="BM176" s="14" t="str">
        <f>IFERROR(__xludf.DUMMYFUNCTION("REGEXREPLACE( $BY176, CONCATENATE(""["",BJ176,""]""), """")"),"d")</f>
        <v>d</v>
      </c>
      <c r="BN176" s="14" t="str">
        <f>IFERROR(__xludf.DUMMYFUNCTION("REGEXREPLACE( $BY176, CONCATENATE(""["",BK176,""]""), """")"),"ba")</f>
        <v>ba</v>
      </c>
      <c r="BO176" s="14" t="str">
        <f>IFERROR(__xludf.DUMMYFUNCTION("REGEXREPLACE( $BY176, CONCATENATE(""["",BL176,""]""), """")"),"da")</f>
        <v>da</v>
      </c>
      <c r="BP176" s="11" t="str">
        <f t="shared" si="8"/>
        <v>bgaef</v>
      </c>
      <c r="BQ176" s="12" t="str">
        <f>IFERROR(__xludf.DUMMYFUNCTION("CONCATENATE(SORT(TRANSPOSE(SPLIT(REGEXREPLACE(REGEXREPLACE(BP176&amp;"""",""(?s)(.{1})"",""$1""&amp;CHAR(127)),""'"",""''""),CHAR(127))),1,true),""1"")"),"abefg1")</f>
        <v>abefg1</v>
      </c>
      <c r="BR176" s="16"/>
      <c r="BS176" s="10" t="str">
        <f>IFERROR(__xludf.DUMMYFUNCTION("FILTER(K176:T176,len(K176:T176)=6)"),"bfdega")</f>
        <v>bfdega</v>
      </c>
      <c r="BT176" s="6" t="str">
        <f>IFERROR(__xludf.DUMMYFUNCTION("""COMPUTED_VALUE"""),"ecdbaf")</f>
        <v>ecdbaf</v>
      </c>
      <c r="BU176" s="6" t="str">
        <f>IFERROR(__xludf.DUMMYFUNCTION("""COMPUTED_VALUE"""),"cfbgae")</f>
        <v>cfbgae</v>
      </c>
      <c r="BV176" s="6" t="str">
        <f>IFERROR(__xludf.DUMMYFUNCTION("REGEXREPLACE( $AR176, CONCATENATE(""["",BS176,""]""), """")"),"c")</f>
        <v>c</v>
      </c>
      <c r="BW176" s="6" t="str">
        <f>IFERROR(__xludf.DUMMYFUNCTION("REGEXREPLACE( $AR176, CONCATENATE(""["",BT176,""]""), """")"),"")</f>
        <v/>
      </c>
      <c r="BX176" s="6" t="str">
        <f>IFERROR(__xludf.DUMMYFUNCTION("REGEXREPLACE( $AR176, CONCATENATE(""["",BU176,""]""), """")"),"")</f>
        <v/>
      </c>
      <c r="BY176" s="12" t="str">
        <f t="shared" si="9"/>
        <v>bfdega</v>
      </c>
      <c r="BZ176" s="12" t="str">
        <f>IFERROR(__xludf.DUMMYFUNCTION("CONCATENATE(SORT(TRANSPOSE(SPLIT(REGEXREPLACE(REGEXREPLACE(BY176&amp;"""",""(?s)(.{1})"",""$1""&amp;CHAR(127)),""'"",""''""),CHAR(127))),1,true),""1"")"),"abdefg1")</f>
        <v>abdefg1</v>
      </c>
      <c r="CA176" s="16"/>
      <c r="CB176" s="12" t="str">
        <f t="shared" si="10"/>
        <v>fbc</v>
      </c>
      <c r="CC176" s="12" t="str">
        <f>IFERROR(__xludf.DUMMYFUNCTION("CONCATENATE(SORT(TRANSPOSE(SPLIT(REGEXREPLACE(REGEXREPLACE(CB176&amp;"""",""(?s)(.{1})"",""$1""&amp;CHAR(127)),""'"",""''""),CHAR(127))),1,true),""1"")"),"bcf1")</f>
        <v>bcf1</v>
      </c>
      <c r="CD176" s="16"/>
      <c r="CE176" s="12" t="str">
        <f t="shared" si="11"/>
        <v>egdafcb</v>
      </c>
      <c r="CF176" s="12" t="str">
        <f>IFERROR(__xludf.DUMMYFUNCTION("CONCATENATE(SORT(TRANSPOSE(SPLIT(REGEXREPLACE(REGEXREPLACE(CE176&amp;"""",""(?s)(.{1})"",""$1""&amp;CHAR(127)),""'"",""''""),CHAR(127))),1,true),""1"")"),"abcdefg1")</f>
        <v>abcdefg1</v>
      </c>
      <c r="CG176" s="16"/>
      <c r="CH176" s="10" t="str">
        <f>IFERROR(__xludf.DUMMYFUNCTION("FILTER(K176:T176,len(K176:T176)=6)"),"bfdega")</f>
        <v>bfdega</v>
      </c>
      <c r="CI176" s="6" t="str">
        <f>IFERROR(__xludf.DUMMYFUNCTION("""COMPUTED_VALUE"""),"ecdbaf")</f>
        <v>ecdbaf</v>
      </c>
      <c r="CJ176" s="6" t="str">
        <f>IFERROR(__xludf.DUMMYFUNCTION("""COMPUTED_VALUE"""),"cfbgae")</f>
        <v>cfbgae</v>
      </c>
      <c r="CK176" s="6" t="str">
        <f>IFERROR(__xludf.DUMMYFUNCTION("REGEXREPLACE( $BG176, CONCATENATE(""["",CH176,""]""), """")"),"c")</f>
        <v>c</v>
      </c>
      <c r="CL176" s="6" t="str">
        <f>IFERROR(__xludf.DUMMYFUNCTION("REGEXREPLACE( $BG176, CONCATENATE(""["",CI176,""]""), """")"),"g")</f>
        <v>g</v>
      </c>
      <c r="CM176" s="6" t="str">
        <f>IFERROR(__xludf.DUMMYFUNCTION("REGEXREPLACE( $BG176, CONCATENATE(""["",CJ176,""]""), """")"),"")</f>
        <v/>
      </c>
      <c r="CN176" s="12" t="str">
        <f t="shared" si="12"/>
        <v>cfbgae</v>
      </c>
      <c r="CO176" s="12" t="str">
        <f>IFERROR(__xludf.DUMMYFUNCTION("CONCATENATE(SORT(TRANSPOSE(SPLIT(REGEXREPLACE(REGEXREPLACE(CN176&amp;"""",""(?s)(.{1})"",""$1""&amp;CHAR(127)),""'"",""''""),CHAR(127))),1,true),""1"")"),"abcefg1")</f>
        <v>abcefg1</v>
      </c>
      <c r="CP176" s="15"/>
    </row>
    <row r="177">
      <c r="A177" s="1" t="s">
        <v>197</v>
      </c>
      <c r="H177" s="6" t="str">
        <f>IFERROR(__xludf.DUMMYFUNCTION("SPLIT(A177,""|"")"),"cdebaf egcbf bdfgc adfcb cgd agdb ecbafgd gcdaef facbdg dg ")</f>
        <v>cdebaf egcbf bdfgc adfcb cgd agdb ecbafgd gcdaef facbdg dg </v>
      </c>
      <c r="I177" s="6" t="str">
        <f>IFERROR(__xludf.DUMMYFUNCTION("""COMPUTED_VALUE""")," bgad gcd fgebc dcebagf")</f>
        <v> bgad gcd fgebc dcebagf</v>
      </c>
      <c r="J177" s="15"/>
      <c r="K177" s="6" t="str">
        <f>IFERROR(__xludf.DUMMYFUNCTION("split(H177,"" "")"),"cdebaf")</f>
        <v>cdebaf</v>
      </c>
      <c r="L177" s="6" t="str">
        <f>IFERROR(__xludf.DUMMYFUNCTION("""COMPUTED_VALUE"""),"egcbf")</f>
        <v>egcbf</v>
      </c>
      <c r="M177" s="6" t="str">
        <f>IFERROR(__xludf.DUMMYFUNCTION("""COMPUTED_VALUE"""),"bdfgc")</f>
        <v>bdfgc</v>
      </c>
      <c r="N177" s="6" t="str">
        <f>IFERROR(__xludf.DUMMYFUNCTION("""COMPUTED_VALUE"""),"adfcb")</f>
        <v>adfcb</v>
      </c>
      <c r="O177" s="6" t="str">
        <f>IFERROR(__xludf.DUMMYFUNCTION("""COMPUTED_VALUE"""),"cgd")</f>
        <v>cgd</v>
      </c>
      <c r="P177" s="6" t="str">
        <f>IFERROR(__xludf.DUMMYFUNCTION("""COMPUTED_VALUE"""),"agdb")</f>
        <v>agdb</v>
      </c>
      <c r="Q177" s="6" t="str">
        <f>IFERROR(__xludf.DUMMYFUNCTION("""COMPUTED_VALUE"""),"ecbafgd")</f>
        <v>ecbafgd</v>
      </c>
      <c r="R177" s="6" t="str">
        <f>IFERROR(__xludf.DUMMYFUNCTION("""COMPUTED_VALUE"""),"gcdaef")</f>
        <v>gcdaef</v>
      </c>
      <c r="S177" s="6" t="str">
        <f>IFERROR(__xludf.DUMMYFUNCTION("""COMPUTED_VALUE"""),"facbdg")</f>
        <v>facbdg</v>
      </c>
      <c r="T177" s="6" t="str">
        <f>IFERROR(__xludf.DUMMYFUNCTION("""COMPUTED_VALUE"""),"dg")</f>
        <v>dg</v>
      </c>
      <c r="U177" s="15"/>
      <c r="V177" s="6" t="str">
        <f>IFERROR(__xludf.DUMMYFUNCTION("split(I177,"" "")"),"bgad")</f>
        <v>bgad</v>
      </c>
      <c r="W177" s="6" t="str">
        <f>IFERROR(__xludf.DUMMYFUNCTION("""COMPUTED_VALUE"""),"gcd")</f>
        <v>gcd</v>
      </c>
      <c r="X177" s="6" t="str">
        <f>IFERROR(__xludf.DUMMYFUNCTION("""COMPUTED_VALUE"""),"fgebc")</f>
        <v>fgebc</v>
      </c>
      <c r="Y177" s="6" t="str">
        <f>IFERROR(__xludf.DUMMYFUNCTION("""COMPUTED_VALUE"""),"dcebagf")</f>
        <v>dcebagf</v>
      </c>
      <c r="Z177" s="6" t="str">
        <f>IFERROR(__xludf.DUMMYFUNCTION("CONCATENATE(SORT(TRANSPOSE(SPLIT(REGEXREPLACE(REGEXREPLACE(V177&amp;"""",""(?s)(.{1})"",""$1""&amp;CHAR(127)),""'"",""''""),CHAR(127))),1,true))"),"abdg")</f>
        <v>abdg</v>
      </c>
      <c r="AA177" s="6" t="str">
        <f>IFERROR(__xludf.DUMMYFUNCTION("CONCATENATE(SORT(TRANSPOSE(SPLIT(REGEXREPLACE(REGEXREPLACE(W177&amp;"""",""(?s)(.{1})"",""$1""&amp;CHAR(127)),""'"",""''""),CHAR(127))),1,true))"),"cdg")</f>
        <v>cdg</v>
      </c>
      <c r="AB177" s="6" t="str">
        <f>IFERROR(__xludf.DUMMYFUNCTION("CONCATENATE(SORT(TRANSPOSE(SPLIT(REGEXREPLACE(REGEXREPLACE(X177&amp;"""",""(?s)(.{1})"",""$1""&amp;CHAR(127)),""'"",""''""),CHAR(127))),1,true))"),"bcefg")</f>
        <v>bcefg</v>
      </c>
      <c r="AC177" s="6" t="str">
        <f>IFERROR(__xludf.DUMMYFUNCTION("CONCATENATE(SORT(TRANSPOSE(SPLIT(REGEXREPLACE(REGEXREPLACE(Y177&amp;"""",""(?s)(.{1})"",""$1""&amp;CHAR(127)),""'"",""''""),CHAR(127))),1,true))"),"abcdefg")</f>
        <v>abcdefg</v>
      </c>
      <c r="AD177" s="6">
        <f t="shared" ref="AD177:AG177" si="187">INDEX($AO$1:$CP$1,1,MATCH(CONCATENATE(Z177,"1"),$AO177:$CP177,0)+1)</f>
        <v>4</v>
      </c>
      <c r="AE177" s="6">
        <f t="shared" si="187"/>
        <v>7</v>
      </c>
      <c r="AF177" s="6">
        <f t="shared" si="187"/>
        <v>2</v>
      </c>
      <c r="AG177" s="6">
        <f t="shared" si="187"/>
        <v>8</v>
      </c>
      <c r="AH177" s="6">
        <f t="shared" si="3"/>
        <v>4728</v>
      </c>
      <c r="AI177" s="16"/>
      <c r="AJ177" s="9" t="str">
        <f>IFERROR(__xludf.DUMMYFUNCTION("REGEXREPLACE(AR177,CONCATENATE(""["",BY177,""]""),"""")"),"g")</f>
        <v>g</v>
      </c>
      <c r="AK177" s="10" t="str">
        <f>IFERROR(__xludf.DUMMYFUNCTION("FILTER($K177:$T177,len($K177:$T177)=6,NOT($K177:$T177=BY177))"),"gcdaef")</f>
        <v>gcdaef</v>
      </c>
      <c r="AL177" s="6" t="str">
        <f>IFERROR(__xludf.DUMMYFUNCTION("""COMPUTED_VALUE"""),"facbdg")</f>
        <v>facbdg</v>
      </c>
      <c r="AM177" s="6" t="str">
        <f>IFERROR(__xludf.DUMMYFUNCTION("REGEXREPLACE( $BG177, CONCATENATE(""["",AK177,""]""), """")"),"b")</f>
        <v>b</v>
      </c>
      <c r="AN177" s="6" t="str">
        <f>IFERROR(__xludf.DUMMYFUNCTION("REGEXREPLACE( $BG177, CONCATENATE(""["",AL177,""]""), """")"),"")</f>
        <v/>
      </c>
      <c r="AO177" s="11" t="str">
        <f t="shared" si="4"/>
        <v>gcdaef</v>
      </c>
      <c r="AP177" s="12" t="str">
        <f>IFERROR(__xludf.DUMMYFUNCTION("CONCATENATE(SORT(TRANSPOSE(SPLIT(REGEXREPLACE(REGEXREPLACE(AO177&amp;"""",""(?s)(.{1})"",""$1""&amp;CHAR(127)),""'"",""''""),CHAR(127))),1,true),""1"")"),"acdefg1")</f>
        <v>acdefg1</v>
      </c>
      <c r="AQ177" s="16"/>
      <c r="AR177" s="12" t="str">
        <f t="shared" si="5"/>
        <v>dg</v>
      </c>
      <c r="AS177" s="12" t="str">
        <f>IFERROR(__xludf.DUMMYFUNCTION("CONCATENATE(SORT(TRANSPOSE(SPLIT(REGEXREPLACE(REGEXREPLACE(AR177&amp;"""",""(?s)(.{1})"",""$1""&amp;CHAR(127)),""'"",""''""),CHAR(127))),1,true),""1"")"),"dg1")</f>
        <v>dg1</v>
      </c>
      <c r="AT177" s="16"/>
      <c r="AU177" s="13" t="str">
        <f>IFERROR(__xludf.DUMMYFUNCTION("FILTER($K177:$T177,len($K177:$T177)=5,NOT($K177:$T177=BD177),NOT($K177:$T177=BP177))"),"egcbf")</f>
        <v>egcbf</v>
      </c>
      <c r="AV177" s="12" t="str">
        <f>IFERROR(__xludf.DUMMYFUNCTION("CONCATENATE(SORT(TRANSPOSE(SPLIT(REGEXREPLACE(REGEXREPLACE(AU177&amp;"""",""(?s)(.{1})"",""$1""&amp;CHAR(127)),""'"",""''""),CHAR(127))),1,true),""1"")"),"bcefg1")</f>
        <v>bcefg1</v>
      </c>
      <c r="AW177" s="16"/>
      <c r="AX177" s="10" t="str">
        <f>IFERROR(__xludf.DUMMYFUNCTION("FILTER($K177:$T177,len($K177:$T177)=5)"),"egcbf")</f>
        <v>egcbf</v>
      </c>
      <c r="AY177" s="6" t="str">
        <f>IFERROR(__xludf.DUMMYFUNCTION("""COMPUTED_VALUE"""),"bdfgc")</f>
        <v>bdfgc</v>
      </c>
      <c r="AZ177" s="6" t="str">
        <f>IFERROR(__xludf.DUMMYFUNCTION("""COMPUTED_VALUE"""),"adfcb")</f>
        <v>adfcb</v>
      </c>
      <c r="BA177" s="6" t="str">
        <f>IFERROR(__xludf.DUMMYFUNCTION("REGEXREPLACE( $AR177, CONCATENATE(""["",AX177,""]""), """")"),"d")</f>
        <v>d</v>
      </c>
      <c r="BB177" s="6" t="str">
        <f>IFERROR(__xludf.DUMMYFUNCTION("REGEXREPLACE( $AR177, CONCATENATE(""["",AY177,""]""), """")"),"")</f>
        <v/>
      </c>
      <c r="BC177" s="6" t="str">
        <f>IFERROR(__xludf.DUMMYFUNCTION("REGEXREPLACE( $AR177, CONCATENATE(""["",AZ177,""]""), """")"),"g")</f>
        <v>g</v>
      </c>
      <c r="BD177" s="11" t="str">
        <f t="shared" si="6"/>
        <v>bdfgc</v>
      </c>
      <c r="BE177" s="12" t="str">
        <f>IFERROR(__xludf.DUMMYFUNCTION("CONCATENATE(SORT(TRANSPOSE(SPLIT(REGEXREPLACE(REGEXREPLACE(BD177&amp;"""",""(?s)(.{1})"",""$1""&amp;CHAR(127)),""'"",""''""),CHAR(127))),1,true),""1"")"),"bcdfg1")</f>
        <v>bcdfg1</v>
      </c>
      <c r="BF177" s="16"/>
      <c r="BG177" s="12" t="str">
        <f t="shared" si="7"/>
        <v>agdb</v>
      </c>
      <c r="BH177" s="12" t="str">
        <f>IFERROR(__xludf.DUMMYFUNCTION("CONCATENATE(SORT(TRANSPOSE(SPLIT(REGEXREPLACE(REGEXREPLACE(BG177&amp;"""",""(?s)(.{1})"",""$1""&amp;CHAR(127)),""'"",""''""),CHAR(127))),1,true),""1"")"),"abdg1")</f>
        <v>abdg1</v>
      </c>
      <c r="BI177" s="16"/>
      <c r="BJ177" s="10" t="str">
        <f>IFERROR(__xludf.DUMMYFUNCTION("FILTER($K177:$T177,len($K177:$T177)=5)"),"egcbf")</f>
        <v>egcbf</v>
      </c>
      <c r="BK177" s="6" t="str">
        <f>IFERROR(__xludf.DUMMYFUNCTION("""COMPUTED_VALUE"""),"bdfgc")</f>
        <v>bdfgc</v>
      </c>
      <c r="BL177" s="6" t="str">
        <f>IFERROR(__xludf.DUMMYFUNCTION("""COMPUTED_VALUE"""),"adfcb")</f>
        <v>adfcb</v>
      </c>
      <c r="BM177" s="14" t="str">
        <f>IFERROR(__xludf.DUMMYFUNCTION("REGEXREPLACE( $BY177, CONCATENATE(""["",BJ177,""]""), """")"),"da")</f>
        <v>da</v>
      </c>
      <c r="BN177" s="14" t="str">
        <f>IFERROR(__xludf.DUMMYFUNCTION("REGEXREPLACE( $BY177, CONCATENATE(""["",BK177,""]""), """")"),"ea")</f>
        <v>ea</v>
      </c>
      <c r="BO177" s="14" t="str">
        <f>IFERROR(__xludf.DUMMYFUNCTION("REGEXREPLACE( $BY177, CONCATENATE(""["",BL177,""]""), """")"),"e")</f>
        <v>e</v>
      </c>
      <c r="BP177" s="11" t="str">
        <f t="shared" si="8"/>
        <v>adfcb</v>
      </c>
      <c r="BQ177" s="12" t="str">
        <f>IFERROR(__xludf.DUMMYFUNCTION("CONCATENATE(SORT(TRANSPOSE(SPLIT(REGEXREPLACE(REGEXREPLACE(BP177&amp;"""",""(?s)(.{1})"",""$1""&amp;CHAR(127)),""'"",""''""),CHAR(127))),1,true),""1"")"),"abcdf1")</f>
        <v>abcdf1</v>
      </c>
      <c r="BR177" s="16"/>
      <c r="BS177" s="10" t="str">
        <f>IFERROR(__xludf.DUMMYFUNCTION("FILTER(K177:T177,len(K177:T177)=6)"),"cdebaf")</f>
        <v>cdebaf</v>
      </c>
      <c r="BT177" s="6" t="str">
        <f>IFERROR(__xludf.DUMMYFUNCTION("""COMPUTED_VALUE"""),"gcdaef")</f>
        <v>gcdaef</v>
      </c>
      <c r="BU177" s="6" t="str">
        <f>IFERROR(__xludf.DUMMYFUNCTION("""COMPUTED_VALUE"""),"facbdg")</f>
        <v>facbdg</v>
      </c>
      <c r="BV177" s="6" t="str">
        <f>IFERROR(__xludf.DUMMYFUNCTION("REGEXREPLACE( $AR177, CONCATENATE(""["",BS177,""]""), """")"),"g")</f>
        <v>g</v>
      </c>
      <c r="BW177" s="6" t="str">
        <f>IFERROR(__xludf.DUMMYFUNCTION("REGEXREPLACE( $AR177, CONCATENATE(""["",BT177,""]""), """")"),"")</f>
        <v/>
      </c>
      <c r="BX177" s="6" t="str">
        <f>IFERROR(__xludf.DUMMYFUNCTION("REGEXREPLACE( $AR177, CONCATENATE(""["",BU177,""]""), """")"),"")</f>
        <v/>
      </c>
      <c r="BY177" s="12" t="str">
        <f t="shared" si="9"/>
        <v>cdebaf</v>
      </c>
      <c r="BZ177" s="12" t="str">
        <f>IFERROR(__xludf.DUMMYFUNCTION("CONCATENATE(SORT(TRANSPOSE(SPLIT(REGEXREPLACE(REGEXREPLACE(BY177&amp;"""",""(?s)(.{1})"",""$1""&amp;CHAR(127)),""'"",""''""),CHAR(127))),1,true),""1"")"),"abcdef1")</f>
        <v>abcdef1</v>
      </c>
      <c r="CA177" s="16"/>
      <c r="CB177" s="12" t="str">
        <f t="shared" si="10"/>
        <v>cgd</v>
      </c>
      <c r="CC177" s="12" t="str">
        <f>IFERROR(__xludf.DUMMYFUNCTION("CONCATENATE(SORT(TRANSPOSE(SPLIT(REGEXREPLACE(REGEXREPLACE(CB177&amp;"""",""(?s)(.{1})"",""$1""&amp;CHAR(127)),""'"",""''""),CHAR(127))),1,true),""1"")"),"cdg1")</f>
        <v>cdg1</v>
      </c>
      <c r="CD177" s="16"/>
      <c r="CE177" s="12" t="str">
        <f t="shared" si="11"/>
        <v>ecbafgd</v>
      </c>
      <c r="CF177" s="12" t="str">
        <f>IFERROR(__xludf.DUMMYFUNCTION("CONCATENATE(SORT(TRANSPOSE(SPLIT(REGEXREPLACE(REGEXREPLACE(CE177&amp;"""",""(?s)(.{1})"",""$1""&amp;CHAR(127)),""'"",""''""),CHAR(127))),1,true),""1"")"),"abcdefg1")</f>
        <v>abcdefg1</v>
      </c>
      <c r="CG177" s="16"/>
      <c r="CH177" s="10" t="str">
        <f>IFERROR(__xludf.DUMMYFUNCTION("FILTER(K177:T177,len(K177:T177)=6)"),"cdebaf")</f>
        <v>cdebaf</v>
      </c>
      <c r="CI177" s="6" t="str">
        <f>IFERROR(__xludf.DUMMYFUNCTION("""COMPUTED_VALUE"""),"gcdaef")</f>
        <v>gcdaef</v>
      </c>
      <c r="CJ177" s="6" t="str">
        <f>IFERROR(__xludf.DUMMYFUNCTION("""COMPUTED_VALUE"""),"facbdg")</f>
        <v>facbdg</v>
      </c>
      <c r="CK177" s="6" t="str">
        <f>IFERROR(__xludf.DUMMYFUNCTION("REGEXREPLACE( $BG177, CONCATENATE(""["",CH177,""]""), """")"),"g")</f>
        <v>g</v>
      </c>
      <c r="CL177" s="6" t="str">
        <f>IFERROR(__xludf.DUMMYFUNCTION("REGEXREPLACE( $BG177, CONCATENATE(""["",CI177,""]""), """")"),"b")</f>
        <v>b</v>
      </c>
      <c r="CM177" s="6" t="str">
        <f>IFERROR(__xludf.DUMMYFUNCTION("REGEXREPLACE( $BG177, CONCATENATE(""["",CJ177,""]""), """")"),"")</f>
        <v/>
      </c>
      <c r="CN177" s="12" t="str">
        <f t="shared" si="12"/>
        <v>facbdg</v>
      </c>
      <c r="CO177" s="12" t="str">
        <f>IFERROR(__xludf.DUMMYFUNCTION("CONCATENATE(SORT(TRANSPOSE(SPLIT(REGEXREPLACE(REGEXREPLACE(CN177&amp;"""",""(?s)(.{1})"",""$1""&amp;CHAR(127)),""'"",""''""),CHAR(127))),1,true),""1"")"),"abcdfg1")</f>
        <v>abcdfg1</v>
      </c>
      <c r="CP177" s="15"/>
    </row>
    <row r="178">
      <c r="A178" s="1" t="s">
        <v>198</v>
      </c>
      <c r="H178" s="6" t="str">
        <f>IFERROR(__xludf.DUMMYFUNCTION("SPLIT(A178,""|"")"),"eabcd abdgec agdcfb cdbga eb dafec bec dbeg cabgef cfgbaed ")</f>
        <v>eabcd abdgec agdcfb cdbga eb dafec bec dbeg cabgef cfgbaed </v>
      </c>
      <c r="I178" s="6" t="str">
        <f>IFERROR(__xludf.DUMMYFUNCTION("""COMPUTED_VALUE""")," agdbfec dacbe be eb")</f>
        <v> agdbfec dacbe be eb</v>
      </c>
      <c r="J178" s="15"/>
      <c r="K178" s="6" t="str">
        <f>IFERROR(__xludf.DUMMYFUNCTION("split(H178,"" "")"),"eabcd")</f>
        <v>eabcd</v>
      </c>
      <c r="L178" s="6" t="str">
        <f>IFERROR(__xludf.DUMMYFUNCTION("""COMPUTED_VALUE"""),"abdgec")</f>
        <v>abdgec</v>
      </c>
      <c r="M178" s="6" t="str">
        <f>IFERROR(__xludf.DUMMYFUNCTION("""COMPUTED_VALUE"""),"agdcfb")</f>
        <v>agdcfb</v>
      </c>
      <c r="N178" s="6" t="str">
        <f>IFERROR(__xludf.DUMMYFUNCTION("""COMPUTED_VALUE"""),"cdbga")</f>
        <v>cdbga</v>
      </c>
      <c r="O178" s="6" t="str">
        <f>IFERROR(__xludf.DUMMYFUNCTION("""COMPUTED_VALUE"""),"eb")</f>
        <v>eb</v>
      </c>
      <c r="P178" s="6" t="str">
        <f>IFERROR(__xludf.DUMMYFUNCTION("""COMPUTED_VALUE"""),"dafec")</f>
        <v>dafec</v>
      </c>
      <c r="Q178" s="6" t="str">
        <f>IFERROR(__xludf.DUMMYFUNCTION("""COMPUTED_VALUE"""),"bec")</f>
        <v>bec</v>
      </c>
      <c r="R178" s="6" t="str">
        <f>IFERROR(__xludf.DUMMYFUNCTION("""COMPUTED_VALUE"""),"dbeg")</f>
        <v>dbeg</v>
      </c>
      <c r="S178" s="6" t="str">
        <f>IFERROR(__xludf.DUMMYFUNCTION("""COMPUTED_VALUE"""),"cabgef")</f>
        <v>cabgef</v>
      </c>
      <c r="T178" s="6" t="str">
        <f>IFERROR(__xludf.DUMMYFUNCTION("""COMPUTED_VALUE"""),"cfgbaed")</f>
        <v>cfgbaed</v>
      </c>
      <c r="U178" s="15"/>
      <c r="V178" s="6" t="str">
        <f>IFERROR(__xludf.DUMMYFUNCTION("split(I178,"" "")"),"agdbfec")</f>
        <v>agdbfec</v>
      </c>
      <c r="W178" s="6" t="str">
        <f>IFERROR(__xludf.DUMMYFUNCTION("""COMPUTED_VALUE"""),"dacbe")</f>
        <v>dacbe</v>
      </c>
      <c r="X178" s="6" t="str">
        <f>IFERROR(__xludf.DUMMYFUNCTION("""COMPUTED_VALUE"""),"be")</f>
        <v>be</v>
      </c>
      <c r="Y178" s="6" t="str">
        <f>IFERROR(__xludf.DUMMYFUNCTION("""COMPUTED_VALUE"""),"eb")</f>
        <v>eb</v>
      </c>
      <c r="Z178" s="6" t="str">
        <f>IFERROR(__xludf.DUMMYFUNCTION("CONCATENATE(SORT(TRANSPOSE(SPLIT(REGEXREPLACE(REGEXREPLACE(V178&amp;"""",""(?s)(.{1})"",""$1""&amp;CHAR(127)),""'"",""''""),CHAR(127))),1,true))"),"abcdefg")</f>
        <v>abcdefg</v>
      </c>
      <c r="AA178" s="6" t="str">
        <f>IFERROR(__xludf.DUMMYFUNCTION("CONCATENATE(SORT(TRANSPOSE(SPLIT(REGEXREPLACE(REGEXREPLACE(W178&amp;"""",""(?s)(.{1})"",""$1""&amp;CHAR(127)),""'"",""''""),CHAR(127))),1,true))"),"abcde")</f>
        <v>abcde</v>
      </c>
      <c r="AB178" s="6" t="str">
        <f>IFERROR(__xludf.DUMMYFUNCTION("CONCATENATE(SORT(TRANSPOSE(SPLIT(REGEXREPLACE(REGEXREPLACE(X178&amp;"""",""(?s)(.{1})"",""$1""&amp;CHAR(127)),""'"",""''""),CHAR(127))),1,true))"),"be")</f>
        <v>be</v>
      </c>
      <c r="AC178" s="6" t="str">
        <f>IFERROR(__xludf.DUMMYFUNCTION("CONCATENATE(SORT(TRANSPOSE(SPLIT(REGEXREPLACE(REGEXREPLACE(Y178&amp;"""",""(?s)(.{1})"",""$1""&amp;CHAR(127)),""'"",""''""),CHAR(127))),1,true))"),"be")</f>
        <v>be</v>
      </c>
      <c r="AD178" s="6">
        <f t="shared" ref="AD178:AG178" si="188">INDEX($AO$1:$CP$1,1,MATCH(CONCATENATE(Z178,"1"),$AO178:$CP178,0)+1)</f>
        <v>8</v>
      </c>
      <c r="AE178" s="6">
        <f t="shared" si="188"/>
        <v>3</v>
      </c>
      <c r="AF178" s="6">
        <f t="shared" si="188"/>
        <v>1</v>
      </c>
      <c r="AG178" s="6">
        <f t="shared" si="188"/>
        <v>1</v>
      </c>
      <c r="AH178" s="6">
        <f t="shared" si="3"/>
        <v>8311</v>
      </c>
      <c r="AI178" s="16"/>
      <c r="AJ178" s="9" t="str">
        <f>IFERROR(__xludf.DUMMYFUNCTION("REGEXREPLACE(AR178,CONCATENATE(""["",BY178,""]""),"""")"),"e")</f>
        <v>e</v>
      </c>
      <c r="AK178" s="10" t="str">
        <f>IFERROR(__xludf.DUMMYFUNCTION("FILTER($K178:$T178,len($K178:$T178)=6,NOT($K178:$T178=BY178))"),"abdgec")</f>
        <v>abdgec</v>
      </c>
      <c r="AL178" s="6" t="str">
        <f>IFERROR(__xludf.DUMMYFUNCTION("""COMPUTED_VALUE"""),"cabgef")</f>
        <v>cabgef</v>
      </c>
      <c r="AM178" s="6" t="str">
        <f>IFERROR(__xludf.DUMMYFUNCTION("REGEXREPLACE( $BG178, CONCATENATE(""["",AK178,""]""), """")"),"")</f>
        <v/>
      </c>
      <c r="AN178" s="6" t="str">
        <f>IFERROR(__xludf.DUMMYFUNCTION("REGEXREPLACE( $BG178, CONCATENATE(""["",AL178,""]""), """")"),"d")</f>
        <v>d</v>
      </c>
      <c r="AO178" s="11" t="str">
        <f t="shared" si="4"/>
        <v>cabgef</v>
      </c>
      <c r="AP178" s="12" t="str">
        <f>IFERROR(__xludf.DUMMYFUNCTION("CONCATENATE(SORT(TRANSPOSE(SPLIT(REGEXREPLACE(REGEXREPLACE(AO178&amp;"""",""(?s)(.{1})"",""$1""&amp;CHAR(127)),""'"",""''""),CHAR(127))),1,true),""1"")"),"abcefg1")</f>
        <v>abcefg1</v>
      </c>
      <c r="AQ178" s="16"/>
      <c r="AR178" s="12" t="str">
        <f t="shared" si="5"/>
        <v>eb</v>
      </c>
      <c r="AS178" s="12" t="str">
        <f>IFERROR(__xludf.DUMMYFUNCTION("CONCATENATE(SORT(TRANSPOSE(SPLIT(REGEXREPLACE(REGEXREPLACE(AR178&amp;"""",""(?s)(.{1})"",""$1""&amp;CHAR(127)),""'"",""''""),CHAR(127))),1,true),""1"")"),"be1")</f>
        <v>be1</v>
      </c>
      <c r="AT178" s="16"/>
      <c r="AU178" s="13" t="str">
        <f>IFERROR(__xludf.DUMMYFUNCTION("FILTER($K178:$T178,len($K178:$T178)=5,NOT($K178:$T178=BD178),NOT($K178:$T178=BP178))"),"dafec")</f>
        <v>dafec</v>
      </c>
      <c r="AV178" s="12" t="str">
        <f>IFERROR(__xludf.DUMMYFUNCTION("CONCATENATE(SORT(TRANSPOSE(SPLIT(REGEXREPLACE(REGEXREPLACE(AU178&amp;"""",""(?s)(.{1})"",""$1""&amp;CHAR(127)),""'"",""''""),CHAR(127))),1,true),""1"")"),"acdef1")</f>
        <v>acdef1</v>
      </c>
      <c r="AW178" s="16"/>
      <c r="AX178" s="10" t="str">
        <f>IFERROR(__xludf.DUMMYFUNCTION("FILTER($K178:$T178,len($K178:$T178)=5)"),"eabcd")</f>
        <v>eabcd</v>
      </c>
      <c r="AY178" s="6" t="str">
        <f>IFERROR(__xludf.DUMMYFUNCTION("""COMPUTED_VALUE"""),"cdbga")</f>
        <v>cdbga</v>
      </c>
      <c r="AZ178" s="6" t="str">
        <f>IFERROR(__xludf.DUMMYFUNCTION("""COMPUTED_VALUE"""),"dafec")</f>
        <v>dafec</v>
      </c>
      <c r="BA178" s="6" t="str">
        <f>IFERROR(__xludf.DUMMYFUNCTION("REGEXREPLACE( $AR178, CONCATENATE(""["",AX178,""]""), """")"),"")</f>
        <v/>
      </c>
      <c r="BB178" s="6" t="str">
        <f>IFERROR(__xludf.DUMMYFUNCTION("REGEXREPLACE( $AR178, CONCATENATE(""["",AY178,""]""), """")"),"e")</f>
        <v>e</v>
      </c>
      <c r="BC178" s="6" t="str">
        <f>IFERROR(__xludf.DUMMYFUNCTION("REGEXREPLACE( $AR178, CONCATENATE(""["",AZ178,""]""), """")"),"b")</f>
        <v>b</v>
      </c>
      <c r="BD178" s="11" t="str">
        <f t="shared" si="6"/>
        <v>eabcd</v>
      </c>
      <c r="BE178" s="12" t="str">
        <f>IFERROR(__xludf.DUMMYFUNCTION("CONCATENATE(SORT(TRANSPOSE(SPLIT(REGEXREPLACE(REGEXREPLACE(BD178&amp;"""",""(?s)(.{1})"",""$1""&amp;CHAR(127)),""'"",""''""),CHAR(127))),1,true),""1"")"),"abcde1")</f>
        <v>abcde1</v>
      </c>
      <c r="BF178" s="16"/>
      <c r="BG178" s="12" t="str">
        <f t="shared" si="7"/>
        <v>dbeg</v>
      </c>
      <c r="BH178" s="12" t="str">
        <f>IFERROR(__xludf.DUMMYFUNCTION("CONCATENATE(SORT(TRANSPOSE(SPLIT(REGEXREPLACE(REGEXREPLACE(BG178&amp;"""",""(?s)(.{1})"",""$1""&amp;CHAR(127)),""'"",""''""),CHAR(127))),1,true),""1"")"),"bdeg1")</f>
        <v>bdeg1</v>
      </c>
      <c r="BI178" s="16"/>
      <c r="BJ178" s="10" t="str">
        <f>IFERROR(__xludf.DUMMYFUNCTION("FILTER($K178:$T178,len($K178:$T178)=5)"),"eabcd")</f>
        <v>eabcd</v>
      </c>
      <c r="BK178" s="6" t="str">
        <f>IFERROR(__xludf.DUMMYFUNCTION("""COMPUTED_VALUE"""),"cdbga")</f>
        <v>cdbga</v>
      </c>
      <c r="BL178" s="6" t="str">
        <f>IFERROR(__xludf.DUMMYFUNCTION("""COMPUTED_VALUE"""),"dafec")</f>
        <v>dafec</v>
      </c>
      <c r="BM178" s="14" t="str">
        <f>IFERROR(__xludf.DUMMYFUNCTION("REGEXREPLACE( $BY178, CONCATENATE(""["",BJ178,""]""), """")"),"gf")</f>
        <v>gf</v>
      </c>
      <c r="BN178" s="14" t="str">
        <f>IFERROR(__xludf.DUMMYFUNCTION("REGEXREPLACE( $BY178, CONCATENATE(""["",BK178,""]""), """")"),"f")</f>
        <v>f</v>
      </c>
      <c r="BO178" s="14" t="str">
        <f>IFERROR(__xludf.DUMMYFUNCTION("REGEXREPLACE( $BY178, CONCATENATE(""["",BL178,""]""), """")"),"gb")</f>
        <v>gb</v>
      </c>
      <c r="BP178" s="11" t="str">
        <f t="shared" si="8"/>
        <v>cdbga</v>
      </c>
      <c r="BQ178" s="12" t="str">
        <f>IFERROR(__xludf.DUMMYFUNCTION("CONCATENATE(SORT(TRANSPOSE(SPLIT(REGEXREPLACE(REGEXREPLACE(BP178&amp;"""",""(?s)(.{1})"",""$1""&amp;CHAR(127)),""'"",""''""),CHAR(127))),1,true),""1"")"),"abcdg1")</f>
        <v>abcdg1</v>
      </c>
      <c r="BR178" s="16"/>
      <c r="BS178" s="10" t="str">
        <f>IFERROR(__xludf.DUMMYFUNCTION("FILTER(K178:T178,len(K178:T178)=6)"),"abdgec")</f>
        <v>abdgec</v>
      </c>
      <c r="BT178" s="6" t="str">
        <f>IFERROR(__xludf.DUMMYFUNCTION("""COMPUTED_VALUE"""),"agdcfb")</f>
        <v>agdcfb</v>
      </c>
      <c r="BU178" s="6" t="str">
        <f>IFERROR(__xludf.DUMMYFUNCTION("""COMPUTED_VALUE"""),"cabgef")</f>
        <v>cabgef</v>
      </c>
      <c r="BV178" s="6" t="str">
        <f>IFERROR(__xludf.DUMMYFUNCTION("REGEXREPLACE( $AR178, CONCATENATE(""["",BS178,""]""), """")"),"")</f>
        <v/>
      </c>
      <c r="BW178" s="6" t="str">
        <f>IFERROR(__xludf.DUMMYFUNCTION("REGEXREPLACE( $AR178, CONCATENATE(""["",BT178,""]""), """")"),"e")</f>
        <v>e</v>
      </c>
      <c r="BX178" s="6" t="str">
        <f>IFERROR(__xludf.DUMMYFUNCTION("REGEXREPLACE( $AR178, CONCATENATE(""["",BU178,""]""), """")"),"")</f>
        <v/>
      </c>
      <c r="BY178" s="12" t="str">
        <f t="shared" si="9"/>
        <v>agdcfb</v>
      </c>
      <c r="BZ178" s="12" t="str">
        <f>IFERROR(__xludf.DUMMYFUNCTION("CONCATENATE(SORT(TRANSPOSE(SPLIT(REGEXREPLACE(REGEXREPLACE(BY178&amp;"""",""(?s)(.{1})"",""$1""&amp;CHAR(127)),""'"",""''""),CHAR(127))),1,true),""1"")"),"abcdfg1")</f>
        <v>abcdfg1</v>
      </c>
      <c r="CA178" s="16"/>
      <c r="CB178" s="12" t="str">
        <f t="shared" si="10"/>
        <v>bec</v>
      </c>
      <c r="CC178" s="12" t="str">
        <f>IFERROR(__xludf.DUMMYFUNCTION("CONCATENATE(SORT(TRANSPOSE(SPLIT(REGEXREPLACE(REGEXREPLACE(CB178&amp;"""",""(?s)(.{1})"",""$1""&amp;CHAR(127)),""'"",""''""),CHAR(127))),1,true),""1"")"),"bce1")</f>
        <v>bce1</v>
      </c>
      <c r="CD178" s="16"/>
      <c r="CE178" s="12" t="str">
        <f t="shared" si="11"/>
        <v>cfgbaed</v>
      </c>
      <c r="CF178" s="12" t="str">
        <f>IFERROR(__xludf.DUMMYFUNCTION("CONCATENATE(SORT(TRANSPOSE(SPLIT(REGEXREPLACE(REGEXREPLACE(CE178&amp;"""",""(?s)(.{1})"",""$1""&amp;CHAR(127)),""'"",""''""),CHAR(127))),1,true),""1"")"),"abcdefg1")</f>
        <v>abcdefg1</v>
      </c>
      <c r="CG178" s="16"/>
      <c r="CH178" s="10" t="str">
        <f>IFERROR(__xludf.DUMMYFUNCTION("FILTER(K178:T178,len(K178:T178)=6)"),"abdgec")</f>
        <v>abdgec</v>
      </c>
      <c r="CI178" s="6" t="str">
        <f>IFERROR(__xludf.DUMMYFUNCTION("""COMPUTED_VALUE"""),"agdcfb")</f>
        <v>agdcfb</v>
      </c>
      <c r="CJ178" s="6" t="str">
        <f>IFERROR(__xludf.DUMMYFUNCTION("""COMPUTED_VALUE"""),"cabgef")</f>
        <v>cabgef</v>
      </c>
      <c r="CK178" s="6" t="str">
        <f>IFERROR(__xludf.DUMMYFUNCTION("REGEXREPLACE( $BG178, CONCATENATE(""["",CH178,""]""), """")"),"")</f>
        <v/>
      </c>
      <c r="CL178" s="6" t="str">
        <f>IFERROR(__xludf.DUMMYFUNCTION("REGEXREPLACE( $BG178, CONCATENATE(""["",CI178,""]""), """")"),"e")</f>
        <v>e</v>
      </c>
      <c r="CM178" s="6" t="str">
        <f>IFERROR(__xludf.DUMMYFUNCTION("REGEXREPLACE( $BG178, CONCATENATE(""["",CJ178,""]""), """")"),"d")</f>
        <v>d</v>
      </c>
      <c r="CN178" s="12" t="str">
        <f t="shared" si="12"/>
        <v>abdgec</v>
      </c>
      <c r="CO178" s="12" t="str">
        <f>IFERROR(__xludf.DUMMYFUNCTION("CONCATENATE(SORT(TRANSPOSE(SPLIT(REGEXREPLACE(REGEXREPLACE(CN178&amp;"""",""(?s)(.{1})"",""$1""&amp;CHAR(127)),""'"",""''""),CHAR(127))),1,true),""1"")"),"abcdeg1")</f>
        <v>abcdeg1</v>
      </c>
      <c r="CP178" s="15"/>
    </row>
    <row r="179">
      <c r="A179" s="1" t="s">
        <v>199</v>
      </c>
      <c r="H179" s="6" t="str">
        <f>IFERROR(__xludf.DUMMYFUNCTION("SPLIT(A179,""|"")"),"cabfedg gbacf beca eb bfe afebgd efcdg cfageb cgefb dgabcf ")</f>
        <v>cabfedg gbacf beca eb bfe afebgd efcdg cfageb cgefb dgabcf </v>
      </c>
      <c r="I179" s="6" t="str">
        <f>IFERROR(__xludf.DUMMYFUNCTION("""COMPUTED_VALUE""")," be dgefba dgcaefb eabcfg")</f>
        <v> be dgefba dgcaefb eabcfg</v>
      </c>
      <c r="J179" s="15"/>
      <c r="K179" s="6" t="str">
        <f>IFERROR(__xludf.DUMMYFUNCTION("split(H179,"" "")"),"cabfedg")</f>
        <v>cabfedg</v>
      </c>
      <c r="L179" s="6" t="str">
        <f>IFERROR(__xludf.DUMMYFUNCTION("""COMPUTED_VALUE"""),"gbacf")</f>
        <v>gbacf</v>
      </c>
      <c r="M179" s="6" t="str">
        <f>IFERROR(__xludf.DUMMYFUNCTION("""COMPUTED_VALUE"""),"beca")</f>
        <v>beca</v>
      </c>
      <c r="N179" s="6" t="str">
        <f>IFERROR(__xludf.DUMMYFUNCTION("""COMPUTED_VALUE"""),"eb")</f>
        <v>eb</v>
      </c>
      <c r="O179" s="6" t="str">
        <f>IFERROR(__xludf.DUMMYFUNCTION("""COMPUTED_VALUE"""),"bfe")</f>
        <v>bfe</v>
      </c>
      <c r="P179" s="6" t="str">
        <f>IFERROR(__xludf.DUMMYFUNCTION("""COMPUTED_VALUE"""),"afebgd")</f>
        <v>afebgd</v>
      </c>
      <c r="Q179" s="6" t="str">
        <f>IFERROR(__xludf.DUMMYFUNCTION("""COMPUTED_VALUE"""),"efcdg")</f>
        <v>efcdg</v>
      </c>
      <c r="R179" s="6" t="str">
        <f>IFERROR(__xludf.DUMMYFUNCTION("""COMPUTED_VALUE"""),"cfageb")</f>
        <v>cfageb</v>
      </c>
      <c r="S179" s="6" t="str">
        <f>IFERROR(__xludf.DUMMYFUNCTION("""COMPUTED_VALUE"""),"cgefb")</f>
        <v>cgefb</v>
      </c>
      <c r="T179" s="6" t="str">
        <f>IFERROR(__xludf.DUMMYFUNCTION("""COMPUTED_VALUE"""),"dgabcf")</f>
        <v>dgabcf</v>
      </c>
      <c r="U179" s="15"/>
      <c r="V179" s="6" t="str">
        <f>IFERROR(__xludf.DUMMYFUNCTION("split(I179,"" "")"),"be")</f>
        <v>be</v>
      </c>
      <c r="W179" s="6" t="str">
        <f>IFERROR(__xludf.DUMMYFUNCTION("""COMPUTED_VALUE"""),"dgefba")</f>
        <v>dgefba</v>
      </c>
      <c r="X179" s="6" t="str">
        <f>IFERROR(__xludf.DUMMYFUNCTION("""COMPUTED_VALUE"""),"dgcaefb")</f>
        <v>dgcaefb</v>
      </c>
      <c r="Y179" s="6" t="str">
        <f>IFERROR(__xludf.DUMMYFUNCTION("""COMPUTED_VALUE"""),"eabcfg")</f>
        <v>eabcfg</v>
      </c>
      <c r="Z179" s="6" t="str">
        <f>IFERROR(__xludf.DUMMYFUNCTION("CONCATENATE(SORT(TRANSPOSE(SPLIT(REGEXREPLACE(REGEXREPLACE(V179&amp;"""",""(?s)(.{1})"",""$1""&amp;CHAR(127)),""'"",""''""),CHAR(127))),1,true))"),"be")</f>
        <v>be</v>
      </c>
      <c r="AA179" s="6" t="str">
        <f>IFERROR(__xludf.DUMMYFUNCTION("CONCATENATE(SORT(TRANSPOSE(SPLIT(REGEXREPLACE(REGEXREPLACE(W179&amp;"""",""(?s)(.{1})"",""$1""&amp;CHAR(127)),""'"",""''""),CHAR(127))),1,true))"),"abdefg")</f>
        <v>abdefg</v>
      </c>
      <c r="AB179" s="6" t="str">
        <f>IFERROR(__xludf.DUMMYFUNCTION("CONCATENATE(SORT(TRANSPOSE(SPLIT(REGEXREPLACE(REGEXREPLACE(X179&amp;"""",""(?s)(.{1})"",""$1""&amp;CHAR(127)),""'"",""''""),CHAR(127))),1,true))"),"abcdefg")</f>
        <v>abcdefg</v>
      </c>
      <c r="AC179" s="6" t="str">
        <f>IFERROR(__xludf.DUMMYFUNCTION("CONCATENATE(SORT(TRANSPOSE(SPLIT(REGEXREPLACE(REGEXREPLACE(Y179&amp;"""",""(?s)(.{1})"",""$1""&amp;CHAR(127)),""'"",""''""),CHAR(127))),1,true))"),"abcefg")</f>
        <v>abcefg</v>
      </c>
      <c r="AD179" s="6">
        <f t="shared" ref="AD179:AG179" si="189">INDEX($AO$1:$CP$1,1,MATCH(CONCATENATE(Z179,"1"),$AO179:$CP179,0)+1)</f>
        <v>1</v>
      </c>
      <c r="AE179" s="6">
        <f t="shared" si="189"/>
        <v>0</v>
      </c>
      <c r="AF179" s="6">
        <f t="shared" si="189"/>
        <v>8</v>
      </c>
      <c r="AG179" s="6">
        <f t="shared" si="189"/>
        <v>9</v>
      </c>
      <c r="AH179" s="6">
        <f t="shared" si="3"/>
        <v>1089</v>
      </c>
      <c r="AI179" s="16"/>
      <c r="AJ179" s="9" t="str">
        <f>IFERROR(__xludf.DUMMYFUNCTION("REGEXREPLACE(AR179,CONCATENATE(""["",BY179,""]""),"""")"),"e")</f>
        <v>e</v>
      </c>
      <c r="AK179" s="10" t="str">
        <f>IFERROR(__xludf.DUMMYFUNCTION("FILTER($K179:$T179,len($K179:$T179)=6,NOT($K179:$T179=BY179))"),"afebgd")</f>
        <v>afebgd</v>
      </c>
      <c r="AL179" s="6" t="str">
        <f>IFERROR(__xludf.DUMMYFUNCTION("""COMPUTED_VALUE"""),"cfageb")</f>
        <v>cfageb</v>
      </c>
      <c r="AM179" s="6" t="str">
        <f>IFERROR(__xludf.DUMMYFUNCTION("REGEXREPLACE( $BG179, CONCATENATE(""["",AK179,""]""), """")"),"c")</f>
        <v>c</v>
      </c>
      <c r="AN179" s="6" t="str">
        <f>IFERROR(__xludf.DUMMYFUNCTION("REGEXREPLACE( $BG179, CONCATENATE(""["",AL179,""]""), """")"),"")</f>
        <v/>
      </c>
      <c r="AO179" s="11" t="str">
        <f t="shared" si="4"/>
        <v>afebgd</v>
      </c>
      <c r="AP179" s="12" t="str">
        <f>IFERROR(__xludf.DUMMYFUNCTION("CONCATENATE(SORT(TRANSPOSE(SPLIT(REGEXREPLACE(REGEXREPLACE(AO179&amp;"""",""(?s)(.{1})"",""$1""&amp;CHAR(127)),""'"",""''""),CHAR(127))),1,true),""1"")"),"abdefg1")</f>
        <v>abdefg1</v>
      </c>
      <c r="AQ179" s="16"/>
      <c r="AR179" s="12" t="str">
        <f t="shared" si="5"/>
        <v>eb</v>
      </c>
      <c r="AS179" s="12" t="str">
        <f>IFERROR(__xludf.DUMMYFUNCTION("CONCATENATE(SORT(TRANSPOSE(SPLIT(REGEXREPLACE(REGEXREPLACE(AR179&amp;"""",""(?s)(.{1})"",""$1""&amp;CHAR(127)),""'"",""''""),CHAR(127))),1,true),""1"")"),"be1")</f>
        <v>be1</v>
      </c>
      <c r="AT179" s="16"/>
      <c r="AU179" s="13" t="str">
        <f>IFERROR(__xludf.DUMMYFUNCTION("FILTER($K179:$T179,len($K179:$T179)=5,NOT($K179:$T179=BD179),NOT($K179:$T179=BP179))"),"efcdg")</f>
        <v>efcdg</v>
      </c>
      <c r="AV179" s="12" t="str">
        <f>IFERROR(__xludf.DUMMYFUNCTION("CONCATENATE(SORT(TRANSPOSE(SPLIT(REGEXREPLACE(REGEXREPLACE(AU179&amp;"""",""(?s)(.{1})"",""$1""&amp;CHAR(127)),""'"",""''""),CHAR(127))),1,true),""1"")"),"cdefg1")</f>
        <v>cdefg1</v>
      </c>
      <c r="AW179" s="16"/>
      <c r="AX179" s="10" t="str">
        <f>IFERROR(__xludf.DUMMYFUNCTION("FILTER($K179:$T179,len($K179:$T179)=5)"),"gbacf")</f>
        <v>gbacf</v>
      </c>
      <c r="AY179" s="6" t="str">
        <f>IFERROR(__xludf.DUMMYFUNCTION("""COMPUTED_VALUE"""),"efcdg")</f>
        <v>efcdg</v>
      </c>
      <c r="AZ179" s="6" t="str">
        <f>IFERROR(__xludf.DUMMYFUNCTION("""COMPUTED_VALUE"""),"cgefb")</f>
        <v>cgefb</v>
      </c>
      <c r="BA179" s="6" t="str">
        <f>IFERROR(__xludf.DUMMYFUNCTION("REGEXREPLACE( $AR179, CONCATENATE(""["",AX179,""]""), """")"),"e")</f>
        <v>e</v>
      </c>
      <c r="BB179" s="6" t="str">
        <f>IFERROR(__xludf.DUMMYFUNCTION("REGEXREPLACE( $AR179, CONCATENATE(""["",AY179,""]""), """")"),"b")</f>
        <v>b</v>
      </c>
      <c r="BC179" s="6" t="str">
        <f>IFERROR(__xludf.DUMMYFUNCTION("REGEXREPLACE( $AR179, CONCATENATE(""["",AZ179,""]""), """")"),"")</f>
        <v/>
      </c>
      <c r="BD179" s="11" t="str">
        <f t="shared" si="6"/>
        <v>cgefb</v>
      </c>
      <c r="BE179" s="12" t="str">
        <f>IFERROR(__xludf.DUMMYFUNCTION("CONCATENATE(SORT(TRANSPOSE(SPLIT(REGEXREPLACE(REGEXREPLACE(BD179&amp;"""",""(?s)(.{1})"",""$1""&amp;CHAR(127)),""'"",""''""),CHAR(127))),1,true),""1"")"),"bcefg1")</f>
        <v>bcefg1</v>
      </c>
      <c r="BF179" s="16"/>
      <c r="BG179" s="12" t="str">
        <f t="shared" si="7"/>
        <v>beca</v>
      </c>
      <c r="BH179" s="12" t="str">
        <f>IFERROR(__xludf.DUMMYFUNCTION("CONCATENATE(SORT(TRANSPOSE(SPLIT(REGEXREPLACE(REGEXREPLACE(BG179&amp;"""",""(?s)(.{1})"",""$1""&amp;CHAR(127)),""'"",""''""),CHAR(127))),1,true),""1"")"),"abce1")</f>
        <v>abce1</v>
      </c>
      <c r="BI179" s="16"/>
      <c r="BJ179" s="10" t="str">
        <f>IFERROR(__xludf.DUMMYFUNCTION("FILTER($K179:$T179,len($K179:$T179)=5)"),"gbacf")</f>
        <v>gbacf</v>
      </c>
      <c r="BK179" s="6" t="str">
        <f>IFERROR(__xludf.DUMMYFUNCTION("""COMPUTED_VALUE"""),"efcdg")</f>
        <v>efcdg</v>
      </c>
      <c r="BL179" s="6" t="str">
        <f>IFERROR(__xludf.DUMMYFUNCTION("""COMPUTED_VALUE"""),"cgefb")</f>
        <v>cgefb</v>
      </c>
      <c r="BM179" s="14" t="str">
        <f>IFERROR(__xludf.DUMMYFUNCTION("REGEXREPLACE( $BY179, CONCATENATE(""["",BJ179,""]""), """")"),"d")</f>
        <v>d</v>
      </c>
      <c r="BN179" s="14" t="str">
        <f>IFERROR(__xludf.DUMMYFUNCTION("REGEXREPLACE( $BY179, CONCATENATE(""["",BK179,""]""), """")"),"ab")</f>
        <v>ab</v>
      </c>
      <c r="BO179" s="14" t="str">
        <f>IFERROR(__xludf.DUMMYFUNCTION("REGEXREPLACE( $BY179, CONCATENATE(""["",BL179,""]""), """")"),"da")</f>
        <v>da</v>
      </c>
      <c r="BP179" s="11" t="str">
        <f t="shared" si="8"/>
        <v>gbacf</v>
      </c>
      <c r="BQ179" s="12" t="str">
        <f>IFERROR(__xludf.DUMMYFUNCTION("CONCATENATE(SORT(TRANSPOSE(SPLIT(REGEXREPLACE(REGEXREPLACE(BP179&amp;"""",""(?s)(.{1})"",""$1""&amp;CHAR(127)),""'"",""''""),CHAR(127))),1,true),""1"")"),"abcfg1")</f>
        <v>abcfg1</v>
      </c>
      <c r="BR179" s="16"/>
      <c r="BS179" s="10" t="str">
        <f>IFERROR(__xludf.DUMMYFUNCTION("FILTER(K179:T179,len(K179:T179)=6)"),"afebgd")</f>
        <v>afebgd</v>
      </c>
      <c r="BT179" s="6" t="str">
        <f>IFERROR(__xludf.DUMMYFUNCTION("""COMPUTED_VALUE"""),"cfageb")</f>
        <v>cfageb</v>
      </c>
      <c r="BU179" s="6" t="str">
        <f>IFERROR(__xludf.DUMMYFUNCTION("""COMPUTED_VALUE"""),"dgabcf")</f>
        <v>dgabcf</v>
      </c>
      <c r="BV179" s="6" t="str">
        <f>IFERROR(__xludf.DUMMYFUNCTION("REGEXREPLACE( $AR179, CONCATENATE(""["",BS179,""]""), """")"),"")</f>
        <v/>
      </c>
      <c r="BW179" s="6" t="str">
        <f>IFERROR(__xludf.DUMMYFUNCTION("REGEXREPLACE( $AR179, CONCATENATE(""["",BT179,""]""), """")"),"")</f>
        <v/>
      </c>
      <c r="BX179" s="6" t="str">
        <f>IFERROR(__xludf.DUMMYFUNCTION("REGEXREPLACE( $AR179, CONCATENATE(""["",BU179,""]""), """")"),"e")</f>
        <v>e</v>
      </c>
      <c r="BY179" s="12" t="str">
        <f t="shared" si="9"/>
        <v>dgabcf</v>
      </c>
      <c r="BZ179" s="12" t="str">
        <f>IFERROR(__xludf.DUMMYFUNCTION("CONCATENATE(SORT(TRANSPOSE(SPLIT(REGEXREPLACE(REGEXREPLACE(BY179&amp;"""",""(?s)(.{1})"",""$1""&amp;CHAR(127)),""'"",""''""),CHAR(127))),1,true),""1"")"),"abcdfg1")</f>
        <v>abcdfg1</v>
      </c>
      <c r="CA179" s="16"/>
      <c r="CB179" s="12" t="str">
        <f t="shared" si="10"/>
        <v>bfe</v>
      </c>
      <c r="CC179" s="12" t="str">
        <f>IFERROR(__xludf.DUMMYFUNCTION("CONCATENATE(SORT(TRANSPOSE(SPLIT(REGEXREPLACE(REGEXREPLACE(CB179&amp;"""",""(?s)(.{1})"",""$1""&amp;CHAR(127)),""'"",""''""),CHAR(127))),1,true),""1"")"),"bef1")</f>
        <v>bef1</v>
      </c>
      <c r="CD179" s="16"/>
      <c r="CE179" s="12" t="str">
        <f t="shared" si="11"/>
        <v>cabfedg</v>
      </c>
      <c r="CF179" s="12" t="str">
        <f>IFERROR(__xludf.DUMMYFUNCTION("CONCATENATE(SORT(TRANSPOSE(SPLIT(REGEXREPLACE(REGEXREPLACE(CE179&amp;"""",""(?s)(.{1})"",""$1""&amp;CHAR(127)),""'"",""''""),CHAR(127))),1,true),""1"")"),"abcdefg1")</f>
        <v>abcdefg1</v>
      </c>
      <c r="CG179" s="16"/>
      <c r="CH179" s="10" t="str">
        <f>IFERROR(__xludf.DUMMYFUNCTION("FILTER(K179:T179,len(K179:T179)=6)"),"afebgd")</f>
        <v>afebgd</v>
      </c>
      <c r="CI179" s="6" t="str">
        <f>IFERROR(__xludf.DUMMYFUNCTION("""COMPUTED_VALUE"""),"cfageb")</f>
        <v>cfageb</v>
      </c>
      <c r="CJ179" s="6" t="str">
        <f>IFERROR(__xludf.DUMMYFUNCTION("""COMPUTED_VALUE"""),"dgabcf")</f>
        <v>dgabcf</v>
      </c>
      <c r="CK179" s="6" t="str">
        <f>IFERROR(__xludf.DUMMYFUNCTION("REGEXREPLACE( $BG179, CONCATENATE(""["",CH179,""]""), """")"),"c")</f>
        <v>c</v>
      </c>
      <c r="CL179" s="6" t="str">
        <f>IFERROR(__xludf.DUMMYFUNCTION("REGEXREPLACE( $BG179, CONCATENATE(""["",CI179,""]""), """")"),"")</f>
        <v/>
      </c>
      <c r="CM179" s="6" t="str">
        <f>IFERROR(__xludf.DUMMYFUNCTION("REGEXREPLACE( $BG179, CONCATENATE(""["",CJ179,""]""), """")"),"e")</f>
        <v>e</v>
      </c>
      <c r="CN179" s="12" t="str">
        <f t="shared" si="12"/>
        <v>cfageb</v>
      </c>
      <c r="CO179" s="12" t="str">
        <f>IFERROR(__xludf.DUMMYFUNCTION("CONCATENATE(SORT(TRANSPOSE(SPLIT(REGEXREPLACE(REGEXREPLACE(CN179&amp;"""",""(?s)(.{1})"",""$1""&amp;CHAR(127)),""'"",""''""),CHAR(127))),1,true),""1"")"),"abcefg1")</f>
        <v>abcefg1</v>
      </c>
      <c r="CP179" s="15"/>
    </row>
    <row r="180">
      <c r="A180" s="1" t="s">
        <v>200</v>
      </c>
      <c r="H180" s="6" t="str">
        <f>IFERROR(__xludf.DUMMYFUNCTION("SPLIT(A180,""|"")"),"bdfga fbgcd gdfcab acdf bafdge cfg cfbgea fdagecb cf dbgce ")</f>
        <v>bdfga fbgcd gdfcab acdf bafdge cfg cfbgea fdagecb cf dbgce </v>
      </c>
      <c r="I180" s="6" t="str">
        <f>IFERROR(__xludf.DUMMYFUNCTION("""COMPUTED_VALUE""")," gcf fgc cf cdfa")</f>
        <v> gcf fgc cf cdfa</v>
      </c>
      <c r="J180" s="15"/>
      <c r="K180" s="6" t="str">
        <f>IFERROR(__xludf.DUMMYFUNCTION("split(H180,"" "")"),"bdfga")</f>
        <v>bdfga</v>
      </c>
      <c r="L180" s="6" t="str">
        <f>IFERROR(__xludf.DUMMYFUNCTION("""COMPUTED_VALUE"""),"fbgcd")</f>
        <v>fbgcd</v>
      </c>
      <c r="M180" s="6" t="str">
        <f>IFERROR(__xludf.DUMMYFUNCTION("""COMPUTED_VALUE"""),"gdfcab")</f>
        <v>gdfcab</v>
      </c>
      <c r="N180" s="6" t="str">
        <f>IFERROR(__xludf.DUMMYFUNCTION("""COMPUTED_VALUE"""),"acdf")</f>
        <v>acdf</v>
      </c>
      <c r="O180" s="6" t="str">
        <f>IFERROR(__xludf.DUMMYFUNCTION("""COMPUTED_VALUE"""),"bafdge")</f>
        <v>bafdge</v>
      </c>
      <c r="P180" s="6" t="str">
        <f>IFERROR(__xludf.DUMMYFUNCTION("""COMPUTED_VALUE"""),"cfg")</f>
        <v>cfg</v>
      </c>
      <c r="Q180" s="6" t="str">
        <f>IFERROR(__xludf.DUMMYFUNCTION("""COMPUTED_VALUE"""),"cfbgea")</f>
        <v>cfbgea</v>
      </c>
      <c r="R180" s="6" t="str">
        <f>IFERROR(__xludf.DUMMYFUNCTION("""COMPUTED_VALUE"""),"fdagecb")</f>
        <v>fdagecb</v>
      </c>
      <c r="S180" s="6" t="str">
        <f>IFERROR(__xludf.DUMMYFUNCTION("""COMPUTED_VALUE"""),"cf")</f>
        <v>cf</v>
      </c>
      <c r="T180" s="6" t="str">
        <f>IFERROR(__xludf.DUMMYFUNCTION("""COMPUTED_VALUE"""),"dbgce")</f>
        <v>dbgce</v>
      </c>
      <c r="U180" s="15"/>
      <c r="V180" s="6" t="str">
        <f>IFERROR(__xludf.DUMMYFUNCTION("split(I180,"" "")"),"gcf")</f>
        <v>gcf</v>
      </c>
      <c r="W180" s="6" t="str">
        <f>IFERROR(__xludf.DUMMYFUNCTION("""COMPUTED_VALUE"""),"fgc")</f>
        <v>fgc</v>
      </c>
      <c r="X180" s="6" t="str">
        <f>IFERROR(__xludf.DUMMYFUNCTION("""COMPUTED_VALUE"""),"cf")</f>
        <v>cf</v>
      </c>
      <c r="Y180" s="6" t="str">
        <f>IFERROR(__xludf.DUMMYFUNCTION("""COMPUTED_VALUE"""),"cdfa")</f>
        <v>cdfa</v>
      </c>
      <c r="Z180" s="6" t="str">
        <f>IFERROR(__xludf.DUMMYFUNCTION("CONCATENATE(SORT(TRANSPOSE(SPLIT(REGEXREPLACE(REGEXREPLACE(V180&amp;"""",""(?s)(.{1})"",""$1""&amp;CHAR(127)),""'"",""''""),CHAR(127))),1,true))"),"cfg")</f>
        <v>cfg</v>
      </c>
      <c r="AA180" s="6" t="str">
        <f>IFERROR(__xludf.DUMMYFUNCTION("CONCATENATE(SORT(TRANSPOSE(SPLIT(REGEXREPLACE(REGEXREPLACE(W180&amp;"""",""(?s)(.{1})"",""$1""&amp;CHAR(127)),""'"",""''""),CHAR(127))),1,true))"),"cfg")</f>
        <v>cfg</v>
      </c>
      <c r="AB180" s="6" t="str">
        <f>IFERROR(__xludf.DUMMYFUNCTION("CONCATENATE(SORT(TRANSPOSE(SPLIT(REGEXREPLACE(REGEXREPLACE(X180&amp;"""",""(?s)(.{1})"",""$1""&amp;CHAR(127)),""'"",""''""),CHAR(127))),1,true))"),"cf")</f>
        <v>cf</v>
      </c>
      <c r="AC180" s="6" t="str">
        <f>IFERROR(__xludf.DUMMYFUNCTION("CONCATENATE(SORT(TRANSPOSE(SPLIT(REGEXREPLACE(REGEXREPLACE(Y180&amp;"""",""(?s)(.{1})"",""$1""&amp;CHAR(127)),""'"",""''""),CHAR(127))),1,true))"),"acdf")</f>
        <v>acdf</v>
      </c>
      <c r="AD180" s="6">
        <f t="shared" ref="AD180:AG180" si="190">INDEX($AO$1:$CP$1,1,MATCH(CONCATENATE(Z180,"1"),$AO180:$CP180,0)+1)</f>
        <v>7</v>
      </c>
      <c r="AE180" s="6">
        <f t="shared" si="190"/>
        <v>7</v>
      </c>
      <c r="AF180" s="6">
        <f t="shared" si="190"/>
        <v>1</v>
      </c>
      <c r="AG180" s="6">
        <f t="shared" si="190"/>
        <v>4</v>
      </c>
      <c r="AH180" s="6">
        <f t="shared" si="3"/>
        <v>7714</v>
      </c>
      <c r="AI180" s="16"/>
      <c r="AJ180" s="9" t="str">
        <f>IFERROR(__xludf.DUMMYFUNCTION("REGEXREPLACE(AR180,CONCATENATE(""["",BY180,""]""),"""")"),"c")</f>
        <v>c</v>
      </c>
      <c r="AK180" s="10" t="str">
        <f>IFERROR(__xludf.DUMMYFUNCTION("FILTER($K180:$T180,len($K180:$T180)=6,NOT($K180:$T180=BY180))"),"gdfcab")</f>
        <v>gdfcab</v>
      </c>
      <c r="AL180" s="6" t="str">
        <f>IFERROR(__xludf.DUMMYFUNCTION("""COMPUTED_VALUE"""),"cfbgea")</f>
        <v>cfbgea</v>
      </c>
      <c r="AM180" s="6" t="str">
        <f>IFERROR(__xludf.DUMMYFUNCTION("REGEXREPLACE( $BG180, CONCATENATE(""["",AK180,""]""), """")"),"")</f>
        <v/>
      </c>
      <c r="AN180" s="6" t="str">
        <f>IFERROR(__xludf.DUMMYFUNCTION("REGEXREPLACE( $BG180, CONCATENATE(""["",AL180,""]""), """")"),"d")</f>
        <v>d</v>
      </c>
      <c r="AO180" s="11" t="str">
        <f t="shared" si="4"/>
        <v>cfbgea</v>
      </c>
      <c r="AP180" s="12" t="str">
        <f>IFERROR(__xludf.DUMMYFUNCTION("CONCATENATE(SORT(TRANSPOSE(SPLIT(REGEXREPLACE(REGEXREPLACE(AO180&amp;"""",""(?s)(.{1})"",""$1""&amp;CHAR(127)),""'"",""''""),CHAR(127))),1,true),""1"")"),"abcefg1")</f>
        <v>abcefg1</v>
      </c>
      <c r="AQ180" s="16"/>
      <c r="AR180" s="12" t="str">
        <f t="shared" si="5"/>
        <v>cf</v>
      </c>
      <c r="AS180" s="12" t="str">
        <f>IFERROR(__xludf.DUMMYFUNCTION("CONCATENATE(SORT(TRANSPOSE(SPLIT(REGEXREPLACE(REGEXREPLACE(AR180&amp;"""",""(?s)(.{1})"",""$1""&amp;CHAR(127)),""'"",""''""),CHAR(127))),1,true),""1"")"),"cf1")</f>
        <v>cf1</v>
      </c>
      <c r="AT180" s="16"/>
      <c r="AU180" s="13" t="str">
        <f>IFERROR(__xludf.DUMMYFUNCTION("FILTER($K180:$T180,len($K180:$T180)=5,NOT($K180:$T180=BD180),NOT($K180:$T180=BP180))"),"dbgce")</f>
        <v>dbgce</v>
      </c>
      <c r="AV180" s="12" t="str">
        <f>IFERROR(__xludf.DUMMYFUNCTION("CONCATENATE(SORT(TRANSPOSE(SPLIT(REGEXREPLACE(REGEXREPLACE(AU180&amp;"""",""(?s)(.{1})"",""$1""&amp;CHAR(127)),""'"",""''""),CHAR(127))),1,true),""1"")"),"bcdeg1")</f>
        <v>bcdeg1</v>
      </c>
      <c r="AW180" s="16"/>
      <c r="AX180" s="10" t="str">
        <f>IFERROR(__xludf.DUMMYFUNCTION("FILTER($K180:$T180,len($K180:$T180)=5)"),"bdfga")</f>
        <v>bdfga</v>
      </c>
      <c r="AY180" s="6" t="str">
        <f>IFERROR(__xludf.DUMMYFUNCTION("""COMPUTED_VALUE"""),"fbgcd")</f>
        <v>fbgcd</v>
      </c>
      <c r="AZ180" s="6" t="str">
        <f>IFERROR(__xludf.DUMMYFUNCTION("""COMPUTED_VALUE"""),"dbgce")</f>
        <v>dbgce</v>
      </c>
      <c r="BA180" s="6" t="str">
        <f>IFERROR(__xludf.DUMMYFUNCTION("REGEXREPLACE( $AR180, CONCATENATE(""["",AX180,""]""), """")"),"c")</f>
        <v>c</v>
      </c>
      <c r="BB180" s="6" t="str">
        <f>IFERROR(__xludf.DUMMYFUNCTION("REGEXREPLACE( $AR180, CONCATENATE(""["",AY180,""]""), """")"),"")</f>
        <v/>
      </c>
      <c r="BC180" s="6" t="str">
        <f>IFERROR(__xludf.DUMMYFUNCTION("REGEXREPLACE( $AR180, CONCATENATE(""["",AZ180,""]""), """")"),"f")</f>
        <v>f</v>
      </c>
      <c r="BD180" s="11" t="str">
        <f t="shared" si="6"/>
        <v>fbgcd</v>
      </c>
      <c r="BE180" s="12" t="str">
        <f>IFERROR(__xludf.DUMMYFUNCTION("CONCATENATE(SORT(TRANSPOSE(SPLIT(REGEXREPLACE(REGEXREPLACE(BD180&amp;"""",""(?s)(.{1})"",""$1""&amp;CHAR(127)),""'"",""''""),CHAR(127))),1,true),""1"")"),"bcdfg1")</f>
        <v>bcdfg1</v>
      </c>
      <c r="BF180" s="16"/>
      <c r="BG180" s="12" t="str">
        <f t="shared" si="7"/>
        <v>acdf</v>
      </c>
      <c r="BH180" s="12" t="str">
        <f>IFERROR(__xludf.DUMMYFUNCTION("CONCATENATE(SORT(TRANSPOSE(SPLIT(REGEXREPLACE(REGEXREPLACE(BG180&amp;"""",""(?s)(.{1})"",""$1""&amp;CHAR(127)),""'"",""''""),CHAR(127))),1,true),""1"")"),"acdf1")</f>
        <v>acdf1</v>
      </c>
      <c r="BI180" s="16"/>
      <c r="BJ180" s="10" t="str">
        <f>IFERROR(__xludf.DUMMYFUNCTION("FILTER($K180:$T180,len($K180:$T180)=5)"),"bdfga")</f>
        <v>bdfga</v>
      </c>
      <c r="BK180" s="6" t="str">
        <f>IFERROR(__xludf.DUMMYFUNCTION("""COMPUTED_VALUE"""),"fbgcd")</f>
        <v>fbgcd</v>
      </c>
      <c r="BL180" s="6" t="str">
        <f>IFERROR(__xludf.DUMMYFUNCTION("""COMPUTED_VALUE"""),"dbgce")</f>
        <v>dbgce</v>
      </c>
      <c r="BM180" s="14" t="str">
        <f>IFERROR(__xludf.DUMMYFUNCTION("REGEXREPLACE( $BY180, CONCATENATE(""["",BJ180,""]""), """")"),"e")</f>
        <v>e</v>
      </c>
      <c r="BN180" s="14" t="str">
        <f>IFERROR(__xludf.DUMMYFUNCTION("REGEXREPLACE( $BY180, CONCATENATE(""["",BK180,""]""), """")"),"ae")</f>
        <v>ae</v>
      </c>
      <c r="BO180" s="14" t="str">
        <f>IFERROR(__xludf.DUMMYFUNCTION("REGEXREPLACE( $BY180, CONCATENATE(""["",BL180,""]""), """")"),"af")</f>
        <v>af</v>
      </c>
      <c r="BP180" s="11" t="str">
        <f t="shared" si="8"/>
        <v>bdfga</v>
      </c>
      <c r="BQ180" s="12" t="str">
        <f>IFERROR(__xludf.DUMMYFUNCTION("CONCATENATE(SORT(TRANSPOSE(SPLIT(REGEXREPLACE(REGEXREPLACE(BP180&amp;"""",""(?s)(.{1})"",""$1""&amp;CHAR(127)),""'"",""''""),CHAR(127))),1,true),""1"")"),"abdfg1")</f>
        <v>abdfg1</v>
      </c>
      <c r="BR180" s="16"/>
      <c r="BS180" s="10" t="str">
        <f>IFERROR(__xludf.DUMMYFUNCTION("FILTER(K180:T180,len(K180:T180)=6)"),"gdfcab")</f>
        <v>gdfcab</v>
      </c>
      <c r="BT180" s="6" t="str">
        <f>IFERROR(__xludf.DUMMYFUNCTION("""COMPUTED_VALUE"""),"bafdge")</f>
        <v>bafdge</v>
      </c>
      <c r="BU180" s="6" t="str">
        <f>IFERROR(__xludf.DUMMYFUNCTION("""COMPUTED_VALUE"""),"cfbgea")</f>
        <v>cfbgea</v>
      </c>
      <c r="BV180" s="6" t="str">
        <f>IFERROR(__xludf.DUMMYFUNCTION("REGEXREPLACE( $AR180, CONCATENATE(""["",BS180,""]""), """")"),"")</f>
        <v/>
      </c>
      <c r="BW180" s="6" t="str">
        <f>IFERROR(__xludf.DUMMYFUNCTION("REGEXREPLACE( $AR180, CONCATENATE(""["",BT180,""]""), """")"),"c")</f>
        <v>c</v>
      </c>
      <c r="BX180" s="6" t="str">
        <f>IFERROR(__xludf.DUMMYFUNCTION("REGEXREPLACE( $AR180, CONCATENATE(""["",BU180,""]""), """")"),"")</f>
        <v/>
      </c>
      <c r="BY180" s="12" t="str">
        <f t="shared" si="9"/>
        <v>bafdge</v>
      </c>
      <c r="BZ180" s="12" t="str">
        <f>IFERROR(__xludf.DUMMYFUNCTION("CONCATENATE(SORT(TRANSPOSE(SPLIT(REGEXREPLACE(REGEXREPLACE(BY180&amp;"""",""(?s)(.{1})"",""$1""&amp;CHAR(127)),""'"",""''""),CHAR(127))),1,true),""1"")"),"abdefg1")</f>
        <v>abdefg1</v>
      </c>
      <c r="CA180" s="16"/>
      <c r="CB180" s="12" t="str">
        <f t="shared" si="10"/>
        <v>cfg</v>
      </c>
      <c r="CC180" s="12" t="str">
        <f>IFERROR(__xludf.DUMMYFUNCTION("CONCATENATE(SORT(TRANSPOSE(SPLIT(REGEXREPLACE(REGEXREPLACE(CB180&amp;"""",""(?s)(.{1})"",""$1""&amp;CHAR(127)),""'"",""''""),CHAR(127))),1,true),""1"")"),"cfg1")</f>
        <v>cfg1</v>
      </c>
      <c r="CD180" s="16"/>
      <c r="CE180" s="12" t="str">
        <f t="shared" si="11"/>
        <v>fdagecb</v>
      </c>
      <c r="CF180" s="12" t="str">
        <f>IFERROR(__xludf.DUMMYFUNCTION("CONCATENATE(SORT(TRANSPOSE(SPLIT(REGEXREPLACE(REGEXREPLACE(CE180&amp;"""",""(?s)(.{1})"",""$1""&amp;CHAR(127)),""'"",""''""),CHAR(127))),1,true),""1"")"),"abcdefg1")</f>
        <v>abcdefg1</v>
      </c>
      <c r="CG180" s="16"/>
      <c r="CH180" s="10" t="str">
        <f>IFERROR(__xludf.DUMMYFUNCTION("FILTER(K180:T180,len(K180:T180)=6)"),"gdfcab")</f>
        <v>gdfcab</v>
      </c>
      <c r="CI180" s="6" t="str">
        <f>IFERROR(__xludf.DUMMYFUNCTION("""COMPUTED_VALUE"""),"bafdge")</f>
        <v>bafdge</v>
      </c>
      <c r="CJ180" s="6" t="str">
        <f>IFERROR(__xludf.DUMMYFUNCTION("""COMPUTED_VALUE"""),"cfbgea")</f>
        <v>cfbgea</v>
      </c>
      <c r="CK180" s="6" t="str">
        <f>IFERROR(__xludf.DUMMYFUNCTION("REGEXREPLACE( $BG180, CONCATENATE(""["",CH180,""]""), """")"),"")</f>
        <v/>
      </c>
      <c r="CL180" s="6" t="str">
        <f>IFERROR(__xludf.DUMMYFUNCTION("REGEXREPLACE( $BG180, CONCATENATE(""["",CI180,""]""), """")"),"c")</f>
        <v>c</v>
      </c>
      <c r="CM180" s="6" t="str">
        <f>IFERROR(__xludf.DUMMYFUNCTION("REGEXREPLACE( $BG180, CONCATENATE(""["",CJ180,""]""), """")"),"d")</f>
        <v>d</v>
      </c>
      <c r="CN180" s="12" t="str">
        <f t="shared" si="12"/>
        <v>gdfcab</v>
      </c>
      <c r="CO180" s="12" t="str">
        <f>IFERROR(__xludf.DUMMYFUNCTION("CONCATENATE(SORT(TRANSPOSE(SPLIT(REGEXREPLACE(REGEXREPLACE(CN180&amp;"""",""(?s)(.{1})"",""$1""&amp;CHAR(127)),""'"",""''""),CHAR(127))),1,true),""1"")"),"abcdfg1")</f>
        <v>abcdfg1</v>
      </c>
      <c r="CP180" s="15"/>
    </row>
    <row r="181">
      <c r="A181" s="1" t="s">
        <v>201</v>
      </c>
      <c r="H181" s="6" t="str">
        <f>IFERROR(__xludf.DUMMYFUNCTION("SPLIT(A181,""|"")"),"aeg agcde aecdb gbfdea ag gacb gafcdbe ebdafc gedfc ecdbag ")</f>
        <v>aeg agcde aecdb gbfdea ag gacb gafcdbe ebdafc gedfc ecdbag </v>
      </c>
      <c r="I181" s="6" t="str">
        <f>IFERROR(__xludf.DUMMYFUNCTION("""COMPUTED_VALUE""")," gadce gea agbedc cedgf")</f>
        <v> gadce gea agbedc cedgf</v>
      </c>
      <c r="J181" s="15"/>
      <c r="K181" s="6" t="str">
        <f>IFERROR(__xludf.DUMMYFUNCTION("split(H181,"" "")"),"aeg")</f>
        <v>aeg</v>
      </c>
      <c r="L181" s="6" t="str">
        <f>IFERROR(__xludf.DUMMYFUNCTION("""COMPUTED_VALUE"""),"agcde")</f>
        <v>agcde</v>
      </c>
      <c r="M181" s="6" t="str">
        <f>IFERROR(__xludf.DUMMYFUNCTION("""COMPUTED_VALUE"""),"aecdb")</f>
        <v>aecdb</v>
      </c>
      <c r="N181" s="6" t="str">
        <f>IFERROR(__xludf.DUMMYFUNCTION("""COMPUTED_VALUE"""),"gbfdea")</f>
        <v>gbfdea</v>
      </c>
      <c r="O181" s="6" t="str">
        <f>IFERROR(__xludf.DUMMYFUNCTION("""COMPUTED_VALUE"""),"ag")</f>
        <v>ag</v>
      </c>
      <c r="P181" s="6" t="str">
        <f>IFERROR(__xludf.DUMMYFUNCTION("""COMPUTED_VALUE"""),"gacb")</f>
        <v>gacb</v>
      </c>
      <c r="Q181" s="6" t="str">
        <f>IFERROR(__xludf.DUMMYFUNCTION("""COMPUTED_VALUE"""),"gafcdbe")</f>
        <v>gafcdbe</v>
      </c>
      <c r="R181" s="6" t="str">
        <f>IFERROR(__xludf.DUMMYFUNCTION("""COMPUTED_VALUE"""),"ebdafc")</f>
        <v>ebdafc</v>
      </c>
      <c r="S181" s="6" t="str">
        <f>IFERROR(__xludf.DUMMYFUNCTION("""COMPUTED_VALUE"""),"gedfc")</f>
        <v>gedfc</v>
      </c>
      <c r="T181" s="6" t="str">
        <f>IFERROR(__xludf.DUMMYFUNCTION("""COMPUTED_VALUE"""),"ecdbag")</f>
        <v>ecdbag</v>
      </c>
      <c r="U181" s="15"/>
      <c r="V181" s="6" t="str">
        <f>IFERROR(__xludf.DUMMYFUNCTION("split(I181,"" "")"),"gadce")</f>
        <v>gadce</v>
      </c>
      <c r="W181" s="6" t="str">
        <f>IFERROR(__xludf.DUMMYFUNCTION("""COMPUTED_VALUE"""),"gea")</f>
        <v>gea</v>
      </c>
      <c r="X181" s="6" t="str">
        <f>IFERROR(__xludf.DUMMYFUNCTION("""COMPUTED_VALUE"""),"agbedc")</f>
        <v>agbedc</v>
      </c>
      <c r="Y181" s="6" t="str">
        <f>IFERROR(__xludf.DUMMYFUNCTION("""COMPUTED_VALUE"""),"cedgf")</f>
        <v>cedgf</v>
      </c>
      <c r="Z181" s="6" t="str">
        <f>IFERROR(__xludf.DUMMYFUNCTION("CONCATENATE(SORT(TRANSPOSE(SPLIT(REGEXREPLACE(REGEXREPLACE(V181&amp;"""",""(?s)(.{1})"",""$1""&amp;CHAR(127)),""'"",""''""),CHAR(127))),1,true))"),"acdeg")</f>
        <v>acdeg</v>
      </c>
      <c r="AA181" s="6" t="str">
        <f>IFERROR(__xludf.DUMMYFUNCTION("CONCATENATE(SORT(TRANSPOSE(SPLIT(REGEXREPLACE(REGEXREPLACE(W181&amp;"""",""(?s)(.{1})"",""$1""&amp;CHAR(127)),""'"",""''""),CHAR(127))),1,true))"),"aeg")</f>
        <v>aeg</v>
      </c>
      <c r="AB181" s="6" t="str">
        <f>IFERROR(__xludf.DUMMYFUNCTION("CONCATENATE(SORT(TRANSPOSE(SPLIT(REGEXREPLACE(REGEXREPLACE(X181&amp;"""",""(?s)(.{1})"",""$1""&amp;CHAR(127)),""'"",""''""),CHAR(127))),1,true))"),"abcdeg")</f>
        <v>abcdeg</v>
      </c>
      <c r="AC181" s="6" t="str">
        <f>IFERROR(__xludf.DUMMYFUNCTION("CONCATENATE(SORT(TRANSPOSE(SPLIT(REGEXREPLACE(REGEXREPLACE(Y181&amp;"""",""(?s)(.{1})"",""$1""&amp;CHAR(127)),""'"",""''""),CHAR(127))),1,true))"),"cdefg")</f>
        <v>cdefg</v>
      </c>
      <c r="AD181" s="6">
        <f t="shared" ref="AD181:AG181" si="191">INDEX($AO$1:$CP$1,1,MATCH(CONCATENATE(Z181,"1"),$AO181:$CP181,0)+1)</f>
        <v>3</v>
      </c>
      <c r="AE181" s="6">
        <f t="shared" si="191"/>
        <v>7</v>
      </c>
      <c r="AF181" s="6">
        <f t="shared" si="191"/>
        <v>9</v>
      </c>
      <c r="AG181" s="6">
        <f t="shared" si="191"/>
        <v>2</v>
      </c>
      <c r="AH181" s="6">
        <f t="shared" si="3"/>
        <v>3792</v>
      </c>
      <c r="AI181" s="16"/>
      <c r="AJ181" s="9" t="str">
        <f>IFERROR(__xludf.DUMMYFUNCTION("REGEXREPLACE(AR181,CONCATENATE(""["",BY181,""]""),"""")"),"g")</f>
        <v>g</v>
      </c>
      <c r="AK181" s="10" t="str">
        <f>IFERROR(__xludf.DUMMYFUNCTION("FILTER($K181:$T181,len($K181:$T181)=6,NOT($K181:$T181=BY181))"),"gbfdea")</f>
        <v>gbfdea</v>
      </c>
      <c r="AL181" s="6" t="str">
        <f>IFERROR(__xludf.DUMMYFUNCTION("""COMPUTED_VALUE"""),"ecdbag")</f>
        <v>ecdbag</v>
      </c>
      <c r="AM181" s="6" t="str">
        <f>IFERROR(__xludf.DUMMYFUNCTION("REGEXREPLACE( $BG181, CONCATENATE(""["",AK181,""]""), """")"),"c")</f>
        <v>c</v>
      </c>
      <c r="AN181" s="6" t="str">
        <f>IFERROR(__xludf.DUMMYFUNCTION("REGEXREPLACE( $BG181, CONCATENATE(""["",AL181,""]""), """")"),"")</f>
        <v/>
      </c>
      <c r="AO181" s="11" t="str">
        <f t="shared" si="4"/>
        <v>gbfdea</v>
      </c>
      <c r="AP181" s="12" t="str">
        <f>IFERROR(__xludf.DUMMYFUNCTION("CONCATENATE(SORT(TRANSPOSE(SPLIT(REGEXREPLACE(REGEXREPLACE(AO181&amp;"""",""(?s)(.{1})"",""$1""&amp;CHAR(127)),""'"",""''""),CHAR(127))),1,true),""1"")"),"abdefg1")</f>
        <v>abdefg1</v>
      </c>
      <c r="AQ181" s="16"/>
      <c r="AR181" s="12" t="str">
        <f t="shared" si="5"/>
        <v>ag</v>
      </c>
      <c r="AS181" s="12" t="str">
        <f>IFERROR(__xludf.DUMMYFUNCTION("CONCATENATE(SORT(TRANSPOSE(SPLIT(REGEXREPLACE(REGEXREPLACE(AR181&amp;"""",""(?s)(.{1})"",""$1""&amp;CHAR(127)),""'"",""''""),CHAR(127))),1,true),""1"")"),"ag1")</f>
        <v>ag1</v>
      </c>
      <c r="AT181" s="16"/>
      <c r="AU181" s="13" t="str">
        <f>IFERROR(__xludf.DUMMYFUNCTION("FILTER($K181:$T181,len($K181:$T181)=5,NOT($K181:$T181=BD181),NOT($K181:$T181=BP181))"),"gedfc")</f>
        <v>gedfc</v>
      </c>
      <c r="AV181" s="12" t="str">
        <f>IFERROR(__xludf.DUMMYFUNCTION("CONCATENATE(SORT(TRANSPOSE(SPLIT(REGEXREPLACE(REGEXREPLACE(AU181&amp;"""",""(?s)(.{1})"",""$1""&amp;CHAR(127)),""'"",""''""),CHAR(127))),1,true),""1"")"),"cdefg1")</f>
        <v>cdefg1</v>
      </c>
      <c r="AW181" s="16"/>
      <c r="AX181" s="10" t="str">
        <f>IFERROR(__xludf.DUMMYFUNCTION("FILTER($K181:$T181,len($K181:$T181)=5)"),"agcde")</f>
        <v>agcde</v>
      </c>
      <c r="AY181" s="6" t="str">
        <f>IFERROR(__xludf.DUMMYFUNCTION("""COMPUTED_VALUE"""),"aecdb")</f>
        <v>aecdb</v>
      </c>
      <c r="AZ181" s="6" t="str">
        <f>IFERROR(__xludf.DUMMYFUNCTION("""COMPUTED_VALUE"""),"gedfc")</f>
        <v>gedfc</v>
      </c>
      <c r="BA181" s="6" t="str">
        <f>IFERROR(__xludf.DUMMYFUNCTION("REGEXREPLACE( $AR181, CONCATENATE(""["",AX181,""]""), """")"),"")</f>
        <v/>
      </c>
      <c r="BB181" s="6" t="str">
        <f>IFERROR(__xludf.DUMMYFUNCTION("REGEXREPLACE( $AR181, CONCATENATE(""["",AY181,""]""), """")"),"g")</f>
        <v>g</v>
      </c>
      <c r="BC181" s="6" t="str">
        <f>IFERROR(__xludf.DUMMYFUNCTION("REGEXREPLACE( $AR181, CONCATENATE(""["",AZ181,""]""), """")"),"a")</f>
        <v>a</v>
      </c>
      <c r="BD181" s="11" t="str">
        <f t="shared" si="6"/>
        <v>agcde</v>
      </c>
      <c r="BE181" s="12" t="str">
        <f>IFERROR(__xludf.DUMMYFUNCTION("CONCATENATE(SORT(TRANSPOSE(SPLIT(REGEXREPLACE(REGEXREPLACE(BD181&amp;"""",""(?s)(.{1})"",""$1""&amp;CHAR(127)),""'"",""''""),CHAR(127))),1,true),""1"")"),"acdeg1")</f>
        <v>acdeg1</v>
      </c>
      <c r="BF181" s="16"/>
      <c r="BG181" s="12" t="str">
        <f t="shared" si="7"/>
        <v>gacb</v>
      </c>
      <c r="BH181" s="12" t="str">
        <f>IFERROR(__xludf.DUMMYFUNCTION("CONCATENATE(SORT(TRANSPOSE(SPLIT(REGEXREPLACE(REGEXREPLACE(BG181&amp;"""",""(?s)(.{1})"",""$1""&amp;CHAR(127)),""'"",""''""),CHAR(127))),1,true),""1"")"),"abcg1")</f>
        <v>abcg1</v>
      </c>
      <c r="BI181" s="16"/>
      <c r="BJ181" s="10" t="str">
        <f>IFERROR(__xludf.DUMMYFUNCTION("FILTER($K181:$T181,len($K181:$T181)=5)"),"agcde")</f>
        <v>agcde</v>
      </c>
      <c r="BK181" s="6" t="str">
        <f>IFERROR(__xludf.DUMMYFUNCTION("""COMPUTED_VALUE"""),"aecdb")</f>
        <v>aecdb</v>
      </c>
      <c r="BL181" s="6" t="str">
        <f>IFERROR(__xludf.DUMMYFUNCTION("""COMPUTED_VALUE"""),"gedfc")</f>
        <v>gedfc</v>
      </c>
      <c r="BM181" s="14" t="str">
        <f>IFERROR(__xludf.DUMMYFUNCTION("REGEXREPLACE( $BY181, CONCATENATE(""["",BJ181,""]""), """")"),"bf")</f>
        <v>bf</v>
      </c>
      <c r="BN181" s="14" t="str">
        <f>IFERROR(__xludf.DUMMYFUNCTION("REGEXREPLACE( $BY181, CONCATENATE(""["",BK181,""]""), """")"),"f")</f>
        <v>f</v>
      </c>
      <c r="BO181" s="14" t="str">
        <f>IFERROR(__xludf.DUMMYFUNCTION("REGEXREPLACE( $BY181, CONCATENATE(""["",BL181,""]""), """")"),"ba")</f>
        <v>ba</v>
      </c>
      <c r="BP181" s="11" t="str">
        <f t="shared" si="8"/>
        <v>aecdb</v>
      </c>
      <c r="BQ181" s="12" t="str">
        <f>IFERROR(__xludf.DUMMYFUNCTION("CONCATENATE(SORT(TRANSPOSE(SPLIT(REGEXREPLACE(REGEXREPLACE(BP181&amp;"""",""(?s)(.{1})"",""$1""&amp;CHAR(127)),""'"",""''""),CHAR(127))),1,true),""1"")"),"abcde1")</f>
        <v>abcde1</v>
      </c>
      <c r="BR181" s="16"/>
      <c r="BS181" s="10" t="str">
        <f>IFERROR(__xludf.DUMMYFUNCTION("FILTER(K181:T181,len(K181:T181)=6)"),"gbfdea")</f>
        <v>gbfdea</v>
      </c>
      <c r="BT181" s="6" t="str">
        <f>IFERROR(__xludf.DUMMYFUNCTION("""COMPUTED_VALUE"""),"ebdafc")</f>
        <v>ebdafc</v>
      </c>
      <c r="BU181" s="6" t="str">
        <f>IFERROR(__xludf.DUMMYFUNCTION("""COMPUTED_VALUE"""),"ecdbag")</f>
        <v>ecdbag</v>
      </c>
      <c r="BV181" s="6" t="str">
        <f>IFERROR(__xludf.DUMMYFUNCTION("REGEXREPLACE( $AR181, CONCATENATE(""["",BS181,""]""), """")"),"")</f>
        <v/>
      </c>
      <c r="BW181" s="6" t="str">
        <f>IFERROR(__xludf.DUMMYFUNCTION("REGEXREPLACE( $AR181, CONCATENATE(""["",BT181,""]""), """")"),"g")</f>
        <v>g</v>
      </c>
      <c r="BX181" s="6" t="str">
        <f>IFERROR(__xludf.DUMMYFUNCTION("REGEXREPLACE( $AR181, CONCATENATE(""["",BU181,""]""), """")"),"")</f>
        <v/>
      </c>
      <c r="BY181" s="12" t="str">
        <f t="shared" si="9"/>
        <v>ebdafc</v>
      </c>
      <c r="BZ181" s="12" t="str">
        <f>IFERROR(__xludf.DUMMYFUNCTION("CONCATENATE(SORT(TRANSPOSE(SPLIT(REGEXREPLACE(REGEXREPLACE(BY181&amp;"""",""(?s)(.{1})"",""$1""&amp;CHAR(127)),""'"",""''""),CHAR(127))),1,true),""1"")"),"abcdef1")</f>
        <v>abcdef1</v>
      </c>
      <c r="CA181" s="16"/>
      <c r="CB181" s="12" t="str">
        <f t="shared" si="10"/>
        <v>aeg</v>
      </c>
      <c r="CC181" s="12" t="str">
        <f>IFERROR(__xludf.DUMMYFUNCTION("CONCATENATE(SORT(TRANSPOSE(SPLIT(REGEXREPLACE(REGEXREPLACE(CB181&amp;"""",""(?s)(.{1})"",""$1""&amp;CHAR(127)),""'"",""''""),CHAR(127))),1,true),""1"")"),"aeg1")</f>
        <v>aeg1</v>
      </c>
      <c r="CD181" s="16"/>
      <c r="CE181" s="12" t="str">
        <f t="shared" si="11"/>
        <v>gafcdbe</v>
      </c>
      <c r="CF181" s="12" t="str">
        <f>IFERROR(__xludf.DUMMYFUNCTION("CONCATENATE(SORT(TRANSPOSE(SPLIT(REGEXREPLACE(REGEXREPLACE(CE181&amp;"""",""(?s)(.{1})"",""$1""&amp;CHAR(127)),""'"",""''""),CHAR(127))),1,true),""1"")"),"abcdefg1")</f>
        <v>abcdefg1</v>
      </c>
      <c r="CG181" s="16"/>
      <c r="CH181" s="10" t="str">
        <f>IFERROR(__xludf.DUMMYFUNCTION("FILTER(K181:T181,len(K181:T181)=6)"),"gbfdea")</f>
        <v>gbfdea</v>
      </c>
      <c r="CI181" s="6" t="str">
        <f>IFERROR(__xludf.DUMMYFUNCTION("""COMPUTED_VALUE"""),"ebdafc")</f>
        <v>ebdafc</v>
      </c>
      <c r="CJ181" s="6" t="str">
        <f>IFERROR(__xludf.DUMMYFUNCTION("""COMPUTED_VALUE"""),"ecdbag")</f>
        <v>ecdbag</v>
      </c>
      <c r="CK181" s="6" t="str">
        <f>IFERROR(__xludf.DUMMYFUNCTION("REGEXREPLACE( $BG181, CONCATENATE(""["",CH181,""]""), """")"),"c")</f>
        <v>c</v>
      </c>
      <c r="CL181" s="6" t="str">
        <f>IFERROR(__xludf.DUMMYFUNCTION("REGEXREPLACE( $BG181, CONCATENATE(""["",CI181,""]""), """")"),"g")</f>
        <v>g</v>
      </c>
      <c r="CM181" s="6" t="str">
        <f>IFERROR(__xludf.DUMMYFUNCTION("REGEXREPLACE( $BG181, CONCATENATE(""["",CJ181,""]""), """")"),"")</f>
        <v/>
      </c>
      <c r="CN181" s="12" t="str">
        <f t="shared" si="12"/>
        <v>ecdbag</v>
      </c>
      <c r="CO181" s="12" t="str">
        <f>IFERROR(__xludf.DUMMYFUNCTION("CONCATENATE(SORT(TRANSPOSE(SPLIT(REGEXREPLACE(REGEXREPLACE(CN181&amp;"""",""(?s)(.{1})"",""$1""&amp;CHAR(127)),""'"",""''""),CHAR(127))),1,true),""1"")"),"abcdeg1")</f>
        <v>abcdeg1</v>
      </c>
      <c r="CP181" s="15"/>
    </row>
    <row r="182">
      <c r="A182" s="1" t="s">
        <v>202</v>
      </c>
      <c r="H182" s="6" t="str">
        <f>IFERROR(__xludf.DUMMYFUNCTION("SPLIT(A182,""|"")"),"bdg fdbge fcbd aecgdb dcgfe fcdgae fbage bd abdegfc ecbdfg ")</f>
        <v>bdg fdbge fcbd aecgdb dcgfe fcdgae fbage bd abdegfc ecbdfg </v>
      </c>
      <c r="I182" s="6" t="str">
        <f>IFERROR(__xludf.DUMMYFUNCTION("""COMPUTED_VALUE""")," fcdb bd edbacg decgf")</f>
        <v> fcdb bd edbacg decgf</v>
      </c>
      <c r="J182" s="15"/>
      <c r="K182" s="6" t="str">
        <f>IFERROR(__xludf.DUMMYFUNCTION("split(H182,"" "")"),"bdg")</f>
        <v>bdg</v>
      </c>
      <c r="L182" s="6" t="str">
        <f>IFERROR(__xludf.DUMMYFUNCTION("""COMPUTED_VALUE"""),"fdbge")</f>
        <v>fdbge</v>
      </c>
      <c r="M182" s="6" t="str">
        <f>IFERROR(__xludf.DUMMYFUNCTION("""COMPUTED_VALUE"""),"fcbd")</f>
        <v>fcbd</v>
      </c>
      <c r="N182" s="6" t="str">
        <f>IFERROR(__xludf.DUMMYFUNCTION("""COMPUTED_VALUE"""),"aecgdb")</f>
        <v>aecgdb</v>
      </c>
      <c r="O182" s="6" t="str">
        <f>IFERROR(__xludf.DUMMYFUNCTION("""COMPUTED_VALUE"""),"dcgfe")</f>
        <v>dcgfe</v>
      </c>
      <c r="P182" s="6" t="str">
        <f>IFERROR(__xludf.DUMMYFUNCTION("""COMPUTED_VALUE"""),"fcdgae")</f>
        <v>fcdgae</v>
      </c>
      <c r="Q182" s="6" t="str">
        <f>IFERROR(__xludf.DUMMYFUNCTION("""COMPUTED_VALUE"""),"fbage")</f>
        <v>fbage</v>
      </c>
      <c r="R182" s="6" t="str">
        <f>IFERROR(__xludf.DUMMYFUNCTION("""COMPUTED_VALUE"""),"bd")</f>
        <v>bd</v>
      </c>
      <c r="S182" s="6" t="str">
        <f>IFERROR(__xludf.DUMMYFUNCTION("""COMPUTED_VALUE"""),"abdegfc")</f>
        <v>abdegfc</v>
      </c>
      <c r="T182" s="6" t="str">
        <f>IFERROR(__xludf.DUMMYFUNCTION("""COMPUTED_VALUE"""),"ecbdfg")</f>
        <v>ecbdfg</v>
      </c>
      <c r="U182" s="15"/>
      <c r="V182" s="6" t="str">
        <f>IFERROR(__xludf.DUMMYFUNCTION("split(I182,"" "")"),"fcdb")</f>
        <v>fcdb</v>
      </c>
      <c r="W182" s="6" t="str">
        <f>IFERROR(__xludf.DUMMYFUNCTION("""COMPUTED_VALUE"""),"bd")</f>
        <v>bd</v>
      </c>
      <c r="X182" s="6" t="str">
        <f>IFERROR(__xludf.DUMMYFUNCTION("""COMPUTED_VALUE"""),"edbacg")</f>
        <v>edbacg</v>
      </c>
      <c r="Y182" s="6" t="str">
        <f>IFERROR(__xludf.DUMMYFUNCTION("""COMPUTED_VALUE"""),"decgf")</f>
        <v>decgf</v>
      </c>
      <c r="Z182" s="6" t="str">
        <f>IFERROR(__xludf.DUMMYFUNCTION("CONCATENATE(SORT(TRANSPOSE(SPLIT(REGEXREPLACE(REGEXREPLACE(V182&amp;"""",""(?s)(.{1})"",""$1""&amp;CHAR(127)),""'"",""''""),CHAR(127))),1,true))"),"bcdf")</f>
        <v>bcdf</v>
      </c>
      <c r="AA182" s="6" t="str">
        <f>IFERROR(__xludf.DUMMYFUNCTION("CONCATENATE(SORT(TRANSPOSE(SPLIT(REGEXREPLACE(REGEXREPLACE(W182&amp;"""",""(?s)(.{1})"",""$1""&amp;CHAR(127)),""'"",""''""),CHAR(127))),1,true))"),"bd")</f>
        <v>bd</v>
      </c>
      <c r="AB182" s="6" t="str">
        <f>IFERROR(__xludf.DUMMYFUNCTION("CONCATENATE(SORT(TRANSPOSE(SPLIT(REGEXREPLACE(REGEXREPLACE(X182&amp;"""",""(?s)(.{1})"",""$1""&amp;CHAR(127)),""'"",""''""),CHAR(127))),1,true))"),"abcdeg")</f>
        <v>abcdeg</v>
      </c>
      <c r="AC182" s="6" t="str">
        <f>IFERROR(__xludf.DUMMYFUNCTION("CONCATENATE(SORT(TRANSPOSE(SPLIT(REGEXREPLACE(REGEXREPLACE(Y182&amp;"""",""(?s)(.{1})"",""$1""&amp;CHAR(127)),""'"",""''""),CHAR(127))),1,true))"),"cdefg")</f>
        <v>cdefg</v>
      </c>
      <c r="AD182" s="6">
        <f t="shared" ref="AD182:AG182" si="192">INDEX($AO$1:$CP$1,1,MATCH(CONCATENATE(Z182,"1"),$AO182:$CP182,0)+1)</f>
        <v>4</v>
      </c>
      <c r="AE182" s="6">
        <f t="shared" si="192"/>
        <v>1</v>
      </c>
      <c r="AF182" s="6">
        <f t="shared" si="192"/>
        <v>0</v>
      </c>
      <c r="AG182" s="6">
        <f t="shared" si="192"/>
        <v>5</v>
      </c>
      <c r="AH182" s="6">
        <f t="shared" si="3"/>
        <v>4105</v>
      </c>
      <c r="AI182" s="16"/>
      <c r="AJ182" s="9" t="str">
        <f>IFERROR(__xludf.DUMMYFUNCTION("REGEXREPLACE(AR182,CONCATENATE(""["",BY182,""]""),"""")"),"b")</f>
        <v>b</v>
      </c>
      <c r="AK182" s="10" t="str">
        <f>IFERROR(__xludf.DUMMYFUNCTION("FILTER($K182:$T182,len($K182:$T182)=6,NOT($K182:$T182=BY182))"),"aecgdb")</f>
        <v>aecgdb</v>
      </c>
      <c r="AL182" s="6" t="str">
        <f>IFERROR(__xludf.DUMMYFUNCTION("""COMPUTED_VALUE"""),"ecbdfg")</f>
        <v>ecbdfg</v>
      </c>
      <c r="AM182" s="6" t="str">
        <f>IFERROR(__xludf.DUMMYFUNCTION("REGEXREPLACE( $BG182, CONCATENATE(""["",AK182,""]""), """")"),"f")</f>
        <v>f</v>
      </c>
      <c r="AN182" s="6" t="str">
        <f>IFERROR(__xludf.DUMMYFUNCTION("REGEXREPLACE( $BG182, CONCATENATE(""["",AL182,""]""), """")"),"")</f>
        <v/>
      </c>
      <c r="AO182" s="11" t="str">
        <f t="shared" si="4"/>
        <v>aecgdb</v>
      </c>
      <c r="AP182" s="12" t="str">
        <f>IFERROR(__xludf.DUMMYFUNCTION("CONCATENATE(SORT(TRANSPOSE(SPLIT(REGEXREPLACE(REGEXREPLACE(AO182&amp;"""",""(?s)(.{1})"",""$1""&amp;CHAR(127)),""'"",""''""),CHAR(127))),1,true),""1"")"),"abcdeg1")</f>
        <v>abcdeg1</v>
      </c>
      <c r="AQ182" s="16"/>
      <c r="AR182" s="12" t="str">
        <f t="shared" si="5"/>
        <v>bd</v>
      </c>
      <c r="AS182" s="12" t="str">
        <f>IFERROR(__xludf.DUMMYFUNCTION("CONCATENATE(SORT(TRANSPOSE(SPLIT(REGEXREPLACE(REGEXREPLACE(AR182&amp;"""",""(?s)(.{1})"",""$1""&amp;CHAR(127)),""'"",""''""),CHAR(127))),1,true),""1"")"),"bd1")</f>
        <v>bd1</v>
      </c>
      <c r="AT182" s="16"/>
      <c r="AU182" s="13" t="str">
        <f>IFERROR(__xludf.DUMMYFUNCTION("FILTER($K182:$T182,len($K182:$T182)=5,NOT($K182:$T182=BD182),NOT($K182:$T182=BP182))"),"fbage")</f>
        <v>fbage</v>
      </c>
      <c r="AV182" s="12" t="str">
        <f>IFERROR(__xludf.DUMMYFUNCTION("CONCATENATE(SORT(TRANSPOSE(SPLIT(REGEXREPLACE(REGEXREPLACE(AU182&amp;"""",""(?s)(.{1})"",""$1""&amp;CHAR(127)),""'"",""''""),CHAR(127))),1,true),""1"")"),"abefg1")</f>
        <v>abefg1</v>
      </c>
      <c r="AW182" s="16"/>
      <c r="AX182" s="10" t="str">
        <f>IFERROR(__xludf.DUMMYFUNCTION("FILTER($K182:$T182,len($K182:$T182)=5)"),"fdbge")</f>
        <v>fdbge</v>
      </c>
      <c r="AY182" s="6" t="str">
        <f>IFERROR(__xludf.DUMMYFUNCTION("""COMPUTED_VALUE"""),"dcgfe")</f>
        <v>dcgfe</v>
      </c>
      <c r="AZ182" s="6" t="str">
        <f>IFERROR(__xludf.DUMMYFUNCTION("""COMPUTED_VALUE"""),"fbage")</f>
        <v>fbage</v>
      </c>
      <c r="BA182" s="6" t="str">
        <f>IFERROR(__xludf.DUMMYFUNCTION("REGEXREPLACE( $AR182, CONCATENATE(""["",AX182,""]""), """")"),"")</f>
        <v/>
      </c>
      <c r="BB182" s="6" t="str">
        <f>IFERROR(__xludf.DUMMYFUNCTION("REGEXREPLACE( $AR182, CONCATENATE(""["",AY182,""]""), """")"),"b")</f>
        <v>b</v>
      </c>
      <c r="BC182" s="6" t="str">
        <f>IFERROR(__xludf.DUMMYFUNCTION("REGEXREPLACE( $AR182, CONCATENATE(""["",AZ182,""]""), """")"),"d")</f>
        <v>d</v>
      </c>
      <c r="BD182" s="11" t="str">
        <f t="shared" si="6"/>
        <v>fdbge</v>
      </c>
      <c r="BE182" s="12" t="str">
        <f>IFERROR(__xludf.DUMMYFUNCTION("CONCATENATE(SORT(TRANSPOSE(SPLIT(REGEXREPLACE(REGEXREPLACE(BD182&amp;"""",""(?s)(.{1})"",""$1""&amp;CHAR(127)),""'"",""''""),CHAR(127))),1,true),""1"")"),"bdefg1")</f>
        <v>bdefg1</v>
      </c>
      <c r="BF182" s="16"/>
      <c r="BG182" s="12" t="str">
        <f t="shared" si="7"/>
        <v>fcbd</v>
      </c>
      <c r="BH182" s="12" t="str">
        <f>IFERROR(__xludf.DUMMYFUNCTION("CONCATENATE(SORT(TRANSPOSE(SPLIT(REGEXREPLACE(REGEXREPLACE(BG182&amp;"""",""(?s)(.{1})"",""$1""&amp;CHAR(127)),""'"",""''""),CHAR(127))),1,true),""1"")"),"bcdf1")</f>
        <v>bcdf1</v>
      </c>
      <c r="BI182" s="16"/>
      <c r="BJ182" s="10" t="str">
        <f>IFERROR(__xludf.DUMMYFUNCTION("FILTER($K182:$T182,len($K182:$T182)=5)"),"fdbge")</f>
        <v>fdbge</v>
      </c>
      <c r="BK182" s="6" t="str">
        <f>IFERROR(__xludf.DUMMYFUNCTION("""COMPUTED_VALUE"""),"dcgfe")</f>
        <v>dcgfe</v>
      </c>
      <c r="BL182" s="6" t="str">
        <f>IFERROR(__xludf.DUMMYFUNCTION("""COMPUTED_VALUE"""),"fbage")</f>
        <v>fbage</v>
      </c>
      <c r="BM182" s="14" t="str">
        <f>IFERROR(__xludf.DUMMYFUNCTION("REGEXREPLACE( $BY182, CONCATENATE(""["",BJ182,""]""), """")"),"ca")</f>
        <v>ca</v>
      </c>
      <c r="BN182" s="14" t="str">
        <f>IFERROR(__xludf.DUMMYFUNCTION("REGEXREPLACE( $BY182, CONCATENATE(""["",BK182,""]""), """")"),"a")</f>
        <v>a</v>
      </c>
      <c r="BO182" s="14" t="str">
        <f>IFERROR(__xludf.DUMMYFUNCTION("REGEXREPLACE( $BY182, CONCATENATE(""["",BL182,""]""), """")"),"cd")</f>
        <v>cd</v>
      </c>
      <c r="BP182" s="11" t="str">
        <f t="shared" si="8"/>
        <v>dcgfe</v>
      </c>
      <c r="BQ182" s="12" t="str">
        <f>IFERROR(__xludf.DUMMYFUNCTION("CONCATENATE(SORT(TRANSPOSE(SPLIT(REGEXREPLACE(REGEXREPLACE(BP182&amp;"""",""(?s)(.{1})"",""$1""&amp;CHAR(127)),""'"",""''""),CHAR(127))),1,true),""1"")"),"cdefg1")</f>
        <v>cdefg1</v>
      </c>
      <c r="BR182" s="16"/>
      <c r="BS182" s="10" t="str">
        <f>IFERROR(__xludf.DUMMYFUNCTION("FILTER(K182:T182,len(K182:T182)=6)"),"aecgdb")</f>
        <v>aecgdb</v>
      </c>
      <c r="BT182" s="6" t="str">
        <f>IFERROR(__xludf.DUMMYFUNCTION("""COMPUTED_VALUE"""),"fcdgae")</f>
        <v>fcdgae</v>
      </c>
      <c r="BU182" s="6" t="str">
        <f>IFERROR(__xludf.DUMMYFUNCTION("""COMPUTED_VALUE"""),"ecbdfg")</f>
        <v>ecbdfg</v>
      </c>
      <c r="BV182" s="6" t="str">
        <f>IFERROR(__xludf.DUMMYFUNCTION("REGEXREPLACE( $AR182, CONCATENATE(""["",BS182,""]""), """")"),"")</f>
        <v/>
      </c>
      <c r="BW182" s="6" t="str">
        <f>IFERROR(__xludf.DUMMYFUNCTION("REGEXREPLACE( $AR182, CONCATENATE(""["",BT182,""]""), """")"),"b")</f>
        <v>b</v>
      </c>
      <c r="BX182" s="6" t="str">
        <f>IFERROR(__xludf.DUMMYFUNCTION("REGEXREPLACE( $AR182, CONCATENATE(""["",BU182,""]""), """")"),"")</f>
        <v/>
      </c>
      <c r="BY182" s="12" t="str">
        <f t="shared" si="9"/>
        <v>fcdgae</v>
      </c>
      <c r="BZ182" s="12" t="str">
        <f>IFERROR(__xludf.DUMMYFUNCTION("CONCATENATE(SORT(TRANSPOSE(SPLIT(REGEXREPLACE(REGEXREPLACE(BY182&amp;"""",""(?s)(.{1})"",""$1""&amp;CHAR(127)),""'"",""''""),CHAR(127))),1,true),""1"")"),"acdefg1")</f>
        <v>acdefg1</v>
      </c>
      <c r="CA182" s="16"/>
      <c r="CB182" s="12" t="str">
        <f t="shared" si="10"/>
        <v>bdg</v>
      </c>
      <c r="CC182" s="12" t="str">
        <f>IFERROR(__xludf.DUMMYFUNCTION("CONCATENATE(SORT(TRANSPOSE(SPLIT(REGEXREPLACE(REGEXREPLACE(CB182&amp;"""",""(?s)(.{1})"",""$1""&amp;CHAR(127)),""'"",""''""),CHAR(127))),1,true),""1"")"),"bdg1")</f>
        <v>bdg1</v>
      </c>
      <c r="CD182" s="16"/>
      <c r="CE182" s="12" t="str">
        <f t="shared" si="11"/>
        <v>abdegfc</v>
      </c>
      <c r="CF182" s="12" t="str">
        <f>IFERROR(__xludf.DUMMYFUNCTION("CONCATENATE(SORT(TRANSPOSE(SPLIT(REGEXREPLACE(REGEXREPLACE(CE182&amp;"""",""(?s)(.{1})"",""$1""&amp;CHAR(127)),""'"",""''""),CHAR(127))),1,true),""1"")"),"abcdefg1")</f>
        <v>abcdefg1</v>
      </c>
      <c r="CG182" s="16"/>
      <c r="CH182" s="10" t="str">
        <f>IFERROR(__xludf.DUMMYFUNCTION("FILTER(K182:T182,len(K182:T182)=6)"),"aecgdb")</f>
        <v>aecgdb</v>
      </c>
      <c r="CI182" s="6" t="str">
        <f>IFERROR(__xludf.DUMMYFUNCTION("""COMPUTED_VALUE"""),"fcdgae")</f>
        <v>fcdgae</v>
      </c>
      <c r="CJ182" s="6" t="str">
        <f>IFERROR(__xludf.DUMMYFUNCTION("""COMPUTED_VALUE"""),"ecbdfg")</f>
        <v>ecbdfg</v>
      </c>
      <c r="CK182" s="6" t="str">
        <f>IFERROR(__xludf.DUMMYFUNCTION("REGEXREPLACE( $BG182, CONCATENATE(""["",CH182,""]""), """")"),"f")</f>
        <v>f</v>
      </c>
      <c r="CL182" s="6" t="str">
        <f>IFERROR(__xludf.DUMMYFUNCTION("REGEXREPLACE( $BG182, CONCATENATE(""["",CI182,""]""), """")"),"b")</f>
        <v>b</v>
      </c>
      <c r="CM182" s="6" t="str">
        <f>IFERROR(__xludf.DUMMYFUNCTION("REGEXREPLACE( $BG182, CONCATENATE(""["",CJ182,""]""), """")"),"")</f>
        <v/>
      </c>
      <c r="CN182" s="12" t="str">
        <f t="shared" si="12"/>
        <v>ecbdfg</v>
      </c>
      <c r="CO182" s="12" t="str">
        <f>IFERROR(__xludf.DUMMYFUNCTION("CONCATENATE(SORT(TRANSPOSE(SPLIT(REGEXREPLACE(REGEXREPLACE(CN182&amp;"""",""(?s)(.{1})"",""$1""&amp;CHAR(127)),""'"",""''""),CHAR(127))),1,true),""1"")"),"bcdefg1")</f>
        <v>bcdefg1</v>
      </c>
      <c r="CP182" s="15"/>
    </row>
    <row r="183">
      <c r="A183" s="1" t="s">
        <v>203</v>
      </c>
      <c r="H183" s="6" t="str">
        <f>IFERROR(__xludf.DUMMYFUNCTION("SPLIT(A183,""|"")"),"fagdbc dbc dbag cefdg db bcfga efdacb faecgb cdgfb efagdbc ")</f>
        <v>fagdbc dbc dbag cefdg db bcfga efdacb faecgb cdgfb efagdbc </v>
      </c>
      <c r="I183" s="6" t="str">
        <f>IFERROR(__xludf.DUMMYFUNCTION("""COMPUTED_VALUE""")," dagb cdb cgdbfae abgd")</f>
        <v> dagb cdb cgdbfae abgd</v>
      </c>
      <c r="J183" s="15"/>
      <c r="K183" s="6" t="str">
        <f>IFERROR(__xludf.DUMMYFUNCTION("split(H183,"" "")"),"fagdbc")</f>
        <v>fagdbc</v>
      </c>
      <c r="L183" s="6" t="str">
        <f>IFERROR(__xludf.DUMMYFUNCTION("""COMPUTED_VALUE"""),"dbc")</f>
        <v>dbc</v>
      </c>
      <c r="M183" s="6" t="str">
        <f>IFERROR(__xludf.DUMMYFUNCTION("""COMPUTED_VALUE"""),"dbag")</f>
        <v>dbag</v>
      </c>
      <c r="N183" s="6" t="str">
        <f>IFERROR(__xludf.DUMMYFUNCTION("""COMPUTED_VALUE"""),"cefdg")</f>
        <v>cefdg</v>
      </c>
      <c r="O183" s="6" t="str">
        <f>IFERROR(__xludf.DUMMYFUNCTION("""COMPUTED_VALUE"""),"db")</f>
        <v>db</v>
      </c>
      <c r="P183" s="6" t="str">
        <f>IFERROR(__xludf.DUMMYFUNCTION("""COMPUTED_VALUE"""),"bcfga")</f>
        <v>bcfga</v>
      </c>
      <c r="Q183" s="6" t="str">
        <f>IFERROR(__xludf.DUMMYFUNCTION("""COMPUTED_VALUE"""),"efdacb")</f>
        <v>efdacb</v>
      </c>
      <c r="R183" s="6" t="str">
        <f>IFERROR(__xludf.DUMMYFUNCTION("""COMPUTED_VALUE"""),"faecgb")</f>
        <v>faecgb</v>
      </c>
      <c r="S183" s="6" t="str">
        <f>IFERROR(__xludf.DUMMYFUNCTION("""COMPUTED_VALUE"""),"cdgfb")</f>
        <v>cdgfb</v>
      </c>
      <c r="T183" s="6" t="str">
        <f>IFERROR(__xludf.DUMMYFUNCTION("""COMPUTED_VALUE"""),"efagdbc")</f>
        <v>efagdbc</v>
      </c>
      <c r="U183" s="15"/>
      <c r="V183" s="6" t="str">
        <f>IFERROR(__xludf.DUMMYFUNCTION("split(I183,"" "")"),"dagb")</f>
        <v>dagb</v>
      </c>
      <c r="W183" s="6" t="str">
        <f>IFERROR(__xludf.DUMMYFUNCTION("""COMPUTED_VALUE"""),"cdb")</f>
        <v>cdb</v>
      </c>
      <c r="X183" s="6" t="str">
        <f>IFERROR(__xludf.DUMMYFUNCTION("""COMPUTED_VALUE"""),"cgdbfae")</f>
        <v>cgdbfae</v>
      </c>
      <c r="Y183" s="6" t="str">
        <f>IFERROR(__xludf.DUMMYFUNCTION("""COMPUTED_VALUE"""),"abgd")</f>
        <v>abgd</v>
      </c>
      <c r="Z183" s="6" t="str">
        <f>IFERROR(__xludf.DUMMYFUNCTION("CONCATENATE(SORT(TRANSPOSE(SPLIT(REGEXREPLACE(REGEXREPLACE(V183&amp;"""",""(?s)(.{1})"",""$1""&amp;CHAR(127)),""'"",""''""),CHAR(127))),1,true))"),"abdg")</f>
        <v>abdg</v>
      </c>
      <c r="AA183" s="6" t="str">
        <f>IFERROR(__xludf.DUMMYFUNCTION("CONCATENATE(SORT(TRANSPOSE(SPLIT(REGEXREPLACE(REGEXREPLACE(W183&amp;"""",""(?s)(.{1})"",""$1""&amp;CHAR(127)),""'"",""''""),CHAR(127))),1,true))"),"bcd")</f>
        <v>bcd</v>
      </c>
      <c r="AB183" s="6" t="str">
        <f>IFERROR(__xludf.DUMMYFUNCTION("CONCATENATE(SORT(TRANSPOSE(SPLIT(REGEXREPLACE(REGEXREPLACE(X183&amp;"""",""(?s)(.{1})"",""$1""&amp;CHAR(127)),""'"",""''""),CHAR(127))),1,true))"),"abcdefg")</f>
        <v>abcdefg</v>
      </c>
      <c r="AC183" s="6" t="str">
        <f>IFERROR(__xludf.DUMMYFUNCTION("CONCATENATE(SORT(TRANSPOSE(SPLIT(REGEXREPLACE(REGEXREPLACE(Y183&amp;"""",""(?s)(.{1})"",""$1""&amp;CHAR(127)),""'"",""''""),CHAR(127))),1,true))"),"abdg")</f>
        <v>abdg</v>
      </c>
      <c r="AD183" s="6">
        <f t="shared" ref="AD183:AG183" si="193">INDEX($AO$1:$CP$1,1,MATCH(CONCATENATE(Z183,"1"),$AO183:$CP183,0)+1)</f>
        <v>4</v>
      </c>
      <c r="AE183" s="6">
        <f t="shared" si="193"/>
        <v>7</v>
      </c>
      <c r="AF183" s="6">
        <f t="shared" si="193"/>
        <v>8</v>
      </c>
      <c r="AG183" s="6">
        <f t="shared" si="193"/>
        <v>4</v>
      </c>
      <c r="AH183" s="6">
        <f t="shared" si="3"/>
        <v>4784</v>
      </c>
      <c r="AI183" s="16"/>
      <c r="AJ183" s="9" t="str">
        <f>IFERROR(__xludf.DUMMYFUNCTION("REGEXREPLACE(AR183,CONCATENATE(""["",BY183,""]""),"""")"),"d")</f>
        <v>d</v>
      </c>
      <c r="AK183" s="10" t="str">
        <f>IFERROR(__xludf.DUMMYFUNCTION("FILTER($K183:$T183,len($K183:$T183)=6,NOT($K183:$T183=BY183))"),"fagdbc")</f>
        <v>fagdbc</v>
      </c>
      <c r="AL183" s="6" t="str">
        <f>IFERROR(__xludf.DUMMYFUNCTION("""COMPUTED_VALUE"""),"efdacb")</f>
        <v>efdacb</v>
      </c>
      <c r="AM183" s="6" t="str">
        <f>IFERROR(__xludf.DUMMYFUNCTION("REGEXREPLACE( $BG183, CONCATENATE(""["",AK183,""]""), """")"),"")</f>
        <v/>
      </c>
      <c r="AN183" s="6" t="str">
        <f>IFERROR(__xludf.DUMMYFUNCTION("REGEXREPLACE( $BG183, CONCATENATE(""["",AL183,""]""), """")"),"g")</f>
        <v>g</v>
      </c>
      <c r="AO183" s="11" t="str">
        <f t="shared" si="4"/>
        <v>efdacb</v>
      </c>
      <c r="AP183" s="12" t="str">
        <f>IFERROR(__xludf.DUMMYFUNCTION("CONCATENATE(SORT(TRANSPOSE(SPLIT(REGEXREPLACE(REGEXREPLACE(AO183&amp;"""",""(?s)(.{1})"",""$1""&amp;CHAR(127)),""'"",""''""),CHAR(127))),1,true),""1"")"),"abcdef1")</f>
        <v>abcdef1</v>
      </c>
      <c r="AQ183" s="16"/>
      <c r="AR183" s="12" t="str">
        <f t="shared" si="5"/>
        <v>db</v>
      </c>
      <c r="AS183" s="12" t="str">
        <f>IFERROR(__xludf.DUMMYFUNCTION("CONCATENATE(SORT(TRANSPOSE(SPLIT(REGEXREPLACE(REGEXREPLACE(AR183&amp;"""",""(?s)(.{1})"",""$1""&amp;CHAR(127)),""'"",""''""),CHAR(127))),1,true),""1"")"),"bd1")</f>
        <v>bd1</v>
      </c>
      <c r="AT183" s="16"/>
      <c r="AU183" s="13" t="str">
        <f>IFERROR(__xludf.DUMMYFUNCTION("FILTER($K183:$T183,len($K183:$T183)=5,NOT($K183:$T183=BD183),NOT($K183:$T183=BP183))"),"cefdg")</f>
        <v>cefdg</v>
      </c>
      <c r="AV183" s="12" t="str">
        <f>IFERROR(__xludf.DUMMYFUNCTION("CONCATENATE(SORT(TRANSPOSE(SPLIT(REGEXREPLACE(REGEXREPLACE(AU183&amp;"""",""(?s)(.{1})"",""$1""&amp;CHAR(127)),""'"",""''""),CHAR(127))),1,true),""1"")"),"cdefg1")</f>
        <v>cdefg1</v>
      </c>
      <c r="AW183" s="16"/>
      <c r="AX183" s="10" t="str">
        <f>IFERROR(__xludf.DUMMYFUNCTION("FILTER($K183:$T183,len($K183:$T183)=5)"),"cefdg")</f>
        <v>cefdg</v>
      </c>
      <c r="AY183" s="6" t="str">
        <f>IFERROR(__xludf.DUMMYFUNCTION("""COMPUTED_VALUE"""),"bcfga")</f>
        <v>bcfga</v>
      </c>
      <c r="AZ183" s="6" t="str">
        <f>IFERROR(__xludf.DUMMYFUNCTION("""COMPUTED_VALUE"""),"cdgfb")</f>
        <v>cdgfb</v>
      </c>
      <c r="BA183" s="6" t="str">
        <f>IFERROR(__xludf.DUMMYFUNCTION("REGEXREPLACE( $AR183, CONCATENATE(""["",AX183,""]""), """")"),"b")</f>
        <v>b</v>
      </c>
      <c r="BB183" s="6" t="str">
        <f>IFERROR(__xludf.DUMMYFUNCTION("REGEXREPLACE( $AR183, CONCATENATE(""["",AY183,""]""), """")"),"d")</f>
        <v>d</v>
      </c>
      <c r="BC183" s="6" t="str">
        <f>IFERROR(__xludf.DUMMYFUNCTION("REGEXREPLACE( $AR183, CONCATENATE(""["",AZ183,""]""), """")"),"")</f>
        <v/>
      </c>
      <c r="BD183" s="11" t="str">
        <f t="shared" si="6"/>
        <v>cdgfb</v>
      </c>
      <c r="BE183" s="12" t="str">
        <f>IFERROR(__xludf.DUMMYFUNCTION("CONCATENATE(SORT(TRANSPOSE(SPLIT(REGEXREPLACE(REGEXREPLACE(BD183&amp;"""",""(?s)(.{1})"",""$1""&amp;CHAR(127)),""'"",""''""),CHAR(127))),1,true),""1"")"),"bcdfg1")</f>
        <v>bcdfg1</v>
      </c>
      <c r="BF183" s="16"/>
      <c r="BG183" s="12" t="str">
        <f t="shared" si="7"/>
        <v>dbag</v>
      </c>
      <c r="BH183" s="12" t="str">
        <f>IFERROR(__xludf.DUMMYFUNCTION("CONCATENATE(SORT(TRANSPOSE(SPLIT(REGEXREPLACE(REGEXREPLACE(BG183&amp;"""",""(?s)(.{1})"",""$1""&amp;CHAR(127)),""'"",""''""),CHAR(127))),1,true),""1"")"),"abdg1")</f>
        <v>abdg1</v>
      </c>
      <c r="BI183" s="16"/>
      <c r="BJ183" s="10" t="str">
        <f>IFERROR(__xludf.DUMMYFUNCTION("FILTER($K183:$T183,len($K183:$T183)=5)"),"cefdg")</f>
        <v>cefdg</v>
      </c>
      <c r="BK183" s="6" t="str">
        <f>IFERROR(__xludf.DUMMYFUNCTION("""COMPUTED_VALUE"""),"bcfga")</f>
        <v>bcfga</v>
      </c>
      <c r="BL183" s="6" t="str">
        <f>IFERROR(__xludf.DUMMYFUNCTION("""COMPUTED_VALUE"""),"cdgfb")</f>
        <v>cdgfb</v>
      </c>
      <c r="BM183" s="14" t="str">
        <f>IFERROR(__xludf.DUMMYFUNCTION("REGEXREPLACE( $BY183, CONCATENATE(""["",BJ183,""]""), """")"),"ab")</f>
        <v>ab</v>
      </c>
      <c r="BN183" s="14" t="str">
        <f>IFERROR(__xludf.DUMMYFUNCTION("REGEXREPLACE( $BY183, CONCATENATE(""["",BK183,""]""), """")"),"e")</f>
        <v>e</v>
      </c>
      <c r="BO183" s="14" t="str">
        <f>IFERROR(__xludf.DUMMYFUNCTION("REGEXREPLACE( $BY183, CONCATENATE(""["",BL183,""]""), """")"),"ae")</f>
        <v>ae</v>
      </c>
      <c r="BP183" s="11" t="str">
        <f t="shared" si="8"/>
        <v>bcfga</v>
      </c>
      <c r="BQ183" s="12" t="str">
        <f>IFERROR(__xludf.DUMMYFUNCTION("CONCATENATE(SORT(TRANSPOSE(SPLIT(REGEXREPLACE(REGEXREPLACE(BP183&amp;"""",""(?s)(.{1})"",""$1""&amp;CHAR(127)),""'"",""''""),CHAR(127))),1,true),""1"")"),"abcfg1")</f>
        <v>abcfg1</v>
      </c>
      <c r="BR183" s="16"/>
      <c r="BS183" s="10" t="str">
        <f>IFERROR(__xludf.DUMMYFUNCTION("FILTER(K183:T183,len(K183:T183)=6)"),"fagdbc")</f>
        <v>fagdbc</v>
      </c>
      <c r="BT183" s="6" t="str">
        <f>IFERROR(__xludf.DUMMYFUNCTION("""COMPUTED_VALUE"""),"efdacb")</f>
        <v>efdacb</v>
      </c>
      <c r="BU183" s="6" t="str">
        <f>IFERROR(__xludf.DUMMYFUNCTION("""COMPUTED_VALUE"""),"faecgb")</f>
        <v>faecgb</v>
      </c>
      <c r="BV183" s="6" t="str">
        <f>IFERROR(__xludf.DUMMYFUNCTION("REGEXREPLACE( $AR183, CONCATENATE(""["",BS183,""]""), """")"),"")</f>
        <v/>
      </c>
      <c r="BW183" s="6" t="str">
        <f>IFERROR(__xludf.DUMMYFUNCTION("REGEXREPLACE( $AR183, CONCATENATE(""["",BT183,""]""), """")"),"")</f>
        <v/>
      </c>
      <c r="BX183" s="6" t="str">
        <f>IFERROR(__xludf.DUMMYFUNCTION("REGEXREPLACE( $AR183, CONCATENATE(""["",BU183,""]""), """")"),"d")</f>
        <v>d</v>
      </c>
      <c r="BY183" s="12" t="str">
        <f t="shared" si="9"/>
        <v>faecgb</v>
      </c>
      <c r="BZ183" s="12" t="str">
        <f>IFERROR(__xludf.DUMMYFUNCTION("CONCATENATE(SORT(TRANSPOSE(SPLIT(REGEXREPLACE(REGEXREPLACE(BY183&amp;"""",""(?s)(.{1})"",""$1""&amp;CHAR(127)),""'"",""''""),CHAR(127))),1,true),""1"")"),"abcefg1")</f>
        <v>abcefg1</v>
      </c>
      <c r="CA183" s="16"/>
      <c r="CB183" s="12" t="str">
        <f t="shared" si="10"/>
        <v>dbc</v>
      </c>
      <c r="CC183" s="12" t="str">
        <f>IFERROR(__xludf.DUMMYFUNCTION("CONCATENATE(SORT(TRANSPOSE(SPLIT(REGEXREPLACE(REGEXREPLACE(CB183&amp;"""",""(?s)(.{1})"",""$1""&amp;CHAR(127)),""'"",""''""),CHAR(127))),1,true),""1"")"),"bcd1")</f>
        <v>bcd1</v>
      </c>
      <c r="CD183" s="16"/>
      <c r="CE183" s="12" t="str">
        <f t="shared" si="11"/>
        <v>efagdbc</v>
      </c>
      <c r="CF183" s="12" t="str">
        <f>IFERROR(__xludf.DUMMYFUNCTION("CONCATENATE(SORT(TRANSPOSE(SPLIT(REGEXREPLACE(REGEXREPLACE(CE183&amp;"""",""(?s)(.{1})"",""$1""&amp;CHAR(127)),""'"",""''""),CHAR(127))),1,true),""1"")"),"abcdefg1")</f>
        <v>abcdefg1</v>
      </c>
      <c r="CG183" s="16"/>
      <c r="CH183" s="10" t="str">
        <f>IFERROR(__xludf.DUMMYFUNCTION("FILTER(K183:T183,len(K183:T183)=6)"),"fagdbc")</f>
        <v>fagdbc</v>
      </c>
      <c r="CI183" s="6" t="str">
        <f>IFERROR(__xludf.DUMMYFUNCTION("""COMPUTED_VALUE"""),"efdacb")</f>
        <v>efdacb</v>
      </c>
      <c r="CJ183" s="6" t="str">
        <f>IFERROR(__xludf.DUMMYFUNCTION("""COMPUTED_VALUE"""),"faecgb")</f>
        <v>faecgb</v>
      </c>
      <c r="CK183" s="6" t="str">
        <f>IFERROR(__xludf.DUMMYFUNCTION("REGEXREPLACE( $BG183, CONCATENATE(""["",CH183,""]""), """")"),"")</f>
        <v/>
      </c>
      <c r="CL183" s="6" t="str">
        <f>IFERROR(__xludf.DUMMYFUNCTION("REGEXREPLACE( $BG183, CONCATENATE(""["",CI183,""]""), """")"),"g")</f>
        <v>g</v>
      </c>
      <c r="CM183" s="6" t="str">
        <f>IFERROR(__xludf.DUMMYFUNCTION("REGEXREPLACE( $BG183, CONCATENATE(""["",CJ183,""]""), """")"),"d")</f>
        <v>d</v>
      </c>
      <c r="CN183" s="12" t="str">
        <f t="shared" si="12"/>
        <v>fagdbc</v>
      </c>
      <c r="CO183" s="12" t="str">
        <f>IFERROR(__xludf.DUMMYFUNCTION("CONCATENATE(SORT(TRANSPOSE(SPLIT(REGEXREPLACE(REGEXREPLACE(CN183&amp;"""",""(?s)(.{1})"",""$1""&amp;CHAR(127)),""'"",""''""),CHAR(127))),1,true),""1"")"),"abcdfg1")</f>
        <v>abcdfg1</v>
      </c>
      <c r="CP183" s="15"/>
    </row>
    <row r="184">
      <c r="A184" s="1" t="s">
        <v>204</v>
      </c>
      <c r="H184" s="6" t="str">
        <f>IFERROR(__xludf.DUMMYFUNCTION("SPLIT(A184,""|"")"),"fadecg cg bgcd gcefabd fgeab fadcbe gcefb bfcde ebdfcg cfg ")</f>
        <v>fadecg cg bgcd gcefabd fgeab fadcbe gcefb bfcde ebdfcg cfg </v>
      </c>
      <c r="I184" s="6" t="str">
        <f>IFERROR(__xludf.DUMMYFUNCTION("""COMPUTED_VALUE""")," bfedcga bgfcdea dcbg begcdf")</f>
        <v> bfedcga bgfcdea dcbg begcdf</v>
      </c>
      <c r="J184" s="15"/>
      <c r="K184" s="6" t="str">
        <f>IFERROR(__xludf.DUMMYFUNCTION("split(H184,"" "")"),"fadecg")</f>
        <v>fadecg</v>
      </c>
      <c r="L184" s="6" t="str">
        <f>IFERROR(__xludf.DUMMYFUNCTION("""COMPUTED_VALUE"""),"cg")</f>
        <v>cg</v>
      </c>
      <c r="M184" s="6" t="str">
        <f>IFERROR(__xludf.DUMMYFUNCTION("""COMPUTED_VALUE"""),"bgcd")</f>
        <v>bgcd</v>
      </c>
      <c r="N184" s="6" t="str">
        <f>IFERROR(__xludf.DUMMYFUNCTION("""COMPUTED_VALUE"""),"gcefabd")</f>
        <v>gcefabd</v>
      </c>
      <c r="O184" s="6" t="str">
        <f>IFERROR(__xludf.DUMMYFUNCTION("""COMPUTED_VALUE"""),"fgeab")</f>
        <v>fgeab</v>
      </c>
      <c r="P184" s="6" t="str">
        <f>IFERROR(__xludf.DUMMYFUNCTION("""COMPUTED_VALUE"""),"fadcbe")</f>
        <v>fadcbe</v>
      </c>
      <c r="Q184" s="6" t="str">
        <f>IFERROR(__xludf.DUMMYFUNCTION("""COMPUTED_VALUE"""),"gcefb")</f>
        <v>gcefb</v>
      </c>
      <c r="R184" s="6" t="str">
        <f>IFERROR(__xludf.DUMMYFUNCTION("""COMPUTED_VALUE"""),"bfcde")</f>
        <v>bfcde</v>
      </c>
      <c r="S184" s="6" t="str">
        <f>IFERROR(__xludf.DUMMYFUNCTION("""COMPUTED_VALUE"""),"ebdfcg")</f>
        <v>ebdfcg</v>
      </c>
      <c r="T184" s="6" t="str">
        <f>IFERROR(__xludf.DUMMYFUNCTION("""COMPUTED_VALUE"""),"cfg")</f>
        <v>cfg</v>
      </c>
      <c r="U184" s="15"/>
      <c r="V184" s="6" t="str">
        <f>IFERROR(__xludf.DUMMYFUNCTION("split(I184,"" "")"),"bfedcga")</f>
        <v>bfedcga</v>
      </c>
      <c r="W184" s="6" t="str">
        <f>IFERROR(__xludf.DUMMYFUNCTION("""COMPUTED_VALUE"""),"bgfcdea")</f>
        <v>bgfcdea</v>
      </c>
      <c r="X184" s="6" t="str">
        <f>IFERROR(__xludf.DUMMYFUNCTION("""COMPUTED_VALUE"""),"dcbg")</f>
        <v>dcbg</v>
      </c>
      <c r="Y184" s="6" t="str">
        <f>IFERROR(__xludf.DUMMYFUNCTION("""COMPUTED_VALUE"""),"begcdf")</f>
        <v>begcdf</v>
      </c>
      <c r="Z184" s="6" t="str">
        <f>IFERROR(__xludf.DUMMYFUNCTION("CONCATENATE(SORT(TRANSPOSE(SPLIT(REGEXREPLACE(REGEXREPLACE(V184&amp;"""",""(?s)(.{1})"",""$1""&amp;CHAR(127)),""'"",""''""),CHAR(127))),1,true))"),"abcdefg")</f>
        <v>abcdefg</v>
      </c>
      <c r="AA184" s="6" t="str">
        <f>IFERROR(__xludf.DUMMYFUNCTION("CONCATENATE(SORT(TRANSPOSE(SPLIT(REGEXREPLACE(REGEXREPLACE(W184&amp;"""",""(?s)(.{1})"",""$1""&amp;CHAR(127)),""'"",""''""),CHAR(127))),1,true))"),"abcdefg")</f>
        <v>abcdefg</v>
      </c>
      <c r="AB184" s="6" t="str">
        <f>IFERROR(__xludf.DUMMYFUNCTION("CONCATENATE(SORT(TRANSPOSE(SPLIT(REGEXREPLACE(REGEXREPLACE(X184&amp;"""",""(?s)(.{1})"",""$1""&amp;CHAR(127)),""'"",""''""),CHAR(127))),1,true))"),"bcdg")</f>
        <v>bcdg</v>
      </c>
      <c r="AC184" s="6" t="str">
        <f>IFERROR(__xludf.DUMMYFUNCTION("CONCATENATE(SORT(TRANSPOSE(SPLIT(REGEXREPLACE(REGEXREPLACE(Y184&amp;"""",""(?s)(.{1})"",""$1""&amp;CHAR(127)),""'"",""''""),CHAR(127))),1,true))"),"bcdefg")</f>
        <v>bcdefg</v>
      </c>
      <c r="AD184" s="6">
        <f t="shared" ref="AD184:AG184" si="194">INDEX($AO$1:$CP$1,1,MATCH(CONCATENATE(Z184,"1"),$AO184:$CP184,0)+1)</f>
        <v>8</v>
      </c>
      <c r="AE184" s="6">
        <f t="shared" si="194"/>
        <v>8</v>
      </c>
      <c r="AF184" s="6">
        <f t="shared" si="194"/>
        <v>4</v>
      </c>
      <c r="AG184" s="6">
        <f t="shared" si="194"/>
        <v>9</v>
      </c>
      <c r="AH184" s="6">
        <f t="shared" si="3"/>
        <v>8849</v>
      </c>
      <c r="AI184" s="16"/>
      <c r="AJ184" s="9" t="str">
        <f>IFERROR(__xludf.DUMMYFUNCTION("REGEXREPLACE(AR184,CONCATENATE(""["",BY184,""]""),"""")"),"g")</f>
        <v>g</v>
      </c>
      <c r="AK184" s="10" t="str">
        <f>IFERROR(__xludf.DUMMYFUNCTION("FILTER($K184:$T184,len($K184:$T184)=6,NOT($K184:$T184=BY184))"),"fadecg")</f>
        <v>fadecg</v>
      </c>
      <c r="AL184" s="6" t="str">
        <f>IFERROR(__xludf.DUMMYFUNCTION("""COMPUTED_VALUE"""),"ebdfcg")</f>
        <v>ebdfcg</v>
      </c>
      <c r="AM184" s="6" t="str">
        <f>IFERROR(__xludf.DUMMYFUNCTION("REGEXREPLACE( $BG184, CONCATENATE(""["",AK184,""]""), """")"),"b")</f>
        <v>b</v>
      </c>
      <c r="AN184" s="6" t="str">
        <f>IFERROR(__xludf.DUMMYFUNCTION("REGEXREPLACE( $BG184, CONCATENATE(""["",AL184,""]""), """")"),"")</f>
        <v/>
      </c>
      <c r="AO184" s="11" t="str">
        <f t="shared" si="4"/>
        <v>fadecg</v>
      </c>
      <c r="AP184" s="12" t="str">
        <f>IFERROR(__xludf.DUMMYFUNCTION("CONCATENATE(SORT(TRANSPOSE(SPLIT(REGEXREPLACE(REGEXREPLACE(AO184&amp;"""",""(?s)(.{1})"",""$1""&amp;CHAR(127)),""'"",""''""),CHAR(127))),1,true),""1"")"),"acdefg1")</f>
        <v>acdefg1</v>
      </c>
      <c r="AQ184" s="16"/>
      <c r="AR184" s="12" t="str">
        <f t="shared" si="5"/>
        <v>cg</v>
      </c>
      <c r="AS184" s="12" t="str">
        <f>IFERROR(__xludf.DUMMYFUNCTION("CONCATENATE(SORT(TRANSPOSE(SPLIT(REGEXREPLACE(REGEXREPLACE(AR184&amp;"""",""(?s)(.{1})"",""$1""&amp;CHAR(127)),""'"",""''""),CHAR(127))),1,true),""1"")"),"cg1")</f>
        <v>cg1</v>
      </c>
      <c r="AT184" s="16"/>
      <c r="AU184" s="13" t="str">
        <f>IFERROR(__xludf.DUMMYFUNCTION("FILTER($K184:$T184,len($K184:$T184)=5,NOT($K184:$T184=BD184),NOT($K184:$T184=BP184))"),"fgeab")</f>
        <v>fgeab</v>
      </c>
      <c r="AV184" s="12" t="str">
        <f>IFERROR(__xludf.DUMMYFUNCTION("CONCATENATE(SORT(TRANSPOSE(SPLIT(REGEXREPLACE(REGEXREPLACE(AU184&amp;"""",""(?s)(.{1})"",""$1""&amp;CHAR(127)),""'"",""''""),CHAR(127))),1,true),""1"")"),"abefg1")</f>
        <v>abefg1</v>
      </c>
      <c r="AW184" s="16"/>
      <c r="AX184" s="10" t="str">
        <f>IFERROR(__xludf.DUMMYFUNCTION("FILTER($K184:$T184,len($K184:$T184)=5)"),"fgeab")</f>
        <v>fgeab</v>
      </c>
      <c r="AY184" s="6" t="str">
        <f>IFERROR(__xludf.DUMMYFUNCTION("""COMPUTED_VALUE"""),"gcefb")</f>
        <v>gcefb</v>
      </c>
      <c r="AZ184" s="6" t="str">
        <f>IFERROR(__xludf.DUMMYFUNCTION("""COMPUTED_VALUE"""),"bfcde")</f>
        <v>bfcde</v>
      </c>
      <c r="BA184" s="6" t="str">
        <f>IFERROR(__xludf.DUMMYFUNCTION("REGEXREPLACE( $AR184, CONCATENATE(""["",AX184,""]""), """")"),"c")</f>
        <v>c</v>
      </c>
      <c r="BB184" s="6" t="str">
        <f>IFERROR(__xludf.DUMMYFUNCTION("REGEXREPLACE( $AR184, CONCATENATE(""["",AY184,""]""), """")"),"")</f>
        <v/>
      </c>
      <c r="BC184" s="6" t="str">
        <f>IFERROR(__xludf.DUMMYFUNCTION("REGEXREPLACE( $AR184, CONCATENATE(""["",AZ184,""]""), """")"),"g")</f>
        <v>g</v>
      </c>
      <c r="BD184" s="11" t="str">
        <f t="shared" si="6"/>
        <v>gcefb</v>
      </c>
      <c r="BE184" s="12" t="str">
        <f>IFERROR(__xludf.DUMMYFUNCTION("CONCATENATE(SORT(TRANSPOSE(SPLIT(REGEXREPLACE(REGEXREPLACE(BD184&amp;"""",""(?s)(.{1})"",""$1""&amp;CHAR(127)),""'"",""''""),CHAR(127))),1,true),""1"")"),"bcefg1")</f>
        <v>bcefg1</v>
      </c>
      <c r="BF184" s="16"/>
      <c r="BG184" s="12" t="str">
        <f t="shared" si="7"/>
        <v>bgcd</v>
      </c>
      <c r="BH184" s="12" t="str">
        <f>IFERROR(__xludf.DUMMYFUNCTION("CONCATENATE(SORT(TRANSPOSE(SPLIT(REGEXREPLACE(REGEXREPLACE(BG184&amp;"""",""(?s)(.{1})"",""$1""&amp;CHAR(127)),""'"",""''""),CHAR(127))),1,true),""1"")"),"bcdg1")</f>
        <v>bcdg1</v>
      </c>
      <c r="BI184" s="16"/>
      <c r="BJ184" s="10" t="str">
        <f>IFERROR(__xludf.DUMMYFUNCTION("FILTER($K184:$T184,len($K184:$T184)=5)"),"fgeab")</f>
        <v>fgeab</v>
      </c>
      <c r="BK184" s="6" t="str">
        <f>IFERROR(__xludf.DUMMYFUNCTION("""COMPUTED_VALUE"""),"gcefb")</f>
        <v>gcefb</v>
      </c>
      <c r="BL184" s="6" t="str">
        <f>IFERROR(__xludf.DUMMYFUNCTION("""COMPUTED_VALUE"""),"bfcde")</f>
        <v>bfcde</v>
      </c>
      <c r="BM184" s="14" t="str">
        <f>IFERROR(__xludf.DUMMYFUNCTION("REGEXREPLACE( $BY184, CONCATENATE(""["",BJ184,""]""), """")"),"dc")</f>
        <v>dc</v>
      </c>
      <c r="BN184" s="14" t="str">
        <f>IFERROR(__xludf.DUMMYFUNCTION("REGEXREPLACE( $BY184, CONCATENATE(""["",BK184,""]""), """")"),"ad")</f>
        <v>ad</v>
      </c>
      <c r="BO184" s="14" t="str">
        <f>IFERROR(__xludf.DUMMYFUNCTION("REGEXREPLACE( $BY184, CONCATENATE(""["",BL184,""]""), """")"),"a")</f>
        <v>a</v>
      </c>
      <c r="BP184" s="11" t="str">
        <f t="shared" si="8"/>
        <v>bfcde</v>
      </c>
      <c r="BQ184" s="12" t="str">
        <f>IFERROR(__xludf.DUMMYFUNCTION("CONCATENATE(SORT(TRANSPOSE(SPLIT(REGEXREPLACE(REGEXREPLACE(BP184&amp;"""",""(?s)(.{1})"",""$1""&amp;CHAR(127)),""'"",""''""),CHAR(127))),1,true),""1"")"),"bcdef1")</f>
        <v>bcdef1</v>
      </c>
      <c r="BR184" s="16"/>
      <c r="BS184" s="10" t="str">
        <f>IFERROR(__xludf.DUMMYFUNCTION("FILTER(K184:T184,len(K184:T184)=6)"),"fadecg")</f>
        <v>fadecg</v>
      </c>
      <c r="BT184" s="6" t="str">
        <f>IFERROR(__xludf.DUMMYFUNCTION("""COMPUTED_VALUE"""),"fadcbe")</f>
        <v>fadcbe</v>
      </c>
      <c r="BU184" s="6" t="str">
        <f>IFERROR(__xludf.DUMMYFUNCTION("""COMPUTED_VALUE"""),"ebdfcg")</f>
        <v>ebdfcg</v>
      </c>
      <c r="BV184" s="6" t="str">
        <f>IFERROR(__xludf.DUMMYFUNCTION("REGEXREPLACE( $AR184, CONCATENATE(""["",BS184,""]""), """")"),"")</f>
        <v/>
      </c>
      <c r="BW184" s="6" t="str">
        <f>IFERROR(__xludf.DUMMYFUNCTION("REGEXREPLACE( $AR184, CONCATENATE(""["",BT184,""]""), """")"),"g")</f>
        <v>g</v>
      </c>
      <c r="BX184" s="6" t="str">
        <f>IFERROR(__xludf.DUMMYFUNCTION("REGEXREPLACE( $AR184, CONCATENATE(""["",BU184,""]""), """")"),"")</f>
        <v/>
      </c>
      <c r="BY184" s="12" t="str">
        <f t="shared" si="9"/>
        <v>fadcbe</v>
      </c>
      <c r="BZ184" s="12" t="str">
        <f>IFERROR(__xludf.DUMMYFUNCTION("CONCATENATE(SORT(TRANSPOSE(SPLIT(REGEXREPLACE(REGEXREPLACE(BY184&amp;"""",""(?s)(.{1})"",""$1""&amp;CHAR(127)),""'"",""''""),CHAR(127))),1,true),""1"")"),"abcdef1")</f>
        <v>abcdef1</v>
      </c>
      <c r="CA184" s="16"/>
      <c r="CB184" s="12" t="str">
        <f t="shared" si="10"/>
        <v>cfg</v>
      </c>
      <c r="CC184" s="12" t="str">
        <f>IFERROR(__xludf.DUMMYFUNCTION("CONCATENATE(SORT(TRANSPOSE(SPLIT(REGEXREPLACE(REGEXREPLACE(CB184&amp;"""",""(?s)(.{1})"",""$1""&amp;CHAR(127)),""'"",""''""),CHAR(127))),1,true),""1"")"),"cfg1")</f>
        <v>cfg1</v>
      </c>
      <c r="CD184" s="16"/>
      <c r="CE184" s="12" t="str">
        <f t="shared" si="11"/>
        <v>gcefabd</v>
      </c>
      <c r="CF184" s="12" t="str">
        <f>IFERROR(__xludf.DUMMYFUNCTION("CONCATENATE(SORT(TRANSPOSE(SPLIT(REGEXREPLACE(REGEXREPLACE(CE184&amp;"""",""(?s)(.{1})"",""$1""&amp;CHAR(127)),""'"",""''""),CHAR(127))),1,true),""1"")"),"abcdefg1")</f>
        <v>abcdefg1</v>
      </c>
      <c r="CG184" s="16"/>
      <c r="CH184" s="10" t="str">
        <f>IFERROR(__xludf.DUMMYFUNCTION("FILTER(K184:T184,len(K184:T184)=6)"),"fadecg")</f>
        <v>fadecg</v>
      </c>
      <c r="CI184" s="6" t="str">
        <f>IFERROR(__xludf.DUMMYFUNCTION("""COMPUTED_VALUE"""),"fadcbe")</f>
        <v>fadcbe</v>
      </c>
      <c r="CJ184" s="6" t="str">
        <f>IFERROR(__xludf.DUMMYFUNCTION("""COMPUTED_VALUE"""),"ebdfcg")</f>
        <v>ebdfcg</v>
      </c>
      <c r="CK184" s="6" t="str">
        <f>IFERROR(__xludf.DUMMYFUNCTION("REGEXREPLACE( $BG184, CONCATENATE(""["",CH184,""]""), """")"),"b")</f>
        <v>b</v>
      </c>
      <c r="CL184" s="6" t="str">
        <f>IFERROR(__xludf.DUMMYFUNCTION("REGEXREPLACE( $BG184, CONCATENATE(""["",CI184,""]""), """")"),"g")</f>
        <v>g</v>
      </c>
      <c r="CM184" s="6" t="str">
        <f>IFERROR(__xludf.DUMMYFUNCTION("REGEXREPLACE( $BG184, CONCATENATE(""["",CJ184,""]""), """")"),"")</f>
        <v/>
      </c>
      <c r="CN184" s="12" t="str">
        <f t="shared" si="12"/>
        <v>ebdfcg</v>
      </c>
      <c r="CO184" s="12" t="str">
        <f>IFERROR(__xludf.DUMMYFUNCTION("CONCATENATE(SORT(TRANSPOSE(SPLIT(REGEXREPLACE(REGEXREPLACE(CN184&amp;"""",""(?s)(.{1})"",""$1""&amp;CHAR(127)),""'"",""''""),CHAR(127))),1,true),""1"")"),"bcdefg1")</f>
        <v>bcdefg1</v>
      </c>
      <c r="CP184" s="15"/>
    </row>
    <row r="185">
      <c r="A185" s="1" t="s">
        <v>205</v>
      </c>
      <c r="H185" s="6" t="str">
        <f>IFERROR(__xludf.DUMMYFUNCTION("SPLIT(A185,""|"")"),"fgacde dcegbaf fagbed ceab bfa aefdc cdbfa ab cbgdf bfcade ")</f>
        <v>fgacde dcegbaf fagbed ceab bfa aefdc cdbfa ab cbgdf bfcade </v>
      </c>
      <c r="I185" s="6" t="str">
        <f>IFERROR(__xludf.DUMMYFUNCTION("""COMPUTED_VALUE""")," fba fceda baec bfcdea")</f>
        <v> fba fceda baec bfcdea</v>
      </c>
      <c r="J185" s="15"/>
      <c r="K185" s="6" t="str">
        <f>IFERROR(__xludf.DUMMYFUNCTION("split(H185,"" "")"),"fgacde")</f>
        <v>fgacde</v>
      </c>
      <c r="L185" s="6" t="str">
        <f>IFERROR(__xludf.DUMMYFUNCTION("""COMPUTED_VALUE"""),"dcegbaf")</f>
        <v>dcegbaf</v>
      </c>
      <c r="M185" s="6" t="str">
        <f>IFERROR(__xludf.DUMMYFUNCTION("""COMPUTED_VALUE"""),"fagbed")</f>
        <v>fagbed</v>
      </c>
      <c r="N185" s="6" t="str">
        <f>IFERROR(__xludf.DUMMYFUNCTION("""COMPUTED_VALUE"""),"ceab")</f>
        <v>ceab</v>
      </c>
      <c r="O185" s="6" t="str">
        <f>IFERROR(__xludf.DUMMYFUNCTION("""COMPUTED_VALUE"""),"bfa")</f>
        <v>bfa</v>
      </c>
      <c r="P185" s="6" t="str">
        <f>IFERROR(__xludf.DUMMYFUNCTION("""COMPUTED_VALUE"""),"aefdc")</f>
        <v>aefdc</v>
      </c>
      <c r="Q185" s="6" t="str">
        <f>IFERROR(__xludf.DUMMYFUNCTION("""COMPUTED_VALUE"""),"cdbfa")</f>
        <v>cdbfa</v>
      </c>
      <c r="R185" s="6" t="str">
        <f>IFERROR(__xludf.DUMMYFUNCTION("""COMPUTED_VALUE"""),"ab")</f>
        <v>ab</v>
      </c>
      <c r="S185" s="6" t="str">
        <f>IFERROR(__xludf.DUMMYFUNCTION("""COMPUTED_VALUE"""),"cbgdf")</f>
        <v>cbgdf</v>
      </c>
      <c r="T185" s="6" t="str">
        <f>IFERROR(__xludf.DUMMYFUNCTION("""COMPUTED_VALUE"""),"bfcade")</f>
        <v>bfcade</v>
      </c>
      <c r="U185" s="15"/>
      <c r="V185" s="6" t="str">
        <f>IFERROR(__xludf.DUMMYFUNCTION("split(I185,"" "")"),"fba")</f>
        <v>fba</v>
      </c>
      <c r="W185" s="6" t="str">
        <f>IFERROR(__xludf.DUMMYFUNCTION("""COMPUTED_VALUE"""),"fceda")</f>
        <v>fceda</v>
      </c>
      <c r="X185" s="6" t="str">
        <f>IFERROR(__xludf.DUMMYFUNCTION("""COMPUTED_VALUE"""),"baec")</f>
        <v>baec</v>
      </c>
      <c r="Y185" s="6" t="str">
        <f>IFERROR(__xludf.DUMMYFUNCTION("""COMPUTED_VALUE"""),"bfcdea")</f>
        <v>bfcdea</v>
      </c>
      <c r="Z185" s="6" t="str">
        <f>IFERROR(__xludf.DUMMYFUNCTION("CONCATENATE(SORT(TRANSPOSE(SPLIT(REGEXREPLACE(REGEXREPLACE(V185&amp;"""",""(?s)(.{1})"",""$1""&amp;CHAR(127)),""'"",""''""),CHAR(127))),1,true))"),"abf")</f>
        <v>abf</v>
      </c>
      <c r="AA185" s="6" t="str">
        <f>IFERROR(__xludf.DUMMYFUNCTION("CONCATENATE(SORT(TRANSPOSE(SPLIT(REGEXREPLACE(REGEXREPLACE(W185&amp;"""",""(?s)(.{1})"",""$1""&amp;CHAR(127)),""'"",""''""),CHAR(127))),1,true))"),"acdef")</f>
        <v>acdef</v>
      </c>
      <c r="AB185" s="6" t="str">
        <f>IFERROR(__xludf.DUMMYFUNCTION("CONCATENATE(SORT(TRANSPOSE(SPLIT(REGEXREPLACE(REGEXREPLACE(X185&amp;"""",""(?s)(.{1})"",""$1""&amp;CHAR(127)),""'"",""''""),CHAR(127))),1,true))"),"abce")</f>
        <v>abce</v>
      </c>
      <c r="AC185" s="6" t="str">
        <f>IFERROR(__xludf.DUMMYFUNCTION("CONCATENATE(SORT(TRANSPOSE(SPLIT(REGEXREPLACE(REGEXREPLACE(Y185&amp;"""",""(?s)(.{1})"",""$1""&amp;CHAR(127)),""'"",""''""),CHAR(127))),1,true))"),"abcdef")</f>
        <v>abcdef</v>
      </c>
      <c r="AD185" s="6">
        <f t="shared" ref="AD185:AG185" si="195">INDEX($AO$1:$CP$1,1,MATCH(CONCATENATE(Z185,"1"),$AO185:$CP185,0)+1)</f>
        <v>7</v>
      </c>
      <c r="AE185" s="6">
        <f t="shared" si="195"/>
        <v>5</v>
      </c>
      <c r="AF185" s="6">
        <f t="shared" si="195"/>
        <v>4</v>
      </c>
      <c r="AG185" s="6">
        <f t="shared" si="195"/>
        <v>9</v>
      </c>
      <c r="AH185" s="6">
        <f t="shared" si="3"/>
        <v>7549</v>
      </c>
      <c r="AI185" s="16"/>
      <c r="AJ185" s="9" t="str">
        <f>IFERROR(__xludf.DUMMYFUNCTION("REGEXREPLACE(AR185,CONCATENATE(""["",BY185,""]""),"""")"),"b")</f>
        <v>b</v>
      </c>
      <c r="AK185" s="10" t="str">
        <f>IFERROR(__xludf.DUMMYFUNCTION("FILTER($K185:$T185,len($K185:$T185)=6,NOT($K185:$T185=BY185))"),"fagbed")</f>
        <v>fagbed</v>
      </c>
      <c r="AL185" s="6" t="str">
        <f>IFERROR(__xludf.DUMMYFUNCTION("""COMPUTED_VALUE"""),"bfcade")</f>
        <v>bfcade</v>
      </c>
      <c r="AM185" s="6" t="str">
        <f>IFERROR(__xludf.DUMMYFUNCTION("REGEXREPLACE( $BG185, CONCATENATE(""["",AK185,""]""), """")"),"c")</f>
        <v>c</v>
      </c>
      <c r="AN185" s="6" t="str">
        <f>IFERROR(__xludf.DUMMYFUNCTION("REGEXREPLACE( $BG185, CONCATENATE(""["",AL185,""]""), """")"),"")</f>
        <v/>
      </c>
      <c r="AO185" s="11" t="str">
        <f t="shared" si="4"/>
        <v>fagbed</v>
      </c>
      <c r="AP185" s="12" t="str">
        <f>IFERROR(__xludf.DUMMYFUNCTION("CONCATENATE(SORT(TRANSPOSE(SPLIT(REGEXREPLACE(REGEXREPLACE(AO185&amp;"""",""(?s)(.{1})"",""$1""&amp;CHAR(127)),""'"",""''""),CHAR(127))),1,true),""1"")"),"abdefg1")</f>
        <v>abdefg1</v>
      </c>
      <c r="AQ185" s="16"/>
      <c r="AR185" s="12" t="str">
        <f t="shared" si="5"/>
        <v>ab</v>
      </c>
      <c r="AS185" s="12" t="str">
        <f>IFERROR(__xludf.DUMMYFUNCTION("CONCATENATE(SORT(TRANSPOSE(SPLIT(REGEXREPLACE(REGEXREPLACE(AR185&amp;"""",""(?s)(.{1})"",""$1""&amp;CHAR(127)),""'"",""''""),CHAR(127))),1,true),""1"")"),"ab1")</f>
        <v>ab1</v>
      </c>
      <c r="AT185" s="16"/>
      <c r="AU185" s="13" t="str">
        <f>IFERROR(__xludf.DUMMYFUNCTION("FILTER($K185:$T185,len($K185:$T185)=5,NOT($K185:$T185=BD185),NOT($K185:$T185=BP185))"),"cbgdf")</f>
        <v>cbgdf</v>
      </c>
      <c r="AV185" s="12" t="str">
        <f>IFERROR(__xludf.DUMMYFUNCTION("CONCATENATE(SORT(TRANSPOSE(SPLIT(REGEXREPLACE(REGEXREPLACE(AU185&amp;"""",""(?s)(.{1})"",""$1""&amp;CHAR(127)),""'"",""''""),CHAR(127))),1,true),""1"")"),"bcdfg1")</f>
        <v>bcdfg1</v>
      </c>
      <c r="AW185" s="16"/>
      <c r="AX185" s="10" t="str">
        <f>IFERROR(__xludf.DUMMYFUNCTION("FILTER($K185:$T185,len($K185:$T185)=5)"),"aefdc")</f>
        <v>aefdc</v>
      </c>
      <c r="AY185" s="6" t="str">
        <f>IFERROR(__xludf.DUMMYFUNCTION("""COMPUTED_VALUE"""),"cdbfa")</f>
        <v>cdbfa</v>
      </c>
      <c r="AZ185" s="6" t="str">
        <f>IFERROR(__xludf.DUMMYFUNCTION("""COMPUTED_VALUE"""),"cbgdf")</f>
        <v>cbgdf</v>
      </c>
      <c r="BA185" s="6" t="str">
        <f>IFERROR(__xludf.DUMMYFUNCTION("REGEXREPLACE( $AR185, CONCATENATE(""["",AX185,""]""), """")"),"b")</f>
        <v>b</v>
      </c>
      <c r="BB185" s="6" t="str">
        <f>IFERROR(__xludf.DUMMYFUNCTION("REGEXREPLACE( $AR185, CONCATENATE(""["",AY185,""]""), """")"),"")</f>
        <v/>
      </c>
      <c r="BC185" s="6" t="str">
        <f>IFERROR(__xludf.DUMMYFUNCTION("REGEXREPLACE( $AR185, CONCATENATE(""["",AZ185,""]""), """")"),"a")</f>
        <v>a</v>
      </c>
      <c r="BD185" s="11" t="str">
        <f t="shared" si="6"/>
        <v>cdbfa</v>
      </c>
      <c r="BE185" s="12" t="str">
        <f>IFERROR(__xludf.DUMMYFUNCTION("CONCATENATE(SORT(TRANSPOSE(SPLIT(REGEXREPLACE(REGEXREPLACE(BD185&amp;"""",""(?s)(.{1})"",""$1""&amp;CHAR(127)),""'"",""''""),CHAR(127))),1,true),""1"")"),"abcdf1")</f>
        <v>abcdf1</v>
      </c>
      <c r="BF185" s="16"/>
      <c r="BG185" s="12" t="str">
        <f t="shared" si="7"/>
        <v>ceab</v>
      </c>
      <c r="BH185" s="12" t="str">
        <f>IFERROR(__xludf.DUMMYFUNCTION("CONCATENATE(SORT(TRANSPOSE(SPLIT(REGEXREPLACE(REGEXREPLACE(BG185&amp;"""",""(?s)(.{1})"",""$1""&amp;CHAR(127)),""'"",""''""),CHAR(127))),1,true),""1"")"),"abce1")</f>
        <v>abce1</v>
      </c>
      <c r="BI185" s="16"/>
      <c r="BJ185" s="10" t="str">
        <f>IFERROR(__xludf.DUMMYFUNCTION("FILTER($K185:$T185,len($K185:$T185)=5)"),"aefdc")</f>
        <v>aefdc</v>
      </c>
      <c r="BK185" s="6" t="str">
        <f>IFERROR(__xludf.DUMMYFUNCTION("""COMPUTED_VALUE"""),"cdbfa")</f>
        <v>cdbfa</v>
      </c>
      <c r="BL185" s="6" t="str">
        <f>IFERROR(__xludf.DUMMYFUNCTION("""COMPUTED_VALUE"""),"cbgdf")</f>
        <v>cbgdf</v>
      </c>
      <c r="BM185" s="14" t="str">
        <f>IFERROR(__xludf.DUMMYFUNCTION("REGEXREPLACE( $BY185, CONCATENATE(""["",BJ185,""]""), """")"),"g")</f>
        <v>g</v>
      </c>
      <c r="BN185" s="14" t="str">
        <f>IFERROR(__xludf.DUMMYFUNCTION("REGEXREPLACE( $BY185, CONCATENATE(""["",BK185,""]""), """")"),"ge")</f>
        <v>ge</v>
      </c>
      <c r="BO185" s="14" t="str">
        <f>IFERROR(__xludf.DUMMYFUNCTION("REGEXREPLACE( $BY185, CONCATENATE(""["",BL185,""]""), """")"),"ae")</f>
        <v>ae</v>
      </c>
      <c r="BP185" s="11" t="str">
        <f t="shared" si="8"/>
        <v>aefdc</v>
      </c>
      <c r="BQ185" s="12" t="str">
        <f>IFERROR(__xludf.DUMMYFUNCTION("CONCATENATE(SORT(TRANSPOSE(SPLIT(REGEXREPLACE(REGEXREPLACE(BP185&amp;"""",""(?s)(.{1})"",""$1""&amp;CHAR(127)),""'"",""''""),CHAR(127))),1,true),""1"")"),"acdef1")</f>
        <v>acdef1</v>
      </c>
      <c r="BR185" s="16"/>
      <c r="BS185" s="10" t="str">
        <f>IFERROR(__xludf.DUMMYFUNCTION("FILTER(K185:T185,len(K185:T185)=6)"),"fgacde")</f>
        <v>fgacde</v>
      </c>
      <c r="BT185" s="6" t="str">
        <f>IFERROR(__xludf.DUMMYFUNCTION("""COMPUTED_VALUE"""),"fagbed")</f>
        <v>fagbed</v>
      </c>
      <c r="BU185" s="6" t="str">
        <f>IFERROR(__xludf.DUMMYFUNCTION("""COMPUTED_VALUE"""),"bfcade")</f>
        <v>bfcade</v>
      </c>
      <c r="BV185" s="6" t="str">
        <f>IFERROR(__xludf.DUMMYFUNCTION("REGEXREPLACE( $AR185, CONCATENATE(""["",BS185,""]""), """")"),"b")</f>
        <v>b</v>
      </c>
      <c r="BW185" s="6" t="str">
        <f>IFERROR(__xludf.DUMMYFUNCTION("REGEXREPLACE( $AR185, CONCATENATE(""["",BT185,""]""), """")"),"")</f>
        <v/>
      </c>
      <c r="BX185" s="6" t="str">
        <f>IFERROR(__xludf.DUMMYFUNCTION("REGEXREPLACE( $AR185, CONCATENATE(""["",BU185,""]""), """")"),"")</f>
        <v/>
      </c>
      <c r="BY185" s="12" t="str">
        <f t="shared" si="9"/>
        <v>fgacde</v>
      </c>
      <c r="BZ185" s="12" t="str">
        <f>IFERROR(__xludf.DUMMYFUNCTION("CONCATENATE(SORT(TRANSPOSE(SPLIT(REGEXREPLACE(REGEXREPLACE(BY185&amp;"""",""(?s)(.{1})"",""$1""&amp;CHAR(127)),""'"",""''""),CHAR(127))),1,true),""1"")"),"acdefg1")</f>
        <v>acdefg1</v>
      </c>
      <c r="CA185" s="16"/>
      <c r="CB185" s="12" t="str">
        <f t="shared" si="10"/>
        <v>bfa</v>
      </c>
      <c r="CC185" s="12" t="str">
        <f>IFERROR(__xludf.DUMMYFUNCTION("CONCATENATE(SORT(TRANSPOSE(SPLIT(REGEXREPLACE(REGEXREPLACE(CB185&amp;"""",""(?s)(.{1})"",""$1""&amp;CHAR(127)),""'"",""''""),CHAR(127))),1,true),""1"")"),"abf1")</f>
        <v>abf1</v>
      </c>
      <c r="CD185" s="16"/>
      <c r="CE185" s="12" t="str">
        <f t="shared" si="11"/>
        <v>dcegbaf</v>
      </c>
      <c r="CF185" s="12" t="str">
        <f>IFERROR(__xludf.DUMMYFUNCTION("CONCATENATE(SORT(TRANSPOSE(SPLIT(REGEXREPLACE(REGEXREPLACE(CE185&amp;"""",""(?s)(.{1})"",""$1""&amp;CHAR(127)),""'"",""''""),CHAR(127))),1,true),""1"")"),"abcdefg1")</f>
        <v>abcdefg1</v>
      </c>
      <c r="CG185" s="16"/>
      <c r="CH185" s="10" t="str">
        <f>IFERROR(__xludf.DUMMYFUNCTION("FILTER(K185:T185,len(K185:T185)=6)"),"fgacde")</f>
        <v>fgacde</v>
      </c>
      <c r="CI185" s="6" t="str">
        <f>IFERROR(__xludf.DUMMYFUNCTION("""COMPUTED_VALUE"""),"fagbed")</f>
        <v>fagbed</v>
      </c>
      <c r="CJ185" s="6" t="str">
        <f>IFERROR(__xludf.DUMMYFUNCTION("""COMPUTED_VALUE"""),"bfcade")</f>
        <v>bfcade</v>
      </c>
      <c r="CK185" s="6" t="str">
        <f>IFERROR(__xludf.DUMMYFUNCTION("REGEXREPLACE( $BG185, CONCATENATE(""["",CH185,""]""), """")"),"b")</f>
        <v>b</v>
      </c>
      <c r="CL185" s="6" t="str">
        <f>IFERROR(__xludf.DUMMYFUNCTION("REGEXREPLACE( $BG185, CONCATENATE(""["",CI185,""]""), """")"),"c")</f>
        <v>c</v>
      </c>
      <c r="CM185" s="6" t="str">
        <f>IFERROR(__xludf.DUMMYFUNCTION("REGEXREPLACE( $BG185, CONCATENATE(""["",CJ185,""]""), """")"),"")</f>
        <v/>
      </c>
      <c r="CN185" s="12" t="str">
        <f t="shared" si="12"/>
        <v>bfcade</v>
      </c>
      <c r="CO185" s="12" t="str">
        <f>IFERROR(__xludf.DUMMYFUNCTION("CONCATENATE(SORT(TRANSPOSE(SPLIT(REGEXREPLACE(REGEXREPLACE(CN185&amp;"""",""(?s)(.{1})"",""$1""&amp;CHAR(127)),""'"",""''""),CHAR(127))),1,true),""1"")"),"abcdef1")</f>
        <v>abcdef1</v>
      </c>
      <c r="CP185" s="15"/>
    </row>
    <row r="186">
      <c r="A186" s="1" t="s">
        <v>206</v>
      </c>
      <c r="H186" s="6" t="str">
        <f>IFERROR(__xludf.DUMMYFUNCTION("SPLIT(A186,""|"")"),"dfeca ceab ebcgdaf cdebf bgaefd aed ea bfgdec fcdga cfebda ")</f>
        <v>dfeca ceab ebcgdaf cdebf bgaefd aed ea bfgdec fcdga cfebda </v>
      </c>
      <c r="I186" s="6" t="str">
        <f>IFERROR(__xludf.DUMMYFUNCTION("""COMPUTED_VALUE""")," aedfbc dea deacbf dea")</f>
        <v> aedfbc dea deacbf dea</v>
      </c>
      <c r="J186" s="15"/>
      <c r="K186" s="6" t="str">
        <f>IFERROR(__xludf.DUMMYFUNCTION("split(H186,"" "")"),"dfeca")</f>
        <v>dfeca</v>
      </c>
      <c r="L186" s="6" t="str">
        <f>IFERROR(__xludf.DUMMYFUNCTION("""COMPUTED_VALUE"""),"ceab")</f>
        <v>ceab</v>
      </c>
      <c r="M186" s="6" t="str">
        <f>IFERROR(__xludf.DUMMYFUNCTION("""COMPUTED_VALUE"""),"ebcgdaf")</f>
        <v>ebcgdaf</v>
      </c>
      <c r="N186" s="6" t="str">
        <f>IFERROR(__xludf.DUMMYFUNCTION("""COMPUTED_VALUE"""),"cdebf")</f>
        <v>cdebf</v>
      </c>
      <c r="O186" s="6" t="str">
        <f>IFERROR(__xludf.DUMMYFUNCTION("""COMPUTED_VALUE"""),"bgaefd")</f>
        <v>bgaefd</v>
      </c>
      <c r="P186" s="6" t="str">
        <f>IFERROR(__xludf.DUMMYFUNCTION("""COMPUTED_VALUE"""),"aed")</f>
        <v>aed</v>
      </c>
      <c r="Q186" s="6" t="str">
        <f>IFERROR(__xludf.DUMMYFUNCTION("""COMPUTED_VALUE"""),"ea")</f>
        <v>ea</v>
      </c>
      <c r="R186" s="6" t="str">
        <f>IFERROR(__xludf.DUMMYFUNCTION("""COMPUTED_VALUE"""),"bfgdec")</f>
        <v>bfgdec</v>
      </c>
      <c r="S186" s="6" t="str">
        <f>IFERROR(__xludf.DUMMYFUNCTION("""COMPUTED_VALUE"""),"fcdga")</f>
        <v>fcdga</v>
      </c>
      <c r="T186" s="6" t="str">
        <f>IFERROR(__xludf.DUMMYFUNCTION("""COMPUTED_VALUE"""),"cfebda")</f>
        <v>cfebda</v>
      </c>
      <c r="U186" s="15"/>
      <c r="V186" s="6" t="str">
        <f>IFERROR(__xludf.DUMMYFUNCTION("split(I186,"" "")"),"aedfbc")</f>
        <v>aedfbc</v>
      </c>
      <c r="W186" s="6" t="str">
        <f>IFERROR(__xludf.DUMMYFUNCTION("""COMPUTED_VALUE"""),"dea")</f>
        <v>dea</v>
      </c>
      <c r="X186" s="6" t="str">
        <f>IFERROR(__xludf.DUMMYFUNCTION("""COMPUTED_VALUE"""),"deacbf")</f>
        <v>deacbf</v>
      </c>
      <c r="Y186" s="6" t="str">
        <f>IFERROR(__xludf.DUMMYFUNCTION("""COMPUTED_VALUE"""),"dea")</f>
        <v>dea</v>
      </c>
      <c r="Z186" s="6" t="str">
        <f>IFERROR(__xludf.DUMMYFUNCTION("CONCATENATE(SORT(TRANSPOSE(SPLIT(REGEXREPLACE(REGEXREPLACE(V186&amp;"""",""(?s)(.{1})"",""$1""&amp;CHAR(127)),""'"",""''""),CHAR(127))),1,true))"),"abcdef")</f>
        <v>abcdef</v>
      </c>
      <c r="AA186" s="6" t="str">
        <f>IFERROR(__xludf.DUMMYFUNCTION("CONCATENATE(SORT(TRANSPOSE(SPLIT(REGEXREPLACE(REGEXREPLACE(W186&amp;"""",""(?s)(.{1})"",""$1""&amp;CHAR(127)),""'"",""''""),CHAR(127))),1,true))"),"ade")</f>
        <v>ade</v>
      </c>
      <c r="AB186" s="6" t="str">
        <f>IFERROR(__xludf.DUMMYFUNCTION("CONCATENATE(SORT(TRANSPOSE(SPLIT(REGEXREPLACE(REGEXREPLACE(X186&amp;"""",""(?s)(.{1})"",""$1""&amp;CHAR(127)),""'"",""''""),CHAR(127))),1,true))"),"abcdef")</f>
        <v>abcdef</v>
      </c>
      <c r="AC186" s="6" t="str">
        <f>IFERROR(__xludf.DUMMYFUNCTION("CONCATENATE(SORT(TRANSPOSE(SPLIT(REGEXREPLACE(REGEXREPLACE(Y186&amp;"""",""(?s)(.{1})"",""$1""&amp;CHAR(127)),""'"",""''""),CHAR(127))),1,true))"),"ade")</f>
        <v>ade</v>
      </c>
      <c r="AD186" s="6">
        <f t="shared" ref="AD186:AG186" si="196">INDEX($AO$1:$CP$1,1,MATCH(CONCATENATE(Z186,"1"),$AO186:$CP186,0)+1)</f>
        <v>9</v>
      </c>
      <c r="AE186" s="6">
        <f t="shared" si="196"/>
        <v>7</v>
      </c>
      <c r="AF186" s="6">
        <f t="shared" si="196"/>
        <v>9</v>
      </c>
      <c r="AG186" s="6">
        <f t="shared" si="196"/>
        <v>7</v>
      </c>
      <c r="AH186" s="6">
        <f t="shared" si="3"/>
        <v>9797</v>
      </c>
      <c r="AI186" s="16"/>
      <c r="AJ186" s="9" t="str">
        <f>IFERROR(__xludf.DUMMYFUNCTION("REGEXREPLACE(AR186,CONCATENATE(""["",BY186,""]""),"""")"),"a")</f>
        <v>a</v>
      </c>
      <c r="AK186" s="10" t="str">
        <f>IFERROR(__xludf.DUMMYFUNCTION("FILTER($K186:$T186,len($K186:$T186)=6,NOT($K186:$T186=BY186))"),"bgaefd")</f>
        <v>bgaefd</v>
      </c>
      <c r="AL186" s="6" t="str">
        <f>IFERROR(__xludf.DUMMYFUNCTION("""COMPUTED_VALUE"""),"cfebda")</f>
        <v>cfebda</v>
      </c>
      <c r="AM186" s="6" t="str">
        <f>IFERROR(__xludf.DUMMYFUNCTION("REGEXREPLACE( $BG186, CONCATENATE(""["",AK186,""]""), """")"),"c")</f>
        <v>c</v>
      </c>
      <c r="AN186" s="6" t="str">
        <f>IFERROR(__xludf.DUMMYFUNCTION("REGEXREPLACE( $BG186, CONCATENATE(""["",AL186,""]""), """")"),"")</f>
        <v/>
      </c>
      <c r="AO186" s="11" t="str">
        <f t="shared" si="4"/>
        <v>bgaefd</v>
      </c>
      <c r="AP186" s="12" t="str">
        <f>IFERROR(__xludf.DUMMYFUNCTION("CONCATENATE(SORT(TRANSPOSE(SPLIT(REGEXREPLACE(REGEXREPLACE(AO186&amp;"""",""(?s)(.{1})"",""$1""&amp;CHAR(127)),""'"",""''""),CHAR(127))),1,true),""1"")"),"abdefg1")</f>
        <v>abdefg1</v>
      </c>
      <c r="AQ186" s="16"/>
      <c r="AR186" s="12" t="str">
        <f t="shared" si="5"/>
        <v>ea</v>
      </c>
      <c r="AS186" s="12" t="str">
        <f>IFERROR(__xludf.DUMMYFUNCTION("CONCATENATE(SORT(TRANSPOSE(SPLIT(REGEXREPLACE(REGEXREPLACE(AR186&amp;"""",""(?s)(.{1})"",""$1""&amp;CHAR(127)),""'"",""''""),CHAR(127))),1,true),""1"")"),"ae1")</f>
        <v>ae1</v>
      </c>
      <c r="AT186" s="16"/>
      <c r="AU186" s="13" t="str">
        <f>IFERROR(__xludf.DUMMYFUNCTION("FILTER($K186:$T186,len($K186:$T186)=5,NOT($K186:$T186=BD186),NOT($K186:$T186=BP186))"),"fcdga")</f>
        <v>fcdga</v>
      </c>
      <c r="AV186" s="12" t="str">
        <f>IFERROR(__xludf.DUMMYFUNCTION("CONCATENATE(SORT(TRANSPOSE(SPLIT(REGEXREPLACE(REGEXREPLACE(AU186&amp;"""",""(?s)(.{1})"",""$1""&amp;CHAR(127)),""'"",""''""),CHAR(127))),1,true),""1"")"),"acdfg1")</f>
        <v>acdfg1</v>
      </c>
      <c r="AW186" s="16"/>
      <c r="AX186" s="10" t="str">
        <f>IFERROR(__xludf.DUMMYFUNCTION("FILTER($K186:$T186,len($K186:$T186)=5)"),"dfeca")</f>
        <v>dfeca</v>
      </c>
      <c r="AY186" s="6" t="str">
        <f>IFERROR(__xludf.DUMMYFUNCTION("""COMPUTED_VALUE"""),"cdebf")</f>
        <v>cdebf</v>
      </c>
      <c r="AZ186" s="6" t="str">
        <f>IFERROR(__xludf.DUMMYFUNCTION("""COMPUTED_VALUE"""),"fcdga")</f>
        <v>fcdga</v>
      </c>
      <c r="BA186" s="6" t="str">
        <f>IFERROR(__xludf.DUMMYFUNCTION("REGEXREPLACE( $AR186, CONCATENATE(""["",AX186,""]""), """")"),"")</f>
        <v/>
      </c>
      <c r="BB186" s="6" t="str">
        <f>IFERROR(__xludf.DUMMYFUNCTION("REGEXREPLACE( $AR186, CONCATENATE(""["",AY186,""]""), """")"),"a")</f>
        <v>a</v>
      </c>
      <c r="BC186" s="6" t="str">
        <f>IFERROR(__xludf.DUMMYFUNCTION("REGEXREPLACE( $AR186, CONCATENATE(""["",AZ186,""]""), """")"),"e")</f>
        <v>e</v>
      </c>
      <c r="BD186" s="11" t="str">
        <f t="shared" si="6"/>
        <v>dfeca</v>
      </c>
      <c r="BE186" s="12" t="str">
        <f>IFERROR(__xludf.DUMMYFUNCTION("CONCATENATE(SORT(TRANSPOSE(SPLIT(REGEXREPLACE(REGEXREPLACE(BD186&amp;"""",""(?s)(.{1})"",""$1""&amp;CHAR(127)),""'"",""''""),CHAR(127))),1,true),""1"")"),"acdef1")</f>
        <v>acdef1</v>
      </c>
      <c r="BF186" s="16"/>
      <c r="BG186" s="12" t="str">
        <f t="shared" si="7"/>
        <v>ceab</v>
      </c>
      <c r="BH186" s="12" t="str">
        <f>IFERROR(__xludf.DUMMYFUNCTION("CONCATENATE(SORT(TRANSPOSE(SPLIT(REGEXREPLACE(REGEXREPLACE(BG186&amp;"""",""(?s)(.{1})"",""$1""&amp;CHAR(127)),""'"",""''""),CHAR(127))),1,true),""1"")"),"abce1")</f>
        <v>abce1</v>
      </c>
      <c r="BI186" s="16"/>
      <c r="BJ186" s="10" t="str">
        <f>IFERROR(__xludf.DUMMYFUNCTION("FILTER($K186:$T186,len($K186:$T186)=5)"),"dfeca")</f>
        <v>dfeca</v>
      </c>
      <c r="BK186" s="6" t="str">
        <f>IFERROR(__xludf.DUMMYFUNCTION("""COMPUTED_VALUE"""),"cdebf")</f>
        <v>cdebf</v>
      </c>
      <c r="BL186" s="6" t="str">
        <f>IFERROR(__xludf.DUMMYFUNCTION("""COMPUTED_VALUE"""),"fcdga")</f>
        <v>fcdga</v>
      </c>
      <c r="BM186" s="14" t="str">
        <f>IFERROR(__xludf.DUMMYFUNCTION("REGEXREPLACE( $BY186, CONCATENATE(""["",BJ186,""]""), """")"),"bg")</f>
        <v>bg</v>
      </c>
      <c r="BN186" s="14" t="str">
        <f>IFERROR(__xludf.DUMMYFUNCTION("REGEXREPLACE( $BY186, CONCATENATE(""["",BK186,""]""), """")"),"g")</f>
        <v>g</v>
      </c>
      <c r="BO186" s="14" t="str">
        <f>IFERROR(__xludf.DUMMYFUNCTION("REGEXREPLACE( $BY186, CONCATENATE(""["",BL186,""]""), """")"),"be")</f>
        <v>be</v>
      </c>
      <c r="BP186" s="11" t="str">
        <f t="shared" si="8"/>
        <v>cdebf</v>
      </c>
      <c r="BQ186" s="12" t="str">
        <f>IFERROR(__xludf.DUMMYFUNCTION("CONCATENATE(SORT(TRANSPOSE(SPLIT(REGEXREPLACE(REGEXREPLACE(BP186&amp;"""",""(?s)(.{1})"",""$1""&amp;CHAR(127)),""'"",""''""),CHAR(127))),1,true),""1"")"),"bcdef1")</f>
        <v>bcdef1</v>
      </c>
      <c r="BR186" s="16"/>
      <c r="BS186" s="10" t="str">
        <f>IFERROR(__xludf.DUMMYFUNCTION("FILTER(K186:T186,len(K186:T186)=6)"),"bgaefd")</f>
        <v>bgaefd</v>
      </c>
      <c r="BT186" s="6" t="str">
        <f>IFERROR(__xludf.DUMMYFUNCTION("""COMPUTED_VALUE"""),"bfgdec")</f>
        <v>bfgdec</v>
      </c>
      <c r="BU186" s="6" t="str">
        <f>IFERROR(__xludf.DUMMYFUNCTION("""COMPUTED_VALUE"""),"cfebda")</f>
        <v>cfebda</v>
      </c>
      <c r="BV186" s="6" t="str">
        <f>IFERROR(__xludf.DUMMYFUNCTION("REGEXREPLACE( $AR186, CONCATENATE(""["",BS186,""]""), """")"),"")</f>
        <v/>
      </c>
      <c r="BW186" s="6" t="str">
        <f>IFERROR(__xludf.DUMMYFUNCTION("REGEXREPLACE( $AR186, CONCATENATE(""["",BT186,""]""), """")"),"a")</f>
        <v>a</v>
      </c>
      <c r="BX186" s="6" t="str">
        <f>IFERROR(__xludf.DUMMYFUNCTION("REGEXREPLACE( $AR186, CONCATENATE(""["",BU186,""]""), """")"),"")</f>
        <v/>
      </c>
      <c r="BY186" s="12" t="str">
        <f t="shared" si="9"/>
        <v>bfgdec</v>
      </c>
      <c r="BZ186" s="12" t="str">
        <f>IFERROR(__xludf.DUMMYFUNCTION("CONCATENATE(SORT(TRANSPOSE(SPLIT(REGEXREPLACE(REGEXREPLACE(BY186&amp;"""",""(?s)(.{1})"",""$1""&amp;CHAR(127)),""'"",""''""),CHAR(127))),1,true),""1"")"),"bcdefg1")</f>
        <v>bcdefg1</v>
      </c>
      <c r="CA186" s="16"/>
      <c r="CB186" s="12" t="str">
        <f t="shared" si="10"/>
        <v>aed</v>
      </c>
      <c r="CC186" s="12" t="str">
        <f>IFERROR(__xludf.DUMMYFUNCTION("CONCATENATE(SORT(TRANSPOSE(SPLIT(REGEXREPLACE(REGEXREPLACE(CB186&amp;"""",""(?s)(.{1})"",""$1""&amp;CHAR(127)),""'"",""''""),CHAR(127))),1,true),""1"")"),"ade1")</f>
        <v>ade1</v>
      </c>
      <c r="CD186" s="16"/>
      <c r="CE186" s="12" t="str">
        <f t="shared" si="11"/>
        <v>ebcgdaf</v>
      </c>
      <c r="CF186" s="12" t="str">
        <f>IFERROR(__xludf.DUMMYFUNCTION("CONCATENATE(SORT(TRANSPOSE(SPLIT(REGEXREPLACE(REGEXREPLACE(CE186&amp;"""",""(?s)(.{1})"",""$1""&amp;CHAR(127)),""'"",""''""),CHAR(127))),1,true),""1"")"),"abcdefg1")</f>
        <v>abcdefg1</v>
      </c>
      <c r="CG186" s="16"/>
      <c r="CH186" s="10" t="str">
        <f>IFERROR(__xludf.DUMMYFUNCTION("FILTER(K186:T186,len(K186:T186)=6)"),"bgaefd")</f>
        <v>bgaefd</v>
      </c>
      <c r="CI186" s="6" t="str">
        <f>IFERROR(__xludf.DUMMYFUNCTION("""COMPUTED_VALUE"""),"bfgdec")</f>
        <v>bfgdec</v>
      </c>
      <c r="CJ186" s="6" t="str">
        <f>IFERROR(__xludf.DUMMYFUNCTION("""COMPUTED_VALUE"""),"cfebda")</f>
        <v>cfebda</v>
      </c>
      <c r="CK186" s="6" t="str">
        <f>IFERROR(__xludf.DUMMYFUNCTION("REGEXREPLACE( $BG186, CONCATENATE(""["",CH186,""]""), """")"),"c")</f>
        <v>c</v>
      </c>
      <c r="CL186" s="6" t="str">
        <f>IFERROR(__xludf.DUMMYFUNCTION("REGEXREPLACE( $BG186, CONCATENATE(""["",CI186,""]""), """")"),"a")</f>
        <v>a</v>
      </c>
      <c r="CM186" s="6" t="str">
        <f>IFERROR(__xludf.DUMMYFUNCTION("REGEXREPLACE( $BG186, CONCATENATE(""["",CJ186,""]""), """")"),"")</f>
        <v/>
      </c>
      <c r="CN186" s="12" t="str">
        <f t="shared" si="12"/>
        <v>cfebda</v>
      </c>
      <c r="CO186" s="12" t="str">
        <f>IFERROR(__xludf.DUMMYFUNCTION("CONCATENATE(SORT(TRANSPOSE(SPLIT(REGEXREPLACE(REGEXREPLACE(CN186&amp;"""",""(?s)(.{1})"",""$1""&amp;CHAR(127)),""'"",""''""),CHAR(127))),1,true),""1"")"),"abcdef1")</f>
        <v>abcdef1</v>
      </c>
      <c r="CP186" s="15"/>
    </row>
    <row r="187">
      <c r="A187" s="1" t="s">
        <v>207</v>
      </c>
      <c r="H187" s="6" t="str">
        <f>IFERROR(__xludf.DUMMYFUNCTION("SPLIT(A187,""|"")"),"afdegb dabcg egd eacgbd cdefb egac eg gebcd ebfdcga bdafcg ")</f>
        <v>afdegb dabcg egd eacgbd cdefb egac eg gebcd ebfdcga bdafcg </v>
      </c>
      <c r="I187" s="6" t="str">
        <f>IFERROR(__xludf.DUMMYFUNCTION("""COMPUTED_VALUE""")," agcbd fagdceb ecabdg dcbga")</f>
        <v> agcbd fagdceb ecabdg dcbga</v>
      </c>
      <c r="J187" s="15"/>
      <c r="K187" s="6" t="str">
        <f>IFERROR(__xludf.DUMMYFUNCTION("split(H187,"" "")"),"afdegb")</f>
        <v>afdegb</v>
      </c>
      <c r="L187" s="6" t="str">
        <f>IFERROR(__xludf.DUMMYFUNCTION("""COMPUTED_VALUE"""),"dabcg")</f>
        <v>dabcg</v>
      </c>
      <c r="M187" s="6" t="str">
        <f>IFERROR(__xludf.DUMMYFUNCTION("""COMPUTED_VALUE"""),"egd")</f>
        <v>egd</v>
      </c>
      <c r="N187" s="6" t="str">
        <f>IFERROR(__xludf.DUMMYFUNCTION("""COMPUTED_VALUE"""),"eacgbd")</f>
        <v>eacgbd</v>
      </c>
      <c r="O187" s="6" t="str">
        <f>IFERROR(__xludf.DUMMYFUNCTION("""COMPUTED_VALUE"""),"cdefb")</f>
        <v>cdefb</v>
      </c>
      <c r="P187" s="6" t="str">
        <f>IFERROR(__xludf.DUMMYFUNCTION("""COMPUTED_VALUE"""),"egac")</f>
        <v>egac</v>
      </c>
      <c r="Q187" s="6" t="str">
        <f>IFERROR(__xludf.DUMMYFUNCTION("""COMPUTED_VALUE"""),"eg")</f>
        <v>eg</v>
      </c>
      <c r="R187" s="6" t="str">
        <f>IFERROR(__xludf.DUMMYFUNCTION("""COMPUTED_VALUE"""),"gebcd")</f>
        <v>gebcd</v>
      </c>
      <c r="S187" s="6" t="str">
        <f>IFERROR(__xludf.DUMMYFUNCTION("""COMPUTED_VALUE"""),"ebfdcga")</f>
        <v>ebfdcga</v>
      </c>
      <c r="T187" s="6" t="str">
        <f>IFERROR(__xludf.DUMMYFUNCTION("""COMPUTED_VALUE"""),"bdafcg")</f>
        <v>bdafcg</v>
      </c>
      <c r="U187" s="15"/>
      <c r="V187" s="6" t="str">
        <f>IFERROR(__xludf.DUMMYFUNCTION("split(I187,"" "")"),"agcbd")</f>
        <v>agcbd</v>
      </c>
      <c r="W187" s="6" t="str">
        <f>IFERROR(__xludf.DUMMYFUNCTION("""COMPUTED_VALUE"""),"fagdceb")</f>
        <v>fagdceb</v>
      </c>
      <c r="X187" s="6" t="str">
        <f>IFERROR(__xludf.DUMMYFUNCTION("""COMPUTED_VALUE"""),"ecabdg")</f>
        <v>ecabdg</v>
      </c>
      <c r="Y187" s="6" t="str">
        <f>IFERROR(__xludf.DUMMYFUNCTION("""COMPUTED_VALUE"""),"dcbga")</f>
        <v>dcbga</v>
      </c>
      <c r="Z187" s="6" t="str">
        <f>IFERROR(__xludf.DUMMYFUNCTION("CONCATENATE(SORT(TRANSPOSE(SPLIT(REGEXREPLACE(REGEXREPLACE(V187&amp;"""",""(?s)(.{1})"",""$1""&amp;CHAR(127)),""'"",""''""),CHAR(127))),1,true))"),"abcdg")</f>
        <v>abcdg</v>
      </c>
      <c r="AA187" s="6" t="str">
        <f>IFERROR(__xludf.DUMMYFUNCTION("CONCATENATE(SORT(TRANSPOSE(SPLIT(REGEXREPLACE(REGEXREPLACE(W187&amp;"""",""(?s)(.{1})"",""$1""&amp;CHAR(127)),""'"",""''""),CHAR(127))),1,true))"),"abcdefg")</f>
        <v>abcdefg</v>
      </c>
      <c r="AB187" s="6" t="str">
        <f>IFERROR(__xludf.DUMMYFUNCTION("CONCATENATE(SORT(TRANSPOSE(SPLIT(REGEXREPLACE(REGEXREPLACE(X187&amp;"""",""(?s)(.{1})"",""$1""&amp;CHAR(127)),""'"",""''""),CHAR(127))),1,true))"),"abcdeg")</f>
        <v>abcdeg</v>
      </c>
      <c r="AC187" s="6" t="str">
        <f>IFERROR(__xludf.DUMMYFUNCTION("CONCATENATE(SORT(TRANSPOSE(SPLIT(REGEXREPLACE(REGEXREPLACE(Y187&amp;"""",""(?s)(.{1})"",""$1""&amp;CHAR(127)),""'"",""''""),CHAR(127))),1,true))"),"abcdg")</f>
        <v>abcdg</v>
      </c>
      <c r="AD187" s="6">
        <f t="shared" ref="AD187:AG187" si="197">INDEX($AO$1:$CP$1,1,MATCH(CONCATENATE(Z187,"1"),$AO187:$CP187,0)+1)</f>
        <v>5</v>
      </c>
      <c r="AE187" s="6">
        <f t="shared" si="197"/>
        <v>8</v>
      </c>
      <c r="AF187" s="6">
        <f t="shared" si="197"/>
        <v>9</v>
      </c>
      <c r="AG187" s="6">
        <f t="shared" si="197"/>
        <v>5</v>
      </c>
      <c r="AH187" s="6">
        <f t="shared" si="3"/>
        <v>5895</v>
      </c>
      <c r="AI187" s="16"/>
      <c r="AJ187" s="9" t="str">
        <f>IFERROR(__xludf.DUMMYFUNCTION("REGEXREPLACE(AR187,CONCATENATE(""["",BY187,""]""),"""")"),"e")</f>
        <v>e</v>
      </c>
      <c r="AK187" s="10" t="str">
        <f>IFERROR(__xludf.DUMMYFUNCTION("FILTER($K187:$T187,len($K187:$T187)=6,NOT($K187:$T187=BY187))"),"afdegb")</f>
        <v>afdegb</v>
      </c>
      <c r="AL187" s="6" t="str">
        <f>IFERROR(__xludf.DUMMYFUNCTION("""COMPUTED_VALUE"""),"eacgbd")</f>
        <v>eacgbd</v>
      </c>
      <c r="AM187" s="6" t="str">
        <f>IFERROR(__xludf.DUMMYFUNCTION("REGEXREPLACE( $BG187, CONCATENATE(""["",AK187,""]""), """")"),"c")</f>
        <v>c</v>
      </c>
      <c r="AN187" s="6" t="str">
        <f>IFERROR(__xludf.DUMMYFUNCTION("REGEXREPLACE( $BG187, CONCATENATE(""["",AL187,""]""), """")"),"")</f>
        <v/>
      </c>
      <c r="AO187" s="11" t="str">
        <f t="shared" si="4"/>
        <v>afdegb</v>
      </c>
      <c r="AP187" s="12" t="str">
        <f>IFERROR(__xludf.DUMMYFUNCTION("CONCATENATE(SORT(TRANSPOSE(SPLIT(REGEXREPLACE(REGEXREPLACE(AO187&amp;"""",""(?s)(.{1})"",""$1""&amp;CHAR(127)),""'"",""''""),CHAR(127))),1,true),""1"")"),"abdefg1")</f>
        <v>abdefg1</v>
      </c>
      <c r="AQ187" s="16"/>
      <c r="AR187" s="12" t="str">
        <f t="shared" si="5"/>
        <v>eg</v>
      </c>
      <c r="AS187" s="12" t="str">
        <f>IFERROR(__xludf.DUMMYFUNCTION("CONCATENATE(SORT(TRANSPOSE(SPLIT(REGEXREPLACE(REGEXREPLACE(AR187&amp;"""",""(?s)(.{1})"",""$1""&amp;CHAR(127)),""'"",""''""),CHAR(127))),1,true),""1"")"),"eg1")</f>
        <v>eg1</v>
      </c>
      <c r="AT187" s="16"/>
      <c r="AU187" s="13" t="str">
        <f>IFERROR(__xludf.DUMMYFUNCTION("FILTER($K187:$T187,len($K187:$T187)=5,NOT($K187:$T187=BD187),NOT($K187:$T187=BP187))"),"cdefb")</f>
        <v>cdefb</v>
      </c>
      <c r="AV187" s="12" t="str">
        <f>IFERROR(__xludf.DUMMYFUNCTION("CONCATENATE(SORT(TRANSPOSE(SPLIT(REGEXREPLACE(REGEXREPLACE(AU187&amp;"""",""(?s)(.{1})"",""$1""&amp;CHAR(127)),""'"",""''""),CHAR(127))),1,true),""1"")"),"bcdef1")</f>
        <v>bcdef1</v>
      </c>
      <c r="AW187" s="16"/>
      <c r="AX187" s="10" t="str">
        <f>IFERROR(__xludf.DUMMYFUNCTION("FILTER($K187:$T187,len($K187:$T187)=5)"),"dabcg")</f>
        <v>dabcg</v>
      </c>
      <c r="AY187" s="6" t="str">
        <f>IFERROR(__xludf.DUMMYFUNCTION("""COMPUTED_VALUE"""),"cdefb")</f>
        <v>cdefb</v>
      </c>
      <c r="AZ187" s="6" t="str">
        <f>IFERROR(__xludf.DUMMYFUNCTION("""COMPUTED_VALUE"""),"gebcd")</f>
        <v>gebcd</v>
      </c>
      <c r="BA187" s="6" t="str">
        <f>IFERROR(__xludf.DUMMYFUNCTION("REGEXREPLACE( $AR187, CONCATENATE(""["",AX187,""]""), """")"),"e")</f>
        <v>e</v>
      </c>
      <c r="BB187" s="6" t="str">
        <f>IFERROR(__xludf.DUMMYFUNCTION("REGEXREPLACE( $AR187, CONCATENATE(""["",AY187,""]""), """")"),"g")</f>
        <v>g</v>
      </c>
      <c r="BC187" s="6" t="str">
        <f>IFERROR(__xludf.DUMMYFUNCTION("REGEXREPLACE( $AR187, CONCATENATE(""["",AZ187,""]""), """")"),"")</f>
        <v/>
      </c>
      <c r="BD187" s="11" t="str">
        <f t="shared" si="6"/>
        <v>gebcd</v>
      </c>
      <c r="BE187" s="12" t="str">
        <f>IFERROR(__xludf.DUMMYFUNCTION("CONCATENATE(SORT(TRANSPOSE(SPLIT(REGEXREPLACE(REGEXREPLACE(BD187&amp;"""",""(?s)(.{1})"",""$1""&amp;CHAR(127)),""'"",""''""),CHAR(127))),1,true),""1"")"),"bcdeg1")</f>
        <v>bcdeg1</v>
      </c>
      <c r="BF187" s="16"/>
      <c r="BG187" s="12" t="str">
        <f t="shared" si="7"/>
        <v>egac</v>
      </c>
      <c r="BH187" s="12" t="str">
        <f>IFERROR(__xludf.DUMMYFUNCTION("CONCATENATE(SORT(TRANSPOSE(SPLIT(REGEXREPLACE(REGEXREPLACE(BG187&amp;"""",""(?s)(.{1})"",""$1""&amp;CHAR(127)),""'"",""''""),CHAR(127))),1,true),""1"")"),"aceg1")</f>
        <v>aceg1</v>
      </c>
      <c r="BI187" s="16"/>
      <c r="BJ187" s="10" t="str">
        <f>IFERROR(__xludf.DUMMYFUNCTION("FILTER($K187:$T187,len($K187:$T187)=5)"),"dabcg")</f>
        <v>dabcg</v>
      </c>
      <c r="BK187" s="6" t="str">
        <f>IFERROR(__xludf.DUMMYFUNCTION("""COMPUTED_VALUE"""),"cdefb")</f>
        <v>cdefb</v>
      </c>
      <c r="BL187" s="6" t="str">
        <f>IFERROR(__xludf.DUMMYFUNCTION("""COMPUTED_VALUE"""),"gebcd")</f>
        <v>gebcd</v>
      </c>
      <c r="BM187" s="14" t="str">
        <f>IFERROR(__xludf.DUMMYFUNCTION("REGEXREPLACE( $BY187, CONCATENATE(""["",BJ187,""]""), """")"),"f")</f>
        <v>f</v>
      </c>
      <c r="BN187" s="14" t="str">
        <f>IFERROR(__xludf.DUMMYFUNCTION("REGEXREPLACE( $BY187, CONCATENATE(""["",BK187,""]""), """")"),"ag")</f>
        <v>ag</v>
      </c>
      <c r="BO187" s="14" t="str">
        <f>IFERROR(__xludf.DUMMYFUNCTION("REGEXREPLACE( $BY187, CONCATENATE(""["",BL187,""]""), """")"),"af")</f>
        <v>af</v>
      </c>
      <c r="BP187" s="11" t="str">
        <f t="shared" si="8"/>
        <v>dabcg</v>
      </c>
      <c r="BQ187" s="12" t="str">
        <f>IFERROR(__xludf.DUMMYFUNCTION("CONCATENATE(SORT(TRANSPOSE(SPLIT(REGEXREPLACE(REGEXREPLACE(BP187&amp;"""",""(?s)(.{1})"",""$1""&amp;CHAR(127)),""'"",""''""),CHAR(127))),1,true),""1"")"),"abcdg1")</f>
        <v>abcdg1</v>
      </c>
      <c r="BR187" s="16"/>
      <c r="BS187" s="10" t="str">
        <f>IFERROR(__xludf.DUMMYFUNCTION("FILTER(K187:T187,len(K187:T187)=6)"),"afdegb")</f>
        <v>afdegb</v>
      </c>
      <c r="BT187" s="6" t="str">
        <f>IFERROR(__xludf.DUMMYFUNCTION("""COMPUTED_VALUE"""),"eacgbd")</f>
        <v>eacgbd</v>
      </c>
      <c r="BU187" s="6" t="str">
        <f>IFERROR(__xludf.DUMMYFUNCTION("""COMPUTED_VALUE"""),"bdafcg")</f>
        <v>bdafcg</v>
      </c>
      <c r="BV187" s="6" t="str">
        <f>IFERROR(__xludf.DUMMYFUNCTION("REGEXREPLACE( $AR187, CONCATENATE(""["",BS187,""]""), """")"),"")</f>
        <v/>
      </c>
      <c r="BW187" s="6" t="str">
        <f>IFERROR(__xludf.DUMMYFUNCTION("REGEXREPLACE( $AR187, CONCATENATE(""["",BT187,""]""), """")"),"")</f>
        <v/>
      </c>
      <c r="BX187" s="6" t="str">
        <f>IFERROR(__xludf.DUMMYFUNCTION("REGEXREPLACE( $AR187, CONCATENATE(""["",BU187,""]""), """")"),"e")</f>
        <v>e</v>
      </c>
      <c r="BY187" s="12" t="str">
        <f t="shared" si="9"/>
        <v>bdafcg</v>
      </c>
      <c r="BZ187" s="12" t="str">
        <f>IFERROR(__xludf.DUMMYFUNCTION("CONCATENATE(SORT(TRANSPOSE(SPLIT(REGEXREPLACE(REGEXREPLACE(BY187&amp;"""",""(?s)(.{1})"",""$1""&amp;CHAR(127)),""'"",""''""),CHAR(127))),1,true),""1"")"),"abcdfg1")</f>
        <v>abcdfg1</v>
      </c>
      <c r="CA187" s="16"/>
      <c r="CB187" s="12" t="str">
        <f t="shared" si="10"/>
        <v>egd</v>
      </c>
      <c r="CC187" s="12" t="str">
        <f>IFERROR(__xludf.DUMMYFUNCTION("CONCATENATE(SORT(TRANSPOSE(SPLIT(REGEXREPLACE(REGEXREPLACE(CB187&amp;"""",""(?s)(.{1})"",""$1""&amp;CHAR(127)),""'"",""''""),CHAR(127))),1,true),""1"")"),"deg1")</f>
        <v>deg1</v>
      </c>
      <c r="CD187" s="16"/>
      <c r="CE187" s="12" t="str">
        <f t="shared" si="11"/>
        <v>ebfdcga</v>
      </c>
      <c r="CF187" s="12" t="str">
        <f>IFERROR(__xludf.DUMMYFUNCTION("CONCATENATE(SORT(TRANSPOSE(SPLIT(REGEXREPLACE(REGEXREPLACE(CE187&amp;"""",""(?s)(.{1})"",""$1""&amp;CHAR(127)),""'"",""''""),CHAR(127))),1,true),""1"")"),"abcdefg1")</f>
        <v>abcdefg1</v>
      </c>
      <c r="CG187" s="16"/>
      <c r="CH187" s="10" t="str">
        <f>IFERROR(__xludf.DUMMYFUNCTION("FILTER(K187:T187,len(K187:T187)=6)"),"afdegb")</f>
        <v>afdegb</v>
      </c>
      <c r="CI187" s="6" t="str">
        <f>IFERROR(__xludf.DUMMYFUNCTION("""COMPUTED_VALUE"""),"eacgbd")</f>
        <v>eacgbd</v>
      </c>
      <c r="CJ187" s="6" t="str">
        <f>IFERROR(__xludf.DUMMYFUNCTION("""COMPUTED_VALUE"""),"bdafcg")</f>
        <v>bdafcg</v>
      </c>
      <c r="CK187" s="6" t="str">
        <f>IFERROR(__xludf.DUMMYFUNCTION("REGEXREPLACE( $BG187, CONCATENATE(""["",CH187,""]""), """")"),"c")</f>
        <v>c</v>
      </c>
      <c r="CL187" s="6" t="str">
        <f>IFERROR(__xludf.DUMMYFUNCTION("REGEXREPLACE( $BG187, CONCATENATE(""["",CI187,""]""), """")"),"")</f>
        <v/>
      </c>
      <c r="CM187" s="6" t="str">
        <f>IFERROR(__xludf.DUMMYFUNCTION("REGEXREPLACE( $BG187, CONCATENATE(""["",CJ187,""]""), """")"),"e")</f>
        <v>e</v>
      </c>
      <c r="CN187" s="12" t="str">
        <f t="shared" si="12"/>
        <v>eacgbd</v>
      </c>
      <c r="CO187" s="12" t="str">
        <f>IFERROR(__xludf.DUMMYFUNCTION("CONCATENATE(SORT(TRANSPOSE(SPLIT(REGEXREPLACE(REGEXREPLACE(CN187&amp;"""",""(?s)(.{1})"",""$1""&amp;CHAR(127)),""'"",""''""),CHAR(127))),1,true),""1"")"),"abcdeg1")</f>
        <v>abcdeg1</v>
      </c>
      <c r="CP187" s="15"/>
    </row>
    <row r="188">
      <c r="A188" s="1" t="s">
        <v>208</v>
      </c>
      <c r="H188" s="6" t="str">
        <f>IFERROR(__xludf.DUMMYFUNCTION("SPLIT(A188,""|"")"),"gcb bfdcea bg cgade bdfce bfgd dbegc cegfab befcgd dfcabge ")</f>
        <v>gcb bfdcea bg cgade bdfce bfgd dbegc cegfab befcgd dfcabge </v>
      </c>
      <c r="I188" s="6" t="str">
        <f>IFERROR(__xludf.DUMMYFUNCTION("""COMPUTED_VALUE""")," efcbgad edgfcba fdgb afgcbe")</f>
        <v> efcbgad edgfcba fdgb afgcbe</v>
      </c>
      <c r="J188" s="15"/>
      <c r="K188" s="6" t="str">
        <f>IFERROR(__xludf.DUMMYFUNCTION("split(H188,"" "")"),"gcb")</f>
        <v>gcb</v>
      </c>
      <c r="L188" s="6" t="str">
        <f>IFERROR(__xludf.DUMMYFUNCTION("""COMPUTED_VALUE"""),"bfdcea")</f>
        <v>bfdcea</v>
      </c>
      <c r="M188" s="6" t="str">
        <f>IFERROR(__xludf.DUMMYFUNCTION("""COMPUTED_VALUE"""),"bg")</f>
        <v>bg</v>
      </c>
      <c r="N188" s="6" t="str">
        <f>IFERROR(__xludf.DUMMYFUNCTION("""COMPUTED_VALUE"""),"cgade")</f>
        <v>cgade</v>
      </c>
      <c r="O188" s="6" t="str">
        <f>IFERROR(__xludf.DUMMYFUNCTION("""COMPUTED_VALUE"""),"bdfce")</f>
        <v>bdfce</v>
      </c>
      <c r="P188" s="6" t="str">
        <f>IFERROR(__xludf.DUMMYFUNCTION("""COMPUTED_VALUE"""),"bfgd")</f>
        <v>bfgd</v>
      </c>
      <c r="Q188" s="6" t="str">
        <f>IFERROR(__xludf.DUMMYFUNCTION("""COMPUTED_VALUE"""),"dbegc")</f>
        <v>dbegc</v>
      </c>
      <c r="R188" s="6" t="str">
        <f>IFERROR(__xludf.DUMMYFUNCTION("""COMPUTED_VALUE"""),"cegfab")</f>
        <v>cegfab</v>
      </c>
      <c r="S188" s="6" t="str">
        <f>IFERROR(__xludf.DUMMYFUNCTION("""COMPUTED_VALUE"""),"befcgd")</f>
        <v>befcgd</v>
      </c>
      <c r="T188" s="6" t="str">
        <f>IFERROR(__xludf.DUMMYFUNCTION("""COMPUTED_VALUE"""),"dfcabge")</f>
        <v>dfcabge</v>
      </c>
      <c r="U188" s="15"/>
      <c r="V188" s="6" t="str">
        <f>IFERROR(__xludf.DUMMYFUNCTION("split(I188,"" "")"),"efcbgad")</f>
        <v>efcbgad</v>
      </c>
      <c r="W188" s="6" t="str">
        <f>IFERROR(__xludf.DUMMYFUNCTION("""COMPUTED_VALUE"""),"edgfcba")</f>
        <v>edgfcba</v>
      </c>
      <c r="X188" s="6" t="str">
        <f>IFERROR(__xludf.DUMMYFUNCTION("""COMPUTED_VALUE"""),"fdgb")</f>
        <v>fdgb</v>
      </c>
      <c r="Y188" s="6" t="str">
        <f>IFERROR(__xludf.DUMMYFUNCTION("""COMPUTED_VALUE"""),"afgcbe")</f>
        <v>afgcbe</v>
      </c>
      <c r="Z188" s="6" t="str">
        <f>IFERROR(__xludf.DUMMYFUNCTION("CONCATENATE(SORT(TRANSPOSE(SPLIT(REGEXREPLACE(REGEXREPLACE(V188&amp;"""",""(?s)(.{1})"",""$1""&amp;CHAR(127)),""'"",""''""),CHAR(127))),1,true))"),"abcdefg")</f>
        <v>abcdefg</v>
      </c>
      <c r="AA188" s="6" t="str">
        <f>IFERROR(__xludf.DUMMYFUNCTION("CONCATENATE(SORT(TRANSPOSE(SPLIT(REGEXREPLACE(REGEXREPLACE(W188&amp;"""",""(?s)(.{1})"",""$1""&amp;CHAR(127)),""'"",""''""),CHAR(127))),1,true))"),"abcdefg")</f>
        <v>abcdefg</v>
      </c>
      <c r="AB188" s="6" t="str">
        <f>IFERROR(__xludf.DUMMYFUNCTION("CONCATENATE(SORT(TRANSPOSE(SPLIT(REGEXREPLACE(REGEXREPLACE(X188&amp;"""",""(?s)(.{1})"",""$1""&amp;CHAR(127)),""'"",""''""),CHAR(127))),1,true))"),"bdfg")</f>
        <v>bdfg</v>
      </c>
      <c r="AC188" s="6" t="str">
        <f>IFERROR(__xludf.DUMMYFUNCTION("CONCATENATE(SORT(TRANSPOSE(SPLIT(REGEXREPLACE(REGEXREPLACE(Y188&amp;"""",""(?s)(.{1})"",""$1""&amp;CHAR(127)),""'"",""''""),CHAR(127))),1,true))"),"abcefg")</f>
        <v>abcefg</v>
      </c>
      <c r="AD188" s="6">
        <f t="shared" ref="AD188:AG188" si="198">INDEX($AO$1:$CP$1,1,MATCH(CONCATENATE(Z188,"1"),$AO188:$CP188,0)+1)</f>
        <v>8</v>
      </c>
      <c r="AE188" s="6">
        <f t="shared" si="198"/>
        <v>8</v>
      </c>
      <c r="AF188" s="6">
        <f t="shared" si="198"/>
        <v>4</v>
      </c>
      <c r="AG188" s="6">
        <f t="shared" si="198"/>
        <v>0</v>
      </c>
      <c r="AH188" s="6">
        <f t="shared" si="3"/>
        <v>8840</v>
      </c>
      <c r="AI188" s="16"/>
      <c r="AJ188" s="9" t="str">
        <f>IFERROR(__xludf.DUMMYFUNCTION("REGEXREPLACE(AR188,CONCATENATE(""["",BY188,""]""),"""")"),"g")</f>
        <v>g</v>
      </c>
      <c r="AK188" s="10" t="str">
        <f>IFERROR(__xludf.DUMMYFUNCTION("FILTER($K188:$T188,len($K188:$T188)=6,NOT($K188:$T188=BY188))"),"cegfab")</f>
        <v>cegfab</v>
      </c>
      <c r="AL188" s="6" t="str">
        <f>IFERROR(__xludf.DUMMYFUNCTION("""COMPUTED_VALUE"""),"befcgd")</f>
        <v>befcgd</v>
      </c>
      <c r="AM188" s="6" t="str">
        <f>IFERROR(__xludf.DUMMYFUNCTION("REGEXREPLACE( $BG188, CONCATENATE(""["",AK188,""]""), """")"),"d")</f>
        <v>d</v>
      </c>
      <c r="AN188" s="6" t="str">
        <f>IFERROR(__xludf.DUMMYFUNCTION("REGEXREPLACE( $BG188, CONCATENATE(""["",AL188,""]""), """")"),"")</f>
        <v/>
      </c>
      <c r="AO188" s="11" t="str">
        <f t="shared" si="4"/>
        <v>cegfab</v>
      </c>
      <c r="AP188" s="12" t="str">
        <f>IFERROR(__xludf.DUMMYFUNCTION("CONCATENATE(SORT(TRANSPOSE(SPLIT(REGEXREPLACE(REGEXREPLACE(AO188&amp;"""",""(?s)(.{1})"",""$1""&amp;CHAR(127)),""'"",""''""),CHAR(127))),1,true),""1"")"),"abcefg1")</f>
        <v>abcefg1</v>
      </c>
      <c r="AQ188" s="16"/>
      <c r="AR188" s="12" t="str">
        <f t="shared" si="5"/>
        <v>bg</v>
      </c>
      <c r="AS188" s="12" t="str">
        <f>IFERROR(__xludf.DUMMYFUNCTION("CONCATENATE(SORT(TRANSPOSE(SPLIT(REGEXREPLACE(REGEXREPLACE(AR188&amp;"""",""(?s)(.{1})"",""$1""&amp;CHAR(127)),""'"",""''""),CHAR(127))),1,true),""1"")"),"bg1")</f>
        <v>bg1</v>
      </c>
      <c r="AT188" s="16"/>
      <c r="AU188" s="13" t="str">
        <f>IFERROR(__xludf.DUMMYFUNCTION("FILTER($K188:$T188,len($K188:$T188)=5,NOT($K188:$T188=BD188),NOT($K188:$T188=BP188))"),"cgade")</f>
        <v>cgade</v>
      </c>
      <c r="AV188" s="12" t="str">
        <f>IFERROR(__xludf.DUMMYFUNCTION("CONCATENATE(SORT(TRANSPOSE(SPLIT(REGEXREPLACE(REGEXREPLACE(AU188&amp;"""",""(?s)(.{1})"",""$1""&amp;CHAR(127)),""'"",""''""),CHAR(127))),1,true),""1"")"),"acdeg1")</f>
        <v>acdeg1</v>
      </c>
      <c r="AW188" s="16"/>
      <c r="AX188" s="10" t="str">
        <f>IFERROR(__xludf.DUMMYFUNCTION("FILTER($K188:$T188,len($K188:$T188)=5)"),"cgade")</f>
        <v>cgade</v>
      </c>
      <c r="AY188" s="6" t="str">
        <f>IFERROR(__xludf.DUMMYFUNCTION("""COMPUTED_VALUE"""),"bdfce")</f>
        <v>bdfce</v>
      </c>
      <c r="AZ188" s="6" t="str">
        <f>IFERROR(__xludf.DUMMYFUNCTION("""COMPUTED_VALUE"""),"dbegc")</f>
        <v>dbegc</v>
      </c>
      <c r="BA188" s="6" t="str">
        <f>IFERROR(__xludf.DUMMYFUNCTION("REGEXREPLACE( $AR188, CONCATENATE(""["",AX188,""]""), """")"),"b")</f>
        <v>b</v>
      </c>
      <c r="BB188" s="6" t="str">
        <f>IFERROR(__xludf.DUMMYFUNCTION("REGEXREPLACE( $AR188, CONCATENATE(""["",AY188,""]""), """")"),"g")</f>
        <v>g</v>
      </c>
      <c r="BC188" s="6" t="str">
        <f>IFERROR(__xludf.DUMMYFUNCTION("REGEXREPLACE( $AR188, CONCATENATE(""["",AZ188,""]""), """")"),"")</f>
        <v/>
      </c>
      <c r="BD188" s="11" t="str">
        <f t="shared" si="6"/>
        <v>dbegc</v>
      </c>
      <c r="BE188" s="12" t="str">
        <f>IFERROR(__xludf.DUMMYFUNCTION("CONCATENATE(SORT(TRANSPOSE(SPLIT(REGEXREPLACE(REGEXREPLACE(BD188&amp;"""",""(?s)(.{1})"",""$1""&amp;CHAR(127)),""'"",""''""),CHAR(127))),1,true),""1"")"),"bcdeg1")</f>
        <v>bcdeg1</v>
      </c>
      <c r="BF188" s="16"/>
      <c r="BG188" s="12" t="str">
        <f t="shared" si="7"/>
        <v>bfgd</v>
      </c>
      <c r="BH188" s="12" t="str">
        <f>IFERROR(__xludf.DUMMYFUNCTION("CONCATENATE(SORT(TRANSPOSE(SPLIT(REGEXREPLACE(REGEXREPLACE(BG188&amp;"""",""(?s)(.{1})"",""$1""&amp;CHAR(127)),""'"",""''""),CHAR(127))),1,true),""1"")"),"bdfg1")</f>
        <v>bdfg1</v>
      </c>
      <c r="BI188" s="16"/>
      <c r="BJ188" s="10" t="str">
        <f>IFERROR(__xludf.DUMMYFUNCTION("FILTER($K188:$T188,len($K188:$T188)=5)"),"cgade")</f>
        <v>cgade</v>
      </c>
      <c r="BK188" s="6" t="str">
        <f>IFERROR(__xludf.DUMMYFUNCTION("""COMPUTED_VALUE"""),"bdfce")</f>
        <v>bdfce</v>
      </c>
      <c r="BL188" s="6" t="str">
        <f>IFERROR(__xludf.DUMMYFUNCTION("""COMPUTED_VALUE"""),"dbegc")</f>
        <v>dbegc</v>
      </c>
      <c r="BM188" s="14" t="str">
        <f>IFERROR(__xludf.DUMMYFUNCTION("REGEXREPLACE( $BY188, CONCATENATE(""["",BJ188,""]""), """")"),"bf")</f>
        <v>bf</v>
      </c>
      <c r="BN188" s="14" t="str">
        <f>IFERROR(__xludf.DUMMYFUNCTION("REGEXREPLACE( $BY188, CONCATENATE(""["",BK188,""]""), """")"),"a")</f>
        <v>a</v>
      </c>
      <c r="BO188" s="14" t="str">
        <f>IFERROR(__xludf.DUMMYFUNCTION("REGEXREPLACE( $BY188, CONCATENATE(""["",BL188,""]""), """")"),"fa")</f>
        <v>fa</v>
      </c>
      <c r="BP188" s="11" t="str">
        <f t="shared" si="8"/>
        <v>bdfce</v>
      </c>
      <c r="BQ188" s="12" t="str">
        <f>IFERROR(__xludf.DUMMYFUNCTION("CONCATENATE(SORT(TRANSPOSE(SPLIT(REGEXREPLACE(REGEXREPLACE(BP188&amp;"""",""(?s)(.{1})"",""$1""&amp;CHAR(127)),""'"",""''""),CHAR(127))),1,true),""1"")"),"bcdef1")</f>
        <v>bcdef1</v>
      </c>
      <c r="BR188" s="16"/>
      <c r="BS188" s="10" t="str">
        <f>IFERROR(__xludf.DUMMYFUNCTION("FILTER(K188:T188,len(K188:T188)=6)"),"bfdcea")</f>
        <v>bfdcea</v>
      </c>
      <c r="BT188" s="6" t="str">
        <f>IFERROR(__xludf.DUMMYFUNCTION("""COMPUTED_VALUE"""),"cegfab")</f>
        <v>cegfab</v>
      </c>
      <c r="BU188" s="6" t="str">
        <f>IFERROR(__xludf.DUMMYFUNCTION("""COMPUTED_VALUE"""),"befcgd")</f>
        <v>befcgd</v>
      </c>
      <c r="BV188" s="6" t="str">
        <f>IFERROR(__xludf.DUMMYFUNCTION("REGEXREPLACE( $AR188, CONCATENATE(""["",BS188,""]""), """")"),"g")</f>
        <v>g</v>
      </c>
      <c r="BW188" s="6" t="str">
        <f>IFERROR(__xludf.DUMMYFUNCTION("REGEXREPLACE( $AR188, CONCATENATE(""["",BT188,""]""), """")"),"")</f>
        <v/>
      </c>
      <c r="BX188" s="6" t="str">
        <f>IFERROR(__xludf.DUMMYFUNCTION("REGEXREPLACE( $AR188, CONCATENATE(""["",BU188,""]""), """")"),"")</f>
        <v/>
      </c>
      <c r="BY188" s="12" t="str">
        <f t="shared" si="9"/>
        <v>bfdcea</v>
      </c>
      <c r="BZ188" s="12" t="str">
        <f>IFERROR(__xludf.DUMMYFUNCTION("CONCATENATE(SORT(TRANSPOSE(SPLIT(REGEXREPLACE(REGEXREPLACE(BY188&amp;"""",""(?s)(.{1})"",""$1""&amp;CHAR(127)),""'"",""''""),CHAR(127))),1,true),""1"")"),"abcdef1")</f>
        <v>abcdef1</v>
      </c>
      <c r="CA188" s="16"/>
      <c r="CB188" s="12" t="str">
        <f t="shared" si="10"/>
        <v>gcb</v>
      </c>
      <c r="CC188" s="12" t="str">
        <f>IFERROR(__xludf.DUMMYFUNCTION("CONCATENATE(SORT(TRANSPOSE(SPLIT(REGEXREPLACE(REGEXREPLACE(CB188&amp;"""",""(?s)(.{1})"",""$1""&amp;CHAR(127)),""'"",""''""),CHAR(127))),1,true),""1"")"),"bcg1")</f>
        <v>bcg1</v>
      </c>
      <c r="CD188" s="16"/>
      <c r="CE188" s="12" t="str">
        <f t="shared" si="11"/>
        <v>dfcabge</v>
      </c>
      <c r="CF188" s="12" t="str">
        <f>IFERROR(__xludf.DUMMYFUNCTION("CONCATENATE(SORT(TRANSPOSE(SPLIT(REGEXREPLACE(REGEXREPLACE(CE188&amp;"""",""(?s)(.{1})"",""$1""&amp;CHAR(127)),""'"",""''""),CHAR(127))),1,true),""1"")"),"abcdefg1")</f>
        <v>abcdefg1</v>
      </c>
      <c r="CG188" s="16"/>
      <c r="CH188" s="10" t="str">
        <f>IFERROR(__xludf.DUMMYFUNCTION("FILTER(K188:T188,len(K188:T188)=6)"),"bfdcea")</f>
        <v>bfdcea</v>
      </c>
      <c r="CI188" s="6" t="str">
        <f>IFERROR(__xludf.DUMMYFUNCTION("""COMPUTED_VALUE"""),"cegfab")</f>
        <v>cegfab</v>
      </c>
      <c r="CJ188" s="6" t="str">
        <f>IFERROR(__xludf.DUMMYFUNCTION("""COMPUTED_VALUE"""),"befcgd")</f>
        <v>befcgd</v>
      </c>
      <c r="CK188" s="6" t="str">
        <f>IFERROR(__xludf.DUMMYFUNCTION("REGEXREPLACE( $BG188, CONCATENATE(""["",CH188,""]""), """")"),"g")</f>
        <v>g</v>
      </c>
      <c r="CL188" s="6" t="str">
        <f>IFERROR(__xludf.DUMMYFUNCTION("REGEXREPLACE( $BG188, CONCATENATE(""["",CI188,""]""), """")"),"d")</f>
        <v>d</v>
      </c>
      <c r="CM188" s="6" t="str">
        <f>IFERROR(__xludf.DUMMYFUNCTION("REGEXREPLACE( $BG188, CONCATENATE(""["",CJ188,""]""), """")"),"")</f>
        <v/>
      </c>
      <c r="CN188" s="12" t="str">
        <f t="shared" si="12"/>
        <v>befcgd</v>
      </c>
      <c r="CO188" s="12" t="str">
        <f>IFERROR(__xludf.DUMMYFUNCTION("CONCATENATE(SORT(TRANSPOSE(SPLIT(REGEXREPLACE(REGEXREPLACE(CN188&amp;"""",""(?s)(.{1})"",""$1""&amp;CHAR(127)),""'"",""''""),CHAR(127))),1,true),""1"")"),"bcdefg1")</f>
        <v>bcdefg1</v>
      </c>
      <c r="CP188" s="15"/>
    </row>
    <row r="189">
      <c r="A189" s="1" t="s">
        <v>209</v>
      </c>
      <c r="H189" s="6" t="str">
        <f>IFERROR(__xludf.DUMMYFUNCTION("SPLIT(A189,""|"")"),"adbecg cad fgacbe gfcda decf dc afbgd fgace dcegaf ecafdbg ")</f>
        <v>adbecg cad fgacbe gfcda decf dc afbgd fgace dcegaf ecafdbg </v>
      </c>
      <c r="I189" s="6" t="str">
        <f>IFERROR(__xludf.DUMMYFUNCTION("""COMPUTED_VALUE""")," acgebfd dc cda fgcea")</f>
        <v> acgebfd dc cda fgcea</v>
      </c>
      <c r="J189" s="15"/>
      <c r="K189" s="6" t="str">
        <f>IFERROR(__xludf.DUMMYFUNCTION("split(H189,"" "")"),"adbecg")</f>
        <v>adbecg</v>
      </c>
      <c r="L189" s="6" t="str">
        <f>IFERROR(__xludf.DUMMYFUNCTION("""COMPUTED_VALUE"""),"cad")</f>
        <v>cad</v>
      </c>
      <c r="M189" s="6" t="str">
        <f>IFERROR(__xludf.DUMMYFUNCTION("""COMPUTED_VALUE"""),"fgacbe")</f>
        <v>fgacbe</v>
      </c>
      <c r="N189" s="6" t="str">
        <f>IFERROR(__xludf.DUMMYFUNCTION("""COMPUTED_VALUE"""),"gfcda")</f>
        <v>gfcda</v>
      </c>
      <c r="O189" s="6" t="str">
        <f>IFERROR(__xludf.DUMMYFUNCTION("""COMPUTED_VALUE"""),"decf")</f>
        <v>decf</v>
      </c>
      <c r="P189" s="6" t="str">
        <f>IFERROR(__xludf.DUMMYFUNCTION("""COMPUTED_VALUE"""),"dc")</f>
        <v>dc</v>
      </c>
      <c r="Q189" s="6" t="str">
        <f>IFERROR(__xludf.DUMMYFUNCTION("""COMPUTED_VALUE"""),"afbgd")</f>
        <v>afbgd</v>
      </c>
      <c r="R189" s="6" t="str">
        <f>IFERROR(__xludf.DUMMYFUNCTION("""COMPUTED_VALUE"""),"fgace")</f>
        <v>fgace</v>
      </c>
      <c r="S189" s="6" t="str">
        <f>IFERROR(__xludf.DUMMYFUNCTION("""COMPUTED_VALUE"""),"dcegaf")</f>
        <v>dcegaf</v>
      </c>
      <c r="T189" s="6" t="str">
        <f>IFERROR(__xludf.DUMMYFUNCTION("""COMPUTED_VALUE"""),"ecafdbg")</f>
        <v>ecafdbg</v>
      </c>
      <c r="U189" s="15"/>
      <c r="V189" s="6" t="str">
        <f>IFERROR(__xludf.DUMMYFUNCTION("split(I189,"" "")"),"acgebfd")</f>
        <v>acgebfd</v>
      </c>
      <c r="W189" s="6" t="str">
        <f>IFERROR(__xludf.DUMMYFUNCTION("""COMPUTED_VALUE"""),"dc")</f>
        <v>dc</v>
      </c>
      <c r="X189" s="6" t="str">
        <f>IFERROR(__xludf.DUMMYFUNCTION("""COMPUTED_VALUE"""),"cda")</f>
        <v>cda</v>
      </c>
      <c r="Y189" s="6" t="str">
        <f>IFERROR(__xludf.DUMMYFUNCTION("""COMPUTED_VALUE"""),"fgcea")</f>
        <v>fgcea</v>
      </c>
      <c r="Z189" s="6" t="str">
        <f>IFERROR(__xludf.DUMMYFUNCTION("CONCATENATE(SORT(TRANSPOSE(SPLIT(REGEXREPLACE(REGEXREPLACE(V189&amp;"""",""(?s)(.{1})"",""$1""&amp;CHAR(127)),""'"",""''""),CHAR(127))),1,true))"),"abcdefg")</f>
        <v>abcdefg</v>
      </c>
      <c r="AA189" s="6" t="str">
        <f>IFERROR(__xludf.DUMMYFUNCTION("CONCATENATE(SORT(TRANSPOSE(SPLIT(REGEXREPLACE(REGEXREPLACE(W189&amp;"""",""(?s)(.{1})"",""$1""&amp;CHAR(127)),""'"",""''""),CHAR(127))),1,true))"),"cd")</f>
        <v>cd</v>
      </c>
      <c r="AB189" s="6" t="str">
        <f>IFERROR(__xludf.DUMMYFUNCTION("CONCATENATE(SORT(TRANSPOSE(SPLIT(REGEXREPLACE(REGEXREPLACE(X189&amp;"""",""(?s)(.{1})"",""$1""&amp;CHAR(127)),""'"",""''""),CHAR(127))),1,true))"),"acd")</f>
        <v>acd</v>
      </c>
      <c r="AC189" s="6" t="str">
        <f>IFERROR(__xludf.DUMMYFUNCTION("CONCATENATE(SORT(TRANSPOSE(SPLIT(REGEXREPLACE(REGEXREPLACE(Y189&amp;"""",""(?s)(.{1})"",""$1""&amp;CHAR(127)),""'"",""''""),CHAR(127))),1,true))"),"acefg")</f>
        <v>acefg</v>
      </c>
      <c r="AD189" s="6">
        <f t="shared" ref="AD189:AG189" si="199">INDEX($AO$1:$CP$1,1,MATCH(CONCATENATE(Z189,"1"),$AO189:$CP189,0)+1)</f>
        <v>8</v>
      </c>
      <c r="AE189" s="6">
        <f t="shared" si="199"/>
        <v>1</v>
      </c>
      <c r="AF189" s="6">
        <f t="shared" si="199"/>
        <v>7</v>
      </c>
      <c r="AG189" s="6">
        <f t="shared" si="199"/>
        <v>5</v>
      </c>
      <c r="AH189" s="6">
        <f t="shared" si="3"/>
        <v>8175</v>
      </c>
      <c r="AI189" s="16"/>
      <c r="AJ189" s="9" t="str">
        <f>IFERROR(__xludf.DUMMYFUNCTION("REGEXREPLACE(AR189,CONCATENATE(""["",BY189,""]""),"""")"),"d")</f>
        <v>d</v>
      </c>
      <c r="AK189" s="10" t="str">
        <f>IFERROR(__xludf.DUMMYFUNCTION("FILTER($K189:$T189,len($K189:$T189)=6,NOT($K189:$T189=BY189))"),"adbecg")</f>
        <v>adbecg</v>
      </c>
      <c r="AL189" s="6" t="str">
        <f>IFERROR(__xludf.DUMMYFUNCTION("""COMPUTED_VALUE"""),"dcegaf")</f>
        <v>dcegaf</v>
      </c>
      <c r="AM189" s="6" t="str">
        <f>IFERROR(__xludf.DUMMYFUNCTION("REGEXREPLACE( $BG189, CONCATENATE(""["",AK189,""]""), """")"),"f")</f>
        <v>f</v>
      </c>
      <c r="AN189" s="6" t="str">
        <f>IFERROR(__xludf.DUMMYFUNCTION("REGEXREPLACE( $BG189, CONCATENATE(""["",AL189,""]""), """")"),"")</f>
        <v/>
      </c>
      <c r="AO189" s="11" t="str">
        <f t="shared" si="4"/>
        <v>adbecg</v>
      </c>
      <c r="AP189" s="12" t="str">
        <f>IFERROR(__xludf.DUMMYFUNCTION("CONCATENATE(SORT(TRANSPOSE(SPLIT(REGEXREPLACE(REGEXREPLACE(AO189&amp;"""",""(?s)(.{1})"",""$1""&amp;CHAR(127)),""'"",""''""),CHAR(127))),1,true),""1"")"),"abcdeg1")</f>
        <v>abcdeg1</v>
      </c>
      <c r="AQ189" s="16"/>
      <c r="AR189" s="12" t="str">
        <f t="shared" si="5"/>
        <v>dc</v>
      </c>
      <c r="AS189" s="12" t="str">
        <f>IFERROR(__xludf.DUMMYFUNCTION("CONCATENATE(SORT(TRANSPOSE(SPLIT(REGEXREPLACE(REGEXREPLACE(AR189&amp;"""",""(?s)(.{1})"",""$1""&amp;CHAR(127)),""'"",""''""),CHAR(127))),1,true),""1"")"),"cd1")</f>
        <v>cd1</v>
      </c>
      <c r="AT189" s="16"/>
      <c r="AU189" s="13" t="str">
        <f>IFERROR(__xludf.DUMMYFUNCTION("FILTER($K189:$T189,len($K189:$T189)=5,NOT($K189:$T189=BD189),NOT($K189:$T189=BP189))"),"afbgd")</f>
        <v>afbgd</v>
      </c>
      <c r="AV189" s="12" t="str">
        <f>IFERROR(__xludf.DUMMYFUNCTION("CONCATENATE(SORT(TRANSPOSE(SPLIT(REGEXREPLACE(REGEXREPLACE(AU189&amp;"""",""(?s)(.{1})"",""$1""&amp;CHAR(127)),""'"",""''""),CHAR(127))),1,true),""1"")"),"abdfg1")</f>
        <v>abdfg1</v>
      </c>
      <c r="AW189" s="16"/>
      <c r="AX189" s="10" t="str">
        <f>IFERROR(__xludf.DUMMYFUNCTION("FILTER($K189:$T189,len($K189:$T189)=5)"),"gfcda")</f>
        <v>gfcda</v>
      </c>
      <c r="AY189" s="6" t="str">
        <f>IFERROR(__xludf.DUMMYFUNCTION("""COMPUTED_VALUE"""),"afbgd")</f>
        <v>afbgd</v>
      </c>
      <c r="AZ189" s="6" t="str">
        <f>IFERROR(__xludf.DUMMYFUNCTION("""COMPUTED_VALUE"""),"fgace")</f>
        <v>fgace</v>
      </c>
      <c r="BA189" s="6" t="str">
        <f>IFERROR(__xludf.DUMMYFUNCTION("REGEXREPLACE( $AR189, CONCATENATE(""["",AX189,""]""), """")"),"")</f>
        <v/>
      </c>
      <c r="BB189" s="6" t="str">
        <f>IFERROR(__xludf.DUMMYFUNCTION("REGEXREPLACE( $AR189, CONCATENATE(""["",AY189,""]""), """")"),"c")</f>
        <v>c</v>
      </c>
      <c r="BC189" s="6" t="str">
        <f>IFERROR(__xludf.DUMMYFUNCTION("REGEXREPLACE( $AR189, CONCATENATE(""["",AZ189,""]""), """")"),"d")</f>
        <v>d</v>
      </c>
      <c r="BD189" s="11" t="str">
        <f t="shared" si="6"/>
        <v>gfcda</v>
      </c>
      <c r="BE189" s="12" t="str">
        <f>IFERROR(__xludf.DUMMYFUNCTION("CONCATENATE(SORT(TRANSPOSE(SPLIT(REGEXREPLACE(REGEXREPLACE(BD189&amp;"""",""(?s)(.{1})"",""$1""&amp;CHAR(127)),""'"",""''""),CHAR(127))),1,true),""1"")"),"acdfg1")</f>
        <v>acdfg1</v>
      </c>
      <c r="BF189" s="16"/>
      <c r="BG189" s="12" t="str">
        <f t="shared" si="7"/>
        <v>decf</v>
      </c>
      <c r="BH189" s="12" t="str">
        <f>IFERROR(__xludf.DUMMYFUNCTION("CONCATENATE(SORT(TRANSPOSE(SPLIT(REGEXREPLACE(REGEXREPLACE(BG189&amp;"""",""(?s)(.{1})"",""$1""&amp;CHAR(127)),""'"",""''""),CHAR(127))),1,true),""1"")"),"cdef1")</f>
        <v>cdef1</v>
      </c>
      <c r="BI189" s="16"/>
      <c r="BJ189" s="10" t="str">
        <f>IFERROR(__xludf.DUMMYFUNCTION("FILTER($K189:$T189,len($K189:$T189)=5)"),"gfcda")</f>
        <v>gfcda</v>
      </c>
      <c r="BK189" s="6" t="str">
        <f>IFERROR(__xludf.DUMMYFUNCTION("""COMPUTED_VALUE"""),"afbgd")</f>
        <v>afbgd</v>
      </c>
      <c r="BL189" s="6" t="str">
        <f>IFERROR(__xludf.DUMMYFUNCTION("""COMPUTED_VALUE"""),"fgace")</f>
        <v>fgace</v>
      </c>
      <c r="BM189" s="14" t="str">
        <f>IFERROR(__xludf.DUMMYFUNCTION("REGEXREPLACE( $BY189, CONCATENATE(""["",BJ189,""]""), """")"),"be")</f>
        <v>be</v>
      </c>
      <c r="BN189" s="14" t="str">
        <f>IFERROR(__xludf.DUMMYFUNCTION("REGEXREPLACE( $BY189, CONCATENATE(""["",BK189,""]""), """")"),"ce")</f>
        <v>ce</v>
      </c>
      <c r="BO189" s="14" t="str">
        <f>IFERROR(__xludf.DUMMYFUNCTION("REGEXREPLACE( $BY189, CONCATENATE(""["",BL189,""]""), """")"),"b")</f>
        <v>b</v>
      </c>
      <c r="BP189" s="11" t="str">
        <f t="shared" si="8"/>
        <v>fgace</v>
      </c>
      <c r="BQ189" s="12" t="str">
        <f>IFERROR(__xludf.DUMMYFUNCTION("CONCATENATE(SORT(TRANSPOSE(SPLIT(REGEXREPLACE(REGEXREPLACE(BP189&amp;"""",""(?s)(.{1})"",""$1""&amp;CHAR(127)),""'"",""''""),CHAR(127))),1,true),""1"")"),"acefg1")</f>
        <v>acefg1</v>
      </c>
      <c r="BR189" s="16"/>
      <c r="BS189" s="10" t="str">
        <f>IFERROR(__xludf.DUMMYFUNCTION("FILTER(K189:T189,len(K189:T189)=6)"),"adbecg")</f>
        <v>adbecg</v>
      </c>
      <c r="BT189" s="6" t="str">
        <f>IFERROR(__xludf.DUMMYFUNCTION("""COMPUTED_VALUE"""),"fgacbe")</f>
        <v>fgacbe</v>
      </c>
      <c r="BU189" s="6" t="str">
        <f>IFERROR(__xludf.DUMMYFUNCTION("""COMPUTED_VALUE"""),"dcegaf")</f>
        <v>dcegaf</v>
      </c>
      <c r="BV189" s="6" t="str">
        <f>IFERROR(__xludf.DUMMYFUNCTION("REGEXREPLACE( $AR189, CONCATENATE(""["",BS189,""]""), """")"),"")</f>
        <v/>
      </c>
      <c r="BW189" s="6" t="str">
        <f>IFERROR(__xludf.DUMMYFUNCTION("REGEXREPLACE( $AR189, CONCATENATE(""["",BT189,""]""), """")"),"d")</f>
        <v>d</v>
      </c>
      <c r="BX189" s="6" t="str">
        <f>IFERROR(__xludf.DUMMYFUNCTION("REGEXREPLACE( $AR189, CONCATENATE(""["",BU189,""]""), """")"),"")</f>
        <v/>
      </c>
      <c r="BY189" s="12" t="str">
        <f t="shared" si="9"/>
        <v>fgacbe</v>
      </c>
      <c r="BZ189" s="12" t="str">
        <f>IFERROR(__xludf.DUMMYFUNCTION("CONCATENATE(SORT(TRANSPOSE(SPLIT(REGEXREPLACE(REGEXREPLACE(BY189&amp;"""",""(?s)(.{1})"",""$1""&amp;CHAR(127)),""'"",""''""),CHAR(127))),1,true),""1"")"),"abcefg1")</f>
        <v>abcefg1</v>
      </c>
      <c r="CA189" s="16"/>
      <c r="CB189" s="12" t="str">
        <f t="shared" si="10"/>
        <v>cad</v>
      </c>
      <c r="CC189" s="12" t="str">
        <f>IFERROR(__xludf.DUMMYFUNCTION("CONCATENATE(SORT(TRANSPOSE(SPLIT(REGEXREPLACE(REGEXREPLACE(CB189&amp;"""",""(?s)(.{1})"",""$1""&amp;CHAR(127)),""'"",""''""),CHAR(127))),1,true),""1"")"),"acd1")</f>
        <v>acd1</v>
      </c>
      <c r="CD189" s="16"/>
      <c r="CE189" s="12" t="str">
        <f t="shared" si="11"/>
        <v>ecafdbg</v>
      </c>
      <c r="CF189" s="12" t="str">
        <f>IFERROR(__xludf.DUMMYFUNCTION("CONCATENATE(SORT(TRANSPOSE(SPLIT(REGEXREPLACE(REGEXREPLACE(CE189&amp;"""",""(?s)(.{1})"",""$1""&amp;CHAR(127)),""'"",""''""),CHAR(127))),1,true),""1"")"),"abcdefg1")</f>
        <v>abcdefg1</v>
      </c>
      <c r="CG189" s="16"/>
      <c r="CH189" s="10" t="str">
        <f>IFERROR(__xludf.DUMMYFUNCTION("FILTER(K189:T189,len(K189:T189)=6)"),"adbecg")</f>
        <v>adbecg</v>
      </c>
      <c r="CI189" s="6" t="str">
        <f>IFERROR(__xludf.DUMMYFUNCTION("""COMPUTED_VALUE"""),"fgacbe")</f>
        <v>fgacbe</v>
      </c>
      <c r="CJ189" s="6" t="str">
        <f>IFERROR(__xludf.DUMMYFUNCTION("""COMPUTED_VALUE"""),"dcegaf")</f>
        <v>dcegaf</v>
      </c>
      <c r="CK189" s="6" t="str">
        <f>IFERROR(__xludf.DUMMYFUNCTION("REGEXREPLACE( $BG189, CONCATENATE(""["",CH189,""]""), """")"),"f")</f>
        <v>f</v>
      </c>
      <c r="CL189" s="6" t="str">
        <f>IFERROR(__xludf.DUMMYFUNCTION("REGEXREPLACE( $BG189, CONCATENATE(""["",CI189,""]""), """")"),"d")</f>
        <v>d</v>
      </c>
      <c r="CM189" s="6" t="str">
        <f>IFERROR(__xludf.DUMMYFUNCTION("REGEXREPLACE( $BG189, CONCATENATE(""["",CJ189,""]""), """")"),"")</f>
        <v/>
      </c>
      <c r="CN189" s="12" t="str">
        <f t="shared" si="12"/>
        <v>dcegaf</v>
      </c>
      <c r="CO189" s="12" t="str">
        <f>IFERROR(__xludf.DUMMYFUNCTION("CONCATENATE(SORT(TRANSPOSE(SPLIT(REGEXREPLACE(REGEXREPLACE(CN189&amp;"""",""(?s)(.{1})"",""$1""&amp;CHAR(127)),""'"",""''""),CHAR(127))),1,true),""1"")"),"acdefg1")</f>
        <v>acdefg1</v>
      </c>
      <c r="CP189" s="15"/>
    </row>
    <row r="190">
      <c r="A190" s="1" t="s">
        <v>210</v>
      </c>
      <c r="H190" s="6" t="str">
        <f>IFERROR(__xludf.DUMMYFUNCTION("SPLIT(A190,""|"")"),"egbfad bdfca bg dfabg bagdecf egab fagde ecfdag bgf fgedcb ")</f>
        <v>egbfad bdfca bg dfabg bagdecf egab fagde ecfdag bgf fgedcb </v>
      </c>
      <c r="I190" s="6" t="str">
        <f>IFERROR(__xludf.DUMMYFUNCTION("""COMPUTED_VALUE""")," dfacb gb dgaef fbdac")</f>
        <v> dfacb gb dgaef fbdac</v>
      </c>
      <c r="J190" s="15"/>
      <c r="K190" s="6" t="str">
        <f>IFERROR(__xludf.DUMMYFUNCTION("split(H190,"" "")"),"egbfad")</f>
        <v>egbfad</v>
      </c>
      <c r="L190" s="6" t="str">
        <f>IFERROR(__xludf.DUMMYFUNCTION("""COMPUTED_VALUE"""),"bdfca")</f>
        <v>bdfca</v>
      </c>
      <c r="M190" s="6" t="str">
        <f>IFERROR(__xludf.DUMMYFUNCTION("""COMPUTED_VALUE"""),"bg")</f>
        <v>bg</v>
      </c>
      <c r="N190" s="6" t="str">
        <f>IFERROR(__xludf.DUMMYFUNCTION("""COMPUTED_VALUE"""),"dfabg")</f>
        <v>dfabg</v>
      </c>
      <c r="O190" s="6" t="str">
        <f>IFERROR(__xludf.DUMMYFUNCTION("""COMPUTED_VALUE"""),"bagdecf")</f>
        <v>bagdecf</v>
      </c>
      <c r="P190" s="6" t="str">
        <f>IFERROR(__xludf.DUMMYFUNCTION("""COMPUTED_VALUE"""),"egab")</f>
        <v>egab</v>
      </c>
      <c r="Q190" s="6" t="str">
        <f>IFERROR(__xludf.DUMMYFUNCTION("""COMPUTED_VALUE"""),"fagde")</f>
        <v>fagde</v>
      </c>
      <c r="R190" s="6" t="str">
        <f>IFERROR(__xludf.DUMMYFUNCTION("""COMPUTED_VALUE"""),"ecfdag")</f>
        <v>ecfdag</v>
      </c>
      <c r="S190" s="6" t="str">
        <f>IFERROR(__xludf.DUMMYFUNCTION("""COMPUTED_VALUE"""),"bgf")</f>
        <v>bgf</v>
      </c>
      <c r="T190" s="6" t="str">
        <f>IFERROR(__xludf.DUMMYFUNCTION("""COMPUTED_VALUE"""),"fgedcb")</f>
        <v>fgedcb</v>
      </c>
      <c r="U190" s="15"/>
      <c r="V190" s="6" t="str">
        <f>IFERROR(__xludf.DUMMYFUNCTION("split(I190,"" "")"),"dfacb")</f>
        <v>dfacb</v>
      </c>
      <c r="W190" s="6" t="str">
        <f>IFERROR(__xludf.DUMMYFUNCTION("""COMPUTED_VALUE"""),"gb")</f>
        <v>gb</v>
      </c>
      <c r="X190" s="6" t="str">
        <f>IFERROR(__xludf.DUMMYFUNCTION("""COMPUTED_VALUE"""),"dgaef")</f>
        <v>dgaef</v>
      </c>
      <c r="Y190" s="6" t="str">
        <f>IFERROR(__xludf.DUMMYFUNCTION("""COMPUTED_VALUE"""),"fbdac")</f>
        <v>fbdac</v>
      </c>
      <c r="Z190" s="6" t="str">
        <f>IFERROR(__xludf.DUMMYFUNCTION("CONCATENATE(SORT(TRANSPOSE(SPLIT(REGEXREPLACE(REGEXREPLACE(V190&amp;"""",""(?s)(.{1})"",""$1""&amp;CHAR(127)),""'"",""''""),CHAR(127))),1,true))"),"abcdf")</f>
        <v>abcdf</v>
      </c>
      <c r="AA190" s="6" t="str">
        <f>IFERROR(__xludf.DUMMYFUNCTION("CONCATENATE(SORT(TRANSPOSE(SPLIT(REGEXREPLACE(REGEXREPLACE(W190&amp;"""",""(?s)(.{1})"",""$1""&amp;CHAR(127)),""'"",""''""),CHAR(127))),1,true))"),"bg")</f>
        <v>bg</v>
      </c>
      <c r="AB190" s="6" t="str">
        <f>IFERROR(__xludf.DUMMYFUNCTION("CONCATENATE(SORT(TRANSPOSE(SPLIT(REGEXREPLACE(REGEXREPLACE(X190&amp;"""",""(?s)(.{1})"",""$1""&amp;CHAR(127)),""'"",""''""),CHAR(127))),1,true))"),"adefg")</f>
        <v>adefg</v>
      </c>
      <c r="AC190" s="6" t="str">
        <f>IFERROR(__xludf.DUMMYFUNCTION("CONCATENATE(SORT(TRANSPOSE(SPLIT(REGEXREPLACE(REGEXREPLACE(Y190&amp;"""",""(?s)(.{1})"",""$1""&amp;CHAR(127)),""'"",""''""),CHAR(127))),1,true))"),"abcdf")</f>
        <v>abcdf</v>
      </c>
      <c r="AD190" s="6">
        <f t="shared" ref="AD190:AG190" si="200">INDEX($AO$1:$CP$1,1,MATCH(CONCATENATE(Z190,"1"),$AO190:$CP190,0)+1)</f>
        <v>2</v>
      </c>
      <c r="AE190" s="6">
        <f t="shared" si="200"/>
        <v>1</v>
      </c>
      <c r="AF190" s="6">
        <f t="shared" si="200"/>
        <v>5</v>
      </c>
      <c r="AG190" s="6">
        <f t="shared" si="200"/>
        <v>2</v>
      </c>
      <c r="AH190" s="6">
        <f t="shared" si="3"/>
        <v>2152</v>
      </c>
      <c r="AI190" s="16"/>
      <c r="AJ190" s="9" t="str">
        <f>IFERROR(__xludf.DUMMYFUNCTION("REGEXREPLACE(AR190,CONCATENATE(""["",BY190,""]""),"""")"),"b")</f>
        <v>b</v>
      </c>
      <c r="AK190" s="10" t="str">
        <f>IFERROR(__xludf.DUMMYFUNCTION("FILTER($K190:$T190,len($K190:$T190)=6,NOT($K190:$T190=BY190))"),"egbfad")</f>
        <v>egbfad</v>
      </c>
      <c r="AL190" s="6" t="str">
        <f>IFERROR(__xludf.DUMMYFUNCTION("""COMPUTED_VALUE"""),"fgedcb")</f>
        <v>fgedcb</v>
      </c>
      <c r="AM190" s="6" t="str">
        <f>IFERROR(__xludf.DUMMYFUNCTION("REGEXREPLACE( $BG190, CONCATENATE(""["",AK190,""]""), """")"),"")</f>
        <v/>
      </c>
      <c r="AN190" s="6" t="str">
        <f>IFERROR(__xludf.DUMMYFUNCTION("REGEXREPLACE( $BG190, CONCATENATE(""["",AL190,""]""), """")"),"a")</f>
        <v>a</v>
      </c>
      <c r="AO190" s="11" t="str">
        <f t="shared" si="4"/>
        <v>fgedcb</v>
      </c>
      <c r="AP190" s="12" t="str">
        <f>IFERROR(__xludf.DUMMYFUNCTION("CONCATENATE(SORT(TRANSPOSE(SPLIT(REGEXREPLACE(REGEXREPLACE(AO190&amp;"""",""(?s)(.{1})"",""$1""&amp;CHAR(127)),""'"",""''""),CHAR(127))),1,true),""1"")"),"bcdefg1")</f>
        <v>bcdefg1</v>
      </c>
      <c r="AQ190" s="16"/>
      <c r="AR190" s="12" t="str">
        <f t="shared" si="5"/>
        <v>bg</v>
      </c>
      <c r="AS190" s="12" t="str">
        <f>IFERROR(__xludf.DUMMYFUNCTION("CONCATENATE(SORT(TRANSPOSE(SPLIT(REGEXREPLACE(REGEXREPLACE(AR190&amp;"""",""(?s)(.{1})"",""$1""&amp;CHAR(127)),""'"",""''""),CHAR(127))),1,true),""1"")"),"bg1")</f>
        <v>bg1</v>
      </c>
      <c r="AT190" s="16"/>
      <c r="AU190" s="13" t="str">
        <f>IFERROR(__xludf.DUMMYFUNCTION("FILTER($K190:$T190,len($K190:$T190)=5,NOT($K190:$T190=BD190),NOT($K190:$T190=BP190))"),"bdfca")</f>
        <v>bdfca</v>
      </c>
      <c r="AV190" s="12" t="str">
        <f>IFERROR(__xludf.DUMMYFUNCTION("CONCATENATE(SORT(TRANSPOSE(SPLIT(REGEXREPLACE(REGEXREPLACE(AU190&amp;"""",""(?s)(.{1})"",""$1""&amp;CHAR(127)),""'"",""''""),CHAR(127))),1,true),""1"")"),"abcdf1")</f>
        <v>abcdf1</v>
      </c>
      <c r="AW190" s="16"/>
      <c r="AX190" s="10" t="str">
        <f>IFERROR(__xludf.DUMMYFUNCTION("FILTER($K190:$T190,len($K190:$T190)=5)"),"bdfca")</f>
        <v>bdfca</v>
      </c>
      <c r="AY190" s="6" t="str">
        <f>IFERROR(__xludf.DUMMYFUNCTION("""COMPUTED_VALUE"""),"dfabg")</f>
        <v>dfabg</v>
      </c>
      <c r="AZ190" s="6" t="str">
        <f>IFERROR(__xludf.DUMMYFUNCTION("""COMPUTED_VALUE"""),"fagde")</f>
        <v>fagde</v>
      </c>
      <c r="BA190" s="6" t="str">
        <f>IFERROR(__xludf.DUMMYFUNCTION("REGEXREPLACE( $AR190, CONCATENATE(""["",AX190,""]""), """")"),"g")</f>
        <v>g</v>
      </c>
      <c r="BB190" s="6" t="str">
        <f>IFERROR(__xludf.DUMMYFUNCTION("REGEXREPLACE( $AR190, CONCATENATE(""["",AY190,""]""), """")"),"")</f>
        <v/>
      </c>
      <c r="BC190" s="6" t="str">
        <f>IFERROR(__xludf.DUMMYFUNCTION("REGEXREPLACE( $AR190, CONCATENATE(""["",AZ190,""]""), """")"),"b")</f>
        <v>b</v>
      </c>
      <c r="BD190" s="11" t="str">
        <f t="shared" si="6"/>
        <v>dfabg</v>
      </c>
      <c r="BE190" s="12" t="str">
        <f>IFERROR(__xludf.DUMMYFUNCTION("CONCATENATE(SORT(TRANSPOSE(SPLIT(REGEXREPLACE(REGEXREPLACE(BD190&amp;"""",""(?s)(.{1})"",""$1""&amp;CHAR(127)),""'"",""''""),CHAR(127))),1,true),""1"")"),"abdfg1")</f>
        <v>abdfg1</v>
      </c>
      <c r="BF190" s="16"/>
      <c r="BG190" s="12" t="str">
        <f t="shared" si="7"/>
        <v>egab</v>
      </c>
      <c r="BH190" s="12" t="str">
        <f>IFERROR(__xludf.DUMMYFUNCTION("CONCATENATE(SORT(TRANSPOSE(SPLIT(REGEXREPLACE(REGEXREPLACE(BG190&amp;"""",""(?s)(.{1})"",""$1""&amp;CHAR(127)),""'"",""''""),CHAR(127))),1,true),""1"")"),"abeg1")</f>
        <v>abeg1</v>
      </c>
      <c r="BI190" s="16"/>
      <c r="BJ190" s="10" t="str">
        <f>IFERROR(__xludf.DUMMYFUNCTION("FILTER($K190:$T190,len($K190:$T190)=5)"),"bdfca")</f>
        <v>bdfca</v>
      </c>
      <c r="BK190" s="6" t="str">
        <f>IFERROR(__xludf.DUMMYFUNCTION("""COMPUTED_VALUE"""),"dfabg")</f>
        <v>dfabg</v>
      </c>
      <c r="BL190" s="6" t="str">
        <f>IFERROR(__xludf.DUMMYFUNCTION("""COMPUTED_VALUE"""),"fagde")</f>
        <v>fagde</v>
      </c>
      <c r="BM190" s="14" t="str">
        <f>IFERROR(__xludf.DUMMYFUNCTION("REGEXREPLACE( $BY190, CONCATENATE(""["",BJ190,""]""), """")"),"eg")</f>
        <v>eg</v>
      </c>
      <c r="BN190" s="14" t="str">
        <f>IFERROR(__xludf.DUMMYFUNCTION("REGEXREPLACE( $BY190, CONCATENATE(""["",BK190,""]""), """")"),"ec")</f>
        <v>ec</v>
      </c>
      <c r="BO190" s="14" t="str">
        <f>IFERROR(__xludf.DUMMYFUNCTION("REGEXREPLACE( $BY190, CONCATENATE(""["",BL190,""]""), """")"),"c")</f>
        <v>c</v>
      </c>
      <c r="BP190" s="11" t="str">
        <f t="shared" si="8"/>
        <v>fagde</v>
      </c>
      <c r="BQ190" s="12" t="str">
        <f>IFERROR(__xludf.DUMMYFUNCTION("CONCATENATE(SORT(TRANSPOSE(SPLIT(REGEXREPLACE(REGEXREPLACE(BP190&amp;"""",""(?s)(.{1})"",""$1""&amp;CHAR(127)),""'"",""''""),CHAR(127))),1,true),""1"")"),"adefg1")</f>
        <v>adefg1</v>
      </c>
      <c r="BR190" s="16"/>
      <c r="BS190" s="10" t="str">
        <f>IFERROR(__xludf.DUMMYFUNCTION("FILTER(K190:T190,len(K190:T190)=6)"),"egbfad")</f>
        <v>egbfad</v>
      </c>
      <c r="BT190" s="6" t="str">
        <f>IFERROR(__xludf.DUMMYFUNCTION("""COMPUTED_VALUE"""),"ecfdag")</f>
        <v>ecfdag</v>
      </c>
      <c r="BU190" s="6" t="str">
        <f>IFERROR(__xludf.DUMMYFUNCTION("""COMPUTED_VALUE"""),"fgedcb")</f>
        <v>fgedcb</v>
      </c>
      <c r="BV190" s="6" t="str">
        <f>IFERROR(__xludf.DUMMYFUNCTION("REGEXREPLACE( $AR190, CONCATENATE(""["",BS190,""]""), """")"),"")</f>
        <v/>
      </c>
      <c r="BW190" s="6" t="str">
        <f>IFERROR(__xludf.DUMMYFUNCTION("REGEXREPLACE( $AR190, CONCATENATE(""["",BT190,""]""), """")"),"b")</f>
        <v>b</v>
      </c>
      <c r="BX190" s="6" t="str">
        <f>IFERROR(__xludf.DUMMYFUNCTION("REGEXREPLACE( $AR190, CONCATENATE(""["",BU190,""]""), """")"),"")</f>
        <v/>
      </c>
      <c r="BY190" s="12" t="str">
        <f t="shared" si="9"/>
        <v>ecfdag</v>
      </c>
      <c r="BZ190" s="12" t="str">
        <f>IFERROR(__xludf.DUMMYFUNCTION("CONCATENATE(SORT(TRANSPOSE(SPLIT(REGEXREPLACE(REGEXREPLACE(BY190&amp;"""",""(?s)(.{1})"",""$1""&amp;CHAR(127)),""'"",""''""),CHAR(127))),1,true),""1"")"),"acdefg1")</f>
        <v>acdefg1</v>
      </c>
      <c r="CA190" s="16"/>
      <c r="CB190" s="12" t="str">
        <f t="shared" si="10"/>
        <v>bgf</v>
      </c>
      <c r="CC190" s="12" t="str">
        <f>IFERROR(__xludf.DUMMYFUNCTION("CONCATENATE(SORT(TRANSPOSE(SPLIT(REGEXREPLACE(REGEXREPLACE(CB190&amp;"""",""(?s)(.{1})"",""$1""&amp;CHAR(127)),""'"",""''""),CHAR(127))),1,true),""1"")"),"bfg1")</f>
        <v>bfg1</v>
      </c>
      <c r="CD190" s="16"/>
      <c r="CE190" s="12" t="str">
        <f t="shared" si="11"/>
        <v>bagdecf</v>
      </c>
      <c r="CF190" s="12" t="str">
        <f>IFERROR(__xludf.DUMMYFUNCTION("CONCATENATE(SORT(TRANSPOSE(SPLIT(REGEXREPLACE(REGEXREPLACE(CE190&amp;"""",""(?s)(.{1})"",""$1""&amp;CHAR(127)),""'"",""''""),CHAR(127))),1,true),""1"")"),"abcdefg1")</f>
        <v>abcdefg1</v>
      </c>
      <c r="CG190" s="16"/>
      <c r="CH190" s="10" t="str">
        <f>IFERROR(__xludf.DUMMYFUNCTION("FILTER(K190:T190,len(K190:T190)=6)"),"egbfad")</f>
        <v>egbfad</v>
      </c>
      <c r="CI190" s="6" t="str">
        <f>IFERROR(__xludf.DUMMYFUNCTION("""COMPUTED_VALUE"""),"ecfdag")</f>
        <v>ecfdag</v>
      </c>
      <c r="CJ190" s="6" t="str">
        <f>IFERROR(__xludf.DUMMYFUNCTION("""COMPUTED_VALUE"""),"fgedcb")</f>
        <v>fgedcb</v>
      </c>
      <c r="CK190" s="6" t="str">
        <f>IFERROR(__xludf.DUMMYFUNCTION("REGEXREPLACE( $BG190, CONCATENATE(""["",CH190,""]""), """")"),"")</f>
        <v/>
      </c>
      <c r="CL190" s="6" t="str">
        <f>IFERROR(__xludf.DUMMYFUNCTION("REGEXREPLACE( $BG190, CONCATENATE(""["",CI190,""]""), """")"),"b")</f>
        <v>b</v>
      </c>
      <c r="CM190" s="6" t="str">
        <f>IFERROR(__xludf.DUMMYFUNCTION("REGEXREPLACE( $BG190, CONCATENATE(""["",CJ190,""]""), """")"),"a")</f>
        <v>a</v>
      </c>
      <c r="CN190" s="12" t="str">
        <f t="shared" si="12"/>
        <v>egbfad</v>
      </c>
      <c r="CO190" s="12" t="str">
        <f>IFERROR(__xludf.DUMMYFUNCTION("CONCATENATE(SORT(TRANSPOSE(SPLIT(REGEXREPLACE(REGEXREPLACE(CN190&amp;"""",""(?s)(.{1})"",""$1""&amp;CHAR(127)),""'"",""''""),CHAR(127))),1,true),""1"")"),"abdefg1")</f>
        <v>abdefg1</v>
      </c>
      <c r="CP190" s="15"/>
    </row>
    <row r="191">
      <c r="A191" s="1" t="s">
        <v>211</v>
      </c>
      <c r="H191" s="6" t="str">
        <f>IFERROR(__xludf.DUMMYFUNCTION("SPLIT(A191,""|"")"),"bfdgc ac fdabcg dgcfea cad aegfdbc cebfgd gbac adebf afdbc ")</f>
        <v>bfdgc ac fdabcg dgcfea cad aegfdbc cebfgd gbac adebf afdbc </v>
      </c>
      <c r="I191" s="6" t="str">
        <f>IFERROR(__xludf.DUMMYFUNCTION("""COMPUTED_VALUE""")," ac bdgfc cgafdeb edbfgac")</f>
        <v> ac bdgfc cgafdeb edbfgac</v>
      </c>
      <c r="J191" s="15"/>
      <c r="K191" s="6" t="str">
        <f>IFERROR(__xludf.DUMMYFUNCTION("split(H191,"" "")"),"bfdgc")</f>
        <v>bfdgc</v>
      </c>
      <c r="L191" s="6" t="str">
        <f>IFERROR(__xludf.DUMMYFUNCTION("""COMPUTED_VALUE"""),"ac")</f>
        <v>ac</v>
      </c>
      <c r="M191" s="6" t="str">
        <f>IFERROR(__xludf.DUMMYFUNCTION("""COMPUTED_VALUE"""),"fdabcg")</f>
        <v>fdabcg</v>
      </c>
      <c r="N191" s="6" t="str">
        <f>IFERROR(__xludf.DUMMYFUNCTION("""COMPUTED_VALUE"""),"dgcfea")</f>
        <v>dgcfea</v>
      </c>
      <c r="O191" s="6" t="str">
        <f>IFERROR(__xludf.DUMMYFUNCTION("""COMPUTED_VALUE"""),"cad")</f>
        <v>cad</v>
      </c>
      <c r="P191" s="6" t="str">
        <f>IFERROR(__xludf.DUMMYFUNCTION("""COMPUTED_VALUE"""),"aegfdbc")</f>
        <v>aegfdbc</v>
      </c>
      <c r="Q191" s="6" t="str">
        <f>IFERROR(__xludf.DUMMYFUNCTION("""COMPUTED_VALUE"""),"cebfgd")</f>
        <v>cebfgd</v>
      </c>
      <c r="R191" s="6" t="str">
        <f>IFERROR(__xludf.DUMMYFUNCTION("""COMPUTED_VALUE"""),"gbac")</f>
        <v>gbac</v>
      </c>
      <c r="S191" s="6" t="str">
        <f>IFERROR(__xludf.DUMMYFUNCTION("""COMPUTED_VALUE"""),"adebf")</f>
        <v>adebf</v>
      </c>
      <c r="T191" s="6" t="str">
        <f>IFERROR(__xludf.DUMMYFUNCTION("""COMPUTED_VALUE"""),"afdbc")</f>
        <v>afdbc</v>
      </c>
      <c r="U191" s="15"/>
      <c r="V191" s="6" t="str">
        <f>IFERROR(__xludf.DUMMYFUNCTION("split(I191,"" "")"),"ac")</f>
        <v>ac</v>
      </c>
      <c r="W191" s="6" t="str">
        <f>IFERROR(__xludf.DUMMYFUNCTION("""COMPUTED_VALUE"""),"bdgfc")</f>
        <v>bdgfc</v>
      </c>
      <c r="X191" s="6" t="str">
        <f>IFERROR(__xludf.DUMMYFUNCTION("""COMPUTED_VALUE"""),"cgafdeb")</f>
        <v>cgafdeb</v>
      </c>
      <c r="Y191" s="6" t="str">
        <f>IFERROR(__xludf.DUMMYFUNCTION("""COMPUTED_VALUE"""),"edbfgac")</f>
        <v>edbfgac</v>
      </c>
      <c r="Z191" s="6" t="str">
        <f>IFERROR(__xludf.DUMMYFUNCTION("CONCATENATE(SORT(TRANSPOSE(SPLIT(REGEXREPLACE(REGEXREPLACE(V191&amp;"""",""(?s)(.{1})"",""$1""&amp;CHAR(127)),""'"",""''""),CHAR(127))),1,true))"),"ac")</f>
        <v>ac</v>
      </c>
      <c r="AA191" s="6" t="str">
        <f>IFERROR(__xludf.DUMMYFUNCTION("CONCATENATE(SORT(TRANSPOSE(SPLIT(REGEXREPLACE(REGEXREPLACE(W191&amp;"""",""(?s)(.{1})"",""$1""&amp;CHAR(127)),""'"",""''""),CHAR(127))),1,true))"),"bcdfg")</f>
        <v>bcdfg</v>
      </c>
      <c r="AB191" s="6" t="str">
        <f>IFERROR(__xludf.DUMMYFUNCTION("CONCATENATE(SORT(TRANSPOSE(SPLIT(REGEXREPLACE(REGEXREPLACE(X191&amp;"""",""(?s)(.{1})"",""$1""&amp;CHAR(127)),""'"",""''""),CHAR(127))),1,true))"),"abcdefg")</f>
        <v>abcdefg</v>
      </c>
      <c r="AC191" s="6" t="str">
        <f>IFERROR(__xludf.DUMMYFUNCTION("CONCATENATE(SORT(TRANSPOSE(SPLIT(REGEXREPLACE(REGEXREPLACE(Y191&amp;"""",""(?s)(.{1})"",""$1""&amp;CHAR(127)),""'"",""''""),CHAR(127))),1,true))"),"abcdefg")</f>
        <v>abcdefg</v>
      </c>
      <c r="AD191" s="6">
        <f t="shared" ref="AD191:AG191" si="201">INDEX($AO$1:$CP$1,1,MATCH(CONCATENATE(Z191,"1"),$AO191:$CP191,0)+1)</f>
        <v>1</v>
      </c>
      <c r="AE191" s="6">
        <f t="shared" si="201"/>
        <v>5</v>
      </c>
      <c r="AF191" s="6">
        <f t="shared" si="201"/>
        <v>8</v>
      </c>
      <c r="AG191" s="6">
        <f t="shared" si="201"/>
        <v>8</v>
      </c>
      <c r="AH191" s="6">
        <f t="shared" si="3"/>
        <v>1588</v>
      </c>
      <c r="AI191" s="16"/>
      <c r="AJ191" s="9" t="str">
        <f>IFERROR(__xludf.DUMMYFUNCTION("REGEXREPLACE(AR191,CONCATENATE(""["",BY191,""]""),"""")"),"a")</f>
        <v>a</v>
      </c>
      <c r="AK191" s="10" t="str">
        <f>IFERROR(__xludf.DUMMYFUNCTION("FILTER($K191:$T191,len($K191:$T191)=6,NOT($K191:$T191=BY191))"),"fdabcg")</f>
        <v>fdabcg</v>
      </c>
      <c r="AL191" s="6" t="str">
        <f>IFERROR(__xludf.DUMMYFUNCTION("""COMPUTED_VALUE"""),"dgcfea")</f>
        <v>dgcfea</v>
      </c>
      <c r="AM191" s="6" t="str">
        <f>IFERROR(__xludf.DUMMYFUNCTION("REGEXREPLACE( $BG191, CONCATENATE(""["",AK191,""]""), """")"),"")</f>
        <v/>
      </c>
      <c r="AN191" s="6" t="str">
        <f>IFERROR(__xludf.DUMMYFUNCTION("REGEXREPLACE( $BG191, CONCATENATE(""["",AL191,""]""), """")"),"b")</f>
        <v>b</v>
      </c>
      <c r="AO191" s="11" t="str">
        <f t="shared" si="4"/>
        <v>dgcfea</v>
      </c>
      <c r="AP191" s="12" t="str">
        <f>IFERROR(__xludf.DUMMYFUNCTION("CONCATENATE(SORT(TRANSPOSE(SPLIT(REGEXREPLACE(REGEXREPLACE(AO191&amp;"""",""(?s)(.{1})"",""$1""&amp;CHAR(127)),""'"",""''""),CHAR(127))),1,true),""1"")"),"acdefg1")</f>
        <v>acdefg1</v>
      </c>
      <c r="AQ191" s="16"/>
      <c r="AR191" s="12" t="str">
        <f t="shared" si="5"/>
        <v>ac</v>
      </c>
      <c r="AS191" s="12" t="str">
        <f>IFERROR(__xludf.DUMMYFUNCTION("CONCATENATE(SORT(TRANSPOSE(SPLIT(REGEXREPLACE(REGEXREPLACE(AR191&amp;"""",""(?s)(.{1})"",""$1""&amp;CHAR(127)),""'"",""''""),CHAR(127))),1,true),""1"")"),"ac1")</f>
        <v>ac1</v>
      </c>
      <c r="AT191" s="16"/>
      <c r="AU191" s="13" t="str">
        <f>IFERROR(__xludf.DUMMYFUNCTION("FILTER($K191:$T191,len($K191:$T191)=5,NOT($K191:$T191=BD191),NOT($K191:$T191=BP191))"),"adebf")</f>
        <v>adebf</v>
      </c>
      <c r="AV191" s="12" t="str">
        <f>IFERROR(__xludf.DUMMYFUNCTION("CONCATENATE(SORT(TRANSPOSE(SPLIT(REGEXREPLACE(REGEXREPLACE(AU191&amp;"""",""(?s)(.{1})"",""$1""&amp;CHAR(127)),""'"",""''""),CHAR(127))),1,true),""1"")"),"abdef1")</f>
        <v>abdef1</v>
      </c>
      <c r="AW191" s="16"/>
      <c r="AX191" s="10" t="str">
        <f>IFERROR(__xludf.DUMMYFUNCTION("FILTER($K191:$T191,len($K191:$T191)=5)"),"bfdgc")</f>
        <v>bfdgc</v>
      </c>
      <c r="AY191" s="6" t="str">
        <f>IFERROR(__xludf.DUMMYFUNCTION("""COMPUTED_VALUE"""),"adebf")</f>
        <v>adebf</v>
      </c>
      <c r="AZ191" s="6" t="str">
        <f>IFERROR(__xludf.DUMMYFUNCTION("""COMPUTED_VALUE"""),"afdbc")</f>
        <v>afdbc</v>
      </c>
      <c r="BA191" s="6" t="str">
        <f>IFERROR(__xludf.DUMMYFUNCTION("REGEXREPLACE( $AR191, CONCATENATE(""["",AX191,""]""), """")"),"a")</f>
        <v>a</v>
      </c>
      <c r="BB191" s="6" t="str">
        <f>IFERROR(__xludf.DUMMYFUNCTION("REGEXREPLACE( $AR191, CONCATENATE(""["",AY191,""]""), """")"),"c")</f>
        <v>c</v>
      </c>
      <c r="BC191" s="6" t="str">
        <f>IFERROR(__xludf.DUMMYFUNCTION("REGEXREPLACE( $AR191, CONCATENATE(""["",AZ191,""]""), """")"),"")</f>
        <v/>
      </c>
      <c r="BD191" s="11" t="str">
        <f t="shared" si="6"/>
        <v>afdbc</v>
      </c>
      <c r="BE191" s="12" t="str">
        <f>IFERROR(__xludf.DUMMYFUNCTION("CONCATENATE(SORT(TRANSPOSE(SPLIT(REGEXREPLACE(REGEXREPLACE(BD191&amp;"""",""(?s)(.{1})"",""$1""&amp;CHAR(127)),""'"",""''""),CHAR(127))),1,true),""1"")"),"abcdf1")</f>
        <v>abcdf1</v>
      </c>
      <c r="BF191" s="16"/>
      <c r="BG191" s="12" t="str">
        <f t="shared" si="7"/>
        <v>gbac</v>
      </c>
      <c r="BH191" s="12" t="str">
        <f>IFERROR(__xludf.DUMMYFUNCTION("CONCATENATE(SORT(TRANSPOSE(SPLIT(REGEXREPLACE(REGEXREPLACE(BG191&amp;"""",""(?s)(.{1})"",""$1""&amp;CHAR(127)),""'"",""''""),CHAR(127))),1,true),""1"")"),"abcg1")</f>
        <v>abcg1</v>
      </c>
      <c r="BI191" s="16"/>
      <c r="BJ191" s="10" t="str">
        <f>IFERROR(__xludf.DUMMYFUNCTION("FILTER($K191:$T191,len($K191:$T191)=5)"),"bfdgc")</f>
        <v>bfdgc</v>
      </c>
      <c r="BK191" s="6" t="str">
        <f>IFERROR(__xludf.DUMMYFUNCTION("""COMPUTED_VALUE"""),"adebf")</f>
        <v>adebf</v>
      </c>
      <c r="BL191" s="6" t="str">
        <f>IFERROR(__xludf.DUMMYFUNCTION("""COMPUTED_VALUE"""),"afdbc")</f>
        <v>afdbc</v>
      </c>
      <c r="BM191" s="14" t="str">
        <f>IFERROR(__xludf.DUMMYFUNCTION("REGEXREPLACE( $BY191, CONCATENATE(""["",BJ191,""]""), """")"),"e")</f>
        <v>e</v>
      </c>
      <c r="BN191" s="14" t="str">
        <f>IFERROR(__xludf.DUMMYFUNCTION("REGEXREPLACE( $BY191, CONCATENATE(""["",BK191,""]""), """")"),"cg")</f>
        <v>cg</v>
      </c>
      <c r="BO191" s="14" t="str">
        <f>IFERROR(__xludf.DUMMYFUNCTION("REGEXREPLACE( $BY191, CONCATENATE(""["",BL191,""]""), """")"),"eg")</f>
        <v>eg</v>
      </c>
      <c r="BP191" s="11" t="str">
        <f t="shared" si="8"/>
        <v>bfdgc</v>
      </c>
      <c r="BQ191" s="12" t="str">
        <f>IFERROR(__xludf.DUMMYFUNCTION("CONCATENATE(SORT(TRANSPOSE(SPLIT(REGEXREPLACE(REGEXREPLACE(BP191&amp;"""",""(?s)(.{1})"",""$1""&amp;CHAR(127)),""'"",""''""),CHAR(127))),1,true),""1"")"),"bcdfg1")</f>
        <v>bcdfg1</v>
      </c>
      <c r="BR191" s="16"/>
      <c r="BS191" s="10" t="str">
        <f>IFERROR(__xludf.DUMMYFUNCTION("FILTER(K191:T191,len(K191:T191)=6)"),"fdabcg")</f>
        <v>fdabcg</v>
      </c>
      <c r="BT191" s="6" t="str">
        <f>IFERROR(__xludf.DUMMYFUNCTION("""COMPUTED_VALUE"""),"dgcfea")</f>
        <v>dgcfea</v>
      </c>
      <c r="BU191" s="6" t="str">
        <f>IFERROR(__xludf.DUMMYFUNCTION("""COMPUTED_VALUE"""),"cebfgd")</f>
        <v>cebfgd</v>
      </c>
      <c r="BV191" s="6" t="str">
        <f>IFERROR(__xludf.DUMMYFUNCTION("REGEXREPLACE( $AR191, CONCATENATE(""["",BS191,""]""), """")"),"")</f>
        <v/>
      </c>
      <c r="BW191" s="6" t="str">
        <f>IFERROR(__xludf.DUMMYFUNCTION("REGEXREPLACE( $AR191, CONCATENATE(""["",BT191,""]""), """")"),"")</f>
        <v/>
      </c>
      <c r="BX191" s="6" t="str">
        <f>IFERROR(__xludf.DUMMYFUNCTION("REGEXREPLACE( $AR191, CONCATENATE(""["",BU191,""]""), """")"),"a")</f>
        <v>a</v>
      </c>
      <c r="BY191" s="12" t="str">
        <f t="shared" si="9"/>
        <v>cebfgd</v>
      </c>
      <c r="BZ191" s="12" t="str">
        <f>IFERROR(__xludf.DUMMYFUNCTION("CONCATENATE(SORT(TRANSPOSE(SPLIT(REGEXREPLACE(REGEXREPLACE(BY191&amp;"""",""(?s)(.{1})"",""$1""&amp;CHAR(127)),""'"",""''""),CHAR(127))),1,true),""1"")"),"bcdefg1")</f>
        <v>bcdefg1</v>
      </c>
      <c r="CA191" s="16"/>
      <c r="CB191" s="12" t="str">
        <f t="shared" si="10"/>
        <v>cad</v>
      </c>
      <c r="CC191" s="12" t="str">
        <f>IFERROR(__xludf.DUMMYFUNCTION("CONCATENATE(SORT(TRANSPOSE(SPLIT(REGEXREPLACE(REGEXREPLACE(CB191&amp;"""",""(?s)(.{1})"",""$1""&amp;CHAR(127)),""'"",""''""),CHAR(127))),1,true),""1"")"),"acd1")</f>
        <v>acd1</v>
      </c>
      <c r="CD191" s="16"/>
      <c r="CE191" s="12" t="str">
        <f t="shared" si="11"/>
        <v>aegfdbc</v>
      </c>
      <c r="CF191" s="12" t="str">
        <f>IFERROR(__xludf.DUMMYFUNCTION("CONCATENATE(SORT(TRANSPOSE(SPLIT(REGEXREPLACE(REGEXREPLACE(CE191&amp;"""",""(?s)(.{1})"",""$1""&amp;CHAR(127)),""'"",""''""),CHAR(127))),1,true),""1"")"),"abcdefg1")</f>
        <v>abcdefg1</v>
      </c>
      <c r="CG191" s="16"/>
      <c r="CH191" s="10" t="str">
        <f>IFERROR(__xludf.DUMMYFUNCTION("FILTER(K191:T191,len(K191:T191)=6)"),"fdabcg")</f>
        <v>fdabcg</v>
      </c>
      <c r="CI191" s="6" t="str">
        <f>IFERROR(__xludf.DUMMYFUNCTION("""COMPUTED_VALUE"""),"dgcfea")</f>
        <v>dgcfea</v>
      </c>
      <c r="CJ191" s="6" t="str">
        <f>IFERROR(__xludf.DUMMYFUNCTION("""COMPUTED_VALUE"""),"cebfgd")</f>
        <v>cebfgd</v>
      </c>
      <c r="CK191" s="6" t="str">
        <f>IFERROR(__xludf.DUMMYFUNCTION("REGEXREPLACE( $BG191, CONCATENATE(""["",CH191,""]""), """")"),"")</f>
        <v/>
      </c>
      <c r="CL191" s="6" t="str">
        <f>IFERROR(__xludf.DUMMYFUNCTION("REGEXREPLACE( $BG191, CONCATENATE(""["",CI191,""]""), """")"),"b")</f>
        <v>b</v>
      </c>
      <c r="CM191" s="6" t="str">
        <f>IFERROR(__xludf.DUMMYFUNCTION("REGEXREPLACE( $BG191, CONCATENATE(""["",CJ191,""]""), """")"),"a")</f>
        <v>a</v>
      </c>
      <c r="CN191" s="12" t="str">
        <f t="shared" si="12"/>
        <v>fdabcg</v>
      </c>
      <c r="CO191" s="12" t="str">
        <f>IFERROR(__xludf.DUMMYFUNCTION("CONCATENATE(SORT(TRANSPOSE(SPLIT(REGEXREPLACE(REGEXREPLACE(CN191&amp;"""",""(?s)(.{1})"",""$1""&amp;CHAR(127)),""'"",""''""),CHAR(127))),1,true),""1"")"),"abcdfg1")</f>
        <v>abcdfg1</v>
      </c>
      <c r="CP191" s="15"/>
    </row>
    <row r="192">
      <c r="A192" s="1" t="s">
        <v>212</v>
      </c>
      <c r="H192" s="6" t="str">
        <f>IFERROR(__xludf.DUMMYFUNCTION("SPLIT(A192,""|"")"),"gbacedf cadbef gedc agcbf cbaedg cbade ecgab eg bgfade age ")</f>
        <v>gbacedf cadbef gedc agcbf cbaedg cbade ecgab eg bgfade age </v>
      </c>
      <c r="I192" s="6" t="str">
        <f>IFERROR(__xludf.DUMMYFUNCTION("""COMPUTED_VALUE""")," gdfbaec dcebfa dgfabe ega")</f>
        <v> gdfbaec dcebfa dgfabe ega</v>
      </c>
      <c r="J192" s="15"/>
      <c r="K192" s="6" t="str">
        <f>IFERROR(__xludf.DUMMYFUNCTION("split(H192,"" "")"),"gbacedf")</f>
        <v>gbacedf</v>
      </c>
      <c r="L192" s="6" t="str">
        <f>IFERROR(__xludf.DUMMYFUNCTION("""COMPUTED_VALUE"""),"cadbef")</f>
        <v>cadbef</v>
      </c>
      <c r="M192" s="6" t="str">
        <f>IFERROR(__xludf.DUMMYFUNCTION("""COMPUTED_VALUE"""),"gedc")</f>
        <v>gedc</v>
      </c>
      <c r="N192" s="6" t="str">
        <f>IFERROR(__xludf.DUMMYFUNCTION("""COMPUTED_VALUE"""),"agcbf")</f>
        <v>agcbf</v>
      </c>
      <c r="O192" s="6" t="str">
        <f>IFERROR(__xludf.DUMMYFUNCTION("""COMPUTED_VALUE"""),"cbaedg")</f>
        <v>cbaedg</v>
      </c>
      <c r="P192" s="6" t="str">
        <f>IFERROR(__xludf.DUMMYFUNCTION("""COMPUTED_VALUE"""),"cbade")</f>
        <v>cbade</v>
      </c>
      <c r="Q192" s="6" t="str">
        <f>IFERROR(__xludf.DUMMYFUNCTION("""COMPUTED_VALUE"""),"ecgab")</f>
        <v>ecgab</v>
      </c>
      <c r="R192" s="6" t="str">
        <f>IFERROR(__xludf.DUMMYFUNCTION("""COMPUTED_VALUE"""),"eg")</f>
        <v>eg</v>
      </c>
      <c r="S192" s="6" t="str">
        <f>IFERROR(__xludf.DUMMYFUNCTION("""COMPUTED_VALUE"""),"bgfade")</f>
        <v>bgfade</v>
      </c>
      <c r="T192" s="6" t="str">
        <f>IFERROR(__xludf.DUMMYFUNCTION("""COMPUTED_VALUE"""),"age")</f>
        <v>age</v>
      </c>
      <c r="U192" s="15"/>
      <c r="V192" s="6" t="str">
        <f>IFERROR(__xludf.DUMMYFUNCTION("split(I192,"" "")"),"gdfbaec")</f>
        <v>gdfbaec</v>
      </c>
      <c r="W192" s="6" t="str">
        <f>IFERROR(__xludf.DUMMYFUNCTION("""COMPUTED_VALUE"""),"dcebfa")</f>
        <v>dcebfa</v>
      </c>
      <c r="X192" s="6" t="str">
        <f>IFERROR(__xludf.DUMMYFUNCTION("""COMPUTED_VALUE"""),"dgfabe")</f>
        <v>dgfabe</v>
      </c>
      <c r="Y192" s="6" t="str">
        <f>IFERROR(__xludf.DUMMYFUNCTION("""COMPUTED_VALUE"""),"ega")</f>
        <v>ega</v>
      </c>
      <c r="Z192" s="6" t="str">
        <f>IFERROR(__xludf.DUMMYFUNCTION("CONCATENATE(SORT(TRANSPOSE(SPLIT(REGEXREPLACE(REGEXREPLACE(V192&amp;"""",""(?s)(.{1})"",""$1""&amp;CHAR(127)),""'"",""''""),CHAR(127))),1,true))"),"abcdefg")</f>
        <v>abcdefg</v>
      </c>
      <c r="AA192" s="6" t="str">
        <f>IFERROR(__xludf.DUMMYFUNCTION("CONCATENATE(SORT(TRANSPOSE(SPLIT(REGEXREPLACE(REGEXREPLACE(W192&amp;"""",""(?s)(.{1})"",""$1""&amp;CHAR(127)),""'"",""''""),CHAR(127))),1,true))"),"abcdef")</f>
        <v>abcdef</v>
      </c>
      <c r="AB192" s="6" t="str">
        <f>IFERROR(__xludf.DUMMYFUNCTION("CONCATENATE(SORT(TRANSPOSE(SPLIT(REGEXREPLACE(REGEXREPLACE(X192&amp;"""",""(?s)(.{1})"",""$1""&amp;CHAR(127)),""'"",""''""),CHAR(127))),1,true))"),"abdefg")</f>
        <v>abdefg</v>
      </c>
      <c r="AC192" s="6" t="str">
        <f>IFERROR(__xludf.DUMMYFUNCTION("CONCATENATE(SORT(TRANSPOSE(SPLIT(REGEXREPLACE(REGEXREPLACE(Y192&amp;"""",""(?s)(.{1})"",""$1""&amp;CHAR(127)),""'"",""''""),CHAR(127))),1,true))"),"aeg")</f>
        <v>aeg</v>
      </c>
      <c r="AD192" s="6">
        <f t="shared" ref="AD192:AG192" si="202">INDEX($AO$1:$CP$1,1,MATCH(CONCATENATE(Z192,"1"),$AO192:$CP192,0)+1)</f>
        <v>8</v>
      </c>
      <c r="AE192" s="6">
        <f t="shared" si="202"/>
        <v>6</v>
      </c>
      <c r="AF192" s="6">
        <f t="shared" si="202"/>
        <v>0</v>
      </c>
      <c r="AG192" s="6">
        <f t="shared" si="202"/>
        <v>7</v>
      </c>
      <c r="AH192" s="6">
        <f t="shared" si="3"/>
        <v>8607</v>
      </c>
      <c r="AI192" s="16"/>
      <c r="AJ192" s="9" t="str">
        <f>IFERROR(__xludf.DUMMYFUNCTION("REGEXREPLACE(AR192,CONCATENATE(""["",BY192,""]""),"""")"),"g")</f>
        <v>g</v>
      </c>
      <c r="AK192" s="10" t="str">
        <f>IFERROR(__xludf.DUMMYFUNCTION("FILTER($K192:$T192,len($K192:$T192)=6,NOT($K192:$T192=BY192))"),"cbaedg")</f>
        <v>cbaedg</v>
      </c>
      <c r="AL192" s="6" t="str">
        <f>IFERROR(__xludf.DUMMYFUNCTION("""COMPUTED_VALUE"""),"bgfade")</f>
        <v>bgfade</v>
      </c>
      <c r="AM192" s="6" t="str">
        <f>IFERROR(__xludf.DUMMYFUNCTION("REGEXREPLACE( $BG192, CONCATENATE(""["",AK192,""]""), """")"),"")</f>
        <v/>
      </c>
      <c r="AN192" s="6" t="str">
        <f>IFERROR(__xludf.DUMMYFUNCTION("REGEXREPLACE( $BG192, CONCATENATE(""["",AL192,""]""), """")"),"c")</f>
        <v>c</v>
      </c>
      <c r="AO192" s="11" t="str">
        <f t="shared" si="4"/>
        <v>bgfade</v>
      </c>
      <c r="AP192" s="12" t="str">
        <f>IFERROR(__xludf.DUMMYFUNCTION("CONCATENATE(SORT(TRANSPOSE(SPLIT(REGEXREPLACE(REGEXREPLACE(AO192&amp;"""",""(?s)(.{1})"",""$1""&amp;CHAR(127)),""'"",""''""),CHAR(127))),1,true),""1"")"),"abdefg1")</f>
        <v>abdefg1</v>
      </c>
      <c r="AQ192" s="16"/>
      <c r="AR192" s="12" t="str">
        <f t="shared" si="5"/>
        <v>eg</v>
      </c>
      <c r="AS192" s="12" t="str">
        <f>IFERROR(__xludf.DUMMYFUNCTION("CONCATENATE(SORT(TRANSPOSE(SPLIT(REGEXREPLACE(REGEXREPLACE(AR192&amp;"""",""(?s)(.{1})"",""$1""&amp;CHAR(127)),""'"",""''""),CHAR(127))),1,true),""1"")"),"eg1")</f>
        <v>eg1</v>
      </c>
      <c r="AT192" s="16"/>
      <c r="AU192" s="13" t="str">
        <f>IFERROR(__xludf.DUMMYFUNCTION("FILTER($K192:$T192,len($K192:$T192)=5,NOT($K192:$T192=BD192),NOT($K192:$T192=BP192))"),"agcbf")</f>
        <v>agcbf</v>
      </c>
      <c r="AV192" s="12" t="str">
        <f>IFERROR(__xludf.DUMMYFUNCTION("CONCATENATE(SORT(TRANSPOSE(SPLIT(REGEXREPLACE(REGEXREPLACE(AU192&amp;"""",""(?s)(.{1})"",""$1""&amp;CHAR(127)),""'"",""''""),CHAR(127))),1,true),""1"")"),"abcfg1")</f>
        <v>abcfg1</v>
      </c>
      <c r="AW192" s="16"/>
      <c r="AX192" s="10" t="str">
        <f>IFERROR(__xludf.DUMMYFUNCTION("FILTER($K192:$T192,len($K192:$T192)=5)"),"agcbf")</f>
        <v>agcbf</v>
      </c>
      <c r="AY192" s="6" t="str">
        <f>IFERROR(__xludf.DUMMYFUNCTION("""COMPUTED_VALUE"""),"cbade")</f>
        <v>cbade</v>
      </c>
      <c r="AZ192" s="6" t="str">
        <f>IFERROR(__xludf.DUMMYFUNCTION("""COMPUTED_VALUE"""),"ecgab")</f>
        <v>ecgab</v>
      </c>
      <c r="BA192" s="6" t="str">
        <f>IFERROR(__xludf.DUMMYFUNCTION("REGEXREPLACE( $AR192, CONCATENATE(""["",AX192,""]""), """")"),"e")</f>
        <v>e</v>
      </c>
      <c r="BB192" s="6" t="str">
        <f>IFERROR(__xludf.DUMMYFUNCTION("REGEXREPLACE( $AR192, CONCATENATE(""["",AY192,""]""), """")"),"g")</f>
        <v>g</v>
      </c>
      <c r="BC192" s="6" t="str">
        <f>IFERROR(__xludf.DUMMYFUNCTION("REGEXREPLACE( $AR192, CONCATENATE(""["",AZ192,""]""), """")"),"")</f>
        <v/>
      </c>
      <c r="BD192" s="11" t="str">
        <f t="shared" si="6"/>
        <v>ecgab</v>
      </c>
      <c r="BE192" s="12" t="str">
        <f>IFERROR(__xludf.DUMMYFUNCTION("CONCATENATE(SORT(TRANSPOSE(SPLIT(REGEXREPLACE(REGEXREPLACE(BD192&amp;"""",""(?s)(.{1})"",""$1""&amp;CHAR(127)),""'"",""''""),CHAR(127))),1,true),""1"")"),"abceg1")</f>
        <v>abceg1</v>
      </c>
      <c r="BF192" s="16"/>
      <c r="BG192" s="12" t="str">
        <f t="shared" si="7"/>
        <v>gedc</v>
      </c>
      <c r="BH192" s="12" t="str">
        <f>IFERROR(__xludf.DUMMYFUNCTION("CONCATENATE(SORT(TRANSPOSE(SPLIT(REGEXREPLACE(REGEXREPLACE(BG192&amp;"""",""(?s)(.{1})"",""$1""&amp;CHAR(127)),""'"",""''""),CHAR(127))),1,true),""1"")"),"cdeg1")</f>
        <v>cdeg1</v>
      </c>
      <c r="BI192" s="16"/>
      <c r="BJ192" s="10" t="str">
        <f>IFERROR(__xludf.DUMMYFUNCTION("FILTER($K192:$T192,len($K192:$T192)=5)"),"agcbf")</f>
        <v>agcbf</v>
      </c>
      <c r="BK192" s="6" t="str">
        <f>IFERROR(__xludf.DUMMYFUNCTION("""COMPUTED_VALUE"""),"cbade")</f>
        <v>cbade</v>
      </c>
      <c r="BL192" s="6" t="str">
        <f>IFERROR(__xludf.DUMMYFUNCTION("""COMPUTED_VALUE"""),"ecgab")</f>
        <v>ecgab</v>
      </c>
      <c r="BM192" s="14" t="str">
        <f>IFERROR(__xludf.DUMMYFUNCTION("REGEXREPLACE( $BY192, CONCATENATE(""["",BJ192,""]""), """")"),"de")</f>
        <v>de</v>
      </c>
      <c r="BN192" s="14" t="str">
        <f>IFERROR(__xludf.DUMMYFUNCTION("REGEXREPLACE( $BY192, CONCATENATE(""["",BK192,""]""), """")"),"f")</f>
        <v>f</v>
      </c>
      <c r="BO192" s="14" t="str">
        <f>IFERROR(__xludf.DUMMYFUNCTION("REGEXREPLACE( $BY192, CONCATENATE(""["",BL192,""]""), """")"),"df")</f>
        <v>df</v>
      </c>
      <c r="BP192" s="11" t="str">
        <f t="shared" si="8"/>
        <v>cbade</v>
      </c>
      <c r="BQ192" s="12" t="str">
        <f>IFERROR(__xludf.DUMMYFUNCTION("CONCATENATE(SORT(TRANSPOSE(SPLIT(REGEXREPLACE(REGEXREPLACE(BP192&amp;"""",""(?s)(.{1})"",""$1""&amp;CHAR(127)),""'"",""''""),CHAR(127))),1,true),""1"")"),"abcde1")</f>
        <v>abcde1</v>
      </c>
      <c r="BR192" s="16"/>
      <c r="BS192" s="10" t="str">
        <f>IFERROR(__xludf.DUMMYFUNCTION("FILTER(K192:T192,len(K192:T192)=6)"),"cadbef")</f>
        <v>cadbef</v>
      </c>
      <c r="BT192" s="6" t="str">
        <f>IFERROR(__xludf.DUMMYFUNCTION("""COMPUTED_VALUE"""),"cbaedg")</f>
        <v>cbaedg</v>
      </c>
      <c r="BU192" s="6" t="str">
        <f>IFERROR(__xludf.DUMMYFUNCTION("""COMPUTED_VALUE"""),"bgfade")</f>
        <v>bgfade</v>
      </c>
      <c r="BV192" s="6" t="str">
        <f>IFERROR(__xludf.DUMMYFUNCTION("REGEXREPLACE( $AR192, CONCATENATE(""["",BS192,""]""), """")"),"g")</f>
        <v>g</v>
      </c>
      <c r="BW192" s="6" t="str">
        <f>IFERROR(__xludf.DUMMYFUNCTION("REGEXREPLACE( $AR192, CONCATENATE(""["",BT192,""]""), """")"),"")</f>
        <v/>
      </c>
      <c r="BX192" s="6" t="str">
        <f>IFERROR(__xludf.DUMMYFUNCTION("REGEXREPLACE( $AR192, CONCATENATE(""["",BU192,""]""), """")"),"")</f>
        <v/>
      </c>
      <c r="BY192" s="12" t="str">
        <f t="shared" si="9"/>
        <v>cadbef</v>
      </c>
      <c r="BZ192" s="12" t="str">
        <f>IFERROR(__xludf.DUMMYFUNCTION("CONCATENATE(SORT(TRANSPOSE(SPLIT(REGEXREPLACE(REGEXREPLACE(BY192&amp;"""",""(?s)(.{1})"",""$1""&amp;CHAR(127)),""'"",""''""),CHAR(127))),1,true),""1"")"),"abcdef1")</f>
        <v>abcdef1</v>
      </c>
      <c r="CA192" s="16"/>
      <c r="CB192" s="12" t="str">
        <f t="shared" si="10"/>
        <v>age</v>
      </c>
      <c r="CC192" s="12" t="str">
        <f>IFERROR(__xludf.DUMMYFUNCTION("CONCATENATE(SORT(TRANSPOSE(SPLIT(REGEXREPLACE(REGEXREPLACE(CB192&amp;"""",""(?s)(.{1})"",""$1""&amp;CHAR(127)),""'"",""''""),CHAR(127))),1,true),""1"")"),"aeg1")</f>
        <v>aeg1</v>
      </c>
      <c r="CD192" s="16"/>
      <c r="CE192" s="12" t="str">
        <f t="shared" si="11"/>
        <v>gbacedf</v>
      </c>
      <c r="CF192" s="12" t="str">
        <f>IFERROR(__xludf.DUMMYFUNCTION("CONCATENATE(SORT(TRANSPOSE(SPLIT(REGEXREPLACE(REGEXREPLACE(CE192&amp;"""",""(?s)(.{1})"",""$1""&amp;CHAR(127)),""'"",""''""),CHAR(127))),1,true),""1"")"),"abcdefg1")</f>
        <v>abcdefg1</v>
      </c>
      <c r="CG192" s="16"/>
      <c r="CH192" s="10" t="str">
        <f>IFERROR(__xludf.DUMMYFUNCTION("FILTER(K192:T192,len(K192:T192)=6)"),"cadbef")</f>
        <v>cadbef</v>
      </c>
      <c r="CI192" s="6" t="str">
        <f>IFERROR(__xludf.DUMMYFUNCTION("""COMPUTED_VALUE"""),"cbaedg")</f>
        <v>cbaedg</v>
      </c>
      <c r="CJ192" s="6" t="str">
        <f>IFERROR(__xludf.DUMMYFUNCTION("""COMPUTED_VALUE"""),"bgfade")</f>
        <v>bgfade</v>
      </c>
      <c r="CK192" s="6" t="str">
        <f>IFERROR(__xludf.DUMMYFUNCTION("REGEXREPLACE( $BG192, CONCATENATE(""["",CH192,""]""), """")"),"g")</f>
        <v>g</v>
      </c>
      <c r="CL192" s="6" t="str">
        <f>IFERROR(__xludf.DUMMYFUNCTION("REGEXREPLACE( $BG192, CONCATENATE(""["",CI192,""]""), """")"),"")</f>
        <v/>
      </c>
      <c r="CM192" s="6" t="str">
        <f>IFERROR(__xludf.DUMMYFUNCTION("REGEXREPLACE( $BG192, CONCATENATE(""["",CJ192,""]""), """")"),"c")</f>
        <v>c</v>
      </c>
      <c r="CN192" s="12" t="str">
        <f t="shared" si="12"/>
        <v>cbaedg</v>
      </c>
      <c r="CO192" s="12" t="str">
        <f>IFERROR(__xludf.DUMMYFUNCTION("CONCATENATE(SORT(TRANSPOSE(SPLIT(REGEXREPLACE(REGEXREPLACE(CN192&amp;"""",""(?s)(.{1})"",""$1""&amp;CHAR(127)),""'"",""''""),CHAR(127))),1,true),""1"")"),"abcdeg1")</f>
        <v>abcdeg1</v>
      </c>
      <c r="CP192" s="15"/>
    </row>
    <row r="193">
      <c r="A193" s="1" t="s">
        <v>213</v>
      </c>
      <c r="H193" s="6" t="str">
        <f>IFERROR(__xludf.DUMMYFUNCTION("SPLIT(A193,""|"")"),"egcdfa ba efdbga bgcefa agb fgcab ceagf ceab fdgcb fcdabeg ")</f>
        <v>egcdfa ba efdbga bgcefa agb fgcab ceagf ceab fdgcb fcdabeg </v>
      </c>
      <c r="I193" s="6" t="str">
        <f>IFERROR(__xludf.DUMMYFUNCTION("""COMPUTED_VALUE""")," cfagb bag cbgfd fbagc")</f>
        <v> cfagb bag cbgfd fbagc</v>
      </c>
      <c r="J193" s="15"/>
      <c r="K193" s="6" t="str">
        <f>IFERROR(__xludf.DUMMYFUNCTION("split(H193,"" "")"),"egcdfa")</f>
        <v>egcdfa</v>
      </c>
      <c r="L193" s="6" t="str">
        <f>IFERROR(__xludf.DUMMYFUNCTION("""COMPUTED_VALUE"""),"ba")</f>
        <v>ba</v>
      </c>
      <c r="M193" s="6" t="str">
        <f>IFERROR(__xludf.DUMMYFUNCTION("""COMPUTED_VALUE"""),"efdbga")</f>
        <v>efdbga</v>
      </c>
      <c r="N193" s="6" t="str">
        <f>IFERROR(__xludf.DUMMYFUNCTION("""COMPUTED_VALUE"""),"bgcefa")</f>
        <v>bgcefa</v>
      </c>
      <c r="O193" s="6" t="str">
        <f>IFERROR(__xludf.DUMMYFUNCTION("""COMPUTED_VALUE"""),"agb")</f>
        <v>agb</v>
      </c>
      <c r="P193" s="6" t="str">
        <f>IFERROR(__xludf.DUMMYFUNCTION("""COMPUTED_VALUE"""),"fgcab")</f>
        <v>fgcab</v>
      </c>
      <c r="Q193" s="6" t="str">
        <f>IFERROR(__xludf.DUMMYFUNCTION("""COMPUTED_VALUE"""),"ceagf")</f>
        <v>ceagf</v>
      </c>
      <c r="R193" s="6" t="str">
        <f>IFERROR(__xludf.DUMMYFUNCTION("""COMPUTED_VALUE"""),"ceab")</f>
        <v>ceab</v>
      </c>
      <c r="S193" s="6" t="str">
        <f>IFERROR(__xludf.DUMMYFUNCTION("""COMPUTED_VALUE"""),"fdgcb")</f>
        <v>fdgcb</v>
      </c>
      <c r="T193" s="6" t="str">
        <f>IFERROR(__xludf.DUMMYFUNCTION("""COMPUTED_VALUE"""),"fcdabeg")</f>
        <v>fcdabeg</v>
      </c>
      <c r="U193" s="15"/>
      <c r="V193" s="6" t="str">
        <f>IFERROR(__xludf.DUMMYFUNCTION("split(I193,"" "")"),"cfagb")</f>
        <v>cfagb</v>
      </c>
      <c r="W193" s="6" t="str">
        <f>IFERROR(__xludf.DUMMYFUNCTION("""COMPUTED_VALUE"""),"bag")</f>
        <v>bag</v>
      </c>
      <c r="X193" s="6" t="str">
        <f>IFERROR(__xludf.DUMMYFUNCTION("""COMPUTED_VALUE"""),"cbgfd")</f>
        <v>cbgfd</v>
      </c>
      <c r="Y193" s="6" t="str">
        <f>IFERROR(__xludf.DUMMYFUNCTION("""COMPUTED_VALUE"""),"fbagc")</f>
        <v>fbagc</v>
      </c>
      <c r="Z193" s="6" t="str">
        <f>IFERROR(__xludf.DUMMYFUNCTION("CONCATENATE(SORT(TRANSPOSE(SPLIT(REGEXREPLACE(REGEXREPLACE(V193&amp;"""",""(?s)(.{1})"",""$1""&amp;CHAR(127)),""'"",""''""),CHAR(127))),1,true))"),"abcfg")</f>
        <v>abcfg</v>
      </c>
      <c r="AA193" s="6" t="str">
        <f>IFERROR(__xludf.DUMMYFUNCTION("CONCATENATE(SORT(TRANSPOSE(SPLIT(REGEXREPLACE(REGEXREPLACE(W193&amp;"""",""(?s)(.{1})"",""$1""&amp;CHAR(127)),""'"",""''""),CHAR(127))),1,true))"),"abg")</f>
        <v>abg</v>
      </c>
      <c r="AB193" s="6" t="str">
        <f>IFERROR(__xludf.DUMMYFUNCTION("CONCATENATE(SORT(TRANSPOSE(SPLIT(REGEXREPLACE(REGEXREPLACE(X193&amp;"""",""(?s)(.{1})"",""$1""&amp;CHAR(127)),""'"",""''""),CHAR(127))),1,true))"),"bcdfg")</f>
        <v>bcdfg</v>
      </c>
      <c r="AC193" s="6" t="str">
        <f>IFERROR(__xludf.DUMMYFUNCTION("CONCATENATE(SORT(TRANSPOSE(SPLIT(REGEXREPLACE(REGEXREPLACE(Y193&amp;"""",""(?s)(.{1})"",""$1""&amp;CHAR(127)),""'"",""''""),CHAR(127))),1,true))"),"abcfg")</f>
        <v>abcfg</v>
      </c>
      <c r="AD193" s="6">
        <f t="shared" ref="AD193:AG193" si="203">INDEX($AO$1:$CP$1,1,MATCH(CONCATENATE(Z193,"1"),$AO193:$CP193,0)+1)</f>
        <v>3</v>
      </c>
      <c r="AE193" s="6">
        <f t="shared" si="203"/>
        <v>7</v>
      </c>
      <c r="AF193" s="6">
        <f t="shared" si="203"/>
        <v>2</v>
      </c>
      <c r="AG193" s="6">
        <f t="shared" si="203"/>
        <v>3</v>
      </c>
      <c r="AH193" s="6">
        <f t="shared" si="3"/>
        <v>3723</v>
      </c>
      <c r="AI193" s="16"/>
      <c r="AJ193" s="9" t="str">
        <f>IFERROR(__xludf.DUMMYFUNCTION("REGEXREPLACE(AR193,CONCATENATE(""["",BY193,""]""),"""")"),"b")</f>
        <v>b</v>
      </c>
      <c r="AK193" s="10" t="str">
        <f>IFERROR(__xludf.DUMMYFUNCTION("FILTER($K193:$T193,len($K193:$T193)=6,NOT($K193:$T193=BY193))"),"efdbga")</f>
        <v>efdbga</v>
      </c>
      <c r="AL193" s="6" t="str">
        <f>IFERROR(__xludf.DUMMYFUNCTION("""COMPUTED_VALUE"""),"bgcefa")</f>
        <v>bgcefa</v>
      </c>
      <c r="AM193" s="6" t="str">
        <f>IFERROR(__xludf.DUMMYFUNCTION("REGEXREPLACE( $BG193, CONCATENATE(""["",AK193,""]""), """")"),"c")</f>
        <v>c</v>
      </c>
      <c r="AN193" s="6" t="str">
        <f>IFERROR(__xludf.DUMMYFUNCTION("REGEXREPLACE( $BG193, CONCATENATE(""["",AL193,""]""), """")"),"")</f>
        <v/>
      </c>
      <c r="AO193" s="11" t="str">
        <f t="shared" si="4"/>
        <v>efdbga</v>
      </c>
      <c r="AP193" s="12" t="str">
        <f>IFERROR(__xludf.DUMMYFUNCTION("CONCATENATE(SORT(TRANSPOSE(SPLIT(REGEXREPLACE(REGEXREPLACE(AO193&amp;"""",""(?s)(.{1})"",""$1""&amp;CHAR(127)),""'"",""''""),CHAR(127))),1,true),""1"")"),"abdefg1")</f>
        <v>abdefg1</v>
      </c>
      <c r="AQ193" s="16"/>
      <c r="AR193" s="12" t="str">
        <f t="shared" si="5"/>
        <v>ba</v>
      </c>
      <c r="AS193" s="12" t="str">
        <f>IFERROR(__xludf.DUMMYFUNCTION("CONCATENATE(SORT(TRANSPOSE(SPLIT(REGEXREPLACE(REGEXREPLACE(AR193&amp;"""",""(?s)(.{1})"",""$1""&amp;CHAR(127)),""'"",""''""),CHAR(127))),1,true),""1"")"),"ab1")</f>
        <v>ab1</v>
      </c>
      <c r="AT193" s="16"/>
      <c r="AU193" s="13" t="str">
        <f>IFERROR(__xludf.DUMMYFUNCTION("FILTER($K193:$T193,len($K193:$T193)=5,NOT($K193:$T193=BD193),NOT($K193:$T193=BP193))"),"fdgcb")</f>
        <v>fdgcb</v>
      </c>
      <c r="AV193" s="12" t="str">
        <f>IFERROR(__xludf.DUMMYFUNCTION("CONCATENATE(SORT(TRANSPOSE(SPLIT(REGEXREPLACE(REGEXREPLACE(AU193&amp;"""",""(?s)(.{1})"",""$1""&amp;CHAR(127)),""'"",""''""),CHAR(127))),1,true),""1"")"),"bcdfg1")</f>
        <v>bcdfg1</v>
      </c>
      <c r="AW193" s="16"/>
      <c r="AX193" s="10" t="str">
        <f>IFERROR(__xludf.DUMMYFUNCTION("FILTER($K193:$T193,len($K193:$T193)=5)"),"fgcab")</f>
        <v>fgcab</v>
      </c>
      <c r="AY193" s="6" t="str">
        <f>IFERROR(__xludf.DUMMYFUNCTION("""COMPUTED_VALUE"""),"ceagf")</f>
        <v>ceagf</v>
      </c>
      <c r="AZ193" s="6" t="str">
        <f>IFERROR(__xludf.DUMMYFUNCTION("""COMPUTED_VALUE"""),"fdgcb")</f>
        <v>fdgcb</v>
      </c>
      <c r="BA193" s="6" t="str">
        <f>IFERROR(__xludf.DUMMYFUNCTION("REGEXREPLACE( $AR193, CONCATENATE(""["",AX193,""]""), """")"),"")</f>
        <v/>
      </c>
      <c r="BB193" s="6" t="str">
        <f>IFERROR(__xludf.DUMMYFUNCTION("REGEXREPLACE( $AR193, CONCATENATE(""["",AY193,""]""), """")"),"b")</f>
        <v>b</v>
      </c>
      <c r="BC193" s="6" t="str">
        <f>IFERROR(__xludf.DUMMYFUNCTION("REGEXREPLACE( $AR193, CONCATENATE(""["",AZ193,""]""), """")"),"a")</f>
        <v>a</v>
      </c>
      <c r="BD193" s="11" t="str">
        <f t="shared" si="6"/>
        <v>fgcab</v>
      </c>
      <c r="BE193" s="12" t="str">
        <f>IFERROR(__xludf.DUMMYFUNCTION("CONCATENATE(SORT(TRANSPOSE(SPLIT(REGEXREPLACE(REGEXREPLACE(BD193&amp;"""",""(?s)(.{1})"",""$1""&amp;CHAR(127)),""'"",""''""),CHAR(127))),1,true),""1"")"),"abcfg1")</f>
        <v>abcfg1</v>
      </c>
      <c r="BF193" s="16"/>
      <c r="BG193" s="12" t="str">
        <f t="shared" si="7"/>
        <v>ceab</v>
      </c>
      <c r="BH193" s="12" t="str">
        <f>IFERROR(__xludf.DUMMYFUNCTION("CONCATENATE(SORT(TRANSPOSE(SPLIT(REGEXREPLACE(REGEXREPLACE(BG193&amp;"""",""(?s)(.{1})"",""$1""&amp;CHAR(127)),""'"",""''""),CHAR(127))),1,true),""1"")"),"abce1")</f>
        <v>abce1</v>
      </c>
      <c r="BI193" s="16"/>
      <c r="BJ193" s="10" t="str">
        <f>IFERROR(__xludf.DUMMYFUNCTION("FILTER($K193:$T193,len($K193:$T193)=5)"),"fgcab")</f>
        <v>fgcab</v>
      </c>
      <c r="BK193" s="6" t="str">
        <f>IFERROR(__xludf.DUMMYFUNCTION("""COMPUTED_VALUE"""),"ceagf")</f>
        <v>ceagf</v>
      </c>
      <c r="BL193" s="6" t="str">
        <f>IFERROR(__xludf.DUMMYFUNCTION("""COMPUTED_VALUE"""),"fdgcb")</f>
        <v>fdgcb</v>
      </c>
      <c r="BM193" s="14" t="str">
        <f>IFERROR(__xludf.DUMMYFUNCTION("REGEXREPLACE( $BY193, CONCATENATE(""["",BJ193,""]""), """")"),"ed")</f>
        <v>ed</v>
      </c>
      <c r="BN193" s="14" t="str">
        <f>IFERROR(__xludf.DUMMYFUNCTION("REGEXREPLACE( $BY193, CONCATENATE(""["",BK193,""]""), """")"),"d")</f>
        <v>d</v>
      </c>
      <c r="BO193" s="14" t="str">
        <f>IFERROR(__xludf.DUMMYFUNCTION("REGEXREPLACE( $BY193, CONCATENATE(""["",BL193,""]""), """")"),"ea")</f>
        <v>ea</v>
      </c>
      <c r="BP193" s="11" t="str">
        <f t="shared" si="8"/>
        <v>ceagf</v>
      </c>
      <c r="BQ193" s="12" t="str">
        <f>IFERROR(__xludf.DUMMYFUNCTION("CONCATENATE(SORT(TRANSPOSE(SPLIT(REGEXREPLACE(REGEXREPLACE(BP193&amp;"""",""(?s)(.{1})"",""$1""&amp;CHAR(127)),""'"",""''""),CHAR(127))),1,true),""1"")"),"acefg1")</f>
        <v>acefg1</v>
      </c>
      <c r="BR193" s="16"/>
      <c r="BS193" s="10" t="str">
        <f>IFERROR(__xludf.DUMMYFUNCTION("FILTER(K193:T193,len(K193:T193)=6)"),"egcdfa")</f>
        <v>egcdfa</v>
      </c>
      <c r="BT193" s="6" t="str">
        <f>IFERROR(__xludf.DUMMYFUNCTION("""COMPUTED_VALUE"""),"efdbga")</f>
        <v>efdbga</v>
      </c>
      <c r="BU193" s="6" t="str">
        <f>IFERROR(__xludf.DUMMYFUNCTION("""COMPUTED_VALUE"""),"bgcefa")</f>
        <v>bgcefa</v>
      </c>
      <c r="BV193" s="6" t="str">
        <f>IFERROR(__xludf.DUMMYFUNCTION("REGEXREPLACE( $AR193, CONCATENATE(""["",BS193,""]""), """")"),"b")</f>
        <v>b</v>
      </c>
      <c r="BW193" s="6" t="str">
        <f>IFERROR(__xludf.DUMMYFUNCTION("REGEXREPLACE( $AR193, CONCATENATE(""["",BT193,""]""), """")"),"")</f>
        <v/>
      </c>
      <c r="BX193" s="6" t="str">
        <f>IFERROR(__xludf.DUMMYFUNCTION("REGEXREPLACE( $AR193, CONCATENATE(""["",BU193,""]""), """")"),"")</f>
        <v/>
      </c>
      <c r="BY193" s="12" t="str">
        <f t="shared" si="9"/>
        <v>egcdfa</v>
      </c>
      <c r="BZ193" s="12" t="str">
        <f>IFERROR(__xludf.DUMMYFUNCTION("CONCATENATE(SORT(TRANSPOSE(SPLIT(REGEXREPLACE(REGEXREPLACE(BY193&amp;"""",""(?s)(.{1})"",""$1""&amp;CHAR(127)),""'"",""''""),CHAR(127))),1,true),""1"")"),"acdefg1")</f>
        <v>acdefg1</v>
      </c>
      <c r="CA193" s="16"/>
      <c r="CB193" s="12" t="str">
        <f t="shared" si="10"/>
        <v>agb</v>
      </c>
      <c r="CC193" s="12" t="str">
        <f>IFERROR(__xludf.DUMMYFUNCTION("CONCATENATE(SORT(TRANSPOSE(SPLIT(REGEXREPLACE(REGEXREPLACE(CB193&amp;"""",""(?s)(.{1})"",""$1""&amp;CHAR(127)),""'"",""''""),CHAR(127))),1,true),""1"")"),"abg1")</f>
        <v>abg1</v>
      </c>
      <c r="CD193" s="16"/>
      <c r="CE193" s="12" t="str">
        <f t="shared" si="11"/>
        <v>fcdabeg</v>
      </c>
      <c r="CF193" s="12" t="str">
        <f>IFERROR(__xludf.DUMMYFUNCTION("CONCATENATE(SORT(TRANSPOSE(SPLIT(REGEXREPLACE(REGEXREPLACE(CE193&amp;"""",""(?s)(.{1})"",""$1""&amp;CHAR(127)),""'"",""''""),CHAR(127))),1,true),""1"")"),"abcdefg1")</f>
        <v>abcdefg1</v>
      </c>
      <c r="CG193" s="16"/>
      <c r="CH193" s="10" t="str">
        <f>IFERROR(__xludf.DUMMYFUNCTION("FILTER(K193:T193,len(K193:T193)=6)"),"egcdfa")</f>
        <v>egcdfa</v>
      </c>
      <c r="CI193" s="6" t="str">
        <f>IFERROR(__xludf.DUMMYFUNCTION("""COMPUTED_VALUE"""),"efdbga")</f>
        <v>efdbga</v>
      </c>
      <c r="CJ193" s="6" t="str">
        <f>IFERROR(__xludf.DUMMYFUNCTION("""COMPUTED_VALUE"""),"bgcefa")</f>
        <v>bgcefa</v>
      </c>
      <c r="CK193" s="6" t="str">
        <f>IFERROR(__xludf.DUMMYFUNCTION("REGEXREPLACE( $BG193, CONCATENATE(""["",CH193,""]""), """")"),"b")</f>
        <v>b</v>
      </c>
      <c r="CL193" s="6" t="str">
        <f>IFERROR(__xludf.DUMMYFUNCTION("REGEXREPLACE( $BG193, CONCATENATE(""["",CI193,""]""), """")"),"c")</f>
        <v>c</v>
      </c>
      <c r="CM193" s="6" t="str">
        <f>IFERROR(__xludf.DUMMYFUNCTION("REGEXREPLACE( $BG193, CONCATENATE(""["",CJ193,""]""), """")"),"")</f>
        <v/>
      </c>
      <c r="CN193" s="12" t="str">
        <f t="shared" si="12"/>
        <v>bgcefa</v>
      </c>
      <c r="CO193" s="12" t="str">
        <f>IFERROR(__xludf.DUMMYFUNCTION("CONCATENATE(SORT(TRANSPOSE(SPLIT(REGEXREPLACE(REGEXREPLACE(CN193&amp;"""",""(?s)(.{1})"",""$1""&amp;CHAR(127)),""'"",""''""),CHAR(127))),1,true),""1"")"),"abcefg1")</f>
        <v>abcefg1</v>
      </c>
      <c r="CP193" s="15"/>
    </row>
    <row r="194">
      <c r="A194" s="1" t="s">
        <v>214</v>
      </c>
      <c r="H194" s="6" t="str">
        <f>IFERROR(__xludf.DUMMYFUNCTION("SPLIT(A194,""|"")"),"baced fcdebg gecaf gaebcf eadbcgf gfab ecafdg cfbea fb ebf ")</f>
        <v>baced fcdebg gecaf gaebcf eadbcgf gfab ecafdg cfbea fb ebf </v>
      </c>
      <c r="I194" s="6" t="str">
        <f>IFERROR(__xludf.DUMMYFUNCTION("""COMPUTED_VALUE""")," fb bgfa afecb aegdcbf")</f>
        <v> fb bgfa afecb aegdcbf</v>
      </c>
      <c r="J194" s="15"/>
      <c r="K194" s="6" t="str">
        <f>IFERROR(__xludf.DUMMYFUNCTION("split(H194,"" "")"),"baced")</f>
        <v>baced</v>
      </c>
      <c r="L194" s="6" t="str">
        <f>IFERROR(__xludf.DUMMYFUNCTION("""COMPUTED_VALUE"""),"fcdebg")</f>
        <v>fcdebg</v>
      </c>
      <c r="M194" s="6" t="str">
        <f>IFERROR(__xludf.DUMMYFUNCTION("""COMPUTED_VALUE"""),"gecaf")</f>
        <v>gecaf</v>
      </c>
      <c r="N194" s="6" t="str">
        <f>IFERROR(__xludf.DUMMYFUNCTION("""COMPUTED_VALUE"""),"gaebcf")</f>
        <v>gaebcf</v>
      </c>
      <c r="O194" s="6" t="str">
        <f>IFERROR(__xludf.DUMMYFUNCTION("""COMPUTED_VALUE"""),"eadbcgf")</f>
        <v>eadbcgf</v>
      </c>
      <c r="P194" s="6" t="str">
        <f>IFERROR(__xludf.DUMMYFUNCTION("""COMPUTED_VALUE"""),"gfab")</f>
        <v>gfab</v>
      </c>
      <c r="Q194" s="6" t="str">
        <f>IFERROR(__xludf.DUMMYFUNCTION("""COMPUTED_VALUE"""),"ecafdg")</f>
        <v>ecafdg</v>
      </c>
      <c r="R194" s="6" t="str">
        <f>IFERROR(__xludf.DUMMYFUNCTION("""COMPUTED_VALUE"""),"cfbea")</f>
        <v>cfbea</v>
      </c>
      <c r="S194" s="6" t="str">
        <f>IFERROR(__xludf.DUMMYFUNCTION("""COMPUTED_VALUE"""),"fb")</f>
        <v>fb</v>
      </c>
      <c r="T194" s="6" t="str">
        <f>IFERROR(__xludf.DUMMYFUNCTION("""COMPUTED_VALUE"""),"ebf")</f>
        <v>ebf</v>
      </c>
      <c r="U194" s="15"/>
      <c r="V194" s="6" t="str">
        <f>IFERROR(__xludf.DUMMYFUNCTION("split(I194,"" "")"),"fb")</f>
        <v>fb</v>
      </c>
      <c r="W194" s="6" t="str">
        <f>IFERROR(__xludf.DUMMYFUNCTION("""COMPUTED_VALUE"""),"bgfa")</f>
        <v>bgfa</v>
      </c>
      <c r="X194" s="6" t="str">
        <f>IFERROR(__xludf.DUMMYFUNCTION("""COMPUTED_VALUE"""),"afecb")</f>
        <v>afecb</v>
      </c>
      <c r="Y194" s="6" t="str">
        <f>IFERROR(__xludf.DUMMYFUNCTION("""COMPUTED_VALUE"""),"aegdcbf")</f>
        <v>aegdcbf</v>
      </c>
      <c r="Z194" s="6" t="str">
        <f>IFERROR(__xludf.DUMMYFUNCTION("CONCATENATE(SORT(TRANSPOSE(SPLIT(REGEXREPLACE(REGEXREPLACE(V194&amp;"""",""(?s)(.{1})"",""$1""&amp;CHAR(127)),""'"",""''""),CHAR(127))),1,true))"),"bf")</f>
        <v>bf</v>
      </c>
      <c r="AA194" s="6" t="str">
        <f>IFERROR(__xludf.DUMMYFUNCTION("CONCATENATE(SORT(TRANSPOSE(SPLIT(REGEXREPLACE(REGEXREPLACE(W194&amp;"""",""(?s)(.{1})"",""$1""&amp;CHAR(127)),""'"",""''""),CHAR(127))),1,true))"),"abfg")</f>
        <v>abfg</v>
      </c>
      <c r="AB194" s="6" t="str">
        <f>IFERROR(__xludf.DUMMYFUNCTION("CONCATENATE(SORT(TRANSPOSE(SPLIT(REGEXREPLACE(REGEXREPLACE(X194&amp;"""",""(?s)(.{1})"",""$1""&amp;CHAR(127)),""'"",""''""),CHAR(127))),1,true))"),"abcef")</f>
        <v>abcef</v>
      </c>
      <c r="AC194" s="6" t="str">
        <f>IFERROR(__xludf.DUMMYFUNCTION("CONCATENATE(SORT(TRANSPOSE(SPLIT(REGEXREPLACE(REGEXREPLACE(Y194&amp;"""",""(?s)(.{1})"",""$1""&amp;CHAR(127)),""'"",""''""),CHAR(127))),1,true))"),"abcdefg")</f>
        <v>abcdefg</v>
      </c>
      <c r="AD194" s="6">
        <f t="shared" ref="AD194:AG194" si="204">INDEX($AO$1:$CP$1,1,MATCH(CONCATENATE(Z194,"1"),$AO194:$CP194,0)+1)</f>
        <v>1</v>
      </c>
      <c r="AE194" s="6">
        <f t="shared" si="204"/>
        <v>4</v>
      </c>
      <c r="AF194" s="6">
        <f t="shared" si="204"/>
        <v>3</v>
      </c>
      <c r="AG194" s="6">
        <f t="shared" si="204"/>
        <v>8</v>
      </c>
      <c r="AH194" s="6">
        <f t="shared" si="3"/>
        <v>1438</v>
      </c>
      <c r="AI194" s="16"/>
      <c r="AJ194" s="9" t="str">
        <f>IFERROR(__xludf.DUMMYFUNCTION("REGEXREPLACE(AR194,CONCATENATE(""["",BY194,""]""),"""")"),"b")</f>
        <v>b</v>
      </c>
      <c r="AK194" s="10" t="str">
        <f>IFERROR(__xludf.DUMMYFUNCTION("FILTER($K194:$T194,len($K194:$T194)=6,NOT($K194:$T194=BY194))"),"fcdebg")</f>
        <v>fcdebg</v>
      </c>
      <c r="AL194" s="6" t="str">
        <f>IFERROR(__xludf.DUMMYFUNCTION("""COMPUTED_VALUE"""),"gaebcf")</f>
        <v>gaebcf</v>
      </c>
      <c r="AM194" s="6" t="str">
        <f>IFERROR(__xludf.DUMMYFUNCTION("REGEXREPLACE( $BG194, CONCATENATE(""["",AK194,""]""), """")"),"a")</f>
        <v>a</v>
      </c>
      <c r="AN194" s="6" t="str">
        <f>IFERROR(__xludf.DUMMYFUNCTION("REGEXREPLACE( $BG194, CONCATENATE(""["",AL194,""]""), """")"),"")</f>
        <v/>
      </c>
      <c r="AO194" s="11" t="str">
        <f t="shared" si="4"/>
        <v>fcdebg</v>
      </c>
      <c r="AP194" s="12" t="str">
        <f>IFERROR(__xludf.DUMMYFUNCTION("CONCATENATE(SORT(TRANSPOSE(SPLIT(REGEXREPLACE(REGEXREPLACE(AO194&amp;"""",""(?s)(.{1})"",""$1""&amp;CHAR(127)),""'"",""''""),CHAR(127))),1,true),""1"")"),"bcdefg1")</f>
        <v>bcdefg1</v>
      </c>
      <c r="AQ194" s="16"/>
      <c r="AR194" s="12" t="str">
        <f t="shared" si="5"/>
        <v>fb</v>
      </c>
      <c r="AS194" s="12" t="str">
        <f>IFERROR(__xludf.DUMMYFUNCTION("CONCATENATE(SORT(TRANSPOSE(SPLIT(REGEXREPLACE(REGEXREPLACE(AR194&amp;"""",""(?s)(.{1})"",""$1""&amp;CHAR(127)),""'"",""''""),CHAR(127))),1,true),""1"")"),"bf1")</f>
        <v>bf1</v>
      </c>
      <c r="AT194" s="16"/>
      <c r="AU194" s="13" t="str">
        <f>IFERROR(__xludf.DUMMYFUNCTION("FILTER($K194:$T194,len($K194:$T194)=5,NOT($K194:$T194=BD194),NOT($K194:$T194=BP194))"),"baced")</f>
        <v>baced</v>
      </c>
      <c r="AV194" s="12" t="str">
        <f>IFERROR(__xludf.DUMMYFUNCTION("CONCATENATE(SORT(TRANSPOSE(SPLIT(REGEXREPLACE(REGEXREPLACE(AU194&amp;"""",""(?s)(.{1})"",""$1""&amp;CHAR(127)),""'"",""''""),CHAR(127))),1,true),""1"")"),"abcde1")</f>
        <v>abcde1</v>
      </c>
      <c r="AW194" s="16"/>
      <c r="AX194" s="10" t="str">
        <f>IFERROR(__xludf.DUMMYFUNCTION("FILTER($K194:$T194,len($K194:$T194)=5)"),"baced")</f>
        <v>baced</v>
      </c>
      <c r="AY194" s="6" t="str">
        <f>IFERROR(__xludf.DUMMYFUNCTION("""COMPUTED_VALUE"""),"gecaf")</f>
        <v>gecaf</v>
      </c>
      <c r="AZ194" s="6" t="str">
        <f>IFERROR(__xludf.DUMMYFUNCTION("""COMPUTED_VALUE"""),"cfbea")</f>
        <v>cfbea</v>
      </c>
      <c r="BA194" s="6" t="str">
        <f>IFERROR(__xludf.DUMMYFUNCTION("REGEXREPLACE( $AR194, CONCATENATE(""["",AX194,""]""), """")"),"f")</f>
        <v>f</v>
      </c>
      <c r="BB194" s="6" t="str">
        <f>IFERROR(__xludf.DUMMYFUNCTION("REGEXREPLACE( $AR194, CONCATENATE(""["",AY194,""]""), """")"),"b")</f>
        <v>b</v>
      </c>
      <c r="BC194" s="6" t="str">
        <f>IFERROR(__xludf.DUMMYFUNCTION("REGEXREPLACE( $AR194, CONCATENATE(""["",AZ194,""]""), """")"),"")</f>
        <v/>
      </c>
      <c r="BD194" s="11" t="str">
        <f t="shared" si="6"/>
        <v>cfbea</v>
      </c>
      <c r="BE194" s="12" t="str">
        <f>IFERROR(__xludf.DUMMYFUNCTION("CONCATENATE(SORT(TRANSPOSE(SPLIT(REGEXREPLACE(REGEXREPLACE(BD194&amp;"""",""(?s)(.{1})"",""$1""&amp;CHAR(127)),""'"",""''""),CHAR(127))),1,true),""1"")"),"abcef1")</f>
        <v>abcef1</v>
      </c>
      <c r="BF194" s="16"/>
      <c r="BG194" s="12" t="str">
        <f t="shared" si="7"/>
        <v>gfab</v>
      </c>
      <c r="BH194" s="12" t="str">
        <f>IFERROR(__xludf.DUMMYFUNCTION("CONCATENATE(SORT(TRANSPOSE(SPLIT(REGEXREPLACE(REGEXREPLACE(BG194&amp;"""",""(?s)(.{1})"",""$1""&amp;CHAR(127)),""'"",""''""),CHAR(127))),1,true),""1"")"),"abfg1")</f>
        <v>abfg1</v>
      </c>
      <c r="BI194" s="16"/>
      <c r="BJ194" s="10" t="str">
        <f>IFERROR(__xludf.DUMMYFUNCTION("FILTER($K194:$T194,len($K194:$T194)=5)"),"baced")</f>
        <v>baced</v>
      </c>
      <c r="BK194" s="6" t="str">
        <f>IFERROR(__xludf.DUMMYFUNCTION("""COMPUTED_VALUE"""),"gecaf")</f>
        <v>gecaf</v>
      </c>
      <c r="BL194" s="6" t="str">
        <f>IFERROR(__xludf.DUMMYFUNCTION("""COMPUTED_VALUE"""),"cfbea")</f>
        <v>cfbea</v>
      </c>
      <c r="BM194" s="14" t="str">
        <f>IFERROR(__xludf.DUMMYFUNCTION("REGEXREPLACE( $BY194, CONCATENATE(""["",BJ194,""]""), """")"),"fg")</f>
        <v>fg</v>
      </c>
      <c r="BN194" s="14" t="str">
        <f>IFERROR(__xludf.DUMMYFUNCTION("REGEXREPLACE( $BY194, CONCATENATE(""["",BK194,""]""), """")"),"d")</f>
        <v>d</v>
      </c>
      <c r="BO194" s="14" t="str">
        <f>IFERROR(__xludf.DUMMYFUNCTION("REGEXREPLACE( $BY194, CONCATENATE(""["",BL194,""]""), """")"),"dg")</f>
        <v>dg</v>
      </c>
      <c r="BP194" s="11" t="str">
        <f t="shared" si="8"/>
        <v>gecaf</v>
      </c>
      <c r="BQ194" s="12" t="str">
        <f>IFERROR(__xludf.DUMMYFUNCTION("CONCATENATE(SORT(TRANSPOSE(SPLIT(REGEXREPLACE(REGEXREPLACE(BP194&amp;"""",""(?s)(.{1})"",""$1""&amp;CHAR(127)),""'"",""''""),CHAR(127))),1,true),""1"")"),"acefg1")</f>
        <v>acefg1</v>
      </c>
      <c r="BR194" s="16"/>
      <c r="BS194" s="10" t="str">
        <f>IFERROR(__xludf.DUMMYFUNCTION("FILTER(K194:T194,len(K194:T194)=6)"),"fcdebg")</f>
        <v>fcdebg</v>
      </c>
      <c r="BT194" s="6" t="str">
        <f>IFERROR(__xludf.DUMMYFUNCTION("""COMPUTED_VALUE"""),"gaebcf")</f>
        <v>gaebcf</v>
      </c>
      <c r="BU194" s="6" t="str">
        <f>IFERROR(__xludf.DUMMYFUNCTION("""COMPUTED_VALUE"""),"ecafdg")</f>
        <v>ecafdg</v>
      </c>
      <c r="BV194" s="6" t="str">
        <f>IFERROR(__xludf.DUMMYFUNCTION("REGEXREPLACE( $AR194, CONCATENATE(""["",BS194,""]""), """")"),"")</f>
        <v/>
      </c>
      <c r="BW194" s="6" t="str">
        <f>IFERROR(__xludf.DUMMYFUNCTION("REGEXREPLACE( $AR194, CONCATENATE(""["",BT194,""]""), """")"),"")</f>
        <v/>
      </c>
      <c r="BX194" s="6" t="str">
        <f>IFERROR(__xludf.DUMMYFUNCTION("REGEXREPLACE( $AR194, CONCATENATE(""["",BU194,""]""), """")"),"b")</f>
        <v>b</v>
      </c>
      <c r="BY194" s="12" t="str">
        <f t="shared" si="9"/>
        <v>ecafdg</v>
      </c>
      <c r="BZ194" s="12" t="str">
        <f>IFERROR(__xludf.DUMMYFUNCTION("CONCATENATE(SORT(TRANSPOSE(SPLIT(REGEXREPLACE(REGEXREPLACE(BY194&amp;"""",""(?s)(.{1})"",""$1""&amp;CHAR(127)),""'"",""''""),CHAR(127))),1,true),""1"")"),"acdefg1")</f>
        <v>acdefg1</v>
      </c>
      <c r="CA194" s="16"/>
      <c r="CB194" s="12" t="str">
        <f t="shared" si="10"/>
        <v>ebf</v>
      </c>
      <c r="CC194" s="12" t="str">
        <f>IFERROR(__xludf.DUMMYFUNCTION("CONCATENATE(SORT(TRANSPOSE(SPLIT(REGEXREPLACE(REGEXREPLACE(CB194&amp;"""",""(?s)(.{1})"",""$1""&amp;CHAR(127)),""'"",""''""),CHAR(127))),1,true),""1"")"),"bef1")</f>
        <v>bef1</v>
      </c>
      <c r="CD194" s="16"/>
      <c r="CE194" s="12" t="str">
        <f t="shared" si="11"/>
        <v>eadbcgf</v>
      </c>
      <c r="CF194" s="12" t="str">
        <f>IFERROR(__xludf.DUMMYFUNCTION("CONCATENATE(SORT(TRANSPOSE(SPLIT(REGEXREPLACE(REGEXREPLACE(CE194&amp;"""",""(?s)(.{1})"",""$1""&amp;CHAR(127)),""'"",""''""),CHAR(127))),1,true),""1"")"),"abcdefg1")</f>
        <v>abcdefg1</v>
      </c>
      <c r="CG194" s="16"/>
      <c r="CH194" s="10" t="str">
        <f>IFERROR(__xludf.DUMMYFUNCTION("FILTER(K194:T194,len(K194:T194)=6)"),"fcdebg")</f>
        <v>fcdebg</v>
      </c>
      <c r="CI194" s="6" t="str">
        <f>IFERROR(__xludf.DUMMYFUNCTION("""COMPUTED_VALUE"""),"gaebcf")</f>
        <v>gaebcf</v>
      </c>
      <c r="CJ194" s="6" t="str">
        <f>IFERROR(__xludf.DUMMYFUNCTION("""COMPUTED_VALUE"""),"ecafdg")</f>
        <v>ecafdg</v>
      </c>
      <c r="CK194" s="6" t="str">
        <f>IFERROR(__xludf.DUMMYFUNCTION("REGEXREPLACE( $BG194, CONCATENATE(""["",CH194,""]""), """")"),"a")</f>
        <v>a</v>
      </c>
      <c r="CL194" s="6" t="str">
        <f>IFERROR(__xludf.DUMMYFUNCTION("REGEXREPLACE( $BG194, CONCATENATE(""["",CI194,""]""), """")"),"")</f>
        <v/>
      </c>
      <c r="CM194" s="6" t="str">
        <f>IFERROR(__xludf.DUMMYFUNCTION("REGEXREPLACE( $BG194, CONCATENATE(""["",CJ194,""]""), """")"),"b")</f>
        <v>b</v>
      </c>
      <c r="CN194" s="12" t="str">
        <f t="shared" si="12"/>
        <v>gaebcf</v>
      </c>
      <c r="CO194" s="12" t="str">
        <f>IFERROR(__xludf.DUMMYFUNCTION("CONCATENATE(SORT(TRANSPOSE(SPLIT(REGEXREPLACE(REGEXREPLACE(CN194&amp;"""",""(?s)(.{1})"",""$1""&amp;CHAR(127)),""'"",""''""),CHAR(127))),1,true),""1"")"),"abcefg1")</f>
        <v>abcefg1</v>
      </c>
      <c r="CP194" s="15"/>
    </row>
    <row r="195">
      <c r="A195" s="1" t="s">
        <v>215</v>
      </c>
      <c r="H195" s="6" t="str">
        <f>IFERROR(__xludf.DUMMYFUNCTION("SPLIT(A195,""|"")"),"ebfadg cbdfaeg gcdfea agd da dcbgfe gdfeb bgeda dbaf ebacg ")</f>
        <v>ebfadg cbdfaeg gcdfea agd da dcbgfe gdfeb bgeda dbaf ebacg </v>
      </c>
      <c r="I195" s="6" t="str">
        <f>IFERROR(__xludf.DUMMYFUNCTION("""COMPUTED_VALUE""")," fbad da cegab abedgcf")</f>
        <v> fbad da cegab abedgcf</v>
      </c>
      <c r="J195" s="15"/>
      <c r="K195" s="6" t="str">
        <f>IFERROR(__xludf.DUMMYFUNCTION("split(H195,"" "")"),"ebfadg")</f>
        <v>ebfadg</v>
      </c>
      <c r="L195" s="6" t="str">
        <f>IFERROR(__xludf.DUMMYFUNCTION("""COMPUTED_VALUE"""),"cbdfaeg")</f>
        <v>cbdfaeg</v>
      </c>
      <c r="M195" s="6" t="str">
        <f>IFERROR(__xludf.DUMMYFUNCTION("""COMPUTED_VALUE"""),"gcdfea")</f>
        <v>gcdfea</v>
      </c>
      <c r="N195" s="6" t="str">
        <f>IFERROR(__xludf.DUMMYFUNCTION("""COMPUTED_VALUE"""),"agd")</f>
        <v>agd</v>
      </c>
      <c r="O195" s="6" t="str">
        <f>IFERROR(__xludf.DUMMYFUNCTION("""COMPUTED_VALUE"""),"da")</f>
        <v>da</v>
      </c>
      <c r="P195" s="6" t="str">
        <f>IFERROR(__xludf.DUMMYFUNCTION("""COMPUTED_VALUE"""),"dcbgfe")</f>
        <v>dcbgfe</v>
      </c>
      <c r="Q195" s="6" t="str">
        <f>IFERROR(__xludf.DUMMYFUNCTION("""COMPUTED_VALUE"""),"gdfeb")</f>
        <v>gdfeb</v>
      </c>
      <c r="R195" s="6" t="str">
        <f>IFERROR(__xludf.DUMMYFUNCTION("""COMPUTED_VALUE"""),"bgeda")</f>
        <v>bgeda</v>
      </c>
      <c r="S195" s="6" t="str">
        <f>IFERROR(__xludf.DUMMYFUNCTION("""COMPUTED_VALUE"""),"dbaf")</f>
        <v>dbaf</v>
      </c>
      <c r="T195" s="6" t="str">
        <f>IFERROR(__xludf.DUMMYFUNCTION("""COMPUTED_VALUE"""),"ebacg")</f>
        <v>ebacg</v>
      </c>
      <c r="U195" s="15"/>
      <c r="V195" s="6" t="str">
        <f>IFERROR(__xludf.DUMMYFUNCTION("split(I195,"" "")"),"fbad")</f>
        <v>fbad</v>
      </c>
      <c r="W195" s="6" t="str">
        <f>IFERROR(__xludf.DUMMYFUNCTION("""COMPUTED_VALUE"""),"da")</f>
        <v>da</v>
      </c>
      <c r="X195" s="6" t="str">
        <f>IFERROR(__xludf.DUMMYFUNCTION("""COMPUTED_VALUE"""),"cegab")</f>
        <v>cegab</v>
      </c>
      <c r="Y195" s="6" t="str">
        <f>IFERROR(__xludf.DUMMYFUNCTION("""COMPUTED_VALUE"""),"abedgcf")</f>
        <v>abedgcf</v>
      </c>
      <c r="Z195" s="6" t="str">
        <f>IFERROR(__xludf.DUMMYFUNCTION("CONCATENATE(SORT(TRANSPOSE(SPLIT(REGEXREPLACE(REGEXREPLACE(V195&amp;"""",""(?s)(.{1})"",""$1""&amp;CHAR(127)),""'"",""''""),CHAR(127))),1,true))"),"abdf")</f>
        <v>abdf</v>
      </c>
      <c r="AA195" s="6" t="str">
        <f>IFERROR(__xludf.DUMMYFUNCTION("CONCATENATE(SORT(TRANSPOSE(SPLIT(REGEXREPLACE(REGEXREPLACE(W195&amp;"""",""(?s)(.{1})"",""$1""&amp;CHAR(127)),""'"",""''""),CHAR(127))),1,true))"),"ad")</f>
        <v>ad</v>
      </c>
      <c r="AB195" s="6" t="str">
        <f>IFERROR(__xludf.DUMMYFUNCTION("CONCATENATE(SORT(TRANSPOSE(SPLIT(REGEXREPLACE(REGEXREPLACE(X195&amp;"""",""(?s)(.{1})"",""$1""&amp;CHAR(127)),""'"",""''""),CHAR(127))),1,true))"),"abceg")</f>
        <v>abceg</v>
      </c>
      <c r="AC195" s="6" t="str">
        <f>IFERROR(__xludf.DUMMYFUNCTION("CONCATENATE(SORT(TRANSPOSE(SPLIT(REGEXREPLACE(REGEXREPLACE(Y195&amp;"""",""(?s)(.{1})"",""$1""&amp;CHAR(127)),""'"",""''""),CHAR(127))),1,true))"),"abcdefg")</f>
        <v>abcdefg</v>
      </c>
      <c r="AD195" s="6">
        <f t="shared" ref="AD195:AG195" si="205">INDEX($AO$1:$CP$1,1,MATCH(CONCATENATE(Z195,"1"),$AO195:$CP195,0)+1)</f>
        <v>4</v>
      </c>
      <c r="AE195" s="6">
        <f t="shared" si="205"/>
        <v>1</v>
      </c>
      <c r="AF195" s="6">
        <f t="shared" si="205"/>
        <v>2</v>
      </c>
      <c r="AG195" s="6">
        <f t="shared" si="205"/>
        <v>8</v>
      </c>
      <c r="AH195" s="6">
        <f t="shared" si="3"/>
        <v>4128</v>
      </c>
      <c r="AI195" s="16"/>
      <c r="AJ195" s="9" t="str">
        <f>IFERROR(__xludf.DUMMYFUNCTION("REGEXREPLACE(AR195,CONCATENATE(""["",BY195,""]""),"""")"),"a")</f>
        <v>a</v>
      </c>
      <c r="AK195" s="10" t="str">
        <f>IFERROR(__xludf.DUMMYFUNCTION("FILTER($K195:$T195,len($K195:$T195)=6,NOT($K195:$T195=BY195))"),"ebfadg")</f>
        <v>ebfadg</v>
      </c>
      <c r="AL195" s="6" t="str">
        <f>IFERROR(__xludf.DUMMYFUNCTION("""COMPUTED_VALUE"""),"gcdfea")</f>
        <v>gcdfea</v>
      </c>
      <c r="AM195" s="6" t="str">
        <f>IFERROR(__xludf.DUMMYFUNCTION("REGEXREPLACE( $BG195, CONCATENATE(""["",AK195,""]""), """")"),"")</f>
        <v/>
      </c>
      <c r="AN195" s="6" t="str">
        <f>IFERROR(__xludf.DUMMYFUNCTION("REGEXREPLACE( $BG195, CONCATENATE(""["",AL195,""]""), """")"),"b")</f>
        <v>b</v>
      </c>
      <c r="AO195" s="11" t="str">
        <f t="shared" si="4"/>
        <v>gcdfea</v>
      </c>
      <c r="AP195" s="12" t="str">
        <f>IFERROR(__xludf.DUMMYFUNCTION("CONCATENATE(SORT(TRANSPOSE(SPLIT(REGEXREPLACE(REGEXREPLACE(AO195&amp;"""",""(?s)(.{1})"",""$1""&amp;CHAR(127)),""'"",""''""),CHAR(127))),1,true),""1"")"),"acdefg1")</f>
        <v>acdefg1</v>
      </c>
      <c r="AQ195" s="16"/>
      <c r="AR195" s="12" t="str">
        <f t="shared" si="5"/>
        <v>da</v>
      </c>
      <c r="AS195" s="12" t="str">
        <f>IFERROR(__xludf.DUMMYFUNCTION("CONCATENATE(SORT(TRANSPOSE(SPLIT(REGEXREPLACE(REGEXREPLACE(AR195&amp;"""",""(?s)(.{1})"",""$1""&amp;CHAR(127)),""'"",""''""),CHAR(127))),1,true),""1"")"),"ad1")</f>
        <v>ad1</v>
      </c>
      <c r="AT195" s="16"/>
      <c r="AU195" s="13" t="str">
        <f>IFERROR(__xludf.DUMMYFUNCTION("FILTER($K195:$T195,len($K195:$T195)=5,NOT($K195:$T195=BD195),NOT($K195:$T195=BP195))"),"ebacg")</f>
        <v>ebacg</v>
      </c>
      <c r="AV195" s="12" t="str">
        <f>IFERROR(__xludf.DUMMYFUNCTION("CONCATENATE(SORT(TRANSPOSE(SPLIT(REGEXREPLACE(REGEXREPLACE(AU195&amp;"""",""(?s)(.{1})"",""$1""&amp;CHAR(127)),""'"",""''""),CHAR(127))),1,true),""1"")"),"abceg1")</f>
        <v>abceg1</v>
      </c>
      <c r="AW195" s="16"/>
      <c r="AX195" s="10" t="str">
        <f>IFERROR(__xludf.DUMMYFUNCTION("FILTER($K195:$T195,len($K195:$T195)=5)"),"gdfeb")</f>
        <v>gdfeb</v>
      </c>
      <c r="AY195" s="6" t="str">
        <f>IFERROR(__xludf.DUMMYFUNCTION("""COMPUTED_VALUE"""),"bgeda")</f>
        <v>bgeda</v>
      </c>
      <c r="AZ195" s="6" t="str">
        <f>IFERROR(__xludf.DUMMYFUNCTION("""COMPUTED_VALUE"""),"ebacg")</f>
        <v>ebacg</v>
      </c>
      <c r="BA195" s="6" t="str">
        <f>IFERROR(__xludf.DUMMYFUNCTION("REGEXREPLACE( $AR195, CONCATENATE(""["",AX195,""]""), """")"),"a")</f>
        <v>a</v>
      </c>
      <c r="BB195" s="6" t="str">
        <f>IFERROR(__xludf.DUMMYFUNCTION("REGEXREPLACE( $AR195, CONCATENATE(""["",AY195,""]""), """")"),"")</f>
        <v/>
      </c>
      <c r="BC195" s="6" t="str">
        <f>IFERROR(__xludf.DUMMYFUNCTION("REGEXREPLACE( $AR195, CONCATENATE(""["",AZ195,""]""), """")"),"d")</f>
        <v>d</v>
      </c>
      <c r="BD195" s="11" t="str">
        <f t="shared" si="6"/>
        <v>bgeda</v>
      </c>
      <c r="BE195" s="12" t="str">
        <f>IFERROR(__xludf.DUMMYFUNCTION("CONCATENATE(SORT(TRANSPOSE(SPLIT(REGEXREPLACE(REGEXREPLACE(BD195&amp;"""",""(?s)(.{1})"",""$1""&amp;CHAR(127)),""'"",""''""),CHAR(127))),1,true),""1"")"),"abdeg1")</f>
        <v>abdeg1</v>
      </c>
      <c r="BF195" s="16"/>
      <c r="BG195" s="12" t="str">
        <f t="shared" si="7"/>
        <v>dbaf</v>
      </c>
      <c r="BH195" s="12" t="str">
        <f>IFERROR(__xludf.DUMMYFUNCTION("CONCATENATE(SORT(TRANSPOSE(SPLIT(REGEXREPLACE(REGEXREPLACE(BG195&amp;"""",""(?s)(.{1})"",""$1""&amp;CHAR(127)),""'"",""''""),CHAR(127))),1,true),""1"")"),"abdf1")</f>
        <v>abdf1</v>
      </c>
      <c r="BI195" s="16"/>
      <c r="BJ195" s="10" t="str">
        <f>IFERROR(__xludf.DUMMYFUNCTION("FILTER($K195:$T195,len($K195:$T195)=5)"),"gdfeb")</f>
        <v>gdfeb</v>
      </c>
      <c r="BK195" s="6" t="str">
        <f>IFERROR(__xludf.DUMMYFUNCTION("""COMPUTED_VALUE"""),"bgeda")</f>
        <v>bgeda</v>
      </c>
      <c r="BL195" s="6" t="str">
        <f>IFERROR(__xludf.DUMMYFUNCTION("""COMPUTED_VALUE"""),"ebacg")</f>
        <v>ebacg</v>
      </c>
      <c r="BM195" s="14" t="str">
        <f>IFERROR(__xludf.DUMMYFUNCTION("REGEXREPLACE( $BY195, CONCATENATE(""["",BJ195,""]""), """")"),"c")</f>
        <v>c</v>
      </c>
      <c r="BN195" s="14" t="str">
        <f>IFERROR(__xludf.DUMMYFUNCTION("REGEXREPLACE( $BY195, CONCATENATE(""["",BK195,""]""), """")"),"cf")</f>
        <v>cf</v>
      </c>
      <c r="BO195" s="14" t="str">
        <f>IFERROR(__xludf.DUMMYFUNCTION("REGEXREPLACE( $BY195, CONCATENATE(""["",BL195,""]""), """")"),"df")</f>
        <v>df</v>
      </c>
      <c r="BP195" s="11" t="str">
        <f t="shared" si="8"/>
        <v>gdfeb</v>
      </c>
      <c r="BQ195" s="12" t="str">
        <f>IFERROR(__xludf.DUMMYFUNCTION("CONCATENATE(SORT(TRANSPOSE(SPLIT(REGEXREPLACE(REGEXREPLACE(BP195&amp;"""",""(?s)(.{1})"",""$1""&amp;CHAR(127)),""'"",""''""),CHAR(127))),1,true),""1"")"),"bdefg1")</f>
        <v>bdefg1</v>
      </c>
      <c r="BR195" s="16"/>
      <c r="BS195" s="10" t="str">
        <f>IFERROR(__xludf.DUMMYFUNCTION("FILTER(K195:T195,len(K195:T195)=6)"),"ebfadg")</f>
        <v>ebfadg</v>
      </c>
      <c r="BT195" s="6" t="str">
        <f>IFERROR(__xludf.DUMMYFUNCTION("""COMPUTED_VALUE"""),"gcdfea")</f>
        <v>gcdfea</v>
      </c>
      <c r="BU195" s="6" t="str">
        <f>IFERROR(__xludf.DUMMYFUNCTION("""COMPUTED_VALUE"""),"dcbgfe")</f>
        <v>dcbgfe</v>
      </c>
      <c r="BV195" s="6" t="str">
        <f>IFERROR(__xludf.DUMMYFUNCTION("REGEXREPLACE( $AR195, CONCATENATE(""["",BS195,""]""), """")"),"")</f>
        <v/>
      </c>
      <c r="BW195" s="6" t="str">
        <f>IFERROR(__xludf.DUMMYFUNCTION("REGEXREPLACE( $AR195, CONCATENATE(""["",BT195,""]""), """")"),"")</f>
        <v/>
      </c>
      <c r="BX195" s="6" t="str">
        <f>IFERROR(__xludf.DUMMYFUNCTION("REGEXREPLACE( $AR195, CONCATENATE(""["",BU195,""]""), """")"),"a")</f>
        <v>a</v>
      </c>
      <c r="BY195" s="12" t="str">
        <f t="shared" si="9"/>
        <v>dcbgfe</v>
      </c>
      <c r="BZ195" s="12" t="str">
        <f>IFERROR(__xludf.DUMMYFUNCTION("CONCATENATE(SORT(TRANSPOSE(SPLIT(REGEXREPLACE(REGEXREPLACE(BY195&amp;"""",""(?s)(.{1})"",""$1""&amp;CHAR(127)),""'"",""''""),CHAR(127))),1,true),""1"")"),"bcdefg1")</f>
        <v>bcdefg1</v>
      </c>
      <c r="CA195" s="16"/>
      <c r="CB195" s="12" t="str">
        <f t="shared" si="10"/>
        <v>agd</v>
      </c>
      <c r="CC195" s="12" t="str">
        <f>IFERROR(__xludf.DUMMYFUNCTION("CONCATENATE(SORT(TRANSPOSE(SPLIT(REGEXREPLACE(REGEXREPLACE(CB195&amp;"""",""(?s)(.{1})"",""$1""&amp;CHAR(127)),""'"",""''""),CHAR(127))),1,true),""1"")"),"adg1")</f>
        <v>adg1</v>
      </c>
      <c r="CD195" s="16"/>
      <c r="CE195" s="12" t="str">
        <f t="shared" si="11"/>
        <v>cbdfaeg</v>
      </c>
      <c r="CF195" s="12" t="str">
        <f>IFERROR(__xludf.DUMMYFUNCTION("CONCATENATE(SORT(TRANSPOSE(SPLIT(REGEXREPLACE(REGEXREPLACE(CE195&amp;"""",""(?s)(.{1})"",""$1""&amp;CHAR(127)),""'"",""''""),CHAR(127))),1,true),""1"")"),"abcdefg1")</f>
        <v>abcdefg1</v>
      </c>
      <c r="CG195" s="16"/>
      <c r="CH195" s="10" t="str">
        <f>IFERROR(__xludf.DUMMYFUNCTION("FILTER(K195:T195,len(K195:T195)=6)"),"ebfadg")</f>
        <v>ebfadg</v>
      </c>
      <c r="CI195" s="6" t="str">
        <f>IFERROR(__xludf.DUMMYFUNCTION("""COMPUTED_VALUE"""),"gcdfea")</f>
        <v>gcdfea</v>
      </c>
      <c r="CJ195" s="6" t="str">
        <f>IFERROR(__xludf.DUMMYFUNCTION("""COMPUTED_VALUE"""),"dcbgfe")</f>
        <v>dcbgfe</v>
      </c>
      <c r="CK195" s="6" t="str">
        <f>IFERROR(__xludf.DUMMYFUNCTION("REGEXREPLACE( $BG195, CONCATENATE(""["",CH195,""]""), """")"),"")</f>
        <v/>
      </c>
      <c r="CL195" s="6" t="str">
        <f>IFERROR(__xludf.DUMMYFUNCTION("REGEXREPLACE( $BG195, CONCATENATE(""["",CI195,""]""), """")"),"b")</f>
        <v>b</v>
      </c>
      <c r="CM195" s="6" t="str">
        <f>IFERROR(__xludf.DUMMYFUNCTION("REGEXREPLACE( $BG195, CONCATENATE(""["",CJ195,""]""), """")"),"a")</f>
        <v>a</v>
      </c>
      <c r="CN195" s="12" t="str">
        <f t="shared" si="12"/>
        <v>ebfadg</v>
      </c>
      <c r="CO195" s="12" t="str">
        <f>IFERROR(__xludf.DUMMYFUNCTION("CONCATENATE(SORT(TRANSPOSE(SPLIT(REGEXREPLACE(REGEXREPLACE(CN195&amp;"""",""(?s)(.{1})"",""$1""&amp;CHAR(127)),""'"",""''""),CHAR(127))),1,true),""1"")"),"abdefg1")</f>
        <v>abdefg1</v>
      </c>
      <c r="CP195" s="15"/>
    </row>
    <row r="196">
      <c r="A196" s="1" t="s">
        <v>216</v>
      </c>
      <c r="H196" s="6" t="str">
        <f>IFERROR(__xludf.DUMMYFUNCTION("SPLIT(A196,""|"")"),"cdfgeab gdbfa aebdf cdeafg gb acfgbd fbg dgacf egabfc cgbd ")</f>
        <v>cdfgeab gdbfa aebdf cdeafg gb acfgbd fbg dgacf egabfc cgbd </v>
      </c>
      <c r="I196" s="6" t="str">
        <f>IFERROR(__xludf.DUMMYFUNCTION("""COMPUTED_VALUE""")," cbagfe cebgaf gcadfe bfg")</f>
        <v> cbagfe cebgaf gcadfe bfg</v>
      </c>
      <c r="J196" s="15"/>
      <c r="K196" s="6" t="str">
        <f>IFERROR(__xludf.DUMMYFUNCTION("split(H196,"" "")"),"cdfgeab")</f>
        <v>cdfgeab</v>
      </c>
      <c r="L196" s="6" t="str">
        <f>IFERROR(__xludf.DUMMYFUNCTION("""COMPUTED_VALUE"""),"gdbfa")</f>
        <v>gdbfa</v>
      </c>
      <c r="M196" s="6" t="str">
        <f>IFERROR(__xludf.DUMMYFUNCTION("""COMPUTED_VALUE"""),"aebdf")</f>
        <v>aebdf</v>
      </c>
      <c r="N196" s="6" t="str">
        <f>IFERROR(__xludf.DUMMYFUNCTION("""COMPUTED_VALUE"""),"cdeafg")</f>
        <v>cdeafg</v>
      </c>
      <c r="O196" s="6" t="str">
        <f>IFERROR(__xludf.DUMMYFUNCTION("""COMPUTED_VALUE"""),"gb")</f>
        <v>gb</v>
      </c>
      <c r="P196" s="6" t="str">
        <f>IFERROR(__xludf.DUMMYFUNCTION("""COMPUTED_VALUE"""),"acfgbd")</f>
        <v>acfgbd</v>
      </c>
      <c r="Q196" s="6" t="str">
        <f>IFERROR(__xludf.DUMMYFUNCTION("""COMPUTED_VALUE"""),"fbg")</f>
        <v>fbg</v>
      </c>
      <c r="R196" s="6" t="str">
        <f>IFERROR(__xludf.DUMMYFUNCTION("""COMPUTED_VALUE"""),"dgacf")</f>
        <v>dgacf</v>
      </c>
      <c r="S196" s="6" t="str">
        <f>IFERROR(__xludf.DUMMYFUNCTION("""COMPUTED_VALUE"""),"egabfc")</f>
        <v>egabfc</v>
      </c>
      <c r="T196" s="6" t="str">
        <f>IFERROR(__xludf.DUMMYFUNCTION("""COMPUTED_VALUE"""),"cgbd")</f>
        <v>cgbd</v>
      </c>
      <c r="U196" s="15"/>
      <c r="V196" s="6" t="str">
        <f>IFERROR(__xludf.DUMMYFUNCTION("split(I196,"" "")"),"cbagfe")</f>
        <v>cbagfe</v>
      </c>
      <c r="W196" s="6" t="str">
        <f>IFERROR(__xludf.DUMMYFUNCTION("""COMPUTED_VALUE"""),"cebgaf")</f>
        <v>cebgaf</v>
      </c>
      <c r="X196" s="6" t="str">
        <f>IFERROR(__xludf.DUMMYFUNCTION("""COMPUTED_VALUE"""),"gcadfe")</f>
        <v>gcadfe</v>
      </c>
      <c r="Y196" s="6" t="str">
        <f>IFERROR(__xludf.DUMMYFUNCTION("""COMPUTED_VALUE"""),"bfg")</f>
        <v>bfg</v>
      </c>
      <c r="Z196" s="6" t="str">
        <f>IFERROR(__xludf.DUMMYFUNCTION("CONCATENATE(SORT(TRANSPOSE(SPLIT(REGEXREPLACE(REGEXREPLACE(V196&amp;"""",""(?s)(.{1})"",""$1""&amp;CHAR(127)),""'"",""''""),CHAR(127))),1,true))"),"abcefg")</f>
        <v>abcefg</v>
      </c>
      <c r="AA196" s="6" t="str">
        <f>IFERROR(__xludf.DUMMYFUNCTION("CONCATENATE(SORT(TRANSPOSE(SPLIT(REGEXREPLACE(REGEXREPLACE(W196&amp;"""",""(?s)(.{1})"",""$1""&amp;CHAR(127)),""'"",""''""),CHAR(127))),1,true))"),"abcefg")</f>
        <v>abcefg</v>
      </c>
      <c r="AB196" s="6" t="str">
        <f>IFERROR(__xludf.DUMMYFUNCTION("CONCATENATE(SORT(TRANSPOSE(SPLIT(REGEXREPLACE(REGEXREPLACE(X196&amp;"""",""(?s)(.{1})"",""$1""&amp;CHAR(127)),""'"",""''""),CHAR(127))),1,true))"),"acdefg")</f>
        <v>acdefg</v>
      </c>
      <c r="AC196" s="6" t="str">
        <f>IFERROR(__xludf.DUMMYFUNCTION("CONCATENATE(SORT(TRANSPOSE(SPLIT(REGEXREPLACE(REGEXREPLACE(Y196&amp;"""",""(?s)(.{1})"",""$1""&amp;CHAR(127)),""'"",""''""),CHAR(127))),1,true))"),"bfg")</f>
        <v>bfg</v>
      </c>
      <c r="AD196" s="6">
        <f t="shared" ref="AD196:AG196" si="206">INDEX($AO$1:$CP$1,1,MATCH(CONCATENATE(Z196,"1"),$AO196:$CP196,0)+1)</f>
        <v>0</v>
      </c>
      <c r="AE196" s="6">
        <f t="shared" si="206"/>
        <v>0</v>
      </c>
      <c r="AF196" s="6">
        <f t="shared" si="206"/>
        <v>6</v>
      </c>
      <c r="AG196" s="6">
        <f t="shared" si="206"/>
        <v>7</v>
      </c>
      <c r="AH196" s="6">
        <f t="shared" si="3"/>
        <v>67</v>
      </c>
      <c r="AI196" s="16"/>
      <c r="AJ196" s="9" t="str">
        <f>IFERROR(__xludf.DUMMYFUNCTION("REGEXREPLACE(AR196,CONCATENATE(""["",BY196,""]""),"""")"),"b")</f>
        <v>b</v>
      </c>
      <c r="AK196" s="10" t="str">
        <f>IFERROR(__xludf.DUMMYFUNCTION("FILTER($K196:$T196,len($K196:$T196)=6,NOT($K196:$T196=BY196))"),"acfgbd")</f>
        <v>acfgbd</v>
      </c>
      <c r="AL196" s="6" t="str">
        <f>IFERROR(__xludf.DUMMYFUNCTION("""COMPUTED_VALUE"""),"egabfc")</f>
        <v>egabfc</v>
      </c>
      <c r="AM196" s="6" t="str">
        <f>IFERROR(__xludf.DUMMYFUNCTION("REGEXREPLACE( $BG196, CONCATENATE(""["",AK196,""]""), """")"),"")</f>
        <v/>
      </c>
      <c r="AN196" s="6" t="str">
        <f>IFERROR(__xludf.DUMMYFUNCTION("REGEXREPLACE( $BG196, CONCATENATE(""["",AL196,""]""), """")"),"d")</f>
        <v>d</v>
      </c>
      <c r="AO196" s="11" t="str">
        <f t="shared" si="4"/>
        <v>egabfc</v>
      </c>
      <c r="AP196" s="12" t="str">
        <f>IFERROR(__xludf.DUMMYFUNCTION("CONCATENATE(SORT(TRANSPOSE(SPLIT(REGEXREPLACE(REGEXREPLACE(AO196&amp;"""",""(?s)(.{1})"",""$1""&amp;CHAR(127)),""'"",""''""),CHAR(127))),1,true),""1"")"),"abcefg1")</f>
        <v>abcefg1</v>
      </c>
      <c r="AQ196" s="16"/>
      <c r="AR196" s="12" t="str">
        <f t="shared" si="5"/>
        <v>gb</v>
      </c>
      <c r="AS196" s="12" t="str">
        <f>IFERROR(__xludf.DUMMYFUNCTION("CONCATENATE(SORT(TRANSPOSE(SPLIT(REGEXREPLACE(REGEXREPLACE(AR196&amp;"""",""(?s)(.{1})"",""$1""&amp;CHAR(127)),""'"",""''""),CHAR(127))),1,true),""1"")"),"bg1")</f>
        <v>bg1</v>
      </c>
      <c r="AT196" s="16"/>
      <c r="AU196" s="13" t="str">
        <f>IFERROR(__xludf.DUMMYFUNCTION("FILTER($K196:$T196,len($K196:$T196)=5,NOT($K196:$T196=BD196),NOT($K196:$T196=BP196))"),"aebdf")</f>
        <v>aebdf</v>
      </c>
      <c r="AV196" s="12" t="str">
        <f>IFERROR(__xludf.DUMMYFUNCTION("CONCATENATE(SORT(TRANSPOSE(SPLIT(REGEXREPLACE(REGEXREPLACE(AU196&amp;"""",""(?s)(.{1})"",""$1""&amp;CHAR(127)),""'"",""''""),CHAR(127))),1,true),""1"")"),"abdef1")</f>
        <v>abdef1</v>
      </c>
      <c r="AW196" s="16"/>
      <c r="AX196" s="10" t="str">
        <f>IFERROR(__xludf.DUMMYFUNCTION("FILTER($K196:$T196,len($K196:$T196)=5)"),"gdbfa")</f>
        <v>gdbfa</v>
      </c>
      <c r="AY196" s="6" t="str">
        <f>IFERROR(__xludf.DUMMYFUNCTION("""COMPUTED_VALUE"""),"aebdf")</f>
        <v>aebdf</v>
      </c>
      <c r="AZ196" s="6" t="str">
        <f>IFERROR(__xludf.DUMMYFUNCTION("""COMPUTED_VALUE"""),"dgacf")</f>
        <v>dgacf</v>
      </c>
      <c r="BA196" s="6" t="str">
        <f>IFERROR(__xludf.DUMMYFUNCTION("REGEXREPLACE( $AR196, CONCATENATE(""["",AX196,""]""), """")"),"")</f>
        <v/>
      </c>
      <c r="BB196" s="6" t="str">
        <f>IFERROR(__xludf.DUMMYFUNCTION("REGEXREPLACE( $AR196, CONCATENATE(""["",AY196,""]""), """")"),"g")</f>
        <v>g</v>
      </c>
      <c r="BC196" s="6" t="str">
        <f>IFERROR(__xludf.DUMMYFUNCTION("REGEXREPLACE( $AR196, CONCATENATE(""["",AZ196,""]""), """")"),"b")</f>
        <v>b</v>
      </c>
      <c r="BD196" s="11" t="str">
        <f t="shared" si="6"/>
        <v>gdbfa</v>
      </c>
      <c r="BE196" s="12" t="str">
        <f>IFERROR(__xludf.DUMMYFUNCTION("CONCATENATE(SORT(TRANSPOSE(SPLIT(REGEXREPLACE(REGEXREPLACE(BD196&amp;"""",""(?s)(.{1})"",""$1""&amp;CHAR(127)),""'"",""''""),CHAR(127))),1,true),""1"")"),"abdfg1")</f>
        <v>abdfg1</v>
      </c>
      <c r="BF196" s="16"/>
      <c r="BG196" s="12" t="str">
        <f t="shared" si="7"/>
        <v>cgbd</v>
      </c>
      <c r="BH196" s="12" t="str">
        <f>IFERROR(__xludf.DUMMYFUNCTION("CONCATENATE(SORT(TRANSPOSE(SPLIT(REGEXREPLACE(REGEXREPLACE(BG196&amp;"""",""(?s)(.{1})"",""$1""&amp;CHAR(127)),""'"",""''""),CHAR(127))),1,true),""1"")"),"bcdg1")</f>
        <v>bcdg1</v>
      </c>
      <c r="BI196" s="16"/>
      <c r="BJ196" s="10" t="str">
        <f>IFERROR(__xludf.DUMMYFUNCTION("FILTER($K196:$T196,len($K196:$T196)=5)"),"gdbfa")</f>
        <v>gdbfa</v>
      </c>
      <c r="BK196" s="6" t="str">
        <f>IFERROR(__xludf.DUMMYFUNCTION("""COMPUTED_VALUE"""),"aebdf")</f>
        <v>aebdf</v>
      </c>
      <c r="BL196" s="6" t="str">
        <f>IFERROR(__xludf.DUMMYFUNCTION("""COMPUTED_VALUE"""),"dgacf")</f>
        <v>dgacf</v>
      </c>
      <c r="BM196" s="14" t="str">
        <f>IFERROR(__xludf.DUMMYFUNCTION("REGEXREPLACE( $BY196, CONCATENATE(""["",BJ196,""]""), """")"),"ce")</f>
        <v>ce</v>
      </c>
      <c r="BN196" s="14" t="str">
        <f>IFERROR(__xludf.DUMMYFUNCTION("REGEXREPLACE( $BY196, CONCATENATE(""["",BK196,""]""), """")"),"cg")</f>
        <v>cg</v>
      </c>
      <c r="BO196" s="14" t="str">
        <f>IFERROR(__xludf.DUMMYFUNCTION("REGEXREPLACE( $BY196, CONCATENATE(""["",BL196,""]""), """")"),"e")</f>
        <v>e</v>
      </c>
      <c r="BP196" s="11" t="str">
        <f t="shared" si="8"/>
        <v>dgacf</v>
      </c>
      <c r="BQ196" s="12" t="str">
        <f>IFERROR(__xludf.DUMMYFUNCTION("CONCATENATE(SORT(TRANSPOSE(SPLIT(REGEXREPLACE(REGEXREPLACE(BP196&amp;"""",""(?s)(.{1})"",""$1""&amp;CHAR(127)),""'"",""''""),CHAR(127))),1,true),""1"")"),"acdfg1")</f>
        <v>acdfg1</v>
      </c>
      <c r="BR196" s="16"/>
      <c r="BS196" s="10" t="str">
        <f>IFERROR(__xludf.DUMMYFUNCTION("FILTER(K196:T196,len(K196:T196)=6)"),"cdeafg")</f>
        <v>cdeafg</v>
      </c>
      <c r="BT196" s="6" t="str">
        <f>IFERROR(__xludf.DUMMYFUNCTION("""COMPUTED_VALUE"""),"acfgbd")</f>
        <v>acfgbd</v>
      </c>
      <c r="BU196" s="6" t="str">
        <f>IFERROR(__xludf.DUMMYFUNCTION("""COMPUTED_VALUE"""),"egabfc")</f>
        <v>egabfc</v>
      </c>
      <c r="BV196" s="6" t="str">
        <f>IFERROR(__xludf.DUMMYFUNCTION("REGEXREPLACE( $AR196, CONCATENATE(""["",BS196,""]""), """")"),"b")</f>
        <v>b</v>
      </c>
      <c r="BW196" s="6" t="str">
        <f>IFERROR(__xludf.DUMMYFUNCTION("REGEXREPLACE( $AR196, CONCATENATE(""["",BT196,""]""), """")"),"")</f>
        <v/>
      </c>
      <c r="BX196" s="6" t="str">
        <f>IFERROR(__xludf.DUMMYFUNCTION("REGEXREPLACE( $AR196, CONCATENATE(""["",BU196,""]""), """")"),"")</f>
        <v/>
      </c>
      <c r="BY196" s="12" t="str">
        <f t="shared" si="9"/>
        <v>cdeafg</v>
      </c>
      <c r="BZ196" s="12" t="str">
        <f>IFERROR(__xludf.DUMMYFUNCTION("CONCATENATE(SORT(TRANSPOSE(SPLIT(REGEXREPLACE(REGEXREPLACE(BY196&amp;"""",""(?s)(.{1})"",""$1""&amp;CHAR(127)),""'"",""''""),CHAR(127))),1,true),""1"")"),"acdefg1")</f>
        <v>acdefg1</v>
      </c>
      <c r="CA196" s="16"/>
      <c r="CB196" s="12" t="str">
        <f t="shared" si="10"/>
        <v>fbg</v>
      </c>
      <c r="CC196" s="12" t="str">
        <f>IFERROR(__xludf.DUMMYFUNCTION("CONCATENATE(SORT(TRANSPOSE(SPLIT(REGEXREPLACE(REGEXREPLACE(CB196&amp;"""",""(?s)(.{1})"",""$1""&amp;CHAR(127)),""'"",""''""),CHAR(127))),1,true),""1"")"),"bfg1")</f>
        <v>bfg1</v>
      </c>
      <c r="CD196" s="16"/>
      <c r="CE196" s="12" t="str">
        <f t="shared" si="11"/>
        <v>cdfgeab</v>
      </c>
      <c r="CF196" s="12" t="str">
        <f>IFERROR(__xludf.DUMMYFUNCTION("CONCATENATE(SORT(TRANSPOSE(SPLIT(REGEXREPLACE(REGEXREPLACE(CE196&amp;"""",""(?s)(.{1})"",""$1""&amp;CHAR(127)),""'"",""''""),CHAR(127))),1,true),""1"")"),"abcdefg1")</f>
        <v>abcdefg1</v>
      </c>
      <c r="CG196" s="16"/>
      <c r="CH196" s="10" t="str">
        <f>IFERROR(__xludf.DUMMYFUNCTION("FILTER(K196:T196,len(K196:T196)=6)"),"cdeafg")</f>
        <v>cdeafg</v>
      </c>
      <c r="CI196" s="6" t="str">
        <f>IFERROR(__xludf.DUMMYFUNCTION("""COMPUTED_VALUE"""),"acfgbd")</f>
        <v>acfgbd</v>
      </c>
      <c r="CJ196" s="6" t="str">
        <f>IFERROR(__xludf.DUMMYFUNCTION("""COMPUTED_VALUE"""),"egabfc")</f>
        <v>egabfc</v>
      </c>
      <c r="CK196" s="6" t="str">
        <f>IFERROR(__xludf.DUMMYFUNCTION("REGEXREPLACE( $BG196, CONCATENATE(""["",CH196,""]""), """")"),"b")</f>
        <v>b</v>
      </c>
      <c r="CL196" s="6" t="str">
        <f>IFERROR(__xludf.DUMMYFUNCTION("REGEXREPLACE( $BG196, CONCATENATE(""["",CI196,""]""), """")"),"")</f>
        <v/>
      </c>
      <c r="CM196" s="6" t="str">
        <f>IFERROR(__xludf.DUMMYFUNCTION("REGEXREPLACE( $BG196, CONCATENATE(""["",CJ196,""]""), """")"),"d")</f>
        <v>d</v>
      </c>
      <c r="CN196" s="12" t="str">
        <f t="shared" si="12"/>
        <v>acfgbd</v>
      </c>
      <c r="CO196" s="12" t="str">
        <f>IFERROR(__xludf.DUMMYFUNCTION("CONCATENATE(SORT(TRANSPOSE(SPLIT(REGEXREPLACE(REGEXREPLACE(CN196&amp;"""",""(?s)(.{1})"",""$1""&amp;CHAR(127)),""'"",""''""),CHAR(127))),1,true),""1"")"),"abcdfg1")</f>
        <v>abcdfg1</v>
      </c>
      <c r="CP196" s="15"/>
    </row>
    <row r="197">
      <c r="A197" s="1" t="s">
        <v>217</v>
      </c>
      <c r="H197" s="6" t="str">
        <f>IFERROR(__xludf.DUMMYFUNCTION("SPLIT(A197,""|"")"),"dcgeb edgf dgfacb dfc edabcg df bfeac gdcebf fedcb gcdabfe ")</f>
        <v>dcgeb edgf dgfacb dfc edabcg df bfeac gdcebf fedcb gcdabfe </v>
      </c>
      <c r="I197" s="6" t="str">
        <f>IFERROR(__xludf.DUMMYFUNCTION("""COMPUTED_VALUE""")," bafce debgc df ecbdg")</f>
        <v> bafce debgc df ecbdg</v>
      </c>
      <c r="J197" s="15"/>
      <c r="K197" s="6" t="str">
        <f>IFERROR(__xludf.DUMMYFUNCTION("split(H197,"" "")"),"dcgeb")</f>
        <v>dcgeb</v>
      </c>
      <c r="L197" s="6" t="str">
        <f>IFERROR(__xludf.DUMMYFUNCTION("""COMPUTED_VALUE"""),"edgf")</f>
        <v>edgf</v>
      </c>
      <c r="M197" s="6" t="str">
        <f>IFERROR(__xludf.DUMMYFUNCTION("""COMPUTED_VALUE"""),"dgfacb")</f>
        <v>dgfacb</v>
      </c>
      <c r="N197" s="6" t="str">
        <f>IFERROR(__xludf.DUMMYFUNCTION("""COMPUTED_VALUE"""),"dfc")</f>
        <v>dfc</v>
      </c>
      <c r="O197" s="6" t="str">
        <f>IFERROR(__xludf.DUMMYFUNCTION("""COMPUTED_VALUE"""),"edabcg")</f>
        <v>edabcg</v>
      </c>
      <c r="P197" s="6" t="str">
        <f>IFERROR(__xludf.DUMMYFUNCTION("""COMPUTED_VALUE"""),"df")</f>
        <v>df</v>
      </c>
      <c r="Q197" s="6" t="str">
        <f>IFERROR(__xludf.DUMMYFUNCTION("""COMPUTED_VALUE"""),"bfeac")</f>
        <v>bfeac</v>
      </c>
      <c r="R197" s="6" t="str">
        <f>IFERROR(__xludf.DUMMYFUNCTION("""COMPUTED_VALUE"""),"gdcebf")</f>
        <v>gdcebf</v>
      </c>
      <c r="S197" s="6" t="str">
        <f>IFERROR(__xludf.DUMMYFUNCTION("""COMPUTED_VALUE"""),"fedcb")</f>
        <v>fedcb</v>
      </c>
      <c r="T197" s="6" t="str">
        <f>IFERROR(__xludf.DUMMYFUNCTION("""COMPUTED_VALUE"""),"gcdabfe")</f>
        <v>gcdabfe</v>
      </c>
      <c r="U197" s="15"/>
      <c r="V197" s="6" t="str">
        <f>IFERROR(__xludf.DUMMYFUNCTION("split(I197,"" "")"),"bafce")</f>
        <v>bafce</v>
      </c>
      <c r="W197" s="6" t="str">
        <f>IFERROR(__xludf.DUMMYFUNCTION("""COMPUTED_VALUE"""),"debgc")</f>
        <v>debgc</v>
      </c>
      <c r="X197" s="6" t="str">
        <f>IFERROR(__xludf.DUMMYFUNCTION("""COMPUTED_VALUE"""),"df")</f>
        <v>df</v>
      </c>
      <c r="Y197" s="6" t="str">
        <f>IFERROR(__xludf.DUMMYFUNCTION("""COMPUTED_VALUE"""),"ecbdg")</f>
        <v>ecbdg</v>
      </c>
      <c r="Z197" s="6" t="str">
        <f>IFERROR(__xludf.DUMMYFUNCTION("CONCATENATE(SORT(TRANSPOSE(SPLIT(REGEXREPLACE(REGEXREPLACE(V197&amp;"""",""(?s)(.{1})"",""$1""&amp;CHAR(127)),""'"",""''""),CHAR(127))),1,true))"),"abcef")</f>
        <v>abcef</v>
      </c>
      <c r="AA197" s="6" t="str">
        <f>IFERROR(__xludf.DUMMYFUNCTION("CONCATENATE(SORT(TRANSPOSE(SPLIT(REGEXREPLACE(REGEXREPLACE(W197&amp;"""",""(?s)(.{1})"",""$1""&amp;CHAR(127)),""'"",""''""),CHAR(127))),1,true))"),"bcdeg")</f>
        <v>bcdeg</v>
      </c>
      <c r="AB197" s="6" t="str">
        <f>IFERROR(__xludf.DUMMYFUNCTION("CONCATENATE(SORT(TRANSPOSE(SPLIT(REGEXREPLACE(REGEXREPLACE(X197&amp;"""",""(?s)(.{1})"",""$1""&amp;CHAR(127)),""'"",""''""),CHAR(127))),1,true))"),"df")</f>
        <v>df</v>
      </c>
      <c r="AC197" s="6" t="str">
        <f>IFERROR(__xludf.DUMMYFUNCTION("CONCATENATE(SORT(TRANSPOSE(SPLIT(REGEXREPLACE(REGEXREPLACE(Y197&amp;"""",""(?s)(.{1})"",""$1""&amp;CHAR(127)),""'"",""''""),CHAR(127))),1,true))"),"bcdeg")</f>
        <v>bcdeg</v>
      </c>
      <c r="AD197" s="6">
        <f t="shared" ref="AD197:AG197" si="207">INDEX($AO$1:$CP$1,1,MATCH(CONCATENATE(Z197,"1"),$AO197:$CP197,0)+1)</f>
        <v>2</v>
      </c>
      <c r="AE197" s="6">
        <f t="shared" si="207"/>
        <v>5</v>
      </c>
      <c r="AF197" s="6">
        <f t="shared" si="207"/>
        <v>1</v>
      </c>
      <c r="AG197" s="6">
        <f t="shared" si="207"/>
        <v>5</v>
      </c>
      <c r="AH197" s="6">
        <f t="shared" si="3"/>
        <v>2515</v>
      </c>
      <c r="AI197" s="16"/>
      <c r="AJ197" s="9" t="str">
        <f>IFERROR(__xludf.DUMMYFUNCTION("REGEXREPLACE(AR197,CONCATENATE(""["",BY197,""]""),"""")"),"f")</f>
        <v>f</v>
      </c>
      <c r="AK197" s="10" t="str">
        <f>IFERROR(__xludf.DUMMYFUNCTION("FILTER($K197:$T197,len($K197:$T197)=6,NOT($K197:$T197=BY197))"),"dgfacb")</f>
        <v>dgfacb</v>
      </c>
      <c r="AL197" s="6" t="str">
        <f>IFERROR(__xludf.DUMMYFUNCTION("""COMPUTED_VALUE"""),"gdcebf")</f>
        <v>gdcebf</v>
      </c>
      <c r="AM197" s="6" t="str">
        <f>IFERROR(__xludf.DUMMYFUNCTION("REGEXREPLACE( $BG197, CONCATENATE(""["",AK197,""]""), """")"),"e")</f>
        <v>e</v>
      </c>
      <c r="AN197" s="6" t="str">
        <f>IFERROR(__xludf.DUMMYFUNCTION("REGEXREPLACE( $BG197, CONCATENATE(""["",AL197,""]""), """")"),"")</f>
        <v/>
      </c>
      <c r="AO197" s="11" t="str">
        <f t="shared" si="4"/>
        <v>dgfacb</v>
      </c>
      <c r="AP197" s="12" t="str">
        <f>IFERROR(__xludf.DUMMYFUNCTION("CONCATENATE(SORT(TRANSPOSE(SPLIT(REGEXREPLACE(REGEXREPLACE(AO197&amp;"""",""(?s)(.{1})"",""$1""&amp;CHAR(127)),""'"",""''""),CHAR(127))),1,true),""1"")"),"abcdfg1")</f>
        <v>abcdfg1</v>
      </c>
      <c r="AQ197" s="16"/>
      <c r="AR197" s="12" t="str">
        <f t="shared" si="5"/>
        <v>df</v>
      </c>
      <c r="AS197" s="12" t="str">
        <f>IFERROR(__xludf.DUMMYFUNCTION("CONCATENATE(SORT(TRANSPOSE(SPLIT(REGEXREPLACE(REGEXREPLACE(AR197&amp;"""",""(?s)(.{1})"",""$1""&amp;CHAR(127)),""'"",""''""),CHAR(127))),1,true),""1"")"),"df1")</f>
        <v>df1</v>
      </c>
      <c r="AT197" s="16"/>
      <c r="AU197" s="13" t="str">
        <f>IFERROR(__xludf.DUMMYFUNCTION("FILTER($K197:$T197,len($K197:$T197)=5,NOT($K197:$T197=BD197),NOT($K197:$T197=BP197))"),"bfeac")</f>
        <v>bfeac</v>
      </c>
      <c r="AV197" s="12" t="str">
        <f>IFERROR(__xludf.DUMMYFUNCTION("CONCATENATE(SORT(TRANSPOSE(SPLIT(REGEXREPLACE(REGEXREPLACE(AU197&amp;"""",""(?s)(.{1})"",""$1""&amp;CHAR(127)),""'"",""''""),CHAR(127))),1,true),""1"")"),"abcef1")</f>
        <v>abcef1</v>
      </c>
      <c r="AW197" s="16"/>
      <c r="AX197" s="10" t="str">
        <f>IFERROR(__xludf.DUMMYFUNCTION("FILTER($K197:$T197,len($K197:$T197)=5)"),"dcgeb")</f>
        <v>dcgeb</v>
      </c>
      <c r="AY197" s="6" t="str">
        <f>IFERROR(__xludf.DUMMYFUNCTION("""COMPUTED_VALUE"""),"bfeac")</f>
        <v>bfeac</v>
      </c>
      <c r="AZ197" s="6" t="str">
        <f>IFERROR(__xludf.DUMMYFUNCTION("""COMPUTED_VALUE"""),"fedcb")</f>
        <v>fedcb</v>
      </c>
      <c r="BA197" s="6" t="str">
        <f>IFERROR(__xludf.DUMMYFUNCTION("REGEXREPLACE( $AR197, CONCATENATE(""["",AX197,""]""), """")"),"f")</f>
        <v>f</v>
      </c>
      <c r="BB197" s="6" t="str">
        <f>IFERROR(__xludf.DUMMYFUNCTION("REGEXREPLACE( $AR197, CONCATENATE(""["",AY197,""]""), """")"),"d")</f>
        <v>d</v>
      </c>
      <c r="BC197" s="6" t="str">
        <f>IFERROR(__xludf.DUMMYFUNCTION("REGEXREPLACE( $AR197, CONCATENATE(""["",AZ197,""]""), """")"),"")</f>
        <v/>
      </c>
      <c r="BD197" s="11" t="str">
        <f t="shared" si="6"/>
        <v>fedcb</v>
      </c>
      <c r="BE197" s="12" t="str">
        <f>IFERROR(__xludf.DUMMYFUNCTION("CONCATENATE(SORT(TRANSPOSE(SPLIT(REGEXREPLACE(REGEXREPLACE(BD197&amp;"""",""(?s)(.{1})"",""$1""&amp;CHAR(127)),""'"",""''""),CHAR(127))),1,true),""1"")"),"bcdef1")</f>
        <v>bcdef1</v>
      </c>
      <c r="BF197" s="16"/>
      <c r="BG197" s="12" t="str">
        <f t="shared" si="7"/>
        <v>edgf</v>
      </c>
      <c r="BH197" s="12" t="str">
        <f>IFERROR(__xludf.DUMMYFUNCTION("CONCATENATE(SORT(TRANSPOSE(SPLIT(REGEXREPLACE(REGEXREPLACE(BG197&amp;"""",""(?s)(.{1})"",""$1""&amp;CHAR(127)),""'"",""''""),CHAR(127))),1,true),""1"")"),"defg1")</f>
        <v>defg1</v>
      </c>
      <c r="BI197" s="16"/>
      <c r="BJ197" s="10" t="str">
        <f>IFERROR(__xludf.DUMMYFUNCTION("FILTER($K197:$T197,len($K197:$T197)=5)"),"dcgeb")</f>
        <v>dcgeb</v>
      </c>
      <c r="BK197" s="6" t="str">
        <f>IFERROR(__xludf.DUMMYFUNCTION("""COMPUTED_VALUE"""),"bfeac")</f>
        <v>bfeac</v>
      </c>
      <c r="BL197" s="6" t="str">
        <f>IFERROR(__xludf.DUMMYFUNCTION("""COMPUTED_VALUE"""),"fedcb")</f>
        <v>fedcb</v>
      </c>
      <c r="BM197" s="14" t="str">
        <f>IFERROR(__xludf.DUMMYFUNCTION("REGEXREPLACE( $BY197, CONCATENATE(""["",BJ197,""]""), """")"),"a")</f>
        <v>a</v>
      </c>
      <c r="BN197" s="14" t="str">
        <f>IFERROR(__xludf.DUMMYFUNCTION("REGEXREPLACE( $BY197, CONCATENATE(""["",BK197,""]""), """")"),"dg")</f>
        <v>dg</v>
      </c>
      <c r="BO197" s="14" t="str">
        <f>IFERROR(__xludf.DUMMYFUNCTION("REGEXREPLACE( $BY197, CONCATENATE(""["",BL197,""]""), """")"),"ag")</f>
        <v>ag</v>
      </c>
      <c r="BP197" s="11" t="str">
        <f t="shared" si="8"/>
        <v>dcgeb</v>
      </c>
      <c r="BQ197" s="12" t="str">
        <f>IFERROR(__xludf.DUMMYFUNCTION("CONCATENATE(SORT(TRANSPOSE(SPLIT(REGEXREPLACE(REGEXREPLACE(BP197&amp;"""",""(?s)(.{1})"",""$1""&amp;CHAR(127)),""'"",""''""),CHAR(127))),1,true),""1"")"),"bcdeg1")</f>
        <v>bcdeg1</v>
      </c>
      <c r="BR197" s="16"/>
      <c r="BS197" s="10" t="str">
        <f>IFERROR(__xludf.DUMMYFUNCTION("FILTER(K197:T197,len(K197:T197)=6)"),"dgfacb")</f>
        <v>dgfacb</v>
      </c>
      <c r="BT197" s="6" t="str">
        <f>IFERROR(__xludf.DUMMYFUNCTION("""COMPUTED_VALUE"""),"edabcg")</f>
        <v>edabcg</v>
      </c>
      <c r="BU197" s="6" t="str">
        <f>IFERROR(__xludf.DUMMYFUNCTION("""COMPUTED_VALUE"""),"gdcebf")</f>
        <v>gdcebf</v>
      </c>
      <c r="BV197" s="6" t="str">
        <f>IFERROR(__xludf.DUMMYFUNCTION("REGEXREPLACE( $AR197, CONCATENATE(""["",BS197,""]""), """")"),"")</f>
        <v/>
      </c>
      <c r="BW197" s="6" t="str">
        <f>IFERROR(__xludf.DUMMYFUNCTION("REGEXREPLACE( $AR197, CONCATENATE(""["",BT197,""]""), """")"),"f")</f>
        <v>f</v>
      </c>
      <c r="BX197" s="6" t="str">
        <f>IFERROR(__xludf.DUMMYFUNCTION("REGEXREPLACE( $AR197, CONCATENATE(""["",BU197,""]""), """")"),"")</f>
        <v/>
      </c>
      <c r="BY197" s="12" t="str">
        <f t="shared" si="9"/>
        <v>edabcg</v>
      </c>
      <c r="BZ197" s="12" t="str">
        <f>IFERROR(__xludf.DUMMYFUNCTION("CONCATENATE(SORT(TRANSPOSE(SPLIT(REGEXREPLACE(REGEXREPLACE(BY197&amp;"""",""(?s)(.{1})"",""$1""&amp;CHAR(127)),""'"",""''""),CHAR(127))),1,true),""1"")"),"abcdeg1")</f>
        <v>abcdeg1</v>
      </c>
      <c r="CA197" s="16"/>
      <c r="CB197" s="12" t="str">
        <f t="shared" si="10"/>
        <v>dfc</v>
      </c>
      <c r="CC197" s="12" t="str">
        <f>IFERROR(__xludf.DUMMYFUNCTION("CONCATENATE(SORT(TRANSPOSE(SPLIT(REGEXREPLACE(REGEXREPLACE(CB197&amp;"""",""(?s)(.{1})"",""$1""&amp;CHAR(127)),""'"",""''""),CHAR(127))),1,true),""1"")"),"cdf1")</f>
        <v>cdf1</v>
      </c>
      <c r="CD197" s="16"/>
      <c r="CE197" s="12" t="str">
        <f t="shared" si="11"/>
        <v>gcdabfe</v>
      </c>
      <c r="CF197" s="12" t="str">
        <f>IFERROR(__xludf.DUMMYFUNCTION("CONCATENATE(SORT(TRANSPOSE(SPLIT(REGEXREPLACE(REGEXREPLACE(CE197&amp;"""",""(?s)(.{1})"",""$1""&amp;CHAR(127)),""'"",""''""),CHAR(127))),1,true),""1"")"),"abcdefg1")</f>
        <v>abcdefg1</v>
      </c>
      <c r="CG197" s="16"/>
      <c r="CH197" s="10" t="str">
        <f>IFERROR(__xludf.DUMMYFUNCTION("FILTER(K197:T197,len(K197:T197)=6)"),"dgfacb")</f>
        <v>dgfacb</v>
      </c>
      <c r="CI197" s="6" t="str">
        <f>IFERROR(__xludf.DUMMYFUNCTION("""COMPUTED_VALUE"""),"edabcg")</f>
        <v>edabcg</v>
      </c>
      <c r="CJ197" s="6" t="str">
        <f>IFERROR(__xludf.DUMMYFUNCTION("""COMPUTED_VALUE"""),"gdcebf")</f>
        <v>gdcebf</v>
      </c>
      <c r="CK197" s="6" t="str">
        <f>IFERROR(__xludf.DUMMYFUNCTION("REGEXREPLACE( $BG197, CONCATENATE(""["",CH197,""]""), """")"),"e")</f>
        <v>e</v>
      </c>
      <c r="CL197" s="6" t="str">
        <f>IFERROR(__xludf.DUMMYFUNCTION("REGEXREPLACE( $BG197, CONCATENATE(""["",CI197,""]""), """")"),"f")</f>
        <v>f</v>
      </c>
      <c r="CM197" s="6" t="str">
        <f>IFERROR(__xludf.DUMMYFUNCTION("REGEXREPLACE( $BG197, CONCATENATE(""["",CJ197,""]""), """")"),"")</f>
        <v/>
      </c>
      <c r="CN197" s="12" t="str">
        <f t="shared" si="12"/>
        <v>gdcebf</v>
      </c>
      <c r="CO197" s="12" t="str">
        <f>IFERROR(__xludf.DUMMYFUNCTION("CONCATENATE(SORT(TRANSPOSE(SPLIT(REGEXREPLACE(REGEXREPLACE(CN197&amp;"""",""(?s)(.{1})"",""$1""&amp;CHAR(127)),""'"",""''""),CHAR(127))),1,true),""1"")"),"bcdefg1")</f>
        <v>bcdefg1</v>
      </c>
      <c r="CP197" s="15"/>
    </row>
    <row r="198">
      <c r="A198" s="1" t="s">
        <v>218</v>
      </c>
      <c r="H198" s="6" t="str">
        <f>IFERROR(__xludf.DUMMYFUNCTION("SPLIT(A198,""|"")"),"fdb db dbeg abfegc dcfeb ebfcgad decaf efbgc fcgabd fgbecd ")</f>
        <v>fdb db dbeg abfegc dcfeb ebfcgad decaf efbgc fcgabd fgbecd </v>
      </c>
      <c r="I198" s="6" t="str">
        <f>IFERROR(__xludf.DUMMYFUNCTION("""COMPUTED_VALUE""")," cedfa dafce cedfb fegbcd")</f>
        <v> cedfa dafce cedfb fegbcd</v>
      </c>
      <c r="J198" s="15"/>
      <c r="K198" s="6" t="str">
        <f>IFERROR(__xludf.DUMMYFUNCTION("split(H198,"" "")"),"fdb")</f>
        <v>fdb</v>
      </c>
      <c r="L198" s="6" t="str">
        <f>IFERROR(__xludf.DUMMYFUNCTION("""COMPUTED_VALUE"""),"db")</f>
        <v>db</v>
      </c>
      <c r="M198" s="6" t="str">
        <f>IFERROR(__xludf.DUMMYFUNCTION("""COMPUTED_VALUE"""),"dbeg")</f>
        <v>dbeg</v>
      </c>
      <c r="N198" s="6" t="str">
        <f>IFERROR(__xludf.DUMMYFUNCTION("""COMPUTED_VALUE"""),"abfegc")</f>
        <v>abfegc</v>
      </c>
      <c r="O198" s="6" t="str">
        <f>IFERROR(__xludf.DUMMYFUNCTION("""COMPUTED_VALUE"""),"dcfeb")</f>
        <v>dcfeb</v>
      </c>
      <c r="P198" s="6" t="str">
        <f>IFERROR(__xludf.DUMMYFUNCTION("""COMPUTED_VALUE"""),"ebfcgad")</f>
        <v>ebfcgad</v>
      </c>
      <c r="Q198" s="6" t="str">
        <f>IFERROR(__xludf.DUMMYFUNCTION("""COMPUTED_VALUE"""),"decaf")</f>
        <v>decaf</v>
      </c>
      <c r="R198" s="6" t="str">
        <f>IFERROR(__xludf.DUMMYFUNCTION("""COMPUTED_VALUE"""),"efbgc")</f>
        <v>efbgc</v>
      </c>
      <c r="S198" s="6" t="str">
        <f>IFERROR(__xludf.DUMMYFUNCTION("""COMPUTED_VALUE"""),"fcgabd")</f>
        <v>fcgabd</v>
      </c>
      <c r="T198" s="6" t="str">
        <f>IFERROR(__xludf.DUMMYFUNCTION("""COMPUTED_VALUE"""),"fgbecd")</f>
        <v>fgbecd</v>
      </c>
      <c r="U198" s="15"/>
      <c r="V198" s="6" t="str">
        <f>IFERROR(__xludf.DUMMYFUNCTION("split(I198,"" "")"),"cedfa")</f>
        <v>cedfa</v>
      </c>
      <c r="W198" s="6" t="str">
        <f>IFERROR(__xludf.DUMMYFUNCTION("""COMPUTED_VALUE"""),"dafce")</f>
        <v>dafce</v>
      </c>
      <c r="X198" s="6" t="str">
        <f>IFERROR(__xludf.DUMMYFUNCTION("""COMPUTED_VALUE"""),"cedfb")</f>
        <v>cedfb</v>
      </c>
      <c r="Y198" s="6" t="str">
        <f>IFERROR(__xludf.DUMMYFUNCTION("""COMPUTED_VALUE"""),"fegbcd")</f>
        <v>fegbcd</v>
      </c>
      <c r="Z198" s="6" t="str">
        <f>IFERROR(__xludf.DUMMYFUNCTION("CONCATENATE(SORT(TRANSPOSE(SPLIT(REGEXREPLACE(REGEXREPLACE(V198&amp;"""",""(?s)(.{1})"",""$1""&amp;CHAR(127)),""'"",""''""),CHAR(127))),1,true))"),"acdef")</f>
        <v>acdef</v>
      </c>
      <c r="AA198" s="6" t="str">
        <f>IFERROR(__xludf.DUMMYFUNCTION("CONCATENATE(SORT(TRANSPOSE(SPLIT(REGEXREPLACE(REGEXREPLACE(W198&amp;"""",""(?s)(.{1})"",""$1""&amp;CHAR(127)),""'"",""''""),CHAR(127))),1,true))"),"acdef")</f>
        <v>acdef</v>
      </c>
      <c r="AB198" s="6" t="str">
        <f>IFERROR(__xludf.DUMMYFUNCTION("CONCATENATE(SORT(TRANSPOSE(SPLIT(REGEXREPLACE(REGEXREPLACE(X198&amp;"""",""(?s)(.{1})"",""$1""&amp;CHAR(127)),""'"",""''""),CHAR(127))),1,true))"),"bcdef")</f>
        <v>bcdef</v>
      </c>
      <c r="AC198" s="6" t="str">
        <f>IFERROR(__xludf.DUMMYFUNCTION("CONCATENATE(SORT(TRANSPOSE(SPLIT(REGEXREPLACE(REGEXREPLACE(Y198&amp;"""",""(?s)(.{1})"",""$1""&amp;CHAR(127)),""'"",""''""),CHAR(127))),1,true))"),"bcdefg")</f>
        <v>bcdefg</v>
      </c>
      <c r="AD198" s="6">
        <f t="shared" ref="AD198:AG198" si="208">INDEX($AO$1:$CP$1,1,MATCH(CONCATENATE(Z198,"1"),$AO198:$CP198,0)+1)</f>
        <v>2</v>
      </c>
      <c r="AE198" s="6">
        <f t="shared" si="208"/>
        <v>2</v>
      </c>
      <c r="AF198" s="6">
        <f t="shared" si="208"/>
        <v>3</v>
      </c>
      <c r="AG198" s="6">
        <f t="shared" si="208"/>
        <v>9</v>
      </c>
      <c r="AH198" s="6">
        <f t="shared" si="3"/>
        <v>2239</v>
      </c>
      <c r="AI198" s="16"/>
      <c r="AJ198" s="9" t="str">
        <f>IFERROR(__xludf.DUMMYFUNCTION("REGEXREPLACE(AR198,CONCATENATE(""["",BY198,""]""),"""")"),"d")</f>
        <v>d</v>
      </c>
      <c r="AK198" s="10" t="str">
        <f>IFERROR(__xludf.DUMMYFUNCTION("FILTER($K198:$T198,len($K198:$T198)=6,NOT($K198:$T198=BY198))"),"fcgabd")</f>
        <v>fcgabd</v>
      </c>
      <c r="AL198" s="6" t="str">
        <f>IFERROR(__xludf.DUMMYFUNCTION("""COMPUTED_VALUE"""),"fgbecd")</f>
        <v>fgbecd</v>
      </c>
      <c r="AM198" s="6" t="str">
        <f>IFERROR(__xludf.DUMMYFUNCTION("REGEXREPLACE( $BG198, CONCATENATE(""["",AK198,""]""), """")"),"e")</f>
        <v>e</v>
      </c>
      <c r="AN198" s="6" t="str">
        <f>IFERROR(__xludf.DUMMYFUNCTION("REGEXREPLACE( $BG198, CONCATENATE(""["",AL198,""]""), """")"),"")</f>
        <v/>
      </c>
      <c r="AO198" s="11" t="str">
        <f t="shared" si="4"/>
        <v>fcgabd</v>
      </c>
      <c r="AP198" s="12" t="str">
        <f>IFERROR(__xludf.DUMMYFUNCTION("CONCATENATE(SORT(TRANSPOSE(SPLIT(REGEXREPLACE(REGEXREPLACE(AO198&amp;"""",""(?s)(.{1})"",""$1""&amp;CHAR(127)),""'"",""''""),CHAR(127))),1,true),""1"")"),"abcdfg1")</f>
        <v>abcdfg1</v>
      </c>
      <c r="AQ198" s="16"/>
      <c r="AR198" s="12" t="str">
        <f t="shared" si="5"/>
        <v>db</v>
      </c>
      <c r="AS198" s="12" t="str">
        <f>IFERROR(__xludf.DUMMYFUNCTION("CONCATENATE(SORT(TRANSPOSE(SPLIT(REGEXREPLACE(REGEXREPLACE(AR198&amp;"""",""(?s)(.{1})"",""$1""&amp;CHAR(127)),""'"",""''""),CHAR(127))),1,true),""1"")"),"bd1")</f>
        <v>bd1</v>
      </c>
      <c r="AT198" s="16"/>
      <c r="AU198" s="13" t="str">
        <f>IFERROR(__xludf.DUMMYFUNCTION("FILTER($K198:$T198,len($K198:$T198)=5,NOT($K198:$T198=BD198),NOT($K198:$T198=BP198))"),"decaf")</f>
        <v>decaf</v>
      </c>
      <c r="AV198" s="12" t="str">
        <f>IFERROR(__xludf.DUMMYFUNCTION("CONCATENATE(SORT(TRANSPOSE(SPLIT(REGEXREPLACE(REGEXREPLACE(AU198&amp;"""",""(?s)(.{1})"",""$1""&amp;CHAR(127)),""'"",""''""),CHAR(127))),1,true),""1"")"),"acdef1")</f>
        <v>acdef1</v>
      </c>
      <c r="AW198" s="16"/>
      <c r="AX198" s="10" t="str">
        <f>IFERROR(__xludf.DUMMYFUNCTION("FILTER($K198:$T198,len($K198:$T198)=5)"),"dcfeb")</f>
        <v>dcfeb</v>
      </c>
      <c r="AY198" s="6" t="str">
        <f>IFERROR(__xludf.DUMMYFUNCTION("""COMPUTED_VALUE"""),"decaf")</f>
        <v>decaf</v>
      </c>
      <c r="AZ198" s="6" t="str">
        <f>IFERROR(__xludf.DUMMYFUNCTION("""COMPUTED_VALUE"""),"efbgc")</f>
        <v>efbgc</v>
      </c>
      <c r="BA198" s="6" t="str">
        <f>IFERROR(__xludf.DUMMYFUNCTION("REGEXREPLACE( $AR198, CONCATENATE(""["",AX198,""]""), """")"),"")</f>
        <v/>
      </c>
      <c r="BB198" s="6" t="str">
        <f>IFERROR(__xludf.DUMMYFUNCTION("REGEXREPLACE( $AR198, CONCATENATE(""["",AY198,""]""), """")"),"b")</f>
        <v>b</v>
      </c>
      <c r="BC198" s="6" t="str">
        <f>IFERROR(__xludf.DUMMYFUNCTION("REGEXREPLACE( $AR198, CONCATENATE(""["",AZ198,""]""), """")"),"d")</f>
        <v>d</v>
      </c>
      <c r="BD198" s="11" t="str">
        <f t="shared" si="6"/>
        <v>dcfeb</v>
      </c>
      <c r="BE198" s="12" t="str">
        <f>IFERROR(__xludf.DUMMYFUNCTION("CONCATENATE(SORT(TRANSPOSE(SPLIT(REGEXREPLACE(REGEXREPLACE(BD198&amp;"""",""(?s)(.{1})"",""$1""&amp;CHAR(127)),""'"",""''""),CHAR(127))),1,true),""1"")"),"bcdef1")</f>
        <v>bcdef1</v>
      </c>
      <c r="BF198" s="16"/>
      <c r="BG198" s="12" t="str">
        <f t="shared" si="7"/>
        <v>dbeg</v>
      </c>
      <c r="BH198" s="12" t="str">
        <f>IFERROR(__xludf.DUMMYFUNCTION("CONCATENATE(SORT(TRANSPOSE(SPLIT(REGEXREPLACE(REGEXREPLACE(BG198&amp;"""",""(?s)(.{1})"",""$1""&amp;CHAR(127)),""'"",""''""),CHAR(127))),1,true),""1"")"),"bdeg1")</f>
        <v>bdeg1</v>
      </c>
      <c r="BI198" s="16"/>
      <c r="BJ198" s="10" t="str">
        <f>IFERROR(__xludf.DUMMYFUNCTION("FILTER($K198:$T198,len($K198:$T198)=5)"),"dcfeb")</f>
        <v>dcfeb</v>
      </c>
      <c r="BK198" s="6" t="str">
        <f>IFERROR(__xludf.DUMMYFUNCTION("""COMPUTED_VALUE"""),"decaf")</f>
        <v>decaf</v>
      </c>
      <c r="BL198" s="6" t="str">
        <f>IFERROR(__xludf.DUMMYFUNCTION("""COMPUTED_VALUE"""),"efbgc")</f>
        <v>efbgc</v>
      </c>
      <c r="BM198" s="14" t="str">
        <f>IFERROR(__xludf.DUMMYFUNCTION("REGEXREPLACE( $BY198, CONCATENATE(""["",BJ198,""]""), """")"),"ag")</f>
        <v>ag</v>
      </c>
      <c r="BN198" s="14" t="str">
        <f>IFERROR(__xludf.DUMMYFUNCTION("REGEXREPLACE( $BY198, CONCATENATE(""["",BK198,""]""), """")"),"bg")</f>
        <v>bg</v>
      </c>
      <c r="BO198" s="14" t="str">
        <f>IFERROR(__xludf.DUMMYFUNCTION("REGEXREPLACE( $BY198, CONCATENATE(""["",BL198,""]""), """")"),"a")</f>
        <v>a</v>
      </c>
      <c r="BP198" s="11" t="str">
        <f t="shared" si="8"/>
        <v>efbgc</v>
      </c>
      <c r="BQ198" s="12" t="str">
        <f>IFERROR(__xludf.DUMMYFUNCTION("CONCATENATE(SORT(TRANSPOSE(SPLIT(REGEXREPLACE(REGEXREPLACE(BP198&amp;"""",""(?s)(.{1})"",""$1""&amp;CHAR(127)),""'"",""''""),CHAR(127))),1,true),""1"")"),"bcefg1")</f>
        <v>bcefg1</v>
      </c>
      <c r="BR198" s="16"/>
      <c r="BS198" s="10" t="str">
        <f>IFERROR(__xludf.DUMMYFUNCTION("FILTER(K198:T198,len(K198:T198)=6)"),"abfegc")</f>
        <v>abfegc</v>
      </c>
      <c r="BT198" s="6" t="str">
        <f>IFERROR(__xludf.DUMMYFUNCTION("""COMPUTED_VALUE"""),"fcgabd")</f>
        <v>fcgabd</v>
      </c>
      <c r="BU198" s="6" t="str">
        <f>IFERROR(__xludf.DUMMYFUNCTION("""COMPUTED_VALUE"""),"fgbecd")</f>
        <v>fgbecd</v>
      </c>
      <c r="BV198" s="6" t="str">
        <f>IFERROR(__xludf.DUMMYFUNCTION("REGEXREPLACE( $AR198, CONCATENATE(""["",BS198,""]""), """")"),"d")</f>
        <v>d</v>
      </c>
      <c r="BW198" s="6" t="str">
        <f>IFERROR(__xludf.DUMMYFUNCTION("REGEXREPLACE( $AR198, CONCATENATE(""["",BT198,""]""), """")"),"")</f>
        <v/>
      </c>
      <c r="BX198" s="6" t="str">
        <f>IFERROR(__xludf.DUMMYFUNCTION("REGEXREPLACE( $AR198, CONCATENATE(""["",BU198,""]""), """")"),"")</f>
        <v/>
      </c>
      <c r="BY198" s="12" t="str">
        <f t="shared" si="9"/>
        <v>abfegc</v>
      </c>
      <c r="BZ198" s="12" t="str">
        <f>IFERROR(__xludf.DUMMYFUNCTION("CONCATENATE(SORT(TRANSPOSE(SPLIT(REGEXREPLACE(REGEXREPLACE(BY198&amp;"""",""(?s)(.{1})"",""$1""&amp;CHAR(127)),""'"",""''""),CHAR(127))),1,true),""1"")"),"abcefg1")</f>
        <v>abcefg1</v>
      </c>
      <c r="CA198" s="16"/>
      <c r="CB198" s="12" t="str">
        <f t="shared" si="10"/>
        <v>fdb</v>
      </c>
      <c r="CC198" s="12" t="str">
        <f>IFERROR(__xludf.DUMMYFUNCTION("CONCATENATE(SORT(TRANSPOSE(SPLIT(REGEXREPLACE(REGEXREPLACE(CB198&amp;"""",""(?s)(.{1})"",""$1""&amp;CHAR(127)),""'"",""''""),CHAR(127))),1,true),""1"")"),"bdf1")</f>
        <v>bdf1</v>
      </c>
      <c r="CD198" s="16"/>
      <c r="CE198" s="12" t="str">
        <f t="shared" si="11"/>
        <v>ebfcgad</v>
      </c>
      <c r="CF198" s="12" t="str">
        <f>IFERROR(__xludf.DUMMYFUNCTION("CONCATENATE(SORT(TRANSPOSE(SPLIT(REGEXREPLACE(REGEXREPLACE(CE198&amp;"""",""(?s)(.{1})"",""$1""&amp;CHAR(127)),""'"",""''""),CHAR(127))),1,true),""1"")"),"abcdefg1")</f>
        <v>abcdefg1</v>
      </c>
      <c r="CG198" s="16"/>
      <c r="CH198" s="10" t="str">
        <f>IFERROR(__xludf.DUMMYFUNCTION("FILTER(K198:T198,len(K198:T198)=6)"),"abfegc")</f>
        <v>abfegc</v>
      </c>
      <c r="CI198" s="6" t="str">
        <f>IFERROR(__xludf.DUMMYFUNCTION("""COMPUTED_VALUE"""),"fcgabd")</f>
        <v>fcgabd</v>
      </c>
      <c r="CJ198" s="6" t="str">
        <f>IFERROR(__xludf.DUMMYFUNCTION("""COMPUTED_VALUE"""),"fgbecd")</f>
        <v>fgbecd</v>
      </c>
      <c r="CK198" s="6" t="str">
        <f>IFERROR(__xludf.DUMMYFUNCTION("REGEXREPLACE( $BG198, CONCATENATE(""["",CH198,""]""), """")"),"d")</f>
        <v>d</v>
      </c>
      <c r="CL198" s="6" t="str">
        <f>IFERROR(__xludf.DUMMYFUNCTION("REGEXREPLACE( $BG198, CONCATENATE(""["",CI198,""]""), """")"),"e")</f>
        <v>e</v>
      </c>
      <c r="CM198" s="6" t="str">
        <f>IFERROR(__xludf.DUMMYFUNCTION("REGEXREPLACE( $BG198, CONCATENATE(""["",CJ198,""]""), """")"),"")</f>
        <v/>
      </c>
      <c r="CN198" s="12" t="str">
        <f t="shared" si="12"/>
        <v>fgbecd</v>
      </c>
      <c r="CO198" s="12" t="str">
        <f>IFERROR(__xludf.DUMMYFUNCTION("CONCATENATE(SORT(TRANSPOSE(SPLIT(REGEXREPLACE(REGEXREPLACE(CN198&amp;"""",""(?s)(.{1})"",""$1""&amp;CHAR(127)),""'"",""''""),CHAR(127))),1,true),""1"")"),"bcdefg1")</f>
        <v>bcdefg1</v>
      </c>
      <c r="CP198" s="15"/>
    </row>
    <row r="199">
      <c r="A199" s="1" t="s">
        <v>219</v>
      </c>
      <c r="H199" s="6" t="str">
        <f>IFERROR(__xludf.DUMMYFUNCTION("SPLIT(A199,""|"")"),"afdc gbcaefd baefcg gdbecf gbafd df ebadg dgf fcbag dfcabg ")</f>
        <v>afdc gbcaefd baefcg gdbecf gbafd df ebadg dgf fcbag dfcabg </v>
      </c>
      <c r="I199" s="6" t="str">
        <f>IFERROR(__xludf.DUMMYFUNCTION("""COMPUTED_VALUE""")," fdg dcfa abegd df")</f>
        <v> fdg dcfa abegd df</v>
      </c>
      <c r="J199" s="15"/>
      <c r="K199" s="6" t="str">
        <f>IFERROR(__xludf.DUMMYFUNCTION("split(H199,"" "")"),"afdc")</f>
        <v>afdc</v>
      </c>
      <c r="L199" s="6" t="str">
        <f>IFERROR(__xludf.DUMMYFUNCTION("""COMPUTED_VALUE"""),"gbcaefd")</f>
        <v>gbcaefd</v>
      </c>
      <c r="M199" s="6" t="str">
        <f>IFERROR(__xludf.DUMMYFUNCTION("""COMPUTED_VALUE"""),"baefcg")</f>
        <v>baefcg</v>
      </c>
      <c r="N199" s="6" t="str">
        <f>IFERROR(__xludf.DUMMYFUNCTION("""COMPUTED_VALUE"""),"gdbecf")</f>
        <v>gdbecf</v>
      </c>
      <c r="O199" s="6" t="str">
        <f>IFERROR(__xludf.DUMMYFUNCTION("""COMPUTED_VALUE"""),"gbafd")</f>
        <v>gbafd</v>
      </c>
      <c r="P199" s="6" t="str">
        <f>IFERROR(__xludf.DUMMYFUNCTION("""COMPUTED_VALUE"""),"df")</f>
        <v>df</v>
      </c>
      <c r="Q199" s="6" t="str">
        <f>IFERROR(__xludf.DUMMYFUNCTION("""COMPUTED_VALUE"""),"ebadg")</f>
        <v>ebadg</v>
      </c>
      <c r="R199" s="6" t="str">
        <f>IFERROR(__xludf.DUMMYFUNCTION("""COMPUTED_VALUE"""),"dgf")</f>
        <v>dgf</v>
      </c>
      <c r="S199" s="6" t="str">
        <f>IFERROR(__xludf.DUMMYFUNCTION("""COMPUTED_VALUE"""),"fcbag")</f>
        <v>fcbag</v>
      </c>
      <c r="T199" s="6" t="str">
        <f>IFERROR(__xludf.DUMMYFUNCTION("""COMPUTED_VALUE"""),"dfcabg")</f>
        <v>dfcabg</v>
      </c>
      <c r="U199" s="15"/>
      <c r="V199" s="6" t="str">
        <f>IFERROR(__xludf.DUMMYFUNCTION("split(I199,"" "")"),"fdg")</f>
        <v>fdg</v>
      </c>
      <c r="W199" s="6" t="str">
        <f>IFERROR(__xludf.DUMMYFUNCTION("""COMPUTED_VALUE"""),"dcfa")</f>
        <v>dcfa</v>
      </c>
      <c r="X199" s="6" t="str">
        <f>IFERROR(__xludf.DUMMYFUNCTION("""COMPUTED_VALUE"""),"abegd")</f>
        <v>abegd</v>
      </c>
      <c r="Y199" s="6" t="str">
        <f>IFERROR(__xludf.DUMMYFUNCTION("""COMPUTED_VALUE"""),"df")</f>
        <v>df</v>
      </c>
      <c r="Z199" s="6" t="str">
        <f>IFERROR(__xludf.DUMMYFUNCTION("CONCATENATE(SORT(TRANSPOSE(SPLIT(REGEXREPLACE(REGEXREPLACE(V199&amp;"""",""(?s)(.{1})"",""$1""&amp;CHAR(127)),""'"",""''""),CHAR(127))),1,true))"),"dfg")</f>
        <v>dfg</v>
      </c>
      <c r="AA199" s="6" t="str">
        <f>IFERROR(__xludf.DUMMYFUNCTION("CONCATENATE(SORT(TRANSPOSE(SPLIT(REGEXREPLACE(REGEXREPLACE(W199&amp;"""",""(?s)(.{1})"",""$1""&amp;CHAR(127)),""'"",""''""),CHAR(127))),1,true))"),"acdf")</f>
        <v>acdf</v>
      </c>
      <c r="AB199" s="6" t="str">
        <f>IFERROR(__xludf.DUMMYFUNCTION("CONCATENATE(SORT(TRANSPOSE(SPLIT(REGEXREPLACE(REGEXREPLACE(X199&amp;"""",""(?s)(.{1})"",""$1""&amp;CHAR(127)),""'"",""''""),CHAR(127))),1,true))"),"abdeg")</f>
        <v>abdeg</v>
      </c>
      <c r="AC199" s="6" t="str">
        <f>IFERROR(__xludf.DUMMYFUNCTION("CONCATENATE(SORT(TRANSPOSE(SPLIT(REGEXREPLACE(REGEXREPLACE(Y199&amp;"""",""(?s)(.{1})"",""$1""&amp;CHAR(127)),""'"",""''""),CHAR(127))),1,true))"),"df")</f>
        <v>df</v>
      </c>
      <c r="AD199" s="6">
        <f t="shared" ref="AD199:AG199" si="209">INDEX($AO$1:$CP$1,1,MATCH(CONCATENATE(Z199,"1"),$AO199:$CP199,0)+1)</f>
        <v>7</v>
      </c>
      <c r="AE199" s="6">
        <f t="shared" si="209"/>
        <v>4</v>
      </c>
      <c r="AF199" s="6">
        <f t="shared" si="209"/>
        <v>2</v>
      </c>
      <c r="AG199" s="6">
        <f t="shared" si="209"/>
        <v>1</v>
      </c>
      <c r="AH199" s="6">
        <f t="shared" si="3"/>
        <v>7421</v>
      </c>
      <c r="AI199" s="16"/>
      <c r="AJ199" s="9" t="str">
        <f>IFERROR(__xludf.DUMMYFUNCTION("REGEXREPLACE(AR199,CONCATENATE(""["",BY199,""]""),"""")"),"d")</f>
        <v>d</v>
      </c>
      <c r="AK199" s="10" t="str">
        <f>IFERROR(__xludf.DUMMYFUNCTION("FILTER($K199:$T199,len($K199:$T199)=6,NOT($K199:$T199=BY199))"),"gdbecf")</f>
        <v>gdbecf</v>
      </c>
      <c r="AL199" s="6" t="str">
        <f>IFERROR(__xludf.DUMMYFUNCTION("""COMPUTED_VALUE"""),"dfcabg")</f>
        <v>dfcabg</v>
      </c>
      <c r="AM199" s="6" t="str">
        <f>IFERROR(__xludf.DUMMYFUNCTION("REGEXREPLACE( $BG199, CONCATENATE(""["",AK199,""]""), """")"),"a")</f>
        <v>a</v>
      </c>
      <c r="AN199" s="6" t="str">
        <f>IFERROR(__xludf.DUMMYFUNCTION("REGEXREPLACE( $BG199, CONCATENATE(""["",AL199,""]""), """")"),"")</f>
        <v/>
      </c>
      <c r="AO199" s="11" t="str">
        <f t="shared" si="4"/>
        <v>gdbecf</v>
      </c>
      <c r="AP199" s="12" t="str">
        <f>IFERROR(__xludf.DUMMYFUNCTION("CONCATENATE(SORT(TRANSPOSE(SPLIT(REGEXREPLACE(REGEXREPLACE(AO199&amp;"""",""(?s)(.{1})"",""$1""&amp;CHAR(127)),""'"",""''""),CHAR(127))),1,true),""1"")"),"bcdefg1")</f>
        <v>bcdefg1</v>
      </c>
      <c r="AQ199" s="16"/>
      <c r="AR199" s="12" t="str">
        <f t="shared" si="5"/>
        <v>df</v>
      </c>
      <c r="AS199" s="12" t="str">
        <f>IFERROR(__xludf.DUMMYFUNCTION("CONCATENATE(SORT(TRANSPOSE(SPLIT(REGEXREPLACE(REGEXREPLACE(AR199&amp;"""",""(?s)(.{1})"",""$1""&amp;CHAR(127)),""'"",""''""),CHAR(127))),1,true),""1"")"),"df1")</f>
        <v>df1</v>
      </c>
      <c r="AT199" s="16"/>
      <c r="AU199" s="13" t="str">
        <f>IFERROR(__xludf.DUMMYFUNCTION("FILTER($K199:$T199,len($K199:$T199)=5,NOT($K199:$T199=BD199),NOT($K199:$T199=BP199))"),"ebadg")</f>
        <v>ebadg</v>
      </c>
      <c r="AV199" s="12" t="str">
        <f>IFERROR(__xludf.DUMMYFUNCTION("CONCATENATE(SORT(TRANSPOSE(SPLIT(REGEXREPLACE(REGEXREPLACE(AU199&amp;"""",""(?s)(.{1})"",""$1""&amp;CHAR(127)),""'"",""''""),CHAR(127))),1,true),""1"")"),"abdeg1")</f>
        <v>abdeg1</v>
      </c>
      <c r="AW199" s="16"/>
      <c r="AX199" s="10" t="str">
        <f>IFERROR(__xludf.DUMMYFUNCTION("FILTER($K199:$T199,len($K199:$T199)=5)"),"gbafd")</f>
        <v>gbafd</v>
      </c>
      <c r="AY199" s="6" t="str">
        <f>IFERROR(__xludf.DUMMYFUNCTION("""COMPUTED_VALUE"""),"ebadg")</f>
        <v>ebadg</v>
      </c>
      <c r="AZ199" s="6" t="str">
        <f>IFERROR(__xludf.DUMMYFUNCTION("""COMPUTED_VALUE"""),"fcbag")</f>
        <v>fcbag</v>
      </c>
      <c r="BA199" s="6" t="str">
        <f>IFERROR(__xludf.DUMMYFUNCTION("REGEXREPLACE( $AR199, CONCATENATE(""["",AX199,""]""), """")"),"")</f>
        <v/>
      </c>
      <c r="BB199" s="6" t="str">
        <f>IFERROR(__xludf.DUMMYFUNCTION("REGEXREPLACE( $AR199, CONCATENATE(""["",AY199,""]""), """")"),"f")</f>
        <v>f</v>
      </c>
      <c r="BC199" s="6" t="str">
        <f>IFERROR(__xludf.DUMMYFUNCTION("REGEXREPLACE( $AR199, CONCATENATE(""["",AZ199,""]""), """")"),"d")</f>
        <v>d</v>
      </c>
      <c r="BD199" s="11" t="str">
        <f t="shared" si="6"/>
        <v>gbafd</v>
      </c>
      <c r="BE199" s="12" t="str">
        <f>IFERROR(__xludf.DUMMYFUNCTION("CONCATENATE(SORT(TRANSPOSE(SPLIT(REGEXREPLACE(REGEXREPLACE(BD199&amp;"""",""(?s)(.{1})"",""$1""&amp;CHAR(127)),""'"",""''""),CHAR(127))),1,true),""1"")"),"abdfg1")</f>
        <v>abdfg1</v>
      </c>
      <c r="BF199" s="16"/>
      <c r="BG199" s="12" t="str">
        <f t="shared" si="7"/>
        <v>afdc</v>
      </c>
      <c r="BH199" s="12" t="str">
        <f>IFERROR(__xludf.DUMMYFUNCTION("CONCATENATE(SORT(TRANSPOSE(SPLIT(REGEXREPLACE(REGEXREPLACE(BG199&amp;"""",""(?s)(.{1})"",""$1""&amp;CHAR(127)),""'"",""''""),CHAR(127))),1,true),""1"")"),"acdf1")</f>
        <v>acdf1</v>
      </c>
      <c r="BI199" s="16"/>
      <c r="BJ199" s="10" t="str">
        <f>IFERROR(__xludf.DUMMYFUNCTION("FILTER($K199:$T199,len($K199:$T199)=5)"),"gbafd")</f>
        <v>gbafd</v>
      </c>
      <c r="BK199" s="6" t="str">
        <f>IFERROR(__xludf.DUMMYFUNCTION("""COMPUTED_VALUE"""),"ebadg")</f>
        <v>ebadg</v>
      </c>
      <c r="BL199" s="6" t="str">
        <f>IFERROR(__xludf.DUMMYFUNCTION("""COMPUTED_VALUE"""),"fcbag")</f>
        <v>fcbag</v>
      </c>
      <c r="BM199" s="14" t="str">
        <f>IFERROR(__xludf.DUMMYFUNCTION("REGEXREPLACE( $BY199, CONCATENATE(""["",BJ199,""]""), """")"),"ec")</f>
        <v>ec</v>
      </c>
      <c r="BN199" s="14" t="str">
        <f>IFERROR(__xludf.DUMMYFUNCTION("REGEXREPLACE( $BY199, CONCATENATE(""["",BK199,""]""), """")"),"fc")</f>
        <v>fc</v>
      </c>
      <c r="BO199" s="14" t="str">
        <f>IFERROR(__xludf.DUMMYFUNCTION("REGEXREPLACE( $BY199, CONCATENATE(""["",BL199,""]""), """")"),"e")</f>
        <v>e</v>
      </c>
      <c r="BP199" s="11" t="str">
        <f t="shared" si="8"/>
        <v>fcbag</v>
      </c>
      <c r="BQ199" s="12" t="str">
        <f>IFERROR(__xludf.DUMMYFUNCTION("CONCATENATE(SORT(TRANSPOSE(SPLIT(REGEXREPLACE(REGEXREPLACE(BP199&amp;"""",""(?s)(.{1})"",""$1""&amp;CHAR(127)),""'"",""''""),CHAR(127))),1,true),""1"")"),"abcfg1")</f>
        <v>abcfg1</v>
      </c>
      <c r="BR199" s="16"/>
      <c r="BS199" s="10" t="str">
        <f>IFERROR(__xludf.DUMMYFUNCTION("FILTER(K199:T199,len(K199:T199)=6)"),"baefcg")</f>
        <v>baefcg</v>
      </c>
      <c r="BT199" s="6" t="str">
        <f>IFERROR(__xludf.DUMMYFUNCTION("""COMPUTED_VALUE"""),"gdbecf")</f>
        <v>gdbecf</v>
      </c>
      <c r="BU199" s="6" t="str">
        <f>IFERROR(__xludf.DUMMYFUNCTION("""COMPUTED_VALUE"""),"dfcabg")</f>
        <v>dfcabg</v>
      </c>
      <c r="BV199" s="6" t="str">
        <f>IFERROR(__xludf.DUMMYFUNCTION("REGEXREPLACE( $AR199, CONCATENATE(""["",BS199,""]""), """")"),"d")</f>
        <v>d</v>
      </c>
      <c r="BW199" s="6" t="str">
        <f>IFERROR(__xludf.DUMMYFUNCTION("REGEXREPLACE( $AR199, CONCATENATE(""["",BT199,""]""), """")"),"")</f>
        <v/>
      </c>
      <c r="BX199" s="6" t="str">
        <f>IFERROR(__xludf.DUMMYFUNCTION("REGEXREPLACE( $AR199, CONCATENATE(""["",BU199,""]""), """")"),"")</f>
        <v/>
      </c>
      <c r="BY199" s="12" t="str">
        <f t="shared" si="9"/>
        <v>baefcg</v>
      </c>
      <c r="BZ199" s="12" t="str">
        <f>IFERROR(__xludf.DUMMYFUNCTION("CONCATENATE(SORT(TRANSPOSE(SPLIT(REGEXREPLACE(REGEXREPLACE(BY199&amp;"""",""(?s)(.{1})"",""$1""&amp;CHAR(127)),""'"",""''""),CHAR(127))),1,true),""1"")"),"abcefg1")</f>
        <v>abcefg1</v>
      </c>
      <c r="CA199" s="16"/>
      <c r="CB199" s="12" t="str">
        <f t="shared" si="10"/>
        <v>dgf</v>
      </c>
      <c r="CC199" s="12" t="str">
        <f>IFERROR(__xludf.DUMMYFUNCTION("CONCATENATE(SORT(TRANSPOSE(SPLIT(REGEXREPLACE(REGEXREPLACE(CB199&amp;"""",""(?s)(.{1})"",""$1""&amp;CHAR(127)),""'"",""''""),CHAR(127))),1,true),""1"")"),"dfg1")</f>
        <v>dfg1</v>
      </c>
      <c r="CD199" s="16"/>
      <c r="CE199" s="12" t="str">
        <f t="shared" si="11"/>
        <v>gbcaefd</v>
      </c>
      <c r="CF199" s="12" t="str">
        <f>IFERROR(__xludf.DUMMYFUNCTION("CONCATENATE(SORT(TRANSPOSE(SPLIT(REGEXREPLACE(REGEXREPLACE(CE199&amp;"""",""(?s)(.{1})"",""$1""&amp;CHAR(127)),""'"",""''""),CHAR(127))),1,true),""1"")"),"abcdefg1")</f>
        <v>abcdefg1</v>
      </c>
      <c r="CG199" s="16"/>
      <c r="CH199" s="10" t="str">
        <f>IFERROR(__xludf.DUMMYFUNCTION("FILTER(K199:T199,len(K199:T199)=6)"),"baefcg")</f>
        <v>baefcg</v>
      </c>
      <c r="CI199" s="6" t="str">
        <f>IFERROR(__xludf.DUMMYFUNCTION("""COMPUTED_VALUE"""),"gdbecf")</f>
        <v>gdbecf</v>
      </c>
      <c r="CJ199" s="6" t="str">
        <f>IFERROR(__xludf.DUMMYFUNCTION("""COMPUTED_VALUE"""),"dfcabg")</f>
        <v>dfcabg</v>
      </c>
      <c r="CK199" s="6" t="str">
        <f>IFERROR(__xludf.DUMMYFUNCTION("REGEXREPLACE( $BG199, CONCATENATE(""["",CH199,""]""), """")"),"d")</f>
        <v>d</v>
      </c>
      <c r="CL199" s="6" t="str">
        <f>IFERROR(__xludf.DUMMYFUNCTION("REGEXREPLACE( $BG199, CONCATENATE(""["",CI199,""]""), """")"),"a")</f>
        <v>a</v>
      </c>
      <c r="CM199" s="6" t="str">
        <f>IFERROR(__xludf.DUMMYFUNCTION("REGEXREPLACE( $BG199, CONCATENATE(""["",CJ199,""]""), """")"),"")</f>
        <v/>
      </c>
      <c r="CN199" s="12" t="str">
        <f t="shared" si="12"/>
        <v>dfcabg</v>
      </c>
      <c r="CO199" s="12" t="str">
        <f>IFERROR(__xludf.DUMMYFUNCTION("CONCATENATE(SORT(TRANSPOSE(SPLIT(REGEXREPLACE(REGEXREPLACE(CN199&amp;"""",""(?s)(.{1})"",""$1""&amp;CHAR(127)),""'"",""''""),CHAR(127))),1,true),""1"")"),"abcdfg1")</f>
        <v>abcdfg1</v>
      </c>
      <c r="CP199" s="15"/>
    </row>
    <row r="200">
      <c r="A200" s="1" t="s">
        <v>220</v>
      </c>
      <c r="H200" s="6" t="str">
        <f>IFERROR(__xludf.DUMMYFUNCTION("SPLIT(A200,""|"")"),"af cegbfa bfca egdabf aef bgeac cfaeg caebdg gdecf gcfebda ")</f>
        <v>af cegbfa bfca egdabf aef bgeac cfaeg caebdg gdecf gcfebda </v>
      </c>
      <c r="I200" s="6" t="str">
        <f>IFERROR(__xludf.DUMMYFUNCTION("""COMPUTED_VALUE""")," ecgfd ebfacg bcage dcefg")</f>
        <v> ecgfd ebfacg bcage dcefg</v>
      </c>
      <c r="J200" s="15"/>
      <c r="K200" s="6" t="str">
        <f>IFERROR(__xludf.DUMMYFUNCTION("split(H200,"" "")"),"af")</f>
        <v>af</v>
      </c>
      <c r="L200" s="6" t="str">
        <f>IFERROR(__xludf.DUMMYFUNCTION("""COMPUTED_VALUE"""),"cegbfa")</f>
        <v>cegbfa</v>
      </c>
      <c r="M200" s="6" t="str">
        <f>IFERROR(__xludf.DUMMYFUNCTION("""COMPUTED_VALUE"""),"bfca")</f>
        <v>bfca</v>
      </c>
      <c r="N200" s="6" t="str">
        <f>IFERROR(__xludf.DUMMYFUNCTION("""COMPUTED_VALUE"""),"egdabf")</f>
        <v>egdabf</v>
      </c>
      <c r="O200" s="6" t="str">
        <f>IFERROR(__xludf.DUMMYFUNCTION("""COMPUTED_VALUE"""),"aef")</f>
        <v>aef</v>
      </c>
      <c r="P200" s="6" t="str">
        <f>IFERROR(__xludf.DUMMYFUNCTION("""COMPUTED_VALUE"""),"bgeac")</f>
        <v>bgeac</v>
      </c>
      <c r="Q200" s="6" t="str">
        <f>IFERROR(__xludf.DUMMYFUNCTION("""COMPUTED_VALUE"""),"cfaeg")</f>
        <v>cfaeg</v>
      </c>
      <c r="R200" s="6" t="str">
        <f>IFERROR(__xludf.DUMMYFUNCTION("""COMPUTED_VALUE"""),"caebdg")</f>
        <v>caebdg</v>
      </c>
      <c r="S200" s="6" t="str">
        <f>IFERROR(__xludf.DUMMYFUNCTION("""COMPUTED_VALUE"""),"gdecf")</f>
        <v>gdecf</v>
      </c>
      <c r="T200" s="6" t="str">
        <f>IFERROR(__xludf.DUMMYFUNCTION("""COMPUTED_VALUE"""),"gcfebda")</f>
        <v>gcfebda</v>
      </c>
      <c r="U200" s="15"/>
      <c r="V200" s="6" t="str">
        <f>IFERROR(__xludf.DUMMYFUNCTION("split(I200,"" "")"),"ecgfd")</f>
        <v>ecgfd</v>
      </c>
      <c r="W200" s="6" t="str">
        <f>IFERROR(__xludf.DUMMYFUNCTION("""COMPUTED_VALUE"""),"ebfacg")</f>
        <v>ebfacg</v>
      </c>
      <c r="X200" s="6" t="str">
        <f>IFERROR(__xludf.DUMMYFUNCTION("""COMPUTED_VALUE"""),"bcage")</f>
        <v>bcage</v>
      </c>
      <c r="Y200" s="6" t="str">
        <f>IFERROR(__xludf.DUMMYFUNCTION("""COMPUTED_VALUE"""),"dcefg")</f>
        <v>dcefg</v>
      </c>
      <c r="Z200" s="6" t="str">
        <f>IFERROR(__xludf.DUMMYFUNCTION("CONCATENATE(SORT(TRANSPOSE(SPLIT(REGEXREPLACE(REGEXREPLACE(V200&amp;"""",""(?s)(.{1})"",""$1""&amp;CHAR(127)),""'"",""''""),CHAR(127))),1,true))"),"cdefg")</f>
        <v>cdefg</v>
      </c>
      <c r="AA200" s="6" t="str">
        <f>IFERROR(__xludf.DUMMYFUNCTION("CONCATENATE(SORT(TRANSPOSE(SPLIT(REGEXREPLACE(REGEXREPLACE(W200&amp;"""",""(?s)(.{1})"",""$1""&amp;CHAR(127)),""'"",""''""),CHAR(127))),1,true))"),"abcefg")</f>
        <v>abcefg</v>
      </c>
      <c r="AB200" s="6" t="str">
        <f>IFERROR(__xludf.DUMMYFUNCTION("CONCATENATE(SORT(TRANSPOSE(SPLIT(REGEXREPLACE(REGEXREPLACE(X200&amp;"""",""(?s)(.{1})"",""$1""&amp;CHAR(127)),""'"",""''""),CHAR(127))),1,true))"),"abceg")</f>
        <v>abceg</v>
      </c>
      <c r="AC200" s="6" t="str">
        <f>IFERROR(__xludf.DUMMYFUNCTION("CONCATENATE(SORT(TRANSPOSE(SPLIT(REGEXREPLACE(REGEXREPLACE(Y200&amp;"""",""(?s)(.{1})"",""$1""&amp;CHAR(127)),""'"",""''""),CHAR(127))),1,true))"),"cdefg")</f>
        <v>cdefg</v>
      </c>
      <c r="AD200" s="6">
        <f t="shared" ref="AD200:AG200" si="210">INDEX($AO$1:$CP$1,1,MATCH(CONCATENATE(Z200,"1"),$AO200:$CP200,0)+1)</f>
        <v>2</v>
      </c>
      <c r="AE200" s="6">
        <f t="shared" si="210"/>
        <v>9</v>
      </c>
      <c r="AF200" s="6">
        <f t="shared" si="210"/>
        <v>5</v>
      </c>
      <c r="AG200" s="6">
        <f t="shared" si="210"/>
        <v>2</v>
      </c>
      <c r="AH200" s="6">
        <f t="shared" si="3"/>
        <v>2952</v>
      </c>
      <c r="AI200" s="16"/>
      <c r="AJ200" s="9" t="str">
        <f>IFERROR(__xludf.DUMMYFUNCTION("REGEXREPLACE(AR200,CONCATENATE(""["",BY200,""]""),"""")"),"f")</f>
        <v>f</v>
      </c>
      <c r="AK200" s="10" t="str">
        <f>IFERROR(__xludf.DUMMYFUNCTION("FILTER($K200:$T200,len($K200:$T200)=6,NOT($K200:$T200=BY200))"),"cegbfa")</f>
        <v>cegbfa</v>
      </c>
      <c r="AL200" s="6" t="str">
        <f>IFERROR(__xludf.DUMMYFUNCTION("""COMPUTED_VALUE"""),"egdabf")</f>
        <v>egdabf</v>
      </c>
      <c r="AM200" s="6" t="str">
        <f>IFERROR(__xludf.DUMMYFUNCTION("REGEXREPLACE( $BG200, CONCATENATE(""["",AK200,""]""), """")"),"")</f>
        <v/>
      </c>
      <c r="AN200" s="6" t="str">
        <f>IFERROR(__xludf.DUMMYFUNCTION("REGEXREPLACE( $BG200, CONCATENATE(""["",AL200,""]""), """")"),"c")</f>
        <v>c</v>
      </c>
      <c r="AO200" s="11" t="str">
        <f t="shared" si="4"/>
        <v>egdabf</v>
      </c>
      <c r="AP200" s="12" t="str">
        <f>IFERROR(__xludf.DUMMYFUNCTION("CONCATENATE(SORT(TRANSPOSE(SPLIT(REGEXREPLACE(REGEXREPLACE(AO200&amp;"""",""(?s)(.{1})"",""$1""&amp;CHAR(127)),""'"",""''""),CHAR(127))),1,true),""1"")"),"abdefg1")</f>
        <v>abdefg1</v>
      </c>
      <c r="AQ200" s="16"/>
      <c r="AR200" s="12" t="str">
        <f t="shared" si="5"/>
        <v>af</v>
      </c>
      <c r="AS200" s="12" t="str">
        <f>IFERROR(__xludf.DUMMYFUNCTION("CONCATENATE(SORT(TRANSPOSE(SPLIT(REGEXREPLACE(REGEXREPLACE(AR200&amp;"""",""(?s)(.{1})"",""$1""&amp;CHAR(127)),""'"",""''""),CHAR(127))),1,true),""1"")"),"af1")</f>
        <v>af1</v>
      </c>
      <c r="AT200" s="16"/>
      <c r="AU200" s="13" t="str">
        <f>IFERROR(__xludf.DUMMYFUNCTION("FILTER($K200:$T200,len($K200:$T200)=5,NOT($K200:$T200=BD200),NOT($K200:$T200=BP200))"),"gdecf")</f>
        <v>gdecf</v>
      </c>
      <c r="AV200" s="12" t="str">
        <f>IFERROR(__xludf.DUMMYFUNCTION("CONCATENATE(SORT(TRANSPOSE(SPLIT(REGEXREPLACE(REGEXREPLACE(AU200&amp;"""",""(?s)(.{1})"",""$1""&amp;CHAR(127)),""'"",""''""),CHAR(127))),1,true),""1"")"),"cdefg1")</f>
        <v>cdefg1</v>
      </c>
      <c r="AW200" s="16"/>
      <c r="AX200" s="10" t="str">
        <f>IFERROR(__xludf.DUMMYFUNCTION("FILTER($K200:$T200,len($K200:$T200)=5)"),"bgeac")</f>
        <v>bgeac</v>
      </c>
      <c r="AY200" s="6" t="str">
        <f>IFERROR(__xludf.DUMMYFUNCTION("""COMPUTED_VALUE"""),"cfaeg")</f>
        <v>cfaeg</v>
      </c>
      <c r="AZ200" s="6" t="str">
        <f>IFERROR(__xludf.DUMMYFUNCTION("""COMPUTED_VALUE"""),"gdecf")</f>
        <v>gdecf</v>
      </c>
      <c r="BA200" s="6" t="str">
        <f>IFERROR(__xludf.DUMMYFUNCTION("REGEXREPLACE( $AR200, CONCATENATE(""["",AX200,""]""), """")"),"f")</f>
        <v>f</v>
      </c>
      <c r="BB200" s="6" t="str">
        <f>IFERROR(__xludf.DUMMYFUNCTION("REGEXREPLACE( $AR200, CONCATENATE(""["",AY200,""]""), """")"),"")</f>
        <v/>
      </c>
      <c r="BC200" s="6" t="str">
        <f>IFERROR(__xludf.DUMMYFUNCTION("REGEXREPLACE( $AR200, CONCATENATE(""["",AZ200,""]""), """")"),"a")</f>
        <v>a</v>
      </c>
      <c r="BD200" s="11" t="str">
        <f t="shared" si="6"/>
        <v>cfaeg</v>
      </c>
      <c r="BE200" s="12" t="str">
        <f>IFERROR(__xludf.DUMMYFUNCTION("CONCATENATE(SORT(TRANSPOSE(SPLIT(REGEXREPLACE(REGEXREPLACE(BD200&amp;"""",""(?s)(.{1})"",""$1""&amp;CHAR(127)),""'"",""''""),CHAR(127))),1,true),""1"")"),"acefg1")</f>
        <v>acefg1</v>
      </c>
      <c r="BF200" s="16"/>
      <c r="BG200" s="12" t="str">
        <f t="shared" si="7"/>
        <v>bfca</v>
      </c>
      <c r="BH200" s="12" t="str">
        <f>IFERROR(__xludf.DUMMYFUNCTION("CONCATENATE(SORT(TRANSPOSE(SPLIT(REGEXREPLACE(REGEXREPLACE(BG200&amp;"""",""(?s)(.{1})"",""$1""&amp;CHAR(127)),""'"",""''""),CHAR(127))),1,true),""1"")"),"abcf1")</f>
        <v>abcf1</v>
      </c>
      <c r="BI200" s="16"/>
      <c r="BJ200" s="10" t="str">
        <f>IFERROR(__xludf.DUMMYFUNCTION("FILTER($K200:$T200,len($K200:$T200)=5)"),"bgeac")</f>
        <v>bgeac</v>
      </c>
      <c r="BK200" s="6" t="str">
        <f>IFERROR(__xludf.DUMMYFUNCTION("""COMPUTED_VALUE"""),"cfaeg")</f>
        <v>cfaeg</v>
      </c>
      <c r="BL200" s="6" t="str">
        <f>IFERROR(__xludf.DUMMYFUNCTION("""COMPUTED_VALUE"""),"gdecf")</f>
        <v>gdecf</v>
      </c>
      <c r="BM200" s="14" t="str">
        <f>IFERROR(__xludf.DUMMYFUNCTION("REGEXREPLACE( $BY200, CONCATENATE(""["",BJ200,""]""), """")"),"d")</f>
        <v>d</v>
      </c>
      <c r="BN200" s="14" t="str">
        <f>IFERROR(__xludf.DUMMYFUNCTION("REGEXREPLACE( $BY200, CONCATENATE(""["",BK200,""]""), """")"),"bd")</f>
        <v>bd</v>
      </c>
      <c r="BO200" s="14" t="str">
        <f>IFERROR(__xludf.DUMMYFUNCTION("REGEXREPLACE( $BY200, CONCATENATE(""["",BL200,""]""), """")"),"ab")</f>
        <v>ab</v>
      </c>
      <c r="BP200" s="11" t="str">
        <f t="shared" si="8"/>
        <v>bgeac</v>
      </c>
      <c r="BQ200" s="12" t="str">
        <f>IFERROR(__xludf.DUMMYFUNCTION("CONCATENATE(SORT(TRANSPOSE(SPLIT(REGEXREPLACE(REGEXREPLACE(BP200&amp;"""",""(?s)(.{1})"",""$1""&amp;CHAR(127)),""'"",""''""),CHAR(127))),1,true),""1"")"),"abceg1")</f>
        <v>abceg1</v>
      </c>
      <c r="BR200" s="16"/>
      <c r="BS200" s="10" t="str">
        <f>IFERROR(__xludf.DUMMYFUNCTION("FILTER(K200:T200,len(K200:T200)=6)"),"cegbfa")</f>
        <v>cegbfa</v>
      </c>
      <c r="BT200" s="6" t="str">
        <f>IFERROR(__xludf.DUMMYFUNCTION("""COMPUTED_VALUE"""),"egdabf")</f>
        <v>egdabf</v>
      </c>
      <c r="BU200" s="6" t="str">
        <f>IFERROR(__xludf.DUMMYFUNCTION("""COMPUTED_VALUE"""),"caebdg")</f>
        <v>caebdg</v>
      </c>
      <c r="BV200" s="6" t="str">
        <f>IFERROR(__xludf.DUMMYFUNCTION("REGEXREPLACE( $AR200, CONCATENATE(""["",BS200,""]""), """")"),"")</f>
        <v/>
      </c>
      <c r="BW200" s="6" t="str">
        <f>IFERROR(__xludf.DUMMYFUNCTION("REGEXREPLACE( $AR200, CONCATENATE(""["",BT200,""]""), """")"),"")</f>
        <v/>
      </c>
      <c r="BX200" s="6" t="str">
        <f>IFERROR(__xludf.DUMMYFUNCTION("REGEXREPLACE( $AR200, CONCATENATE(""["",BU200,""]""), """")"),"f")</f>
        <v>f</v>
      </c>
      <c r="BY200" s="12" t="str">
        <f t="shared" si="9"/>
        <v>caebdg</v>
      </c>
      <c r="BZ200" s="12" t="str">
        <f>IFERROR(__xludf.DUMMYFUNCTION("CONCATENATE(SORT(TRANSPOSE(SPLIT(REGEXREPLACE(REGEXREPLACE(BY200&amp;"""",""(?s)(.{1})"",""$1""&amp;CHAR(127)),""'"",""''""),CHAR(127))),1,true),""1"")"),"abcdeg1")</f>
        <v>abcdeg1</v>
      </c>
      <c r="CA200" s="16"/>
      <c r="CB200" s="12" t="str">
        <f t="shared" si="10"/>
        <v>aef</v>
      </c>
      <c r="CC200" s="12" t="str">
        <f>IFERROR(__xludf.DUMMYFUNCTION("CONCATENATE(SORT(TRANSPOSE(SPLIT(REGEXREPLACE(REGEXREPLACE(CB200&amp;"""",""(?s)(.{1})"",""$1""&amp;CHAR(127)),""'"",""''""),CHAR(127))),1,true),""1"")"),"aef1")</f>
        <v>aef1</v>
      </c>
      <c r="CD200" s="16"/>
      <c r="CE200" s="12" t="str">
        <f t="shared" si="11"/>
        <v>gcfebda</v>
      </c>
      <c r="CF200" s="12" t="str">
        <f>IFERROR(__xludf.DUMMYFUNCTION("CONCATENATE(SORT(TRANSPOSE(SPLIT(REGEXREPLACE(REGEXREPLACE(CE200&amp;"""",""(?s)(.{1})"",""$1""&amp;CHAR(127)),""'"",""''""),CHAR(127))),1,true),""1"")"),"abcdefg1")</f>
        <v>abcdefg1</v>
      </c>
      <c r="CG200" s="16"/>
      <c r="CH200" s="10" t="str">
        <f>IFERROR(__xludf.DUMMYFUNCTION("FILTER(K200:T200,len(K200:T200)=6)"),"cegbfa")</f>
        <v>cegbfa</v>
      </c>
      <c r="CI200" s="6" t="str">
        <f>IFERROR(__xludf.DUMMYFUNCTION("""COMPUTED_VALUE"""),"egdabf")</f>
        <v>egdabf</v>
      </c>
      <c r="CJ200" s="6" t="str">
        <f>IFERROR(__xludf.DUMMYFUNCTION("""COMPUTED_VALUE"""),"caebdg")</f>
        <v>caebdg</v>
      </c>
      <c r="CK200" s="6" t="str">
        <f>IFERROR(__xludf.DUMMYFUNCTION("REGEXREPLACE( $BG200, CONCATENATE(""["",CH200,""]""), """")"),"")</f>
        <v/>
      </c>
      <c r="CL200" s="6" t="str">
        <f>IFERROR(__xludf.DUMMYFUNCTION("REGEXREPLACE( $BG200, CONCATENATE(""["",CI200,""]""), """")"),"c")</f>
        <v>c</v>
      </c>
      <c r="CM200" s="6" t="str">
        <f>IFERROR(__xludf.DUMMYFUNCTION("REGEXREPLACE( $BG200, CONCATENATE(""["",CJ200,""]""), """")"),"f")</f>
        <v>f</v>
      </c>
      <c r="CN200" s="12" t="str">
        <f t="shared" si="12"/>
        <v>cegbfa</v>
      </c>
      <c r="CO200" s="12" t="str">
        <f>IFERROR(__xludf.DUMMYFUNCTION("CONCATENATE(SORT(TRANSPOSE(SPLIT(REGEXREPLACE(REGEXREPLACE(CN200&amp;"""",""(?s)(.{1})"",""$1""&amp;CHAR(127)),""'"",""''""),CHAR(127))),1,true),""1"")"),"abcefg1")</f>
        <v>abcefg1</v>
      </c>
      <c r="CP200" s="15"/>
    </row>
    <row r="201">
      <c r="J201" s="15"/>
      <c r="U201" s="15"/>
      <c r="AI201" s="16"/>
      <c r="AJ201" s="9"/>
      <c r="AK201" s="10"/>
      <c r="AO201" s="11"/>
      <c r="AP201" s="12"/>
      <c r="AQ201" s="16"/>
      <c r="AR201" s="12"/>
      <c r="AS201" s="12"/>
      <c r="AT201" s="16"/>
      <c r="AU201" s="13"/>
      <c r="AV201" s="12"/>
      <c r="AW201" s="16"/>
      <c r="AX201" s="10"/>
      <c r="BD201" s="11"/>
      <c r="BE201" s="12"/>
      <c r="BF201" s="16"/>
      <c r="BG201" s="12"/>
      <c r="BH201" s="12"/>
      <c r="BI201" s="16"/>
      <c r="BJ201" s="10"/>
      <c r="BM201" s="14"/>
      <c r="BN201" s="14"/>
      <c r="BO201" s="14"/>
      <c r="BP201" s="11"/>
      <c r="BQ201" s="12"/>
      <c r="BR201" s="16"/>
      <c r="BS201" s="10"/>
      <c r="BY201" s="12"/>
      <c r="BZ201" s="12"/>
      <c r="CA201" s="16"/>
      <c r="CB201" s="12"/>
      <c r="CC201" s="12"/>
      <c r="CD201" s="16"/>
      <c r="CE201" s="12"/>
      <c r="CF201" s="12"/>
      <c r="CG201" s="16"/>
      <c r="CH201" s="10"/>
      <c r="CN201" s="12"/>
      <c r="CO201" s="12"/>
      <c r="CP201" s="15"/>
    </row>
    <row r="202">
      <c r="J202" s="15"/>
      <c r="U202" s="15"/>
      <c r="AI202" s="16"/>
      <c r="AJ202" s="9"/>
      <c r="AK202" s="10"/>
      <c r="AO202" s="11"/>
      <c r="AP202" s="12"/>
      <c r="AQ202" s="16"/>
      <c r="AR202" s="12"/>
      <c r="AS202" s="12"/>
      <c r="AT202" s="16"/>
      <c r="AU202" s="13"/>
      <c r="AV202" s="12"/>
      <c r="AW202" s="16"/>
      <c r="AX202" s="10"/>
      <c r="BD202" s="11"/>
      <c r="BE202" s="12"/>
      <c r="BF202" s="16"/>
      <c r="BG202" s="12"/>
      <c r="BH202" s="12"/>
      <c r="BI202" s="16"/>
      <c r="BJ202" s="10"/>
      <c r="BM202" s="14"/>
      <c r="BN202" s="14"/>
      <c r="BO202" s="14"/>
      <c r="BP202" s="11"/>
      <c r="BQ202" s="12"/>
      <c r="BR202" s="16"/>
      <c r="BS202" s="10"/>
      <c r="BY202" s="12"/>
      <c r="BZ202" s="12"/>
      <c r="CA202" s="16"/>
      <c r="CB202" s="12"/>
      <c r="CC202" s="12"/>
      <c r="CD202" s="16"/>
      <c r="CE202" s="12"/>
      <c r="CF202" s="12"/>
      <c r="CG202" s="16"/>
      <c r="CH202" s="10"/>
      <c r="CN202" s="12"/>
      <c r="CO202" s="12"/>
      <c r="CP202" s="15"/>
    </row>
    <row r="203">
      <c r="J203" s="15"/>
      <c r="U203" s="15"/>
      <c r="AI203" s="16"/>
      <c r="AJ203" s="9"/>
      <c r="AK203" s="10"/>
      <c r="AO203" s="11"/>
      <c r="AP203" s="12"/>
      <c r="AQ203" s="16"/>
      <c r="AR203" s="12"/>
      <c r="AS203" s="12"/>
      <c r="AT203" s="16"/>
      <c r="AU203" s="13"/>
      <c r="AV203" s="12"/>
      <c r="AW203" s="16"/>
      <c r="AX203" s="10"/>
      <c r="BD203" s="11"/>
      <c r="BE203" s="12"/>
      <c r="BF203" s="16"/>
      <c r="BG203" s="12"/>
      <c r="BH203" s="12"/>
      <c r="BI203" s="16"/>
      <c r="BJ203" s="10"/>
      <c r="BM203" s="14"/>
      <c r="BN203" s="14"/>
      <c r="BO203" s="14"/>
      <c r="BP203" s="11"/>
      <c r="BQ203" s="12"/>
      <c r="BR203" s="16"/>
      <c r="BS203" s="10"/>
      <c r="BY203" s="12"/>
      <c r="BZ203" s="12"/>
      <c r="CA203" s="16"/>
      <c r="CB203" s="12"/>
      <c r="CC203" s="12"/>
      <c r="CD203" s="16"/>
      <c r="CE203" s="12"/>
      <c r="CF203" s="12"/>
      <c r="CG203" s="16"/>
      <c r="CH203" s="10"/>
      <c r="CN203" s="12"/>
      <c r="CO203" s="12"/>
      <c r="CP203" s="15"/>
    </row>
    <row r="204">
      <c r="J204" s="15"/>
      <c r="U204" s="15"/>
      <c r="AI204" s="16"/>
      <c r="AJ204" s="9"/>
      <c r="AK204" s="10"/>
      <c r="AO204" s="11"/>
      <c r="AP204" s="12"/>
      <c r="AQ204" s="16"/>
      <c r="AR204" s="12"/>
      <c r="AS204" s="12"/>
      <c r="AT204" s="16"/>
      <c r="AU204" s="13"/>
      <c r="AV204" s="12"/>
      <c r="AW204" s="16"/>
      <c r="AX204" s="10"/>
      <c r="BD204" s="11"/>
      <c r="BE204" s="12"/>
      <c r="BF204" s="16"/>
      <c r="BG204" s="12"/>
      <c r="BH204" s="12"/>
      <c r="BI204" s="16"/>
      <c r="BJ204" s="10"/>
      <c r="BM204" s="14"/>
      <c r="BN204" s="14"/>
      <c r="BO204" s="14"/>
      <c r="BP204" s="11"/>
      <c r="BQ204" s="12"/>
      <c r="BR204" s="16"/>
      <c r="BS204" s="10"/>
      <c r="BY204" s="12"/>
      <c r="BZ204" s="12"/>
      <c r="CA204" s="16"/>
      <c r="CB204" s="12"/>
      <c r="CC204" s="12"/>
      <c r="CD204" s="16"/>
      <c r="CE204" s="12"/>
      <c r="CF204" s="12"/>
      <c r="CG204" s="16"/>
      <c r="CH204" s="10"/>
      <c r="CN204" s="12"/>
      <c r="CO204" s="12"/>
      <c r="CP204" s="15"/>
    </row>
  </sheetData>
  <drawing r:id="rId1"/>
</worksheet>
</file>