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oftware\ToolDevelopment\qPNCA\Validation_1.0.22\"/>
    </mc:Choice>
  </mc:AlternateContent>
  <xr:revisionPtr revIDLastSave="0" documentId="13_ncr:1_{EE2C9F76-3C38-4EF7-8305-CC014E0F6421}" xr6:coauthVersionLast="45" xr6:coauthVersionMax="45" xr10:uidLastSave="{00000000-0000-0000-0000-000000000000}"/>
  <bookViews>
    <workbookView xWindow="-98" yWindow="-98" windowWidth="19396" windowHeight="10395" tabRatio="900" xr2:uid="{00000000-000D-0000-FFFF-FFFF00000000}"/>
  </bookViews>
  <sheets>
    <sheet name="START_POSD" sheetId="26" r:id="rId1"/>
    <sheet name="START_IVSD" sheetId="31" r:id="rId2"/>
    <sheet name="START_INFSD" sheetId="59" r:id="rId3"/>
    <sheet name="START_POMD" sheetId="38" r:id="rId4"/>
    <sheet name="START_IVMD" sheetId="60" r:id="rId5"/>
    <sheet name="START_INFMD" sheetId="61" r:id="rId6"/>
    <sheet name="SDT_1" sheetId="1" r:id="rId7"/>
    <sheet name="SDT_2" sheetId="25" r:id="rId8"/>
    <sheet name="SDT_3" sheetId="27" r:id="rId9"/>
    <sheet name="SDC_1" sheetId="28" r:id="rId10"/>
    <sheet name="SDC_2" sheetId="29" r:id="rId11"/>
    <sheet name="SDC_3" sheetId="30" r:id="rId12"/>
    <sheet name="SDC_4a" sheetId="32" r:id="rId13"/>
    <sheet name="SDC_4b" sheetId="33" r:id="rId14"/>
    <sheet name="SDC_4c" sheetId="34" r:id="rId15"/>
    <sheet name="SDC_4d" sheetId="35" r:id="rId16"/>
    <sheet name="MDT_1" sheetId="36" r:id="rId17"/>
    <sheet name="MDT_2" sheetId="37" r:id="rId18"/>
    <sheet name="MDT_3" sheetId="39" r:id="rId19"/>
    <sheet name="MDT_3a" sheetId="40" r:id="rId20"/>
    <sheet name="MDC_1_noss" sheetId="41" r:id="rId21"/>
    <sheet name="MDC_2_noss" sheetId="42" r:id="rId22"/>
    <sheet name="MDC_3_noss" sheetId="44" r:id="rId23"/>
    <sheet name="MDC_1_ss" sheetId="45" r:id="rId24"/>
    <sheet name="MDC_2_ss" sheetId="46" r:id="rId25"/>
    <sheet name="MDC_3_ss" sheetId="47" r:id="rId26"/>
    <sheet name="POSDLOQ_1" sheetId="49" r:id="rId27"/>
    <sheet name="POSDLOQ_2" sheetId="50" r:id="rId28"/>
    <sheet name="POSDLOQ_3" sheetId="51" r:id="rId29"/>
    <sheet name="POSDLOQ_4" sheetId="52" r:id="rId30"/>
    <sheet name="IVSDLOQ_1" sheetId="53" r:id="rId31"/>
    <sheet name="IVSDLOQ_2" sheetId="54" r:id="rId32"/>
    <sheet name="IVSDLOQ_3" sheetId="55" r:id="rId33"/>
    <sheet name="IVSDLOQ_4" sheetId="56" r:id="rId34"/>
    <sheet name="POSDEXCL" sheetId="58" r:id="rId35"/>
    <sheet name="POSDTRAP_2" sheetId="62" r:id="rId36"/>
    <sheet name="POSDTRAP_3" sheetId="63" r:id="rId37"/>
    <sheet name="summ" sheetId="13" r:id="rId38"/>
    <sheet name="summ_val" sheetId="48" r:id="rId39"/>
  </sheets>
  <definedNames>
    <definedName name="dv" localSheetId="20">MDC_1_noss!$E$5:$E$18</definedName>
    <definedName name="dv" localSheetId="23">MDC_1_ss!$E$5:$E$18</definedName>
    <definedName name="dv" localSheetId="21">MDC_2_noss!$E$5:$E$18</definedName>
    <definedName name="dv" localSheetId="24">MDC_2_ss!$E$5:$E$18</definedName>
    <definedName name="dv" localSheetId="22">MDC_3_noss!$E$5:$E$18</definedName>
    <definedName name="dv" localSheetId="25">MDC_3_ss!$E$5:$E$18</definedName>
    <definedName name="dv" localSheetId="16">MDT_1!$E$5:$E$18</definedName>
    <definedName name="dv" localSheetId="17">MDT_2!$E$5:$E$18</definedName>
    <definedName name="dv" localSheetId="18">MDT_3!$E$5:$E$18</definedName>
    <definedName name="dv" localSheetId="19">MDT_3a!$E$5:$E$18</definedName>
    <definedName name="dv" localSheetId="9">SDC_1!$E$5:$E$18</definedName>
    <definedName name="dv" localSheetId="10">SDC_2!$E$5:$E$18</definedName>
    <definedName name="dv" localSheetId="11">SDC_3!$E$5:$E$18</definedName>
    <definedName name="dv" localSheetId="12">SDC_4a!$E$5:$E$18</definedName>
    <definedName name="dv" localSheetId="13">SDC_4b!$E$5:$E$18</definedName>
    <definedName name="dv" localSheetId="14">SDC_4c!$E$5:$E$18</definedName>
    <definedName name="dv" localSheetId="15">SDC_4d!$E$5:$E$18</definedName>
    <definedName name="dv" localSheetId="7">SDT_2!$E$5:$E$18</definedName>
    <definedName name="dv" localSheetId="8">SDT_3!$E$5:$E$18</definedName>
    <definedName name="dv" localSheetId="1">START_IVSD!$E$5:$E$18</definedName>
    <definedName name="dv" localSheetId="3">START_POMD!$E$5:$E$18</definedName>
    <definedName name="dv" localSheetId="0">START_POSD!$E$5:$E$18</definedName>
    <definedName name="dv">SDT_1!$E$5:$E$18</definedName>
    <definedName name="dvcorr" localSheetId="20">MDC_1_noss!$I$5:$I$18</definedName>
    <definedName name="dvcorr" localSheetId="23">MDC_1_ss!$I$5:$I$18</definedName>
    <definedName name="dvcorr" localSheetId="21">MDC_2_noss!$I$5:$I$18</definedName>
    <definedName name="dvcorr" localSheetId="24">MDC_2_ss!$I$5:$I$18</definedName>
    <definedName name="dvcorr" localSheetId="22">MDC_3_noss!$I$5:$I$18</definedName>
    <definedName name="dvcorr" localSheetId="25">MDC_3_ss!$I$5:$I$18</definedName>
    <definedName name="dvcorr" localSheetId="16">MDT_1!$I$5:$I$18</definedName>
    <definedName name="dvcorr" localSheetId="17">MDT_2!$I$5:$I$18</definedName>
    <definedName name="dvcorr" localSheetId="18">MDT_3!$I$5:$I$18</definedName>
    <definedName name="dvcorr" localSheetId="19">MDT_3a!$I$5:$I$18</definedName>
    <definedName name="dvcorr" localSheetId="9">SDC_1!$I$5:$I$18</definedName>
    <definedName name="dvcorr" localSheetId="10">SDC_2!$I$5:$I$18</definedName>
    <definedName name="dvcorr" localSheetId="11">SDC_3!$I$5:$I$18</definedName>
    <definedName name="dvcorr" localSheetId="12">SDC_4a!$I$5:$I$18</definedName>
    <definedName name="dvcorr" localSheetId="13">SDC_4b!$I$5:$I$18</definedName>
    <definedName name="dvcorr" localSheetId="14">SDC_4c!$I$5:$I$18</definedName>
    <definedName name="dvcorr" localSheetId="15">SDC_4d!$I$5:$I$18</definedName>
    <definedName name="dvcorr" localSheetId="7">SDT_2!$I$5:$I$18</definedName>
    <definedName name="dvcorr" localSheetId="8">SDT_3!$I$5:$I$18</definedName>
    <definedName name="dvcorr" localSheetId="1">START_IVSD!$I$5:$I$18</definedName>
    <definedName name="dvcorr" localSheetId="3">START_POMD!$I$5:$I$18</definedName>
    <definedName name="dvcorr" localSheetId="0">START_POSD!$I$5:$I$18</definedName>
    <definedName name="dvcorr">SDT_1!$I$5:$I$18</definedName>
    <definedName name="elimination">POSDEXCL!$E$15:$E$18,POSDEXCL!$E$12:$E$13</definedName>
    <definedName name="id" localSheetId="20">MDC_1_noss!$B$5:$B$18</definedName>
    <definedName name="id" localSheetId="23">MDC_1_ss!$B$5:$B$18</definedName>
    <definedName name="id" localSheetId="21">MDC_2_noss!$B$5:$B$18</definedName>
    <definedName name="id" localSheetId="24">MDC_2_ss!$B$5:$B$18</definedName>
    <definedName name="id" localSheetId="22">MDC_3_noss!$B$5:$B$18</definedName>
    <definedName name="id" localSheetId="25">MDC_3_ss!$B$5:$B$18</definedName>
    <definedName name="id" localSheetId="16">MDT_1!$B$5:$B$18</definedName>
    <definedName name="id" localSheetId="17">MDT_2!$B$5:$B$18</definedName>
    <definedName name="id" localSheetId="18">MDT_3!$B$5:$B$18</definedName>
    <definedName name="id" localSheetId="19">MDT_3a!$B$5:$B$18</definedName>
    <definedName name="id" localSheetId="9">SDC_1!$B$5:$B$18</definedName>
    <definedName name="id" localSheetId="10">SDC_2!$B$5:$B$18</definedName>
    <definedName name="id" localSheetId="11">SDC_3!$B$5:$B$18</definedName>
    <definedName name="id" localSheetId="12">SDC_4a!$B$5:$B$18</definedName>
    <definedName name="id" localSheetId="13">SDC_4b!$B$5:$B$18</definedName>
    <definedName name="id" localSheetId="14">SDC_4c!$B$5:$B$18</definedName>
    <definedName name="id" localSheetId="15">SDC_4d!$B$5:$B$18</definedName>
    <definedName name="id" localSheetId="7">SDT_2!$B$5:$B$18</definedName>
    <definedName name="id" localSheetId="8">SDT_3!$B$5:$B$18</definedName>
    <definedName name="id" localSheetId="1">START_IVSD!$B$5:$B$18</definedName>
    <definedName name="id" localSheetId="3">START_POMD!$B$5:$B$18</definedName>
    <definedName name="id" localSheetId="0">START_POSD!$B$5:$B$18</definedName>
    <definedName name="id">SDT_1!$B$5:$B$18</definedName>
    <definedName name="ntad" localSheetId="20">MDC_1_noss!$C$5:$C$18</definedName>
    <definedName name="ntad" localSheetId="23">MDC_1_ss!$C$5:$C$18</definedName>
    <definedName name="ntad" localSheetId="21">MDC_2_noss!$C$5:$C$18</definedName>
    <definedName name="ntad" localSheetId="24">MDC_2_ss!$C$5:$C$18</definedName>
    <definedName name="ntad" localSheetId="22">MDC_3_noss!$C$5:$C$18</definedName>
    <definedName name="ntad" localSheetId="25">MDC_3_ss!$C$5:$C$18</definedName>
    <definedName name="ntad" localSheetId="16">MDT_1!$C$5:$C$18</definedName>
    <definedName name="ntad" localSheetId="17">MDT_2!$C$5:$C$18</definedName>
    <definedName name="ntad" localSheetId="18">MDT_3!$C$5:$C$18</definedName>
    <definedName name="ntad" localSheetId="19">MDT_3a!$C$5:$C$18</definedName>
    <definedName name="ntad" localSheetId="9">SDC_1!$C$5:$C$18</definedName>
    <definedName name="ntad" localSheetId="10">SDC_2!$C$5:$C$18</definedName>
    <definedName name="ntad" localSheetId="11">SDC_3!$C$5:$C$18</definedName>
    <definedName name="ntad" localSheetId="12">SDC_4a!$C$5:$C$18</definedName>
    <definedName name="ntad" localSheetId="13">SDC_4b!$C$5:$C$18</definedName>
    <definedName name="ntad" localSheetId="14">SDC_4c!$C$5:$C$18</definedName>
    <definedName name="ntad" localSheetId="15">SDC_4d!$C$5:$C$18</definedName>
    <definedName name="ntad" localSheetId="7">SDT_2!$C$5:$C$18</definedName>
    <definedName name="ntad" localSheetId="8">SDT_3!$C$5:$C$18</definedName>
    <definedName name="ntad" localSheetId="1">START_IVSD!$C$5:$C$18</definedName>
    <definedName name="ntad" localSheetId="3">START_POMD!$C$5:$C$18</definedName>
    <definedName name="ntad" localSheetId="0">START_POSD!$C$5:$C$18</definedName>
    <definedName name="ntad">SDT_1!$C$5:$C$18</definedName>
    <definedName name="rule" localSheetId="20">MDC_1_noss!$A$5:$A$18</definedName>
    <definedName name="rule" localSheetId="23">MDC_1_ss!$A$5:$A$18</definedName>
    <definedName name="rule" localSheetId="21">MDC_2_noss!$A$5:$A$18</definedName>
    <definedName name="rule" localSheetId="24">MDC_2_ss!$A$5:$A$18</definedName>
    <definedName name="rule" localSheetId="22">MDC_3_noss!$A$5:$A$18</definedName>
    <definedName name="rule" localSheetId="25">MDC_3_ss!$A$5:$A$18</definedName>
    <definedName name="rule" localSheetId="16">MDT_1!$A$5:$A$18</definedName>
    <definedName name="rule" localSheetId="17">MDT_2!$A$5:$A$18</definedName>
    <definedName name="rule" localSheetId="18">MDT_3!$A$5:$A$18</definedName>
    <definedName name="rule" localSheetId="19">MDT_3a!$A$5:$A$18</definedName>
    <definedName name="rule" localSheetId="9">SDC_1!$A$5:$A$18</definedName>
    <definedName name="rule" localSheetId="10">SDC_2!$A$5:$A$18</definedName>
    <definedName name="rule" localSheetId="11">SDC_3!$A$5:$A$18</definedName>
    <definedName name="rule" localSheetId="12">SDC_4a!$A$5:$A$18</definedName>
    <definedName name="rule" localSheetId="13">SDC_4b!$A$5:$A$18</definedName>
    <definedName name="rule" localSheetId="14">SDC_4c!$A$5:$A$18</definedName>
    <definedName name="rule" localSheetId="15">SDC_4d!$A$5:$A$18</definedName>
    <definedName name="rule" localSheetId="7">SDT_2!$A$5:$A$18</definedName>
    <definedName name="rule" localSheetId="8">SDT_3!$A$5:$A$18</definedName>
    <definedName name="rule" localSheetId="1">START_IVSD!$A$5:$A$18</definedName>
    <definedName name="rule" localSheetId="3">START_POMD!$A$5:$A$18</definedName>
    <definedName name="rule" localSheetId="0">START_POSD!$A$5:$A$18</definedName>
    <definedName name="rule">SDT_1!$A$5:$A$18</definedName>
    <definedName name="tad" localSheetId="20">MDC_1_noss!$D$5:$D$18</definedName>
    <definedName name="tad" localSheetId="23">MDC_1_ss!$D$5:$D$18</definedName>
    <definedName name="tad" localSheetId="21">MDC_2_noss!$D$5:$D$18</definedName>
    <definedName name="tad" localSheetId="24">MDC_2_ss!$D$5:$D$18</definedName>
    <definedName name="tad" localSheetId="22">MDC_3_noss!$D$5:$D$18</definedName>
    <definedName name="tad" localSheetId="25">MDC_3_ss!$D$5:$D$18</definedName>
    <definedName name="tad" localSheetId="16">MDT_1!$D$5:$D$18</definedName>
    <definedName name="tad" localSheetId="17">MDT_2!$D$5:$D$18</definedName>
    <definedName name="tad" localSheetId="18">MDT_3!$D$5:$D$18</definedName>
    <definedName name="tad" localSheetId="19">MDT_3a!$D$5:$D$18</definedName>
    <definedName name="tad" localSheetId="9">SDC_1!$D$5:$D$18</definedName>
    <definedName name="tad" localSheetId="10">SDC_2!$D$5:$D$18</definedName>
    <definedName name="tad" localSheetId="11">SDC_3!$D$5:$D$18</definedName>
    <definedName name="tad" localSheetId="12">SDC_4a!$D$5:$D$18</definedName>
    <definedName name="tad" localSheetId="13">SDC_4b!$D$5:$D$18</definedName>
    <definedName name="tad" localSheetId="14">SDC_4c!$D$5:$D$18</definedName>
    <definedName name="tad" localSheetId="15">SDC_4d!$D$5:$D$18</definedName>
    <definedName name="tad" localSheetId="7">SDT_2!$D$5:$D$18</definedName>
    <definedName name="tad" localSheetId="8">SDT_3!$D$5:$D$18</definedName>
    <definedName name="tad" localSheetId="1">START_IVSD!$D$5:$D$18</definedName>
    <definedName name="tad" localSheetId="3">START_POMD!$D$5:$D$18</definedName>
    <definedName name="tad" localSheetId="0">START_POSD!$D$5:$D$18</definedName>
    <definedName name="tad">SDT_1!$D$5:$D$18</definedName>
    <definedName name="tadcorr" localSheetId="20">MDC_1_noss!$H$5:$H$18</definedName>
    <definedName name="tadcorr" localSheetId="23">MDC_1_ss!$H$5:$H$18</definedName>
    <definedName name="tadcorr" localSheetId="21">MDC_2_noss!$H$5:$H$18</definedName>
    <definedName name="tadcorr" localSheetId="24">MDC_2_ss!$H$5:$H$18</definedName>
    <definedName name="tadcorr" localSheetId="22">MDC_3_noss!$H$5:$H$18</definedName>
    <definedName name="tadcorr" localSheetId="25">MDC_3_ss!$H$5:$H$18</definedName>
    <definedName name="tadcorr" localSheetId="16">MDT_1!$H$5:$H$18</definedName>
    <definedName name="tadcorr" localSheetId="17">MDT_2!$H$5:$H$18</definedName>
    <definedName name="tadcorr" localSheetId="18">MDT_3!$H$5:$H$18</definedName>
    <definedName name="tadcorr" localSheetId="19">MDT_3a!$H$5:$H$18</definedName>
    <definedName name="tadcorr" localSheetId="9">SDC_1!$H$5:$H$18</definedName>
    <definedName name="tadcorr" localSheetId="10">SDC_2!$H$5:$H$18</definedName>
    <definedName name="tadcorr" localSheetId="11">SDC_3!$H$5:$H$18</definedName>
    <definedName name="tadcorr" localSheetId="12">SDC_4a!$H$5:$H$18</definedName>
    <definedName name="tadcorr" localSheetId="13">SDC_4b!$H$5:$H$18</definedName>
    <definedName name="tadcorr" localSheetId="14">SDC_4c!$H$5:$H$18</definedName>
    <definedName name="tadcorr" localSheetId="15">SDC_4d!$H$5:$H$18</definedName>
    <definedName name="tadcorr" localSheetId="7">SDT_2!$H$5:$H$18</definedName>
    <definedName name="tadcorr" localSheetId="8">SDT_3!$H$5:$H$18</definedName>
    <definedName name="tadcorr" localSheetId="1">START_IVSD!$H$5:$H$18</definedName>
    <definedName name="tadcorr" localSheetId="3">START_POMD!$H$5:$H$18</definedName>
    <definedName name="tadcorr" localSheetId="0">START_POSD!$H$5:$H$18</definedName>
    <definedName name="tadcorr">SDT_1!$H$5:$H$18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62" i="13" l="1"/>
  <c r="AM61" i="13"/>
  <c r="AM55" i="13"/>
  <c r="AM54" i="13"/>
  <c r="AM52" i="13"/>
  <c r="AM51" i="13"/>
  <c r="AM49" i="13"/>
  <c r="AM48" i="13"/>
  <c r="AM47" i="13"/>
  <c r="AM46" i="13"/>
  <c r="AM45" i="13"/>
  <c r="AM44" i="13"/>
  <c r="AM42" i="13"/>
  <c r="AM41" i="13"/>
  <c r="AM40" i="13"/>
  <c r="AM39" i="13"/>
  <c r="AM38" i="13"/>
  <c r="AM37" i="13"/>
  <c r="AM36" i="13"/>
  <c r="AM35" i="13"/>
  <c r="AM34" i="13"/>
  <c r="AM33" i="13"/>
  <c r="AM32" i="13"/>
  <c r="AM31" i="13"/>
  <c r="AM30" i="13"/>
  <c r="AM29" i="13"/>
  <c r="AM28" i="13"/>
  <c r="AM27" i="13"/>
  <c r="AM26" i="13"/>
  <c r="AM24" i="13"/>
  <c r="AM23" i="13"/>
  <c r="AM22" i="13"/>
  <c r="AM21" i="13"/>
  <c r="AM20" i="13"/>
  <c r="AM19" i="13"/>
  <c r="AM18" i="13"/>
  <c r="AM17" i="13"/>
  <c r="AM16" i="13"/>
  <c r="AM15" i="13"/>
  <c r="AM13" i="13"/>
  <c r="AM12" i="13"/>
  <c r="AM11" i="13"/>
  <c r="AM10" i="13"/>
  <c r="AM9" i="13"/>
  <c r="AM8" i="13"/>
  <c r="AM7" i="13"/>
  <c r="AM6" i="13"/>
  <c r="AM5" i="13"/>
  <c r="AM4" i="13"/>
  <c r="AM3" i="13"/>
  <c r="AM2" i="13"/>
  <c r="AL62" i="13"/>
  <c r="AL61" i="13"/>
  <c r="AL55" i="13"/>
  <c r="AL54" i="13"/>
  <c r="AL52" i="13"/>
  <c r="AL51" i="13"/>
  <c r="AL49" i="13"/>
  <c r="AL48" i="13"/>
  <c r="AL47" i="13"/>
  <c r="AL46" i="13"/>
  <c r="AL45" i="13"/>
  <c r="AL44" i="13"/>
  <c r="AL42" i="13"/>
  <c r="AL41" i="13"/>
  <c r="AL40" i="13"/>
  <c r="AL39" i="13"/>
  <c r="AL38" i="13"/>
  <c r="AL37" i="13"/>
  <c r="AL36" i="13"/>
  <c r="AL35" i="13"/>
  <c r="AL34" i="13"/>
  <c r="AL33" i="13"/>
  <c r="AL32" i="13"/>
  <c r="AL31" i="13"/>
  <c r="AL30" i="13"/>
  <c r="AL29" i="13"/>
  <c r="AL28" i="13"/>
  <c r="AL27" i="13"/>
  <c r="AL26" i="13"/>
  <c r="AL24" i="13"/>
  <c r="AL23" i="13"/>
  <c r="AL22" i="13"/>
  <c r="AL21" i="13"/>
  <c r="AL20" i="13"/>
  <c r="AL19" i="13"/>
  <c r="AL18" i="13"/>
  <c r="AL17" i="13"/>
  <c r="AL16" i="13"/>
  <c r="AL15" i="13"/>
  <c r="AL13" i="13"/>
  <c r="AL12" i="13"/>
  <c r="AL11" i="13"/>
  <c r="AL10" i="13"/>
  <c r="AL9" i="13"/>
  <c r="AL8" i="13"/>
  <c r="AL7" i="13"/>
  <c r="AL6" i="13"/>
  <c r="AL5" i="13"/>
  <c r="AL4" i="13"/>
  <c r="AL3" i="13"/>
  <c r="AL2" i="13"/>
  <c r="AK62" i="13"/>
  <c r="AK61" i="13"/>
  <c r="AK55" i="13"/>
  <c r="AK54" i="13"/>
  <c r="AK52" i="13"/>
  <c r="AK51" i="13"/>
  <c r="AK49" i="13"/>
  <c r="AK48" i="13"/>
  <c r="AK47" i="13"/>
  <c r="AK46" i="13"/>
  <c r="AK45" i="13"/>
  <c r="AK44" i="13"/>
  <c r="AK42" i="13"/>
  <c r="AK41" i="13"/>
  <c r="AK40" i="13"/>
  <c r="AK39" i="13"/>
  <c r="AK38" i="13"/>
  <c r="AK37" i="13"/>
  <c r="AK36" i="13"/>
  <c r="AK35" i="13"/>
  <c r="AK34" i="13"/>
  <c r="AK33" i="13"/>
  <c r="AK32" i="13"/>
  <c r="AK31" i="13"/>
  <c r="AK30" i="13"/>
  <c r="AK29" i="13"/>
  <c r="AK28" i="13"/>
  <c r="AK27" i="13"/>
  <c r="AK26" i="13"/>
  <c r="AK24" i="13"/>
  <c r="AK23" i="13"/>
  <c r="AK22" i="13"/>
  <c r="AK21" i="13"/>
  <c r="AK20" i="13"/>
  <c r="AK19" i="13"/>
  <c r="AK18" i="13"/>
  <c r="AK17" i="13"/>
  <c r="AK16" i="13"/>
  <c r="AK15" i="13"/>
  <c r="AK13" i="13"/>
  <c r="AK12" i="13"/>
  <c r="AK11" i="13"/>
  <c r="AK10" i="13"/>
  <c r="AK9" i="13"/>
  <c r="AK8" i="13"/>
  <c r="AK7" i="13"/>
  <c r="AK6" i="13"/>
  <c r="AK5" i="13"/>
  <c r="AK4" i="13"/>
  <c r="AK3" i="13"/>
  <c r="AK2" i="13"/>
  <c r="R18" i="63"/>
  <c r="R17" i="63"/>
  <c r="R16" i="63"/>
  <c r="R15" i="63"/>
  <c r="R14" i="63"/>
  <c r="R13" i="63"/>
  <c r="L18" i="63"/>
  <c r="L17" i="63"/>
  <c r="L16" i="63"/>
  <c r="L15" i="63"/>
  <c r="L14" i="63"/>
  <c r="L13" i="63"/>
  <c r="R18" i="62"/>
  <c r="R17" i="62"/>
  <c r="R16" i="62"/>
  <c r="R15" i="62"/>
  <c r="R14" i="62"/>
  <c r="R13" i="62"/>
  <c r="R12" i="62"/>
  <c r="R11" i="62"/>
  <c r="R10" i="62"/>
  <c r="R9" i="62"/>
  <c r="L14" i="62"/>
  <c r="L15" i="62"/>
  <c r="L16" i="62"/>
  <c r="L17" i="62"/>
  <c r="L18" i="62"/>
  <c r="L13" i="62"/>
  <c r="L9" i="62"/>
  <c r="Z9" i="62"/>
  <c r="V9" i="62"/>
  <c r="Q9" i="62"/>
  <c r="K9" i="62"/>
  <c r="B32" i="63"/>
  <c r="B31" i="63" s="1"/>
  <c r="B29" i="63"/>
  <c r="B28" i="63" s="1"/>
  <c r="F26" i="63" a="1"/>
  <c r="F26" i="63" s="1"/>
  <c r="E26" i="63" a="1"/>
  <c r="E26" i="63" s="1"/>
  <c r="G26" i="63" s="1"/>
  <c r="D26" i="63" a="1"/>
  <c r="D26" i="63" s="1"/>
  <c r="B26" i="63" a="1"/>
  <c r="B26" i="63" s="1"/>
  <c r="F25" i="63" a="1"/>
  <c r="F25" i="63" s="1"/>
  <c r="E25" i="63" a="1"/>
  <c r="E25" i="63" s="1"/>
  <c r="G25" i="63" s="1"/>
  <c r="D25" i="63" a="1"/>
  <c r="D25" i="63" s="1"/>
  <c r="B25" i="63" a="1"/>
  <c r="B25" i="63" s="1"/>
  <c r="F24" i="63"/>
  <c r="F24" i="63" a="1"/>
  <c r="E24" i="63"/>
  <c r="G24" i="63" s="1"/>
  <c r="E24" i="63" a="1"/>
  <c r="D24" i="63"/>
  <c r="D24" i="63" a="1"/>
  <c r="B24" i="63"/>
  <c r="B24" i="63" a="1"/>
  <c r="F23" i="63" a="1"/>
  <c r="F23" i="63" s="1"/>
  <c r="E23" i="63" a="1"/>
  <c r="E23" i="63" s="1"/>
  <c r="G23" i="63" s="1"/>
  <c r="D23" i="63" a="1"/>
  <c r="D23" i="63" s="1"/>
  <c r="B23" i="63" a="1"/>
  <c r="B23" i="63" s="1"/>
  <c r="F22" i="63"/>
  <c r="B34" i="63" s="1"/>
  <c r="F22" i="63" a="1"/>
  <c r="E22" i="63"/>
  <c r="G22" i="63" s="1"/>
  <c r="E22" i="63" a="1"/>
  <c r="D22" i="63"/>
  <c r="D22" i="63" a="1"/>
  <c r="B22" i="63"/>
  <c r="B22" i="63" a="1"/>
  <c r="V21" i="63"/>
  <c r="Z18" i="63"/>
  <c r="V18" i="63"/>
  <c r="Q18" i="63"/>
  <c r="P18" i="63"/>
  <c r="K18" i="63"/>
  <c r="J18" i="63"/>
  <c r="Z17" i="63"/>
  <c r="V17" i="63"/>
  <c r="Q17" i="63"/>
  <c r="P17" i="63"/>
  <c r="K17" i="63"/>
  <c r="J17" i="63"/>
  <c r="Z16" i="63"/>
  <c r="V16" i="63"/>
  <c r="Q16" i="63"/>
  <c r="P16" i="63"/>
  <c r="K16" i="63"/>
  <c r="J16" i="63"/>
  <c r="Z15" i="63"/>
  <c r="V15" i="63"/>
  <c r="Q15" i="63"/>
  <c r="P15" i="63"/>
  <c r="K15" i="63"/>
  <c r="J15" i="63"/>
  <c r="Z14" i="63"/>
  <c r="V14" i="63"/>
  <c r="Q14" i="63"/>
  <c r="P14" i="63"/>
  <c r="K14" i="63"/>
  <c r="J14" i="63"/>
  <c r="Z13" i="63"/>
  <c r="V13" i="63"/>
  <c r="Q13" i="63"/>
  <c r="P13" i="63"/>
  <c r="K13" i="63"/>
  <c r="J13" i="63"/>
  <c r="Z12" i="63"/>
  <c r="V12" i="63"/>
  <c r="Q12" i="63"/>
  <c r="P12" i="63"/>
  <c r="L12" i="63"/>
  <c r="K12" i="63"/>
  <c r="J12" i="63"/>
  <c r="Z11" i="63"/>
  <c r="Z21" i="63" s="1"/>
  <c r="V11" i="63"/>
  <c r="Q11" i="63"/>
  <c r="P11" i="63"/>
  <c r="R12" i="63" s="1"/>
  <c r="L11" i="63"/>
  <c r="K11" i="63"/>
  <c r="J11" i="63"/>
  <c r="Z10" i="63"/>
  <c r="V10" i="63"/>
  <c r="Q10" i="63"/>
  <c r="P10" i="63"/>
  <c r="R11" i="63" s="1"/>
  <c r="L10" i="63"/>
  <c r="K10" i="63"/>
  <c r="J10" i="63"/>
  <c r="Z9" i="63"/>
  <c r="V9" i="63"/>
  <c r="Q9" i="63"/>
  <c r="P9" i="63"/>
  <c r="R10" i="63" s="1"/>
  <c r="L9" i="63"/>
  <c r="K9" i="63"/>
  <c r="J9" i="63"/>
  <c r="Z8" i="63"/>
  <c r="V8" i="63"/>
  <c r="Q8" i="63"/>
  <c r="P8" i="63"/>
  <c r="R9" i="63" s="1"/>
  <c r="L8" i="63"/>
  <c r="K8" i="63"/>
  <c r="J8" i="63"/>
  <c r="Z7" i="63"/>
  <c r="V7" i="63"/>
  <c r="Q7" i="63"/>
  <c r="P7" i="63"/>
  <c r="R8" i="63" s="1"/>
  <c r="L7" i="63"/>
  <c r="K7" i="63"/>
  <c r="J7" i="63"/>
  <c r="Z6" i="63"/>
  <c r="V6" i="63"/>
  <c r="Q6" i="63"/>
  <c r="P21" i="63" s="1"/>
  <c r="P6" i="63"/>
  <c r="R7" i="63" s="1"/>
  <c r="L6" i="63"/>
  <c r="L21" i="63" s="1"/>
  <c r="K6" i="63"/>
  <c r="J21" i="63" s="1"/>
  <c r="J6" i="63"/>
  <c r="P5" i="63"/>
  <c r="R6" i="63" s="1"/>
  <c r="J5" i="63"/>
  <c r="E39" i="61"/>
  <c r="Y5" i="60"/>
  <c r="U5" i="60"/>
  <c r="V6" i="60" s="1"/>
  <c r="V21" i="60" s="1"/>
  <c r="G54" i="13" s="1"/>
  <c r="O5" i="60"/>
  <c r="I5" i="60"/>
  <c r="G59" i="13" s="1"/>
  <c r="Z18" i="62"/>
  <c r="Z17" i="62"/>
  <c r="Z16" i="62"/>
  <c r="Z15" i="62"/>
  <c r="Z14" i="62"/>
  <c r="Z13" i="62"/>
  <c r="V14" i="62"/>
  <c r="V15" i="62"/>
  <c r="V16" i="62"/>
  <c r="V17" i="62"/>
  <c r="V18" i="62"/>
  <c r="V13" i="62"/>
  <c r="Q18" i="62"/>
  <c r="Q17" i="62"/>
  <c r="Q16" i="62"/>
  <c r="Q15" i="62"/>
  <c r="Q14" i="62"/>
  <c r="Q13" i="62"/>
  <c r="K14" i="62"/>
  <c r="K15" i="62"/>
  <c r="K16" i="62"/>
  <c r="K17" i="62"/>
  <c r="K18" i="62"/>
  <c r="K13" i="62"/>
  <c r="B32" i="62"/>
  <c r="B31" i="62" s="1"/>
  <c r="B29" i="62"/>
  <c r="B28" i="62" s="1"/>
  <c r="F26" i="62" a="1"/>
  <c r="F26" i="62" s="1"/>
  <c r="E26" i="62"/>
  <c r="G26" i="62" s="1"/>
  <c r="E26" i="62" a="1"/>
  <c r="D26" i="62" a="1"/>
  <c r="D26" i="62" s="1"/>
  <c r="B26" i="62" a="1"/>
  <c r="B26" i="62" s="1"/>
  <c r="F25" i="62"/>
  <c r="F25" i="62" a="1"/>
  <c r="E25" i="62" a="1"/>
  <c r="E25" i="62" s="1"/>
  <c r="G25" i="62" s="1"/>
  <c r="D25" i="62" a="1"/>
  <c r="D25" i="62" s="1"/>
  <c r="B25" i="62" a="1"/>
  <c r="B25" i="62" s="1"/>
  <c r="F24" i="62"/>
  <c r="F24" i="62" a="1"/>
  <c r="E24" i="62"/>
  <c r="G24" i="62" s="1"/>
  <c r="E24" i="62" a="1"/>
  <c r="D24" i="62" a="1"/>
  <c r="D24" i="62" s="1"/>
  <c r="B24" i="62"/>
  <c r="B24" i="62" a="1"/>
  <c r="F23" i="62" a="1"/>
  <c r="F23" i="62" s="1"/>
  <c r="E23" i="62" a="1"/>
  <c r="E23" i="62" s="1"/>
  <c r="G23" i="62" s="1"/>
  <c r="D23" i="62"/>
  <c r="D23" i="62" a="1"/>
  <c r="B23" i="62" a="1"/>
  <c r="B23" i="62" s="1"/>
  <c r="F22" i="62" a="1"/>
  <c r="F22" i="62" s="1"/>
  <c r="E22" i="62"/>
  <c r="G22" i="62" s="1"/>
  <c r="E22" i="62" a="1"/>
  <c r="D22" i="62"/>
  <c r="D22" i="62" a="1"/>
  <c r="B22" i="62"/>
  <c r="B22" i="62" a="1"/>
  <c r="Z21" i="62"/>
  <c r="P18" i="62"/>
  <c r="J18" i="62"/>
  <c r="P17" i="62"/>
  <c r="J17" i="62"/>
  <c r="P16" i="62"/>
  <c r="J16" i="62"/>
  <c r="P15" i="62"/>
  <c r="J15" i="62"/>
  <c r="P14" i="62"/>
  <c r="J14" i="62"/>
  <c r="P13" i="62"/>
  <c r="J13" i="62"/>
  <c r="Z12" i="62"/>
  <c r="V12" i="62"/>
  <c r="Q12" i="62"/>
  <c r="P12" i="62"/>
  <c r="L12" i="62"/>
  <c r="K12" i="62"/>
  <c r="J12" i="62"/>
  <c r="Z11" i="62"/>
  <c r="V11" i="62"/>
  <c r="Q11" i="62"/>
  <c r="P11" i="62"/>
  <c r="L11" i="62"/>
  <c r="K11" i="62"/>
  <c r="J11" i="62"/>
  <c r="Z10" i="62"/>
  <c r="V10" i="62"/>
  <c r="Q10" i="62"/>
  <c r="P10" i="62"/>
  <c r="K10" i="62"/>
  <c r="J10" i="62"/>
  <c r="V21" i="62"/>
  <c r="P9" i="62"/>
  <c r="J9" i="62"/>
  <c r="L10" i="62" s="1"/>
  <c r="Z8" i="62"/>
  <c r="V8" i="62"/>
  <c r="R8" i="62"/>
  <c r="Q8" i="62"/>
  <c r="P8" i="62"/>
  <c r="L8" i="62"/>
  <c r="K8" i="62"/>
  <c r="J8" i="62"/>
  <c r="Z7" i="62"/>
  <c r="V7" i="62"/>
  <c r="R7" i="62"/>
  <c r="Q7" i="62"/>
  <c r="P7" i="62"/>
  <c r="L7" i="62"/>
  <c r="K7" i="62"/>
  <c r="J7" i="62"/>
  <c r="Z6" i="62"/>
  <c r="V6" i="62"/>
  <c r="R6" i="62"/>
  <c r="Q6" i="62"/>
  <c r="P6" i="62"/>
  <c r="L6" i="62"/>
  <c r="K6" i="62"/>
  <c r="J6" i="62"/>
  <c r="P5" i="62"/>
  <c r="J5" i="62"/>
  <c r="G62" i="13"/>
  <c r="G61" i="13"/>
  <c r="G24" i="13"/>
  <c r="G23" i="13"/>
  <c r="G22" i="13"/>
  <c r="G21" i="13"/>
  <c r="G20" i="13"/>
  <c r="G19" i="13"/>
  <c r="G18" i="13"/>
  <c r="G17" i="13"/>
  <c r="G16" i="13"/>
  <c r="G15" i="13"/>
  <c r="G13" i="13"/>
  <c r="G12" i="13"/>
  <c r="G11" i="13"/>
  <c r="G10" i="13"/>
  <c r="G9" i="13"/>
  <c r="G8" i="13"/>
  <c r="G7" i="13"/>
  <c r="G6" i="13"/>
  <c r="G5" i="13"/>
  <c r="G4" i="13"/>
  <c r="G3" i="13"/>
  <c r="G52" i="13"/>
  <c r="G48" i="13"/>
  <c r="G46" i="13"/>
  <c r="G33" i="13"/>
  <c r="G28" i="13"/>
  <c r="G2" i="13"/>
  <c r="H62" i="13"/>
  <c r="H61" i="13"/>
  <c r="H55" i="13"/>
  <c r="H54" i="13"/>
  <c r="H52" i="13"/>
  <c r="H51" i="13"/>
  <c r="H49" i="13"/>
  <c r="H48" i="13"/>
  <c r="H47" i="13"/>
  <c r="H46" i="13"/>
  <c r="H45" i="13"/>
  <c r="H44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4" i="13"/>
  <c r="H23" i="13"/>
  <c r="H22" i="13"/>
  <c r="H21" i="13"/>
  <c r="H20" i="13"/>
  <c r="H19" i="13"/>
  <c r="H18" i="13"/>
  <c r="H17" i="13"/>
  <c r="H16" i="13"/>
  <c r="H15" i="13"/>
  <c r="H13" i="13"/>
  <c r="H12" i="13"/>
  <c r="H11" i="13"/>
  <c r="H10" i="13"/>
  <c r="H9" i="13"/>
  <c r="H8" i="13"/>
  <c r="H7" i="13"/>
  <c r="H6" i="13"/>
  <c r="H5" i="13"/>
  <c r="H4" i="13"/>
  <c r="H3" i="13"/>
  <c r="H2" i="13"/>
  <c r="I5" i="61"/>
  <c r="K11" i="61"/>
  <c r="J5" i="61"/>
  <c r="U5" i="61"/>
  <c r="V6" i="61" s="1"/>
  <c r="V21" i="61" s="1"/>
  <c r="Y5" i="61"/>
  <c r="O5" i="61"/>
  <c r="B32" i="61"/>
  <c r="B29" i="61"/>
  <c r="B28" i="61" s="1"/>
  <c r="F26" i="61" a="1"/>
  <c r="F26" i="61" s="1"/>
  <c r="E26" i="61" a="1"/>
  <c r="E26" i="61" s="1"/>
  <c r="G26" i="61" s="1"/>
  <c r="D26" i="61" a="1"/>
  <c r="D26" i="61" s="1"/>
  <c r="B26" i="61" a="1"/>
  <c r="B26" i="61" s="1"/>
  <c r="F25" i="61" a="1"/>
  <c r="F25" i="61" s="1"/>
  <c r="E25" i="61" a="1"/>
  <c r="E25" i="61" s="1"/>
  <c r="G25" i="61" s="1"/>
  <c r="D25" i="61" a="1"/>
  <c r="D25" i="61" s="1"/>
  <c r="B25" i="61" a="1"/>
  <c r="B25" i="61" s="1"/>
  <c r="F24" i="61"/>
  <c r="F24" i="61" a="1"/>
  <c r="E24" i="61"/>
  <c r="G24" i="61" s="1"/>
  <c r="E24" i="61" a="1"/>
  <c r="D24" i="61" a="1"/>
  <c r="D24" i="61" s="1"/>
  <c r="B24" i="61"/>
  <c r="B24" i="61" a="1"/>
  <c r="F23" i="61" a="1"/>
  <c r="F23" i="61" s="1"/>
  <c r="E23" i="61" a="1"/>
  <c r="E23" i="61" s="1"/>
  <c r="G23" i="61" s="1"/>
  <c r="D23" i="61" a="1"/>
  <c r="D23" i="61" s="1"/>
  <c r="B23" i="61" a="1"/>
  <c r="B23" i="61" s="1"/>
  <c r="F22" i="61" a="1"/>
  <c r="F22" i="61" s="1"/>
  <c r="E22" i="61"/>
  <c r="G22" i="61" s="1"/>
  <c r="E22" i="61" a="1"/>
  <c r="D22" i="61"/>
  <c r="D22" i="61" a="1"/>
  <c r="B22" i="61"/>
  <c r="B22" i="61" a="1"/>
  <c r="Z18" i="61"/>
  <c r="V18" i="61"/>
  <c r="Q18" i="61"/>
  <c r="P18" i="61"/>
  <c r="K18" i="61"/>
  <c r="J18" i="61"/>
  <c r="Z17" i="61"/>
  <c r="V17" i="61"/>
  <c r="Q17" i="61"/>
  <c r="P17" i="61"/>
  <c r="R18" i="61" s="1"/>
  <c r="K17" i="61"/>
  <c r="J17" i="61"/>
  <c r="L18" i="61" s="1"/>
  <c r="Z16" i="61"/>
  <c r="V16" i="61"/>
  <c r="Q16" i="61"/>
  <c r="P16" i="61"/>
  <c r="R17" i="61" s="1"/>
  <c r="K16" i="61"/>
  <c r="J16" i="61"/>
  <c r="L17" i="61" s="1"/>
  <c r="Z15" i="61"/>
  <c r="V15" i="61"/>
  <c r="Q15" i="61"/>
  <c r="P15" i="61"/>
  <c r="R16" i="61" s="1"/>
  <c r="K15" i="61"/>
  <c r="J15" i="61"/>
  <c r="L16" i="61" s="1"/>
  <c r="Z14" i="61"/>
  <c r="V14" i="61"/>
  <c r="Q14" i="61"/>
  <c r="P14" i="61"/>
  <c r="R15" i="61" s="1"/>
  <c r="K14" i="61"/>
  <c r="J14" i="61"/>
  <c r="L15" i="61" s="1"/>
  <c r="Z13" i="61"/>
  <c r="V13" i="61"/>
  <c r="Q13" i="61"/>
  <c r="P13" i="61"/>
  <c r="R14" i="61" s="1"/>
  <c r="K13" i="61"/>
  <c r="J13" i="61"/>
  <c r="L14" i="61" s="1"/>
  <c r="Z12" i="61"/>
  <c r="V12" i="61"/>
  <c r="Q12" i="61"/>
  <c r="P12" i="61"/>
  <c r="R13" i="61" s="1"/>
  <c r="J12" i="61"/>
  <c r="L13" i="61" s="1"/>
  <c r="Z11" i="61"/>
  <c r="Z21" i="61" s="1"/>
  <c r="V11" i="61"/>
  <c r="Q11" i="61"/>
  <c r="P11" i="61"/>
  <c r="R12" i="61" s="1"/>
  <c r="Z10" i="61"/>
  <c r="V10" i="61"/>
  <c r="Q10" i="61"/>
  <c r="P10" i="61"/>
  <c r="R11" i="61" s="1"/>
  <c r="K10" i="61"/>
  <c r="J10" i="61"/>
  <c r="Z9" i="61"/>
  <c r="V9" i="61"/>
  <c r="Q9" i="61"/>
  <c r="P9" i="61"/>
  <c r="R10" i="61" s="1"/>
  <c r="K9" i="61"/>
  <c r="J9" i="61"/>
  <c r="Z8" i="61"/>
  <c r="V8" i="61"/>
  <c r="Q8" i="61"/>
  <c r="P8" i="61"/>
  <c r="K8" i="61"/>
  <c r="J8" i="61"/>
  <c r="Z7" i="61"/>
  <c r="V7" i="61"/>
  <c r="Q7" i="61"/>
  <c r="P7" i="61"/>
  <c r="R8" i="61" s="1"/>
  <c r="K7" i="61"/>
  <c r="J7" i="61"/>
  <c r="Z6" i="61"/>
  <c r="Q6" i="61"/>
  <c r="P6" i="61"/>
  <c r="J6" i="61"/>
  <c r="P5" i="61"/>
  <c r="R6" i="61" s="1"/>
  <c r="B39" i="60"/>
  <c r="B38" i="60" s="1"/>
  <c r="B36" i="60"/>
  <c r="B35" i="60" s="1"/>
  <c r="F32" i="60" a="1"/>
  <c r="F32" i="60" s="1"/>
  <c r="E32" i="60" a="1"/>
  <c r="E32" i="60" s="1"/>
  <c r="G32" i="60" s="1"/>
  <c r="D32" i="60" a="1"/>
  <c r="D32" i="60" s="1"/>
  <c r="B32" i="60" a="1"/>
  <c r="B32" i="60" s="1"/>
  <c r="F31" i="60" a="1"/>
  <c r="F31" i="60" s="1"/>
  <c r="E31" i="60" a="1"/>
  <c r="E31" i="60" s="1"/>
  <c r="G31" i="60" s="1"/>
  <c r="D31" i="60" a="1"/>
  <c r="D31" i="60" s="1"/>
  <c r="B31" i="60" a="1"/>
  <c r="B31" i="60" s="1"/>
  <c r="F30" i="60" a="1"/>
  <c r="F30" i="60" s="1"/>
  <c r="E30" i="60" a="1"/>
  <c r="E30" i="60" s="1"/>
  <c r="G30" i="60" s="1"/>
  <c r="D30" i="60" a="1"/>
  <c r="D30" i="60" s="1"/>
  <c r="B30" i="60" a="1"/>
  <c r="B30" i="60" s="1"/>
  <c r="F29" i="60" a="1"/>
  <c r="F29" i="60" s="1"/>
  <c r="E29" i="60" a="1"/>
  <c r="E29" i="60" s="1"/>
  <c r="G29" i="60" s="1"/>
  <c r="D29" i="60" a="1"/>
  <c r="D29" i="60" s="1"/>
  <c r="B29" i="60" a="1"/>
  <c r="B29" i="60" s="1"/>
  <c r="F28" i="60"/>
  <c r="F28" i="60" a="1"/>
  <c r="E28" i="60"/>
  <c r="G28" i="60" s="1"/>
  <c r="E28" i="60" a="1"/>
  <c r="D28" i="60"/>
  <c r="D28" i="60" a="1"/>
  <c r="B28" i="60"/>
  <c r="B28" i="60" a="1"/>
  <c r="F27" i="60"/>
  <c r="F27" i="60" a="1"/>
  <c r="E27" i="60"/>
  <c r="G27" i="60" s="1"/>
  <c r="E27" i="60" a="1"/>
  <c r="D27" i="60"/>
  <c r="D27" i="60" a="1"/>
  <c r="B27" i="60"/>
  <c r="B27" i="60" a="1"/>
  <c r="F26" i="60" a="1"/>
  <c r="F26" i="60" s="1"/>
  <c r="E26" i="60" a="1"/>
  <c r="E26" i="60" s="1"/>
  <c r="G26" i="60" s="1"/>
  <c r="D26" i="60" a="1"/>
  <c r="D26" i="60" s="1"/>
  <c r="B26" i="60" a="1"/>
  <c r="B26" i="60" s="1"/>
  <c r="F25" i="60" a="1"/>
  <c r="F25" i="60" s="1"/>
  <c r="E25" i="60" a="1"/>
  <c r="E25" i="60" s="1"/>
  <c r="G25" i="60" s="1"/>
  <c r="D25" i="60" a="1"/>
  <c r="D25" i="60" s="1"/>
  <c r="B25" i="60" a="1"/>
  <c r="B25" i="60" s="1"/>
  <c r="F24" i="60"/>
  <c r="F24" i="60" a="1"/>
  <c r="E24" i="60"/>
  <c r="G24" i="60" s="1"/>
  <c r="E24" i="60" a="1"/>
  <c r="D24" i="60"/>
  <c r="D24" i="60" a="1"/>
  <c r="B24" i="60"/>
  <c r="B24" i="60" a="1"/>
  <c r="F23" i="60" a="1"/>
  <c r="F23" i="60" s="1"/>
  <c r="E23" i="60" a="1"/>
  <c r="E23" i="60" s="1"/>
  <c r="G23" i="60" s="1"/>
  <c r="D23" i="60" a="1"/>
  <c r="D23" i="60" s="1"/>
  <c r="B23" i="60" a="1"/>
  <c r="B23" i="60" s="1"/>
  <c r="F22" i="60"/>
  <c r="B40" i="60" s="1" a="1"/>
  <c r="B40" i="60" s="1"/>
  <c r="F22" i="60" a="1"/>
  <c r="E22" i="60"/>
  <c r="G22" i="60" s="1"/>
  <c r="E22" i="60" a="1"/>
  <c r="D22" i="60"/>
  <c r="D22" i="60" a="1"/>
  <c r="B22" i="60"/>
  <c r="B22" i="60" a="1"/>
  <c r="Z18" i="60"/>
  <c r="V18" i="60"/>
  <c r="Q18" i="60"/>
  <c r="P18" i="60"/>
  <c r="L18" i="60"/>
  <c r="K18" i="60"/>
  <c r="J18" i="60"/>
  <c r="Z17" i="60"/>
  <c r="V17" i="60"/>
  <c r="Q17" i="60"/>
  <c r="P17" i="60"/>
  <c r="R18" i="60" s="1"/>
  <c r="L17" i="60"/>
  <c r="K17" i="60"/>
  <c r="J17" i="60"/>
  <c r="Z16" i="60"/>
  <c r="V16" i="60"/>
  <c r="Q16" i="60"/>
  <c r="P16" i="60"/>
  <c r="R17" i="60" s="1"/>
  <c r="L16" i="60"/>
  <c r="K16" i="60"/>
  <c r="J16" i="60"/>
  <c r="Z15" i="60"/>
  <c r="V15" i="60"/>
  <c r="Q15" i="60"/>
  <c r="P15" i="60"/>
  <c r="R16" i="60" s="1"/>
  <c r="L15" i="60"/>
  <c r="K15" i="60"/>
  <c r="J15" i="60"/>
  <c r="Z14" i="60"/>
  <c r="V14" i="60"/>
  <c r="Q14" i="60"/>
  <c r="P14" i="60"/>
  <c r="R15" i="60" s="1"/>
  <c r="L14" i="60"/>
  <c r="K14" i="60"/>
  <c r="J14" i="60"/>
  <c r="Z13" i="60"/>
  <c r="V13" i="60"/>
  <c r="Q13" i="60"/>
  <c r="P13" i="60"/>
  <c r="R14" i="60" s="1"/>
  <c r="L13" i="60"/>
  <c r="K13" i="60"/>
  <c r="J13" i="60"/>
  <c r="Z12" i="60"/>
  <c r="Z21" i="60" s="1"/>
  <c r="G55" i="13" s="1"/>
  <c r="V12" i="60"/>
  <c r="Q12" i="60"/>
  <c r="P12" i="60"/>
  <c r="R13" i="60" s="1"/>
  <c r="L12" i="60"/>
  <c r="K12" i="60"/>
  <c r="J12" i="60"/>
  <c r="Z11" i="60"/>
  <c r="V11" i="60"/>
  <c r="Q11" i="60"/>
  <c r="P11" i="60"/>
  <c r="R12" i="60" s="1"/>
  <c r="L11" i="60"/>
  <c r="K11" i="60"/>
  <c r="J11" i="60"/>
  <c r="Z10" i="60"/>
  <c r="V10" i="60"/>
  <c r="Q10" i="60"/>
  <c r="P10" i="60"/>
  <c r="R11" i="60" s="1"/>
  <c r="L10" i="60"/>
  <c r="K10" i="60"/>
  <c r="J10" i="60"/>
  <c r="Z9" i="60"/>
  <c r="V9" i="60"/>
  <c r="Q9" i="60"/>
  <c r="P9" i="60"/>
  <c r="R10" i="60" s="1"/>
  <c r="L9" i="60"/>
  <c r="K9" i="60"/>
  <c r="J9" i="60"/>
  <c r="Z8" i="60"/>
  <c r="V8" i="60"/>
  <c r="Q8" i="60"/>
  <c r="P8" i="60"/>
  <c r="R9" i="60" s="1"/>
  <c r="L8" i="60"/>
  <c r="K8" i="60"/>
  <c r="J8" i="60"/>
  <c r="Z7" i="60"/>
  <c r="V7" i="60"/>
  <c r="Q7" i="60"/>
  <c r="P7" i="60"/>
  <c r="R8" i="60" s="1"/>
  <c r="L7" i="60"/>
  <c r="K7" i="60"/>
  <c r="J7" i="60"/>
  <c r="P6" i="60"/>
  <c r="R7" i="60" s="1"/>
  <c r="J6" i="60"/>
  <c r="Z6" i="60"/>
  <c r="Q6" i="60"/>
  <c r="P21" i="60" s="1"/>
  <c r="G51" i="13" s="1"/>
  <c r="E62" i="13"/>
  <c r="E61" i="13"/>
  <c r="E55" i="13"/>
  <c r="E54" i="13"/>
  <c r="E52" i="13"/>
  <c r="E51" i="13"/>
  <c r="E49" i="13"/>
  <c r="E48" i="13"/>
  <c r="E47" i="13"/>
  <c r="E46" i="13"/>
  <c r="E45" i="13"/>
  <c r="E44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4" i="13"/>
  <c r="E23" i="13"/>
  <c r="E22" i="13"/>
  <c r="E21" i="13"/>
  <c r="E20" i="13"/>
  <c r="E19" i="13"/>
  <c r="E18" i="13"/>
  <c r="E17" i="13"/>
  <c r="E16" i="13"/>
  <c r="E15" i="13"/>
  <c r="E13" i="13"/>
  <c r="E12" i="13"/>
  <c r="E11" i="13"/>
  <c r="E10" i="13"/>
  <c r="E9" i="13"/>
  <c r="E8" i="13"/>
  <c r="E7" i="13"/>
  <c r="E6" i="13"/>
  <c r="E5" i="13"/>
  <c r="F62" i="13"/>
  <c r="F61" i="13"/>
  <c r="F55" i="13"/>
  <c r="F54" i="13"/>
  <c r="F52" i="13"/>
  <c r="F51" i="13"/>
  <c r="F49" i="13"/>
  <c r="F48" i="13"/>
  <c r="F47" i="13"/>
  <c r="F46" i="13"/>
  <c r="F45" i="13"/>
  <c r="F44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4" i="13"/>
  <c r="F23" i="13"/>
  <c r="F22" i="13"/>
  <c r="F21" i="13"/>
  <c r="F20" i="13"/>
  <c r="F19" i="13"/>
  <c r="F18" i="13"/>
  <c r="F17" i="13"/>
  <c r="F16" i="13"/>
  <c r="F15" i="13"/>
  <c r="F13" i="13"/>
  <c r="F12" i="13"/>
  <c r="F11" i="13"/>
  <c r="F10" i="13"/>
  <c r="F9" i="13"/>
  <c r="F8" i="13"/>
  <c r="F7" i="13"/>
  <c r="F6" i="13"/>
  <c r="F5" i="13"/>
  <c r="F4" i="13"/>
  <c r="F3" i="13"/>
  <c r="F2" i="13"/>
  <c r="E4" i="13"/>
  <c r="E3" i="13"/>
  <c r="E2" i="13"/>
  <c r="E39" i="59"/>
  <c r="J37" i="59" s="1"/>
  <c r="B32" i="59"/>
  <c r="B31" i="59" s="1"/>
  <c r="B29" i="59"/>
  <c r="B28" i="59" s="1"/>
  <c r="F26" i="59" a="1"/>
  <c r="F26" i="59" s="1"/>
  <c r="E26" i="59"/>
  <c r="G26" i="59" s="1"/>
  <c r="E26" i="59" a="1"/>
  <c r="D26" i="59" a="1"/>
  <c r="D26" i="59" s="1"/>
  <c r="B26" i="59" a="1"/>
  <c r="B26" i="59" s="1"/>
  <c r="F25" i="59"/>
  <c r="F25" i="59" a="1"/>
  <c r="E25" i="59" a="1"/>
  <c r="E25" i="59" s="1"/>
  <c r="G25" i="59" s="1"/>
  <c r="D25" i="59" a="1"/>
  <c r="D25" i="59" s="1"/>
  <c r="B25" i="59" a="1"/>
  <c r="B25" i="59" s="1"/>
  <c r="F24" i="59" a="1"/>
  <c r="F24" i="59" s="1"/>
  <c r="E24" i="59"/>
  <c r="G24" i="59" s="1"/>
  <c r="E24" i="59" a="1"/>
  <c r="D24" i="59" a="1"/>
  <c r="D24" i="59" s="1"/>
  <c r="B24" i="59" a="1"/>
  <c r="B24" i="59" s="1"/>
  <c r="F23" i="59" a="1"/>
  <c r="F23" i="59" s="1"/>
  <c r="E23" i="59" a="1"/>
  <c r="E23" i="59" s="1"/>
  <c r="G23" i="59" s="1"/>
  <c r="D23" i="59"/>
  <c r="D23" i="59" a="1"/>
  <c r="B23" i="59" a="1"/>
  <c r="B23" i="59" s="1"/>
  <c r="F22" i="59" a="1"/>
  <c r="F22" i="59" s="1"/>
  <c r="E22" i="59" a="1"/>
  <c r="E22" i="59" s="1"/>
  <c r="G22" i="59" s="1"/>
  <c r="D22" i="59"/>
  <c r="D22" i="59" a="1"/>
  <c r="B22" i="59" a="1"/>
  <c r="B22" i="59" s="1"/>
  <c r="Z21" i="59"/>
  <c r="V21" i="59"/>
  <c r="Z18" i="59"/>
  <c r="V18" i="59"/>
  <c r="R18" i="59"/>
  <c r="Q18" i="59"/>
  <c r="P18" i="59"/>
  <c r="L18" i="59"/>
  <c r="K18" i="59"/>
  <c r="J18" i="59"/>
  <c r="Z17" i="59"/>
  <c r="V17" i="59"/>
  <c r="R17" i="59"/>
  <c r="Q17" i="59"/>
  <c r="P17" i="59"/>
  <c r="L17" i="59"/>
  <c r="K17" i="59"/>
  <c r="J17" i="59"/>
  <c r="Z16" i="59"/>
  <c r="V16" i="59"/>
  <c r="R16" i="59"/>
  <c r="Q16" i="59"/>
  <c r="P16" i="59"/>
  <c r="L16" i="59"/>
  <c r="K16" i="59"/>
  <c r="J16" i="59"/>
  <c r="Z15" i="59"/>
  <c r="V15" i="59"/>
  <c r="R15" i="59"/>
  <c r="Q15" i="59"/>
  <c r="P15" i="59"/>
  <c r="L15" i="59"/>
  <c r="K15" i="59"/>
  <c r="J15" i="59"/>
  <c r="Z14" i="59"/>
  <c r="V14" i="59"/>
  <c r="R14" i="59"/>
  <c r="Q14" i="59"/>
  <c r="P14" i="59"/>
  <c r="L14" i="59"/>
  <c r="K14" i="59"/>
  <c r="J14" i="59"/>
  <c r="Z13" i="59"/>
  <c r="V13" i="59"/>
  <c r="R13" i="59"/>
  <c r="Q13" i="59"/>
  <c r="P13" i="59"/>
  <c r="L13" i="59"/>
  <c r="K13" i="59"/>
  <c r="J13" i="59"/>
  <c r="Z12" i="59"/>
  <c r="V12" i="59"/>
  <c r="R12" i="59"/>
  <c r="Q12" i="59"/>
  <c r="P12" i="59"/>
  <c r="L12" i="59"/>
  <c r="K12" i="59"/>
  <c r="J12" i="59"/>
  <c r="Z11" i="59"/>
  <c r="V11" i="59"/>
  <c r="R11" i="59"/>
  <c r="Q11" i="59"/>
  <c r="P11" i="59"/>
  <c r="L11" i="59"/>
  <c r="K11" i="59"/>
  <c r="J11" i="59"/>
  <c r="Z10" i="59"/>
  <c r="V10" i="59"/>
  <c r="R10" i="59"/>
  <c r="Q10" i="59"/>
  <c r="P10" i="59"/>
  <c r="L10" i="59"/>
  <c r="K10" i="59"/>
  <c r="J10" i="59"/>
  <c r="Z9" i="59"/>
  <c r="V9" i="59"/>
  <c r="R9" i="59"/>
  <c r="Q9" i="59"/>
  <c r="P9" i="59"/>
  <c r="L9" i="59"/>
  <c r="K9" i="59"/>
  <c r="J9" i="59"/>
  <c r="Z8" i="59"/>
  <c r="V8" i="59"/>
  <c r="R8" i="59"/>
  <c r="Q8" i="59"/>
  <c r="P8" i="59"/>
  <c r="L8" i="59"/>
  <c r="K8" i="59"/>
  <c r="J8" i="59"/>
  <c r="Z7" i="59"/>
  <c r="V7" i="59"/>
  <c r="R7" i="59"/>
  <c r="Q7" i="59"/>
  <c r="P7" i="59"/>
  <c r="L7" i="59"/>
  <c r="K7" i="59"/>
  <c r="J7" i="59"/>
  <c r="Z6" i="59"/>
  <c r="V6" i="59"/>
  <c r="R6" i="59"/>
  <c r="R21" i="59" s="1"/>
  <c r="Q6" i="59"/>
  <c r="P21" i="59" s="1"/>
  <c r="P6" i="59"/>
  <c r="K6" i="59"/>
  <c r="J21" i="59" s="1"/>
  <c r="J6" i="59"/>
  <c r="P5" i="59"/>
  <c r="J5" i="59"/>
  <c r="L6" i="59" s="1"/>
  <c r="L21" i="59" s="1"/>
  <c r="D25" i="58" a="1"/>
  <c r="D25" i="58" s="1"/>
  <c r="D24" i="58" a="1"/>
  <c r="D24" i="58" s="1"/>
  <c r="D22" i="58" a="1"/>
  <c r="D22" i="58" s="1"/>
  <c r="J37" i="49"/>
  <c r="F25" i="58" a="1"/>
  <c r="F25" i="58" s="1"/>
  <c r="E25" i="58" a="1"/>
  <c r="E25" i="58" s="1"/>
  <c r="G25" i="58" s="1"/>
  <c r="F24" i="58" a="1"/>
  <c r="F24" i="58" s="1"/>
  <c r="E24" i="58" a="1"/>
  <c r="E24" i="58" s="1"/>
  <c r="G24" i="58" s="1"/>
  <c r="F23" i="58" a="1"/>
  <c r="F23" i="58" s="1"/>
  <c r="E23" i="58" a="1"/>
  <c r="E23" i="58" s="1"/>
  <c r="G23" i="58" s="1"/>
  <c r="D23" i="58" a="1"/>
  <c r="D23" i="58"/>
  <c r="F22" i="58" a="1"/>
  <c r="F22" i="58" s="1"/>
  <c r="E22" i="58" a="1"/>
  <c r="E22" i="58" s="1"/>
  <c r="G22" i="58" s="1"/>
  <c r="B32" i="58"/>
  <c r="B31" i="58" s="1"/>
  <c r="B29" i="58"/>
  <c r="B28" i="58" s="1"/>
  <c r="P21" i="58"/>
  <c r="Z18" i="58"/>
  <c r="V18" i="58"/>
  <c r="Q18" i="58"/>
  <c r="P18" i="58"/>
  <c r="K18" i="58"/>
  <c r="J18" i="58"/>
  <c r="Z17" i="58"/>
  <c r="V17" i="58"/>
  <c r="Q17" i="58"/>
  <c r="P17" i="58"/>
  <c r="K17" i="58"/>
  <c r="J17" i="58"/>
  <c r="Z16" i="58"/>
  <c r="V16" i="58"/>
  <c r="Q16" i="58"/>
  <c r="P16" i="58"/>
  <c r="R17" i="58" s="1"/>
  <c r="K16" i="58"/>
  <c r="J16" i="58"/>
  <c r="L17" i="58" s="1"/>
  <c r="Z15" i="58"/>
  <c r="V15" i="58"/>
  <c r="Q15" i="58"/>
  <c r="P15" i="58"/>
  <c r="K15" i="58"/>
  <c r="J15" i="58"/>
  <c r="Z14" i="58"/>
  <c r="V14" i="58"/>
  <c r="Q14" i="58"/>
  <c r="P14" i="58"/>
  <c r="K14" i="58"/>
  <c r="J14" i="58"/>
  <c r="L15" i="58" s="1"/>
  <c r="Z13" i="58"/>
  <c r="V13" i="58"/>
  <c r="Q13" i="58"/>
  <c r="P13" i="58"/>
  <c r="K13" i="58"/>
  <c r="J13" i="58"/>
  <c r="Z12" i="58"/>
  <c r="V12" i="58"/>
  <c r="Q12" i="58"/>
  <c r="P12" i="58"/>
  <c r="R13" i="58" s="1"/>
  <c r="K12" i="58"/>
  <c r="J12" i="58"/>
  <c r="Z11" i="58"/>
  <c r="V11" i="58"/>
  <c r="Q11" i="58"/>
  <c r="P11" i="58"/>
  <c r="K11" i="58"/>
  <c r="J11" i="58"/>
  <c r="Z10" i="58"/>
  <c r="V10" i="58"/>
  <c r="Q10" i="58"/>
  <c r="P10" i="58"/>
  <c r="K10" i="58"/>
  <c r="J10" i="58"/>
  <c r="L11" i="58" s="1"/>
  <c r="Z9" i="58"/>
  <c r="V9" i="58"/>
  <c r="Q9" i="58"/>
  <c r="P9" i="58"/>
  <c r="R10" i="58" s="1"/>
  <c r="K9" i="58"/>
  <c r="J9" i="58"/>
  <c r="Z8" i="58"/>
  <c r="V8" i="58"/>
  <c r="Q8" i="58"/>
  <c r="P8" i="58"/>
  <c r="R9" i="58" s="1"/>
  <c r="K8" i="58"/>
  <c r="J8" i="58"/>
  <c r="L9" i="58" s="1"/>
  <c r="Z7" i="58"/>
  <c r="V7" i="58"/>
  <c r="Q7" i="58"/>
  <c r="P7" i="58"/>
  <c r="K7" i="58"/>
  <c r="J7" i="58"/>
  <c r="Z6" i="58"/>
  <c r="V6" i="58"/>
  <c r="Q6" i="58"/>
  <c r="P6" i="58"/>
  <c r="K6" i="58"/>
  <c r="J6" i="58"/>
  <c r="L7" i="58" s="1"/>
  <c r="P5" i="58"/>
  <c r="R6" i="58" s="1"/>
  <c r="J5" i="58"/>
  <c r="AC32" i="13"/>
  <c r="AJ32" i="13"/>
  <c r="AJ42" i="13"/>
  <c r="AI42" i="13"/>
  <c r="AH42" i="13"/>
  <c r="AG42" i="13"/>
  <c r="AF42" i="13"/>
  <c r="AE42" i="13"/>
  <c r="AD42" i="13"/>
  <c r="AC42" i="13"/>
  <c r="J37" i="56"/>
  <c r="J37" i="55"/>
  <c r="J37" i="54"/>
  <c r="J37" i="53"/>
  <c r="J35" i="53"/>
  <c r="J37" i="52"/>
  <c r="J37" i="51"/>
  <c r="J37" i="50"/>
  <c r="AJ62" i="13"/>
  <c r="AJ61" i="13"/>
  <c r="AJ59" i="13"/>
  <c r="AJ58" i="13"/>
  <c r="AJ57" i="13"/>
  <c r="AJ55" i="13"/>
  <c r="AJ54" i="13"/>
  <c r="AJ52" i="13"/>
  <c r="AJ51" i="13"/>
  <c r="AJ49" i="13"/>
  <c r="AJ48" i="13"/>
  <c r="AJ47" i="13"/>
  <c r="AJ46" i="13"/>
  <c r="AJ45" i="13"/>
  <c r="AJ44" i="13"/>
  <c r="AJ41" i="13"/>
  <c r="AJ40" i="13"/>
  <c r="AJ39" i="13"/>
  <c r="AJ38" i="13"/>
  <c r="AJ37" i="13"/>
  <c r="AJ36" i="13"/>
  <c r="AJ35" i="13"/>
  <c r="AJ34" i="13"/>
  <c r="AJ33" i="13"/>
  <c r="AJ31" i="13"/>
  <c r="AJ30" i="13"/>
  <c r="AJ29" i="13"/>
  <c r="AJ28" i="13"/>
  <c r="AJ27" i="13"/>
  <c r="AJ26" i="13"/>
  <c r="AJ24" i="13"/>
  <c r="AJ23" i="13"/>
  <c r="AJ22" i="13"/>
  <c r="AJ21" i="13"/>
  <c r="AJ20" i="13"/>
  <c r="AJ19" i="13"/>
  <c r="AJ18" i="13"/>
  <c r="AJ17" i="13"/>
  <c r="AJ16" i="13"/>
  <c r="AJ15" i="13"/>
  <c r="AJ13" i="13"/>
  <c r="AJ12" i="13"/>
  <c r="AJ11" i="13"/>
  <c r="AJ10" i="13"/>
  <c r="AJ9" i="13"/>
  <c r="AJ8" i="13"/>
  <c r="AJ7" i="13"/>
  <c r="AJ6" i="13"/>
  <c r="AJ5" i="13"/>
  <c r="AJ4" i="13"/>
  <c r="AJ3" i="13"/>
  <c r="AJ2" i="13"/>
  <c r="AI62" i="13"/>
  <c r="AI61" i="13"/>
  <c r="AI59" i="13"/>
  <c r="AI58" i="13"/>
  <c r="AI57" i="13"/>
  <c r="AI55" i="13"/>
  <c r="AI54" i="13"/>
  <c r="AI52" i="13"/>
  <c r="AI51" i="13"/>
  <c r="AI49" i="13"/>
  <c r="AI48" i="13"/>
  <c r="AI47" i="13"/>
  <c r="AI46" i="13"/>
  <c r="AI45" i="13"/>
  <c r="AI44" i="13"/>
  <c r="AI41" i="13"/>
  <c r="AI40" i="13"/>
  <c r="AI39" i="13"/>
  <c r="AI38" i="13"/>
  <c r="AI37" i="13"/>
  <c r="AI36" i="13"/>
  <c r="AI35" i="13"/>
  <c r="AI34" i="13"/>
  <c r="AI33" i="13"/>
  <c r="AI32" i="13"/>
  <c r="AI31" i="13"/>
  <c r="AI30" i="13"/>
  <c r="AI29" i="13"/>
  <c r="AI28" i="13"/>
  <c r="AI27" i="13"/>
  <c r="AI26" i="13"/>
  <c r="AI24" i="13"/>
  <c r="AI23" i="13"/>
  <c r="AI22" i="13"/>
  <c r="AI21" i="13"/>
  <c r="AI20" i="13"/>
  <c r="AI19" i="13"/>
  <c r="AI18" i="13"/>
  <c r="AI17" i="13"/>
  <c r="AI16" i="13"/>
  <c r="AI15" i="13"/>
  <c r="AI13" i="13"/>
  <c r="AI12" i="13"/>
  <c r="AI11" i="13"/>
  <c r="AI10" i="13"/>
  <c r="AI9" i="13"/>
  <c r="AI8" i="13"/>
  <c r="AI7" i="13"/>
  <c r="AI6" i="13"/>
  <c r="AI5" i="13"/>
  <c r="AI4" i="13"/>
  <c r="AI3" i="13"/>
  <c r="AI2" i="13"/>
  <c r="AH62" i="13"/>
  <c r="AH61" i="13"/>
  <c r="AH59" i="13"/>
  <c r="AH58" i="13"/>
  <c r="AH57" i="13"/>
  <c r="AH55" i="13"/>
  <c r="AH54" i="13"/>
  <c r="AH52" i="13"/>
  <c r="AH51" i="13"/>
  <c r="AH49" i="13"/>
  <c r="AH48" i="13"/>
  <c r="AH47" i="13"/>
  <c r="AH46" i="13"/>
  <c r="AH45" i="13"/>
  <c r="AH44" i="13"/>
  <c r="AH41" i="13"/>
  <c r="AH40" i="13"/>
  <c r="AH39" i="13"/>
  <c r="AH38" i="13"/>
  <c r="AH37" i="13"/>
  <c r="AH36" i="13"/>
  <c r="AH35" i="13"/>
  <c r="AH34" i="13"/>
  <c r="AH33" i="13"/>
  <c r="AH32" i="13"/>
  <c r="AH31" i="13"/>
  <c r="AH30" i="13"/>
  <c r="AH29" i="13"/>
  <c r="AH28" i="13"/>
  <c r="AH27" i="13"/>
  <c r="AH26" i="13"/>
  <c r="AH24" i="13"/>
  <c r="AH23" i="13"/>
  <c r="AH22" i="13"/>
  <c r="AH21" i="13"/>
  <c r="AH20" i="13"/>
  <c r="AH19" i="13"/>
  <c r="AH18" i="13"/>
  <c r="AH17" i="13"/>
  <c r="AH16" i="13"/>
  <c r="AH15" i="13"/>
  <c r="AH13" i="13"/>
  <c r="AH12" i="13"/>
  <c r="AH11" i="13"/>
  <c r="AH10" i="13"/>
  <c r="AH9" i="13"/>
  <c r="AH8" i="13"/>
  <c r="AH7" i="13"/>
  <c r="AH6" i="13"/>
  <c r="AH5" i="13"/>
  <c r="AH4" i="13"/>
  <c r="AH3" i="13"/>
  <c r="AH2" i="13"/>
  <c r="I5" i="56"/>
  <c r="I5" i="55"/>
  <c r="I5" i="54"/>
  <c r="I5" i="53"/>
  <c r="AG59" i="13"/>
  <c r="I5" i="32"/>
  <c r="AG62" i="13"/>
  <c r="AG61" i="13"/>
  <c r="AG55" i="13"/>
  <c r="AG24" i="13"/>
  <c r="AG23" i="13"/>
  <c r="AG22" i="13"/>
  <c r="AG21" i="13"/>
  <c r="AG20" i="13"/>
  <c r="AG19" i="13"/>
  <c r="AG18" i="13"/>
  <c r="AG17" i="13"/>
  <c r="AG16" i="13"/>
  <c r="AG15" i="13"/>
  <c r="AG13" i="13"/>
  <c r="AG12" i="13"/>
  <c r="AG11" i="13"/>
  <c r="AG10" i="13"/>
  <c r="AG9" i="13"/>
  <c r="AG8" i="13"/>
  <c r="AG7" i="13"/>
  <c r="AG6" i="13"/>
  <c r="AG5" i="13"/>
  <c r="AG4" i="13"/>
  <c r="AG3" i="13"/>
  <c r="AG54" i="13"/>
  <c r="AG52" i="13"/>
  <c r="AG51" i="13"/>
  <c r="AG49" i="13"/>
  <c r="AG48" i="13"/>
  <c r="AG47" i="13"/>
  <c r="AG46" i="13"/>
  <c r="AG45" i="13"/>
  <c r="AG44" i="13"/>
  <c r="AG33" i="13"/>
  <c r="AG28" i="13"/>
  <c r="AG2" i="13"/>
  <c r="AF62" i="13"/>
  <c r="AF61" i="13"/>
  <c r="AF55" i="13"/>
  <c r="AF54" i="13"/>
  <c r="AF52" i="13"/>
  <c r="AF51" i="13"/>
  <c r="AF49" i="13"/>
  <c r="AF48" i="13"/>
  <c r="AF47" i="13"/>
  <c r="AF46" i="13"/>
  <c r="AF45" i="13"/>
  <c r="AF44" i="13"/>
  <c r="AF41" i="13"/>
  <c r="AF40" i="13"/>
  <c r="AF39" i="13"/>
  <c r="AF38" i="13"/>
  <c r="AF37" i="13"/>
  <c r="AF36" i="13"/>
  <c r="AF35" i="13"/>
  <c r="AF34" i="13"/>
  <c r="AF33" i="13"/>
  <c r="AF32" i="13"/>
  <c r="AF31" i="13"/>
  <c r="AF30" i="13"/>
  <c r="AF29" i="13"/>
  <c r="AF28" i="13"/>
  <c r="AF27" i="13"/>
  <c r="AF26" i="13"/>
  <c r="AF24" i="13"/>
  <c r="AF23" i="13"/>
  <c r="AF22" i="13"/>
  <c r="AF21" i="13"/>
  <c r="AF20" i="13"/>
  <c r="AF19" i="13"/>
  <c r="AF18" i="13"/>
  <c r="AF17" i="13"/>
  <c r="AF16" i="13"/>
  <c r="AF15" i="13"/>
  <c r="AF13" i="13"/>
  <c r="AF12" i="13"/>
  <c r="AF11" i="13"/>
  <c r="AF10" i="13"/>
  <c r="AF9" i="13"/>
  <c r="AF8" i="13"/>
  <c r="AF7" i="13"/>
  <c r="AF6" i="13"/>
  <c r="AF5" i="13"/>
  <c r="AF4" i="13"/>
  <c r="AF3" i="13"/>
  <c r="AF2" i="13"/>
  <c r="AE62" i="13"/>
  <c r="AE61" i="13"/>
  <c r="AE55" i="13"/>
  <c r="AE54" i="13"/>
  <c r="AE52" i="13"/>
  <c r="AE51" i="13"/>
  <c r="AE49" i="13"/>
  <c r="AE48" i="13"/>
  <c r="AE47" i="13"/>
  <c r="AE46" i="13"/>
  <c r="AE45" i="13"/>
  <c r="AE44" i="13"/>
  <c r="AE41" i="13"/>
  <c r="AE40" i="13"/>
  <c r="AE39" i="13"/>
  <c r="AE38" i="13"/>
  <c r="AE37" i="13"/>
  <c r="AE36" i="13"/>
  <c r="AE35" i="13"/>
  <c r="AE34" i="13"/>
  <c r="AE33" i="13"/>
  <c r="AE32" i="13"/>
  <c r="AE31" i="13"/>
  <c r="AE30" i="13"/>
  <c r="AE29" i="13"/>
  <c r="AE28" i="13"/>
  <c r="AE27" i="13"/>
  <c r="AE26" i="13"/>
  <c r="AE24" i="13"/>
  <c r="AE23" i="13"/>
  <c r="AE22" i="13"/>
  <c r="AE21" i="13"/>
  <c r="AE20" i="13"/>
  <c r="AE19" i="13"/>
  <c r="AE18" i="13"/>
  <c r="AE17" i="13"/>
  <c r="AE16" i="13"/>
  <c r="AE15" i="13"/>
  <c r="AE13" i="13"/>
  <c r="AE12" i="13"/>
  <c r="AE11" i="13"/>
  <c r="AE10" i="13"/>
  <c r="AE9" i="13"/>
  <c r="AE8" i="13"/>
  <c r="AE7" i="13"/>
  <c r="AE6" i="13"/>
  <c r="AE5" i="13"/>
  <c r="AE4" i="13"/>
  <c r="AE3" i="13"/>
  <c r="AE2" i="13"/>
  <c r="AD62" i="13"/>
  <c r="AD61" i="13"/>
  <c r="AD55" i="13"/>
  <c r="AD54" i="13"/>
  <c r="AD52" i="13"/>
  <c r="AD51" i="13"/>
  <c r="AD49" i="13"/>
  <c r="AD48" i="13"/>
  <c r="AD47" i="13"/>
  <c r="AD46" i="13"/>
  <c r="AD45" i="13"/>
  <c r="AD44" i="13"/>
  <c r="AD41" i="13"/>
  <c r="AD40" i="13"/>
  <c r="AD39" i="13"/>
  <c r="AD38" i="13"/>
  <c r="AD37" i="13"/>
  <c r="AD36" i="13"/>
  <c r="AD35" i="13"/>
  <c r="AD34" i="13"/>
  <c r="AD33" i="13"/>
  <c r="AD32" i="13"/>
  <c r="AD31" i="13"/>
  <c r="AD30" i="13"/>
  <c r="AD29" i="13"/>
  <c r="AD28" i="13"/>
  <c r="AD27" i="13"/>
  <c r="AD26" i="13"/>
  <c r="AD24" i="13"/>
  <c r="AD23" i="13"/>
  <c r="AD22" i="13"/>
  <c r="AD21" i="13"/>
  <c r="AD20" i="13"/>
  <c r="AD19" i="13"/>
  <c r="AD18" i="13"/>
  <c r="AD17" i="13"/>
  <c r="AD16" i="13"/>
  <c r="AD15" i="13"/>
  <c r="AD13" i="13"/>
  <c r="AD12" i="13"/>
  <c r="AD11" i="13"/>
  <c r="AD10" i="13"/>
  <c r="AD9" i="13"/>
  <c r="AD8" i="13"/>
  <c r="AD7" i="13"/>
  <c r="AD6" i="13"/>
  <c r="AD5" i="13"/>
  <c r="AD4" i="13"/>
  <c r="AD3" i="13"/>
  <c r="AD2" i="13"/>
  <c r="AC62" i="13"/>
  <c r="AC61" i="13"/>
  <c r="AC55" i="13"/>
  <c r="AC54" i="13"/>
  <c r="AC52" i="13"/>
  <c r="AC51" i="13"/>
  <c r="AC49" i="13"/>
  <c r="AC48" i="13"/>
  <c r="AC47" i="13"/>
  <c r="AC46" i="13"/>
  <c r="AC45" i="13"/>
  <c r="AC44" i="13"/>
  <c r="AC33" i="13"/>
  <c r="AC31" i="13"/>
  <c r="AC30" i="13"/>
  <c r="AC29" i="13"/>
  <c r="AC28" i="13"/>
  <c r="AC27" i="13"/>
  <c r="AC26" i="13"/>
  <c r="AC24" i="13"/>
  <c r="AC23" i="13"/>
  <c r="AC22" i="13"/>
  <c r="AC21" i="13"/>
  <c r="AC20" i="13"/>
  <c r="AC19" i="13"/>
  <c r="AC18" i="13"/>
  <c r="AC17" i="13"/>
  <c r="AC16" i="13"/>
  <c r="AC15" i="13"/>
  <c r="AC13" i="13"/>
  <c r="AC12" i="13"/>
  <c r="AC11" i="13"/>
  <c r="AC10" i="13"/>
  <c r="AC9" i="13"/>
  <c r="AC8" i="13"/>
  <c r="AC7" i="13"/>
  <c r="AC6" i="13"/>
  <c r="AC5" i="13"/>
  <c r="AC4" i="13"/>
  <c r="AC3" i="13"/>
  <c r="AC2" i="13"/>
  <c r="E14" i="56"/>
  <c r="F29" i="56" s="1" a="1"/>
  <c r="F29" i="56" s="1"/>
  <c r="D28" i="56" a="1"/>
  <c r="D28" i="56" s="1"/>
  <c r="D26" i="56" a="1"/>
  <c r="D26" i="56" s="1"/>
  <c r="F23" i="56" a="1"/>
  <c r="F23" i="56" s="1"/>
  <c r="E23" i="56" a="1"/>
  <c r="E23" i="56" s="1"/>
  <c r="G23" i="56" s="1"/>
  <c r="F29" i="55" a="1"/>
  <c r="F29" i="55" s="1"/>
  <c r="F28" i="55" a="1"/>
  <c r="F28" i="55" s="1"/>
  <c r="F27" i="55" a="1"/>
  <c r="F27" i="55" s="1"/>
  <c r="F26" i="55" a="1"/>
  <c r="F26" i="55" s="1"/>
  <c r="F25" i="55" a="1"/>
  <c r="F25" i="55" s="1"/>
  <c r="F24" i="55" a="1"/>
  <c r="F24" i="55" s="1"/>
  <c r="F23" i="55" a="1"/>
  <c r="F23" i="55" s="1"/>
  <c r="F22" i="55" a="1"/>
  <c r="F22" i="55" s="1"/>
  <c r="E29" i="55" a="1"/>
  <c r="E29" i="55" s="1"/>
  <c r="E28" i="55" a="1"/>
  <c r="E28" i="55" s="1"/>
  <c r="E27" i="55" a="1"/>
  <c r="E27" i="55" s="1"/>
  <c r="E26" i="55" a="1"/>
  <c r="E26" i="55" s="1"/>
  <c r="E25" i="55" a="1"/>
  <c r="E25" i="55" s="1"/>
  <c r="E24" i="55" a="1"/>
  <c r="E24" i="55" s="1"/>
  <c r="E23" i="55" a="1"/>
  <c r="E23" i="55" s="1"/>
  <c r="E22" i="55" a="1"/>
  <c r="E22" i="55" s="1"/>
  <c r="D29" i="55" a="1"/>
  <c r="D29" i="55" s="1"/>
  <c r="D28" i="55" a="1"/>
  <c r="D28" i="55" s="1"/>
  <c r="D27" i="55" a="1"/>
  <c r="D27" i="55" s="1"/>
  <c r="D26" i="55" a="1"/>
  <c r="D26" i="55" s="1"/>
  <c r="D25" i="55" a="1"/>
  <c r="D25" i="55" s="1"/>
  <c r="D24" i="55" a="1"/>
  <c r="D24" i="55" s="1"/>
  <c r="D23" i="55" a="1"/>
  <c r="D23" i="55" s="1"/>
  <c r="D22" i="55" a="1"/>
  <c r="D22" i="55" s="1"/>
  <c r="F23" i="52" a="1"/>
  <c r="F23" i="52" s="1"/>
  <c r="F22" i="52" a="1"/>
  <c r="F22" i="52" s="1"/>
  <c r="E23" i="52" a="1"/>
  <c r="E23" i="52" s="1"/>
  <c r="E22" i="52" a="1"/>
  <c r="E22" i="52" s="1"/>
  <c r="D23" i="52" a="1"/>
  <c r="D23" i="52" s="1"/>
  <c r="D22" i="52" a="1"/>
  <c r="D22" i="52" s="1"/>
  <c r="F23" i="51" a="1"/>
  <c r="F23" i="51" s="1"/>
  <c r="E23" i="51" a="1"/>
  <c r="E23" i="51" s="1"/>
  <c r="G23" i="51" s="1"/>
  <c r="D23" i="51" a="1"/>
  <c r="D23" i="51" s="1"/>
  <c r="F22" i="51" a="1"/>
  <c r="F22" i="51" s="1"/>
  <c r="E22" i="51" a="1"/>
  <c r="E22" i="51" s="1"/>
  <c r="G22" i="51" s="1"/>
  <c r="D22" i="51" a="1"/>
  <c r="D22" i="51" s="1"/>
  <c r="E22" i="28" a="1"/>
  <c r="E22" i="28" s="1"/>
  <c r="D22" i="28" a="1"/>
  <c r="D22" i="28" s="1"/>
  <c r="E14" i="55"/>
  <c r="F29" i="54" a="1"/>
  <c r="F29" i="54" s="1"/>
  <c r="E29" i="54" a="1"/>
  <c r="E29" i="54" s="1"/>
  <c r="G29" i="54" s="1"/>
  <c r="D29" i="54" a="1"/>
  <c r="D29" i="54" s="1"/>
  <c r="F28" i="54" a="1"/>
  <c r="F28" i="54" s="1"/>
  <c r="E28" i="54" a="1"/>
  <c r="E28" i="54" s="1"/>
  <c r="G28" i="54" s="1"/>
  <c r="D28" i="54" a="1"/>
  <c r="D28" i="54" s="1"/>
  <c r="F27" i="54" a="1"/>
  <c r="F27" i="54" s="1"/>
  <c r="E27" i="54" a="1"/>
  <c r="E27" i="54" s="1"/>
  <c r="G27" i="54" s="1"/>
  <c r="D27" i="54" a="1"/>
  <c r="D27" i="54" s="1"/>
  <c r="F26" i="54" a="1"/>
  <c r="F26" i="54" s="1"/>
  <c r="E26" i="54" a="1"/>
  <c r="E26" i="54" s="1"/>
  <c r="G26" i="54" s="1"/>
  <c r="D26" i="54" a="1"/>
  <c r="D26" i="54" s="1"/>
  <c r="F25" i="54" a="1"/>
  <c r="F25" i="54" s="1"/>
  <c r="E25" i="54" a="1"/>
  <c r="E25" i="54" s="1"/>
  <c r="G25" i="54" s="1"/>
  <c r="D25" i="54" a="1"/>
  <c r="D25" i="54" s="1"/>
  <c r="F24" i="54" a="1"/>
  <c r="F24" i="54" s="1"/>
  <c r="E24" i="54" a="1"/>
  <c r="E24" i="54" s="1"/>
  <c r="G24" i="54" s="1"/>
  <c r="D24" i="54" a="1"/>
  <c r="D24" i="54" s="1"/>
  <c r="F23" i="54" a="1"/>
  <c r="F23" i="54" s="1"/>
  <c r="E23" i="54" a="1"/>
  <c r="E23" i="54" s="1"/>
  <c r="G23" i="54" s="1"/>
  <c r="D23" i="54" a="1"/>
  <c r="D23" i="54" s="1"/>
  <c r="F22" i="54" a="1"/>
  <c r="F22" i="54" s="1"/>
  <c r="E22" i="54" a="1"/>
  <c r="E22" i="54" s="1"/>
  <c r="G22" i="54" s="1"/>
  <c r="D22" i="54" a="1"/>
  <c r="D22" i="54" s="1"/>
  <c r="F29" i="53" a="1"/>
  <c r="F29" i="53" s="1"/>
  <c r="F28" i="53" a="1"/>
  <c r="F28" i="53" s="1"/>
  <c r="F27" i="53" a="1"/>
  <c r="F27" i="53" s="1"/>
  <c r="F26" i="53" a="1"/>
  <c r="F26" i="53" s="1"/>
  <c r="F25" i="53" a="1"/>
  <c r="F25" i="53" s="1"/>
  <c r="F24" i="53" a="1"/>
  <c r="F24" i="53" s="1"/>
  <c r="F23" i="53" a="1"/>
  <c r="F23" i="53" s="1"/>
  <c r="F22" i="53" a="1"/>
  <c r="F22" i="53" s="1"/>
  <c r="E29" i="53" a="1"/>
  <c r="E29" i="53" s="1"/>
  <c r="E28" i="53" a="1"/>
  <c r="E28" i="53" s="1"/>
  <c r="E27" i="53" a="1"/>
  <c r="E27" i="53" s="1"/>
  <c r="E26" i="53" a="1"/>
  <c r="E26" i="53" s="1"/>
  <c r="E25" i="53" a="1"/>
  <c r="E25" i="53" s="1"/>
  <c r="E24" i="53" a="1"/>
  <c r="E24" i="53" s="1"/>
  <c r="E23" i="53" a="1"/>
  <c r="E23" i="53" s="1"/>
  <c r="E22" i="53" a="1"/>
  <c r="E22" i="53" s="1"/>
  <c r="D29" i="53" a="1"/>
  <c r="D29" i="53" s="1"/>
  <c r="D28" i="53" a="1"/>
  <c r="D28" i="53" s="1"/>
  <c r="D27" i="53" a="1"/>
  <c r="D27" i="53" s="1"/>
  <c r="D26" i="53" a="1"/>
  <c r="D26" i="53" s="1"/>
  <c r="D25" i="53" a="1"/>
  <c r="D25" i="53" s="1"/>
  <c r="D24" i="53" a="1"/>
  <c r="D24" i="53" s="1"/>
  <c r="D23" i="53" a="1"/>
  <c r="D23" i="53" s="1"/>
  <c r="D22" i="53" a="1"/>
  <c r="D22" i="53" s="1"/>
  <c r="E14" i="52"/>
  <c r="E14" i="51"/>
  <c r="F23" i="50" a="1"/>
  <c r="F23" i="50" s="1"/>
  <c r="E23" i="50" a="1"/>
  <c r="E23" i="50" s="1"/>
  <c r="G23" i="50" s="1"/>
  <c r="D23" i="50" a="1"/>
  <c r="D23" i="50" s="1"/>
  <c r="F22" i="50" a="1"/>
  <c r="F22" i="50" s="1"/>
  <c r="E22" i="50" a="1"/>
  <c r="E22" i="50" s="1"/>
  <c r="G22" i="50" s="1"/>
  <c r="D22" i="50" a="1"/>
  <c r="D22" i="50" s="1"/>
  <c r="F23" i="49" a="1"/>
  <c r="F23" i="49" s="1"/>
  <c r="F22" i="49" a="1"/>
  <c r="F22" i="49" s="1"/>
  <c r="E23" i="49" a="1"/>
  <c r="E23" i="49" s="1"/>
  <c r="E22" i="49" a="1"/>
  <c r="E22" i="49" s="1"/>
  <c r="D23" i="49" a="1"/>
  <c r="D23" i="49" s="1"/>
  <c r="D22" i="49" a="1"/>
  <c r="D22" i="49" s="1"/>
  <c r="R21" i="62" l="1"/>
  <c r="B40" i="63"/>
  <c r="B39" i="63"/>
  <c r="R21" i="63"/>
  <c r="J22" i="63"/>
  <c r="L22" i="63"/>
  <c r="B35" i="63"/>
  <c r="B36" i="63"/>
  <c r="B33" i="63"/>
  <c r="B37" i="63"/>
  <c r="L21" i="62"/>
  <c r="K6" i="60"/>
  <c r="J21" i="60" s="1"/>
  <c r="G26" i="13" s="1"/>
  <c r="P21" i="62"/>
  <c r="J21" i="62"/>
  <c r="L22" i="62"/>
  <c r="J22" i="62"/>
  <c r="B34" i="62"/>
  <c r="B37" i="62"/>
  <c r="B33" i="62"/>
  <c r="B36" i="62"/>
  <c r="B35" i="62"/>
  <c r="B30" i="62" s="1"/>
  <c r="R7" i="61"/>
  <c r="R21" i="61" s="1"/>
  <c r="P21" i="61"/>
  <c r="R9" i="61"/>
  <c r="L8" i="61"/>
  <c r="L7" i="61"/>
  <c r="L10" i="61"/>
  <c r="L9" i="61"/>
  <c r="K12" i="61"/>
  <c r="J11" i="61"/>
  <c r="L12" i="61" s="1"/>
  <c r="K6" i="61"/>
  <c r="J21" i="61" s="1"/>
  <c r="J5" i="60"/>
  <c r="L6" i="60" s="1"/>
  <c r="L21" i="60" s="1"/>
  <c r="G44" i="13" s="1"/>
  <c r="B31" i="61"/>
  <c r="B35" i="61"/>
  <c r="B30" i="61" s="1"/>
  <c r="B34" i="61"/>
  <c r="B37" i="61"/>
  <c r="B33" i="61"/>
  <c r="B36" i="61"/>
  <c r="J22" i="61"/>
  <c r="L6" i="61"/>
  <c r="J22" i="60"/>
  <c r="G27" i="13" s="1"/>
  <c r="B41" i="60"/>
  <c r="B42" i="60" a="1"/>
  <c r="B42" i="60" s="1"/>
  <c r="B37" i="60" s="1"/>
  <c r="R6" i="60"/>
  <c r="R21" i="60" s="1"/>
  <c r="B43" i="60"/>
  <c r="B44" i="60"/>
  <c r="B34" i="59"/>
  <c r="B37" i="59"/>
  <c r="B33" i="59"/>
  <c r="B36" i="59"/>
  <c r="B35" i="59"/>
  <c r="B30" i="59" s="1"/>
  <c r="L22" i="59"/>
  <c r="J22" i="59"/>
  <c r="Z21" i="58"/>
  <c r="R14" i="58"/>
  <c r="J21" i="58"/>
  <c r="L13" i="58"/>
  <c r="V21" i="58"/>
  <c r="R8" i="58"/>
  <c r="R21" i="58" s="1"/>
  <c r="R7" i="58"/>
  <c r="R11" i="58"/>
  <c r="R15" i="58"/>
  <c r="R16" i="58"/>
  <c r="R12" i="58"/>
  <c r="R18" i="58"/>
  <c r="L10" i="58"/>
  <c r="L14" i="58"/>
  <c r="L18" i="58"/>
  <c r="L6" i="58"/>
  <c r="L8" i="58"/>
  <c r="L12" i="58"/>
  <c r="L16" i="58"/>
  <c r="B34" i="58"/>
  <c r="B37" i="58"/>
  <c r="B33" i="58"/>
  <c r="B36" i="58"/>
  <c r="B35" i="58"/>
  <c r="L22" i="58"/>
  <c r="J22" i="58"/>
  <c r="D24" i="56" a="1"/>
  <c r="D24" i="56" s="1"/>
  <c r="D22" i="56" a="1"/>
  <c r="D22" i="56" s="1"/>
  <c r="E24" i="56" a="1"/>
  <c r="E24" i="56" s="1"/>
  <c r="G24" i="56" s="1"/>
  <c r="E26" i="56" a="1"/>
  <c r="E26" i="56" s="1"/>
  <c r="G26" i="56" s="1"/>
  <c r="E28" i="56" a="1"/>
  <c r="E28" i="56" s="1"/>
  <c r="G28" i="56" s="1"/>
  <c r="F26" i="56" a="1"/>
  <c r="F26" i="56" s="1"/>
  <c r="E22" i="56" a="1"/>
  <c r="E22" i="56" s="1"/>
  <c r="G22" i="56" s="1"/>
  <c r="F24" i="56" a="1"/>
  <c r="F24" i="56" s="1"/>
  <c r="F28" i="56" a="1"/>
  <c r="F28" i="56" s="1"/>
  <c r="F22" i="56" a="1"/>
  <c r="F22" i="56" s="1"/>
  <c r="D25" i="56" a="1"/>
  <c r="D25" i="56" s="1"/>
  <c r="D27" i="56" a="1"/>
  <c r="D27" i="56" s="1"/>
  <c r="D29" i="56" a="1"/>
  <c r="D29" i="56" s="1"/>
  <c r="D23" i="56" a="1"/>
  <c r="D23" i="56" s="1"/>
  <c r="E25" i="56" a="1"/>
  <c r="E25" i="56" s="1"/>
  <c r="G25" i="56" s="1"/>
  <c r="E27" i="56" a="1"/>
  <c r="E27" i="56" s="1"/>
  <c r="G27" i="56" s="1"/>
  <c r="E29" i="56" a="1"/>
  <c r="E29" i="56" s="1"/>
  <c r="G29" i="56" s="1"/>
  <c r="F25" i="56" a="1"/>
  <c r="F25" i="56" s="1"/>
  <c r="F27" i="56" a="1"/>
  <c r="F27" i="56" s="1"/>
  <c r="V21" i="56"/>
  <c r="Z18" i="56"/>
  <c r="V18" i="56"/>
  <c r="Q18" i="56"/>
  <c r="P18" i="56"/>
  <c r="K18" i="56"/>
  <c r="J18" i="56"/>
  <c r="Z17" i="56"/>
  <c r="V17" i="56"/>
  <c r="Q17" i="56"/>
  <c r="P17" i="56"/>
  <c r="K17" i="56"/>
  <c r="J17" i="56"/>
  <c r="Z16" i="56"/>
  <c r="V16" i="56"/>
  <c r="Q16" i="56"/>
  <c r="P16" i="56"/>
  <c r="R17" i="56" s="1"/>
  <c r="K16" i="56"/>
  <c r="J16" i="56"/>
  <c r="L16" i="56" s="1"/>
  <c r="Z15" i="56"/>
  <c r="V15" i="56"/>
  <c r="Q15" i="56"/>
  <c r="P15" i="56"/>
  <c r="K15" i="56"/>
  <c r="J15" i="56"/>
  <c r="Z14" i="56"/>
  <c r="V14" i="56"/>
  <c r="Q14" i="56"/>
  <c r="P14" i="56"/>
  <c r="K14" i="56"/>
  <c r="J14" i="56"/>
  <c r="L15" i="56" s="1"/>
  <c r="Z13" i="56"/>
  <c r="V13" i="56"/>
  <c r="Q13" i="56"/>
  <c r="P13" i="56"/>
  <c r="K13" i="56"/>
  <c r="J13" i="56"/>
  <c r="Z12" i="56"/>
  <c r="Z21" i="56" s="1"/>
  <c r="V12" i="56"/>
  <c r="Q12" i="56"/>
  <c r="P12" i="56"/>
  <c r="R13" i="56" s="1"/>
  <c r="K12" i="56"/>
  <c r="J12" i="56"/>
  <c r="L13" i="56" s="1"/>
  <c r="Z11" i="56"/>
  <c r="V11" i="56"/>
  <c r="Q11" i="56"/>
  <c r="P11" i="56"/>
  <c r="R12" i="56" s="1"/>
  <c r="K11" i="56"/>
  <c r="J11" i="56"/>
  <c r="L12" i="56" s="1"/>
  <c r="Z10" i="56"/>
  <c r="V10" i="56"/>
  <c r="Q10" i="56"/>
  <c r="P10" i="56"/>
  <c r="R11" i="56" s="1"/>
  <c r="K10" i="56"/>
  <c r="J10" i="56"/>
  <c r="L11" i="56" s="1"/>
  <c r="Z9" i="56"/>
  <c r="V9" i="56"/>
  <c r="Q9" i="56"/>
  <c r="P9" i="56"/>
  <c r="R10" i="56" s="1"/>
  <c r="K9" i="56"/>
  <c r="J9" i="56"/>
  <c r="L10" i="56" s="1"/>
  <c r="Z8" i="56"/>
  <c r="V8" i="56"/>
  <c r="Q8" i="56"/>
  <c r="P8" i="56"/>
  <c r="R9" i="56" s="1"/>
  <c r="K8" i="56"/>
  <c r="J8" i="56"/>
  <c r="L9" i="56" s="1"/>
  <c r="Z7" i="56"/>
  <c r="V7" i="56"/>
  <c r="Q7" i="56"/>
  <c r="P7" i="56"/>
  <c r="R8" i="56" s="1"/>
  <c r="K7" i="56"/>
  <c r="J7" i="56"/>
  <c r="L8" i="56" s="1"/>
  <c r="Z6" i="56"/>
  <c r="V6" i="56"/>
  <c r="Q6" i="56"/>
  <c r="P6" i="56"/>
  <c r="R7" i="56" s="1"/>
  <c r="K6" i="56"/>
  <c r="J6" i="56"/>
  <c r="L7" i="56" s="1"/>
  <c r="P5" i="56"/>
  <c r="R6" i="56" s="1"/>
  <c r="B36" i="55"/>
  <c r="B35" i="55" s="1"/>
  <c r="B39" i="55"/>
  <c r="B38" i="55" s="1"/>
  <c r="Z18" i="55"/>
  <c r="V18" i="55"/>
  <c r="Q18" i="55"/>
  <c r="P18" i="55"/>
  <c r="K18" i="55"/>
  <c r="J18" i="55"/>
  <c r="Z17" i="55"/>
  <c r="V17" i="55"/>
  <c r="Q17" i="55"/>
  <c r="P17" i="55"/>
  <c r="K17" i="55"/>
  <c r="J17" i="55"/>
  <c r="L18" i="55" s="1"/>
  <c r="Z16" i="55"/>
  <c r="V16" i="55"/>
  <c r="Q16" i="55"/>
  <c r="P16" i="55"/>
  <c r="R17" i="55" s="1"/>
  <c r="K16" i="55"/>
  <c r="J16" i="55"/>
  <c r="L17" i="55" s="1"/>
  <c r="Z15" i="55"/>
  <c r="V15" i="55"/>
  <c r="Q15" i="55"/>
  <c r="P15" i="55"/>
  <c r="K15" i="55"/>
  <c r="J15" i="55"/>
  <c r="Z14" i="55"/>
  <c r="V14" i="55"/>
  <c r="Q14" i="55"/>
  <c r="P14" i="55"/>
  <c r="R15" i="55" s="1"/>
  <c r="K14" i="55"/>
  <c r="J14" i="55"/>
  <c r="L14" i="55" s="1"/>
  <c r="Z13" i="55"/>
  <c r="V13" i="55"/>
  <c r="Q13" i="55"/>
  <c r="P13" i="55"/>
  <c r="L13" i="55"/>
  <c r="K13" i="55"/>
  <c r="J13" i="55"/>
  <c r="Z12" i="55"/>
  <c r="Z21" i="55" s="1"/>
  <c r="V12" i="55"/>
  <c r="Q12" i="55"/>
  <c r="P12" i="55"/>
  <c r="R13" i="55" s="1"/>
  <c r="L12" i="55"/>
  <c r="K12" i="55"/>
  <c r="J12" i="55"/>
  <c r="Z11" i="55"/>
  <c r="V11" i="55"/>
  <c r="Q11" i="55"/>
  <c r="P11" i="55"/>
  <c r="R12" i="55" s="1"/>
  <c r="L11" i="55"/>
  <c r="K11" i="55"/>
  <c r="J11" i="55"/>
  <c r="Z10" i="55"/>
  <c r="V10" i="55"/>
  <c r="Q10" i="55"/>
  <c r="P10" i="55"/>
  <c r="R11" i="55" s="1"/>
  <c r="L10" i="55"/>
  <c r="K10" i="55"/>
  <c r="J10" i="55"/>
  <c r="Z9" i="55"/>
  <c r="V9" i="55"/>
  <c r="Q9" i="55"/>
  <c r="P9" i="55"/>
  <c r="R10" i="55" s="1"/>
  <c r="L9" i="55"/>
  <c r="K9" i="55"/>
  <c r="J9" i="55"/>
  <c r="Z8" i="55"/>
  <c r="V8" i="55"/>
  <c r="Q8" i="55"/>
  <c r="P8" i="55"/>
  <c r="R9" i="55" s="1"/>
  <c r="L8" i="55"/>
  <c r="K8" i="55"/>
  <c r="J8" i="55"/>
  <c r="Z7" i="55"/>
  <c r="V7" i="55"/>
  <c r="Q7" i="55"/>
  <c r="P7" i="55"/>
  <c r="R8" i="55" s="1"/>
  <c r="L7" i="55"/>
  <c r="K7" i="55"/>
  <c r="J7" i="55"/>
  <c r="Z6" i="55"/>
  <c r="V6" i="55"/>
  <c r="V21" i="55" s="1"/>
  <c r="Q6" i="55"/>
  <c r="P21" i="55" s="1"/>
  <c r="P6" i="55"/>
  <c r="R7" i="55" s="1"/>
  <c r="L6" i="55"/>
  <c r="K6" i="55"/>
  <c r="J6" i="55"/>
  <c r="P5" i="55"/>
  <c r="R6" i="55" s="1"/>
  <c r="B39" i="54"/>
  <c r="B38" i="54" s="1"/>
  <c r="B36" i="54"/>
  <c r="B35" i="54" s="1"/>
  <c r="Z18" i="54"/>
  <c r="V18" i="54"/>
  <c r="Q18" i="54"/>
  <c r="P18" i="54"/>
  <c r="K18" i="54"/>
  <c r="J18" i="54"/>
  <c r="Z17" i="54"/>
  <c r="V17" i="54"/>
  <c r="Q17" i="54"/>
  <c r="P17" i="54"/>
  <c r="R18" i="54" s="1"/>
  <c r="K17" i="54"/>
  <c r="J17" i="54"/>
  <c r="L18" i="54" s="1"/>
  <c r="Z16" i="54"/>
  <c r="V16" i="54"/>
  <c r="Q16" i="54"/>
  <c r="P16" i="54"/>
  <c r="K16" i="54"/>
  <c r="J16" i="54"/>
  <c r="L16" i="54" s="1"/>
  <c r="Z15" i="54"/>
  <c r="V15" i="54"/>
  <c r="Q15" i="54"/>
  <c r="P15" i="54"/>
  <c r="K15" i="54"/>
  <c r="J15" i="54"/>
  <c r="Z14" i="54"/>
  <c r="V14" i="54"/>
  <c r="Q14" i="54"/>
  <c r="P14" i="54"/>
  <c r="K14" i="54"/>
  <c r="J14" i="54"/>
  <c r="L14" i="54" s="1"/>
  <c r="Z13" i="54"/>
  <c r="V13" i="54"/>
  <c r="Q13" i="54"/>
  <c r="P13" i="54"/>
  <c r="R14" i="54" s="1"/>
  <c r="L13" i="54"/>
  <c r="K13" i="54"/>
  <c r="J13" i="54"/>
  <c r="Z12" i="54"/>
  <c r="Z21" i="54" s="1"/>
  <c r="V12" i="54"/>
  <c r="Q12" i="54"/>
  <c r="P12" i="54"/>
  <c r="R13" i="54" s="1"/>
  <c r="L12" i="54"/>
  <c r="K12" i="54"/>
  <c r="J12" i="54"/>
  <c r="Z11" i="54"/>
  <c r="V11" i="54"/>
  <c r="Q11" i="54"/>
  <c r="P11" i="54"/>
  <c r="R12" i="54" s="1"/>
  <c r="L11" i="54"/>
  <c r="K11" i="54"/>
  <c r="J11" i="54"/>
  <c r="Z10" i="54"/>
  <c r="V10" i="54"/>
  <c r="Q10" i="54"/>
  <c r="P10" i="54"/>
  <c r="R11" i="54" s="1"/>
  <c r="L10" i="54"/>
  <c r="K10" i="54"/>
  <c r="J10" i="54"/>
  <c r="Z9" i="54"/>
  <c r="V9" i="54"/>
  <c r="Q9" i="54"/>
  <c r="P9" i="54"/>
  <c r="R10" i="54" s="1"/>
  <c r="L9" i="54"/>
  <c r="K9" i="54"/>
  <c r="J9" i="54"/>
  <c r="Z8" i="54"/>
  <c r="V8" i="54"/>
  <c r="Q8" i="54"/>
  <c r="P8" i="54"/>
  <c r="R9" i="54" s="1"/>
  <c r="L8" i="54"/>
  <c r="K8" i="54"/>
  <c r="J8" i="54"/>
  <c r="Z7" i="54"/>
  <c r="V7" i="54"/>
  <c r="Q7" i="54"/>
  <c r="P7" i="54"/>
  <c r="R8" i="54" s="1"/>
  <c r="L7" i="54"/>
  <c r="K7" i="54"/>
  <c r="J7" i="54"/>
  <c r="Z6" i="54"/>
  <c r="V6" i="54"/>
  <c r="V21" i="54" s="1"/>
  <c r="Q6" i="54"/>
  <c r="P21" i="54" s="1"/>
  <c r="P6" i="54"/>
  <c r="R7" i="54" s="1"/>
  <c r="L6" i="54"/>
  <c r="K6" i="54"/>
  <c r="J6" i="54"/>
  <c r="P5" i="54"/>
  <c r="R6" i="54" s="1"/>
  <c r="G29" i="53"/>
  <c r="G28" i="53"/>
  <c r="G27" i="53"/>
  <c r="G26" i="53"/>
  <c r="G25" i="53"/>
  <c r="G24" i="53"/>
  <c r="G23" i="53"/>
  <c r="G22" i="53"/>
  <c r="B39" i="53"/>
  <c r="B38" i="53" s="1"/>
  <c r="B36" i="53"/>
  <c r="B35" i="53" s="1"/>
  <c r="Z21" i="53"/>
  <c r="Z18" i="53"/>
  <c r="V18" i="53"/>
  <c r="Q18" i="53"/>
  <c r="P18" i="53"/>
  <c r="K18" i="53"/>
  <c r="J18" i="53"/>
  <c r="Z17" i="53"/>
  <c r="V17" i="53"/>
  <c r="Q17" i="53"/>
  <c r="P17" i="53"/>
  <c r="K17" i="53"/>
  <c r="J17" i="53"/>
  <c r="L18" i="53" s="1"/>
  <c r="Z16" i="53"/>
  <c r="V16" i="53"/>
  <c r="Q16" i="53"/>
  <c r="P16" i="53"/>
  <c r="K16" i="53"/>
  <c r="J16" i="53"/>
  <c r="Z15" i="53"/>
  <c r="V15" i="53"/>
  <c r="Q15" i="53"/>
  <c r="P15" i="53"/>
  <c r="K15" i="53"/>
  <c r="J15" i="53"/>
  <c r="Z14" i="53"/>
  <c r="V14" i="53"/>
  <c r="Q14" i="53"/>
  <c r="P14" i="53"/>
  <c r="K14" i="53"/>
  <c r="J14" i="53"/>
  <c r="L14" i="53" s="1"/>
  <c r="Z13" i="53"/>
  <c r="V13" i="53"/>
  <c r="Q13" i="53"/>
  <c r="P13" i="53"/>
  <c r="L13" i="53"/>
  <c r="K13" i="53"/>
  <c r="J13" i="53"/>
  <c r="Z12" i="53"/>
  <c r="V12" i="53"/>
  <c r="Q12" i="53"/>
  <c r="P12" i="53"/>
  <c r="R13" i="53" s="1"/>
  <c r="L12" i="53"/>
  <c r="K12" i="53"/>
  <c r="J12" i="53"/>
  <c r="Z11" i="53"/>
  <c r="V11" i="53"/>
  <c r="Q11" i="53"/>
  <c r="P11" i="53"/>
  <c r="R12" i="53" s="1"/>
  <c r="L11" i="53"/>
  <c r="K11" i="53"/>
  <c r="J11" i="53"/>
  <c r="Z10" i="53"/>
  <c r="V10" i="53"/>
  <c r="Q10" i="53"/>
  <c r="P10" i="53"/>
  <c r="R11" i="53" s="1"/>
  <c r="L10" i="53"/>
  <c r="K10" i="53"/>
  <c r="J10" i="53"/>
  <c r="Z9" i="53"/>
  <c r="V9" i="53"/>
  <c r="Q9" i="53"/>
  <c r="P9" i="53"/>
  <c r="R10" i="53" s="1"/>
  <c r="L9" i="53"/>
  <c r="K9" i="53"/>
  <c r="J9" i="53"/>
  <c r="Z8" i="53"/>
  <c r="V8" i="53"/>
  <c r="Q8" i="53"/>
  <c r="P8" i="53"/>
  <c r="R9" i="53" s="1"/>
  <c r="L8" i="53"/>
  <c r="K8" i="53"/>
  <c r="J8" i="53"/>
  <c r="Z7" i="53"/>
  <c r="V7" i="53"/>
  <c r="Q7" i="53"/>
  <c r="P7" i="53"/>
  <c r="R8" i="53" s="1"/>
  <c r="K7" i="53"/>
  <c r="J7" i="53"/>
  <c r="P6" i="53"/>
  <c r="R7" i="53" s="1"/>
  <c r="J6" i="53"/>
  <c r="L7" i="53" s="1"/>
  <c r="Z6" i="53"/>
  <c r="V6" i="53"/>
  <c r="V21" i="53" s="1"/>
  <c r="Q6" i="53"/>
  <c r="Z18" i="52"/>
  <c r="V18" i="52"/>
  <c r="Q18" i="52"/>
  <c r="P18" i="52"/>
  <c r="K18" i="52"/>
  <c r="J18" i="52"/>
  <c r="Z17" i="52"/>
  <c r="V17" i="52"/>
  <c r="Q17" i="52"/>
  <c r="P17" i="52"/>
  <c r="K17" i="52"/>
  <c r="J17" i="52"/>
  <c r="Z16" i="52"/>
  <c r="V16" i="52"/>
  <c r="Q16" i="52"/>
  <c r="P16" i="52"/>
  <c r="R17" i="52" s="1"/>
  <c r="K16" i="52"/>
  <c r="J16" i="52"/>
  <c r="Z15" i="52"/>
  <c r="V15" i="52"/>
  <c r="Q15" i="52"/>
  <c r="P15" i="52"/>
  <c r="K15" i="52"/>
  <c r="J15" i="52"/>
  <c r="Z14" i="52"/>
  <c r="V14" i="52"/>
  <c r="Q14" i="52"/>
  <c r="P14" i="52"/>
  <c r="K14" i="52"/>
  <c r="J14" i="52"/>
  <c r="L15" i="52" s="1"/>
  <c r="Z13" i="52"/>
  <c r="V13" i="52"/>
  <c r="Q13" i="52"/>
  <c r="P13" i="52"/>
  <c r="K13" i="52"/>
  <c r="J13" i="52"/>
  <c r="L14" i="52" s="1"/>
  <c r="Z12" i="52"/>
  <c r="V12" i="52"/>
  <c r="Q12" i="52"/>
  <c r="P12" i="52"/>
  <c r="R13" i="52" s="1"/>
  <c r="K12" i="52"/>
  <c r="J12" i="52"/>
  <c r="L13" i="52" s="1"/>
  <c r="Z11" i="52"/>
  <c r="Z21" i="52" s="1"/>
  <c r="V11" i="52"/>
  <c r="Q11" i="52"/>
  <c r="P11" i="52"/>
  <c r="R12" i="52" s="1"/>
  <c r="K11" i="52"/>
  <c r="J11" i="52"/>
  <c r="L12" i="52" s="1"/>
  <c r="Z10" i="52"/>
  <c r="V10" i="52"/>
  <c r="Q10" i="52"/>
  <c r="P10" i="52"/>
  <c r="R11" i="52" s="1"/>
  <c r="K10" i="52"/>
  <c r="J10" i="52"/>
  <c r="L11" i="52" s="1"/>
  <c r="Z9" i="52"/>
  <c r="V9" i="52"/>
  <c r="Q9" i="52"/>
  <c r="P9" i="52"/>
  <c r="R10" i="52" s="1"/>
  <c r="K9" i="52"/>
  <c r="J9" i="52"/>
  <c r="L10" i="52" s="1"/>
  <c r="Z8" i="52"/>
  <c r="V8" i="52"/>
  <c r="Q8" i="52"/>
  <c r="P8" i="52"/>
  <c r="R9" i="52" s="1"/>
  <c r="K8" i="52"/>
  <c r="J8" i="52"/>
  <c r="L9" i="52" s="1"/>
  <c r="Z7" i="52"/>
  <c r="V7" i="52"/>
  <c r="Q7" i="52"/>
  <c r="P7" i="52"/>
  <c r="R8" i="52" s="1"/>
  <c r="K7" i="52"/>
  <c r="J7" i="52"/>
  <c r="L8" i="52" s="1"/>
  <c r="Z6" i="52"/>
  <c r="V6" i="52"/>
  <c r="V21" i="52" s="1"/>
  <c r="Q6" i="52"/>
  <c r="P21" i="52" s="1"/>
  <c r="P6" i="52"/>
  <c r="R7" i="52" s="1"/>
  <c r="K6" i="52"/>
  <c r="J6" i="52"/>
  <c r="L7" i="52" s="1"/>
  <c r="P5" i="52"/>
  <c r="R6" i="52" s="1"/>
  <c r="J5" i="52"/>
  <c r="L6" i="52" s="1"/>
  <c r="B32" i="51"/>
  <c r="B31" i="51" s="1"/>
  <c r="B29" i="51"/>
  <c r="B28" i="51" s="1"/>
  <c r="Z18" i="51"/>
  <c r="V18" i="51"/>
  <c r="Q18" i="51"/>
  <c r="P18" i="51"/>
  <c r="K18" i="51"/>
  <c r="J18" i="51"/>
  <c r="Z17" i="51"/>
  <c r="V17" i="51"/>
  <c r="Q17" i="51"/>
  <c r="P17" i="51"/>
  <c r="J17" i="51"/>
  <c r="Z16" i="51"/>
  <c r="V16" i="51"/>
  <c r="Q16" i="51"/>
  <c r="P16" i="51"/>
  <c r="R17" i="51" s="1"/>
  <c r="Z15" i="51"/>
  <c r="V15" i="51"/>
  <c r="Q15" i="51"/>
  <c r="P15" i="51"/>
  <c r="K15" i="51"/>
  <c r="J15" i="51"/>
  <c r="Z14" i="51"/>
  <c r="V14" i="51"/>
  <c r="Q14" i="51"/>
  <c r="P14" i="51"/>
  <c r="K14" i="51"/>
  <c r="J14" i="51"/>
  <c r="L15" i="51" s="1"/>
  <c r="Z13" i="51"/>
  <c r="V13" i="51"/>
  <c r="Q13" i="51"/>
  <c r="P13" i="51"/>
  <c r="R14" i="51" s="1"/>
  <c r="K13" i="51"/>
  <c r="J13" i="51"/>
  <c r="Z12" i="51"/>
  <c r="V12" i="51"/>
  <c r="Q12" i="51"/>
  <c r="P12" i="51"/>
  <c r="R13" i="51" s="1"/>
  <c r="K12" i="51"/>
  <c r="J12" i="51"/>
  <c r="L13" i="51" s="1"/>
  <c r="Z11" i="51"/>
  <c r="Z21" i="51" s="1"/>
  <c r="V11" i="51"/>
  <c r="Q11" i="51"/>
  <c r="P11" i="51"/>
  <c r="R12" i="51" s="1"/>
  <c r="K11" i="51"/>
  <c r="J11" i="51"/>
  <c r="L12" i="51" s="1"/>
  <c r="Z10" i="51"/>
  <c r="V10" i="51"/>
  <c r="Q10" i="51"/>
  <c r="P10" i="51"/>
  <c r="R11" i="51" s="1"/>
  <c r="K10" i="51"/>
  <c r="J10" i="51"/>
  <c r="L11" i="51" s="1"/>
  <c r="Z9" i="51"/>
  <c r="V9" i="51"/>
  <c r="Q9" i="51"/>
  <c r="P9" i="51"/>
  <c r="R10" i="51" s="1"/>
  <c r="K9" i="51"/>
  <c r="J9" i="51"/>
  <c r="L10" i="51" s="1"/>
  <c r="Z8" i="51"/>
  <c r="V8" i="51"/>
  <c r="Q8" i="51"/>
  <c r="P8" i="51"/>
  <c r="R9" i="51" s="1"/>
  <c r="K8" i="51"/>
  <c r="J8" i="51"/>
  <c r="L9" i="51" s="1"/>
  <c r="Z7" i="51"/>
  <c r="V7" i="51"/>
  <c r="Q7" i="51"/>
  <c r="P7" i="51"/>
  <c r="R8" i="51" s="1"/>
  <c r="K7" i="51"/>
  <c r="J7" i="51"/>
  <c r="L8" i="51" s="1"/>
  <c r="Z6" i="51"/>
  <c r="V6" i="51"/>
  <c r="V21" i="51" s="1"/>
  <c r="Q6" i="51"/>
  <c r="P21" i="51" s="1"/>
  <c r="P6" i="51"/>
  <c r="R7" i="51" s="1"/>
  <c r="K6" i="51"/>
  <c r="J6" i="51"/>
  <c r="L7" i="51" s="1"/>
  <c r="P5" i="51"/>
  <c r="R6" i="51" s="1"/>
  <c r="J5" i="51"/>
  <c r="B32" i="50"/>
  <c r="B31" i="50" s="1"/>
  <c r="B29" i="50"/>
  <c r="B28" i="50" s="1"/>
  <c r="B34" i="50"/>
  <c r="P21" i="50"/>
  <c r="Z18" i="50"/>
  <c r="V18" i="50"/>
  <c r="Q18" i="50"/>
  <c r="P18" i="50"/>
  <c r="K18" i="50"/>
  <c r="J18" i="50"/>
  <c r="Z17" i="50"/>
  <c r="V17" i="50"/>
  <c r="Q17" i="50"/>
  <c r="P17" i="50"/>
  <c r="K17" i="50"/>
  <c r="J17" i="50"/>
  <c r="L18" i="50" s="1"/>
  <c r="Z16" i="50"/>
  <c r="V16" i="50"/>
  <c r="Q16" i="50"/>
  <c r="P16" i="50"/>
  <c r="K16" i="50"/>
  <c r="J16" i="50"/>
  <c r="Z15" i="50"/>
  <c r="V15" i="50"/>
  <c r="Q15" i="50"/>
  <c r="P15" i="50"/>
  <c r="K15" i="50"/>
  <c r="J15" i="50"/>
  <c r="Z14" i="50"/>
  <c r="V14" i="50"/>
  <c r="Q14" i="50"/>
  <c r="P14" i="50"/>
  <c r="L14" i="50"/>
  <c r="K14" i="50"/>
  <c r="J14" i="50"/>
  <c r="L15" i="50" s="1"/>
  <c r="Z13" i="50"/>
  <c r="V13" i="50"/>
  <c r="Q13" i="50"/>
  <c r="P13" i="50"/>
  <c r="R14" i="50" s="1"/>
  <c r="L13" i="50"/>
  <c r="K13" i="50"/>
  <c r="J13" i="50"/>
  <c r="Z12" i="50"/>
  <c r="V12" i="50"/>
  <c r="Q12" i="50"/>
  <c r="P12" i="50"/>
  <c r="R13" i="50" s="1"/>
  <c r="L12" i="50"/>
  <c r="K12" i="50"/>
  <c r="J12" i="50"/>
  <c r="Z11" i="50"/>
  <c r="Z21" i="50" s="1"/>
  <c r="V11" i="50"/>
  <c r="Q11" i="50"/>
  <c r="P11" i="50"/>
  <c r="R12" i="50" s="1"/>
  <c r="L11" i="50"/>
  <c r="K11" i="50"/>
  <c r="J11" i="50"/>
  <c r="Z10" i="50"/>
  <c r="V10" i="50"/>
  <c r="Q10" i="50"/>
  <c r="P10" i="50"/>
  <c r="R11" i="50" s="1"/>
  <c r="L10" i="50"/>
  <c r="K10" i="50"/>
  <c r="J10" i="50"/>
  <c r="Z9" i="50"/>
  <c r="V9" i="50"/>
  <c r="Q9" i="50"/>
  <c r="P9" i="50"/>
  <c r="R10" i="50" s="1"/>
  <c r="L9" i="50"/>
  <c r="K9" i="50"/>
  <c r="J9" i="50"/>
  <c r="Z8" i="50"/>
  <c r="V8" i="50"/>
  <c r="Q8" i="50"/>
  <c r="P8" i="50"/>
  <c r="R9" i="50" s="1"/>
  <c r="L8" i="50"/>
  <c r="K8" i="50"/>
  <c r="J8" i="50"/>
  <c r="Z7" i="50"/>
  <c r="V7" i="50"/>
  <c r="Q7" i="50"/>
  <c r="P7" i="50"/>
  <c r="R8" i="50" s="1"/>
  <c r="L7" i="50"/>
  <c r="K7" i="50"/>
  <c r="J7" i="50"/>
  <c r="Z6" i="50"/>
  <c r="V6" i="50"/>
  <c r="V21" i="50" s="1"/>
  <c r="Q6" i="50"/>
  <c r="P6" i="50"/>
  <c r="R7" i="50" s="1"/>
  <c r="L6" i="50"/>
  <c r="K6" i="50"/>
  <c r="J6" i="50"/>
  <c r="P5" i="50"/>
  <c r="R6" i="50" s="1"/>
  <c r="J5" i="50"/>
  <c r="G23" i="49"/>
  <c r="G22" i="49"/>
  <c r="B32" i="49"/>
  <c r="B31" i="49" s="1"/>
  <c r="B29" i="49"/>
  <c r="B28" i="49" s="1"/>
  <c r="Z21" i="49"/>
  <c r="V21" i="49"/>
  <c r="Z18" i="49"/>
  <c r="V18" i="49"/>
  <c r="Q18" i="49"/>
  <c r="P18" i="49"/>
  <c r="K18" i="49"/>
  <c r="J18" i="49"/>
  <c r="Z17" i="49"/>
  <c r="V17" i="49"/>
  <c r="Q17" i="49"/>
  <c r="P17" i="49"/>
  <c r="R18" i="49" s="1"/>
  <c r="K17" i="49"/>
  <c r="J17" i="49"/>
  <c r="Z16" i="49"/>
  <c r="V16" i="49"/>
  <c r="Q16" i="49"/>
  <c r="P16" i="49"/>
  <c r="K16" i="49"/>
  <c r="J16" i="49"/>
  <c r="L16" i="49" s="1"/>
  <c r="Z15" i="49"/>
  <c r="V15" i="49"/>
  <c r="Q15" i="49"/>
  <c r="P15" i="49"/>
  <c r="L15" i="49"/>
  <c r="K15" i="49"/>
  <c r="J15" i="49"/>
  <c r="Z14" i="49"/>
  <c r="V14" i="49"/>
  <c r="Q14" i="49"/>
  <c r="P14" i="49"/>
  <c r="R15" i="49" s="1"/>
  <c r="L14" i="49"/>
  <c r="K14" i="49"/>
  <c r="J14" i="49"/>
  <c r="Z13" i="49"/>
  <c r="V13" i="49"/>
  <c r="Q13" i="49"/>
  <c r="P13" i="49"/>
  <c r="L13" i="49"/>
  <c r="K13" i="49"/>
  <c r="J13" i="49"/>
  <c r="Z12" i="49"/>
  <c r="V12" i="49"/>
  <c r="Q12" i="49"/>
  <c r="P12" i="49"/>
  <c r="L12" i="49"/>
  <c r="K12" i="49"/>
  <c r="J12" i="49"/>
  <c r="Z11" i="49"/>
  <c r="V11" i="49"/>
  <c r="Q11" i="49"/>
  <c r="P11" i="49"/>
  <c r="L11" i="49"/>
  <c r="K11" i="49"/>
  <c r="J11" i="49"/>
  <c r="Z10" i="49"/>
  <c r="V10" i="49"/>
  <c r="Q10" i="49"/>
  <c r="P10" i="49"/>
  <c r="R11" i="49" s="1"/>
  <c r="L10" i="49"/>
  <c r="K10" i="49"/>
  <c r="J10" i="49"/>
  <c r="Z9" i="49"/>
  <c r="V9" i="49"/>
  <c r="Q9" i="49"/>
  <c r="P9" i="49"/>
  <c r="L9" i="49"/>
  <c r="K9" i="49"/>
  <c r="J9" i="49"/>
  <c r="Z8" i="49"/>
  <c r="V8" i="49"/>
  <c r="Q8" i="49"/>
  <c r="P8" i="49"/>
  <c r="L8" i="49"/>
  <c r="K8" i="49"/>
  <c r="J8" i="49"/>
  <c r="Z7" i="49"/>
  <c r="V7" i="49"/>
  <c r="Q7" i="49"/>
  <c r="P7" i="49"/>
  <c r="R8" i="49" s="1"/>
  <c r="K7" i="49"/>
  <c r="J7" i="49"/>
  <c r="Z6" i="49"/>
  <c r="V6" i="49"/>
  <c r="Q6" i="49"/>
  <c r="P21" i="49" s="1"/>
  <c r="P6" i="49"/>
  <c r="R7" i="49" s="1"/>
  <c r="K6" i="49"/>
  <c r="J6" i="49"/>
  <c r="L6" i="49" s="1"/>
  <c r="P5" i="49"/>
  <c r="J5" i="49"/>
  <c r="J32" i="63" l="1"/>
  <c r="J31" i="63"/>
  <c r="B30" i="63"/>
  <c r="L24" i="63"/>
  <c r="J35" i="63" s="1"/>
  <c r="L26" i="63"/>
  <c r="J36" i="63" s="1"/>
  <c r="J24" i="63"/>
  <c r="J26" i="63"/>
  <c r="L22" i="60"/>
  <c r="G45" i="13" s="1"/>
  <c r="B40" i="62"/>
  <c r="B39" i="62"/>
  <c r="J24" i="62"/>
  <c r="J26" i="62"/>
  <c r="L26" i="62"/>
  <c r="J36" i="62" s="1"/>
  <c r="L24" i="62"/>
  <c r="L11" i="61"/>
  <c r="L21" i="61" s="1"/>
  <c r="J26" i="61"/>
  <c r="J24" i="61"/>
  <c r="L22" i="61"/>
  <c r="B40" i="61"/>
  <c r="B39" i="61"/>
  <c r="J26" i="60"/>
  <c r="G31" i="13" s="1"/>
  <c r="J24" i="60"/>
  <c r="G29" i="13" s="1"/>
  <c r="B47" i="60"/>
  <c r="B46" i="60"/>
  <c r="J24" i="59"/>
  <c r="J26" i="59"/>
  <c r="L24" i="59"/>
  <c r="L26" i="59"/>
  <c r="B40" i="59"/>
  <c r="B39" i="59"/>
  <c r="L21" i="58"/>
  <c r="J24" i="58"/>
  <c r="J31" i="58" s="1"/>
  <c r="L24" i="58"/>
  <c r="J37" i="58"/>
  <c r="B30" i="58"/>
  <c r="J26" i="58" s="1"/>
  <c r="B40" i="58"/>
  <c r="B39" i="58"/>
  <c r="P21" i="56"/>
  <c r="R15" i="56"/>
  <c r="R14" i="56"/>
  <c r="L17" i="56"/>
  <c r="L14" i="56"/>
  <c r="R17" i="50"/>
  <c r="L17" i="50"/>
  <c r="R16" i="52"/>
  <c r="R15" i="52"/>
  <c r="R14" i="52"/>
  <c r="R15" i="54"/>
  <c r="L17" i="54"/>
  <c r="L15" i="54"/>
  <c r="R14" i="55"/>
  <c r="L16" i="55"/>
  <c r="L21" i="55" s="1"/>
  <c r="L15" i="55"/>
  <c r="B39" i="56"/>
  <c r="B38" i="56" s="1"/>
  <c r="B36" i="56"/>
  <c r="B35" i="56" s="1"/>
  <c r="J22" i="56" s="1"/>
  <c r="G23" i="55"/>
  <c r="G27" i="55"/>
  <c r="G25" i="55"/>
  <c r="B41" i="55"/>
  <c r="G29" i="55"/>
  <c r="G28" i="55"/>
  <c r="G26" i="55"/>
  <c r="B42" i="55" a="1"/>
  <c r="B42" i="55" s="1"/>
  <c r="G24" i="55"/>
  <c r="G22" i="55"/>
  <c r="P21" i="53"/>
  <c r="R15" i="53"/>
  <c r="R14" i="53"/>
  <c r="L16" i="53"/>
  <c r="L17" i="53"/>
  <c r="L15" i="53"/>
  <c r="B29" i="52"/>
  <c r="B28" i="52" s="1"/>
  <c r="G22" i="52"/>
  <c r="B34" i="52"/>
  <c r="B40" i="52" s="1"/>
  <c r="G23" i="52"/>
  <c r="R16" i="51"/>
  <c r="R15" i="51"/>
  <c r="L14" i="51"/>
  <c r="R16" i="50"/>
  <c r="R15" i="50"/>
  <c r="R16" i="56"/>
  <c r="R21" i="56"/>
  <c r="R18" i="56"/>
  <c r="L18" i="56"/>
  <c r="B40" i="56" a="1"/>
  <c r="B40" i="56" s="1"/>
  <c r="B44" i="56"/>
  <c r="B43" i="56"/>
  <c r="B42" i="56" a="1"/>
  <c r="B42" i="56" s="1"/>
  <c r="B41" i="56"/>
  <c r="J21" i="56"/>
  <c r="L6" i="56"/>
  <c r="R16" i="55"/>
  <c r="R18" i="55"/>
  <c r="R21" i="55"/>
  <c r="J22" i="55"/>
  <c r="L22" i="55"/>
  <c r="J21" i="55"/>
  <c r="R17" i="54"/>
  <c r="R16" i="54"/>
  <c r="L21" i="54"/>
  <c r="B40" i="54" a="1"/>
  <c r="B40" i="54" s="1"/>
  <c r="B44" i="54"/>
  <c r="B43" i="54"/>
  <c r="B42" i="54" a="1"/>
  <c r="B42" i="54" s="1"/>
  <c r="B41" i="54"/>
  <c r="J22" i="54"/>
  <c r="L22" i="54"/>
  <c r="R21" i="54"/>
  <c r="J21" i="54"/>
  <c r="L6" i="53"/>
  <c r="L21" i="53" s="1"/>
  <c r="R18" i="53"/>
  <c r="R17" i="53"/>
  <c r="R16" i="53"/>
  <c r="K6" i="53"/>
  <c r="J21" i="53" s="1"/>
  <c r="AG26" i="13" s="1"/>
  <c r="B40" i="53" a="1"/>
  <c r="B40" i="53" s="1"/>
  <c r="P5" i="53"/>
  <c r="R6" i="53" s="1"/>
  <c r="R21" i="53" s="1"/>
  <c r="L22" i="53"/>
  <c r="J22" i="53"/>
  <c r="AG27" i="13" s="1"/>
  <c r="B41" i="53"/>
  <c r="B42" i="53" a="1"/>
  <c r="B42" i="53" s="1"/>
  <c r="B43" i="53"/>
  <c r="B44" i="53"/>
  <c r="R18" i="52"/>
  <c r="J21" i="52"/>
  <c r="L18" i="52"/>
  <c r="L17" i="52"/>
  <c r="J22" i="52"/>
  <c r="R21" i="52"/>
  <c r="B35" i="52"/>
  <c r="L16" i="52"/>
  <c r="L22" i="52" s="1"/>
  <c r="B32" i="52"/>
  <c r="B31" i="52" s="1"/>
  <c r="B36" i="52"/>
  <c r="B33" i="52"/>
  <c r="B37" i="52"/>
  <c r="R18" i="51"/>
  <c r="L18" i="51"/>
  <c r="B34" i="51"/>
  <c r="R21" i="51"/>
  <c r="B35" i="51"/>
  <c r="L6" i="51"/>
  <c r="B36" i="51"/>
  <c r="B33" i="51"/>
  <c r="B37" i="51"/>
  <c r="R18" i="50"/>
  <c r="L16" i="50"/>
  <c r="J21" i="50"/>
  <c r="L22" i="50"/>
  <c r="J22" i="50"/>
  <c r="R21" i="50"/>
  <c r="B40" i="50"/>
  <c r="B39" i="50"/>
  <c r="B35" i="50"/>
  <c r="B36" i="50"/>
  <c r="B33" i="50"/>
  <c r="B37" i="50"/>
  <c r="R12" i="49"/>
  <c r="R14" i="49"/>
  <c r="R10" i="49"/>
  <c r="R17" i="49"/>
  <c r="R9" i="49"/>
  <c r="R13" i="49"/>
  <c r="R16" i="49"/>
  <c r="L18" i="49"/>
  <c r="L7" i="49"/>
  <c r="L17" i="49"/>
  <c r="L21" i="49" s="1"/>
  <c r="J21" i="49"/>
  <c r="B34" i="49"/>
  <c r="B39" i="49" s="1"/>
  <c r="L22" i="49"/>
  <c r="J22" i="49"/>
  <c r="R6" i="49"/>
  <c r="R21" i="49" s="1"/>
  <c r="B35" i="49"/>
  <c r="B36" i="49"/>
  <c r="B33" i="49"/>
  <c r="B37" i="49"/>
  <c r="AB4" i="13"/>
  <c r="AA4" i="13"/>
  <c r="Y4" i="13"/>
  <c r="Z4" i="13"/>
  <c r="X4" i="13"/>
  <c r="W4" i="13"/>
  <c r="V4" i="13"/>
  <c r="U4" i="13"/>
  <c r="T4" i="13"/>
  <c r="S4" i="13"/>
  <c r="S5" i="13"/>
  <c r="AA5" i="13"/>
  <c r="J27" i="63" l="1"/>
  <c r="J30" i="63"/>
  <c r="J25" i="63"/>
  <c r="J29" i="63"/>
  <c r="J34" i="63"/>
  <c r="J33" i="63"/>
  <c r="L26" i="60"/>
  <c r="G49" i="13" s="1"/>
  <c r="L24" i="60"/>
  <c r="G47" i="13" s="1"/>
  <c r="J35" i="62"/>
  <c r="J25" i="62"/>
  <c r="J29" i="62"/>
  <c r="J31" i="62"/>
  <c r="J27" i="62"/>
  <c r="J30" i="62"/>
  <c r="J34" i="62" s="1"/>
  <c r="J32" i="62"/>
  <c r="J25" i="61"/>
  <c r="J29" i="61"/>
  <c r="J30" i="61"/>
  <c r="J27" i="61"/>
  <c r="J31" i="61"/>
  <c r="J32" i="61"/>
  <c r="L24" i="61"/>
  <c r="J35" i="61" s="1"/>
  <c r="L26" i="61"/>
  <c r="J36" i="61" s="1"/>
  <c r="J34" i="61" s="1"/>
  <c r="J37" i="61"/>
  <c r="J29" i="60"/>
  <c r="G34" i="13" s="1"/>
  <c r="J25" i="60"/>
  <c r="G30" i="13" s="1"/>
  <c r="J31" i="60"/>
  <c r="G36" i="13" s="1"/>
  <c r="J38" i="60"/>
  <c r="G57" i="13" s="1"/>
  <c r="J30" i="60"/>
  <c r="J27" i="60"/>
  <c r="G32" i="13" s="1"/>
  <c r="J32" i="60"/>
  <c r="G37" i="13" s="1"/>
  <c r="J39" i="60"/>
  <c r="G58" i="13" s="1"/>
  <c r="J35" i="59"/>
  <c r="J27" i="59"/>
  <c r="J30" i="59"/>
  <c r="J25" i="59"/>
  <c r="J29" i="59"/>
  <c r="J31" i="59"/>
  <c r="J32" i="59"/>
  <c r="J36" i="59"/>
  <c r="J35" i="58"/>
  <c r="J30" i="58"/>
  <c r="J27" i="58"/>
  <c r="J32" i="58"/>
  <c r="L26" i="58"/>
  <c r="J36" i="58" s="1"/>
  <c r="J25" i="58"/>
  <c r="J29" i="58"/>
  <c r="L21" i="56"/>
  <c r="L21" i="50"/>
  <c r="B40" i="55" a="1"/>
  <c r="B40" i="55" s="1"/>
  <c r="B37" i="55" s="1"/>
  <c r="J26" i="55" s="1"/>
  <c r="J39" i="55" s="1"/>
  <c r="B44" i="55"/>
  <c r="B43" i="55"/>
  <c r="B46" i="55" s="1"/>
  <c r="L22" i="56"/>
  <c r="L24" i="56" s="1"/>
  <c r="J35" i="56" s="1"/>
  <c r="B39" i="52"/>
  <c r="B30" i="50"/>
  <c r="L26" i="50" s="1"/>
  <c r="B40" i="49"/>
  <c r="B47" i="56"/>
  <c r="B46" i="56"/>
  <c r="J24" i="56"/>
  <c r="J38" i="56" s="1"/>
  <c r="J31" i="56"/>
  <c r="B37" i="56"/>
  <c r="J26" i="56" s="1"/>
  <c r="J39" i="56" s="1"/>
  <c r="B47" i="54"/>
  <c r="B46" i="54"/>
  <c r="L24" i="54"/>
  <c r="J24" i="54"/>
  <c r="J38" i="54" s="1"/>
  <c r="B37" i="54"/>
  <c r="L26" i="54" s="1"/>
  <c r="B37" i="53"/>
  <c r="L26" i="53" s="1"/>
  <c r="J24" i="53"/>
  <c r="L24" i="53"/>
  <c r="B47" i="53"/>
  <c r="B46" i="53"/>
  <c r="L24" i="52"/>
  <c r="B30" i="52"/>
  <c r="L26" i="52" s="1"/>
  <c r="L21" i="52"/>
  <c r="J24" i="52"/>
  <c r="J31" i="52" s="1"/>
  <c r="B30" i="51"/>
  <c r="B40" i="51"/>
  <c r="B39" i="51"/>
  <c r="J24" i="50"/>
  <c r="J31" i="50" s="1"/>
  <c r="L24" i="50"/>
  <c r="B30" i="49"/>
  <c r="J26" i="49" s="1"/>
  <c r="J24" i="49"/>
  <c r="J31" i="49" s="1"/>
  <c r="AC36" i="13" s="1"/>
  <c r="L24" i="49"/>
  <c r="Y5" i="31"/>
  <c r="U5" i="31"/>
  <c r="O5" i="31"/>
  <c r="I5" i="31"/>
  <c r="D59" i="13" s="1"/>
  <c r="R59" i="13"/>
  <c r="Q59" i="13"/>
  <c r="P59" i="13"/>
  <c r="J36" i="60" l="1"/>
  <c r="G41" i="13" s="1"/>
  <c r="G35" i="13"/>
  <c r="J35" i="60"/>
  <c r="G40" i="13" s="1"/>
  <c r="J33" i="62"/>
  <c r="J33" i="61"/>
  <c r="J33" i="59"/>
  <c r="J34" i="59"/>
  <c r="J33" i="58"/>
  <c r="J34" i="58"/>
  <c r="J38" i="53"/>
  <c r="AG57" i="13" s="1"/>
  <c r="AG29" i="13"/>
  <c r="J24" i="55"/>
  <c r="L24" i="55"/>
  <c r="J35" i="52"/>
  <c r="B47" i="55"/>
  <c r="J26" i="50"/>
  <c r="J32" i="50" s="1"/>
  <c r="L26" i="56"/>
  <c r="J36" i="56" s="1"/>
  <c r="J30" i="56"/>
  <c r="J27" i="56"/>
  <c r="J32" i="56"/>
  <c r="J25" i="56"/>
  <c r="J29" i="56"/>
  <c r="J33" i="56" s="1"/>
  <c r="L26" i="55"/>
  <c r="J36" i="55" s="1"/>
  <c r="J30" i="55"/>
  <c r="J27" i="55"/>
  <c r="J32" i="55"/>
  <c r="J35" i="54"/>
  <c r="J26" i="54"/>
  <c r="J25" i="54"/>
  <c r="J29" i="54"/>
  <c r="J31" i="54"/>
  <c r="J26" i="53"/>
  <c r="AG40" i="13"/>
  <c r="J29" i="53"/>
  <c r="AG34" i="13" s="1"/>
  <c r="J25" i="53"/>
  <c r="AG30" i="13" s="1"/>
  <c r="J31" i="53"/>
  <c r="AG36" i="13" s="1"/>
  <c r="J26" i="52"/>
  <c r="J36" i="52" s="1"/>
  <c r="J29" i="52"/>
  <c r="J25" i="52"/>
  <c r="J29" i="50"/>
  <c r="J25" i="50"/>
  <c r="J35" i="50"/>
  <c r="J35" i="49"/>
  <c r="AC40" i="13" s="1"/>
  <c r="L26" i="49"/>
  <c r="J36" i="49" s="1"/>
  <c r="AC41" i="13" s="1"/>
  <c r="J25" i="49"/>
  <c r="J29" i="49"/>
  <c r="AC34" i="13" s="1"/>
  <c r="J27" i="49"/>
  <c r="J30" i="49"/>
  <c r="AC35" i="13" s="1"/>
  <c r="J32" i="49"/>
  <c r="AC37" i="13" s="1"/>
  <c r="S2" i="13"/>
  <c r="AB2" i="13"/>
  <c r="AA2" i="13"/>
  <c r="Z2" i="13"/>
  <c r="Y2" i="13"/>
  <c r="X2" i="13"/>
  <c r="W2" i="13"/>
  <c r="V2" i="13"/>
  <c r="U2" i="13"/>
  <c r="T2" i="13"/>
  <c r="P2" i="13"/>
  <c r="R2" i="13"/>
  <c r="Q2" i="13"/>
  <c r="O2" i="13"/>
  <c r="N2" i="13"/>
  <c r="M2" i="13"/>
  <c r="L2" i="13"/>
  <c r="K2" i="13"/>
  <c r="J2" i="13"/>
  <c r="I2" i="13"/>
  <c r="D2" i="13"/>
  <c r="C2" i="13"/>
  <c r="J33" i="60" l="1"/>
  <c r="G38" i="13" s="1"/>
  <c r="J34" i="60"/>
  <c r="G39" i="13" s="1"/>
  <c r="J29" i="55"/>
  <c r="J38" i="55"/>
  <c r="J30" i="54"/>
  <c r="J39" i="54"/>
  <c r="J36" i="53"/>
  <c r="AG41" i="13" s="1"/>
  <c r="AG31" i="13"/>
  <c r="J39" i="53"/>
  <c r="AG58" i="13" s="1"/>
  <c r="J35" i="55"/>
  <c r="J25" i="55"/>
  <c r="J31" i="55"/>
  <c r="J33" i="52"/>
  <c r="J36" i="50"/>
  <c r="J27" i="50"/>
  <c r="J30" i="50"/>
  <c r="J34" i="56"/>
  <c r="J34" i="55"/>
  <c r="J32" i="54"/>
  <c r="J33" i="54"/>
  <c r="J36" i="54"/>
  <c r="J34" i="54" s="1"/>
  <c r="J27" i="54"/>
  <c r="J30" i="53"/>
  <c r="J33" i="53"/>
  <c r="AG38" i="13" s="1"/>
  <c r="J32" i="53"/>
  <c r="AG37" i="13" s="1"/>
  <c r="J27" i="53"/>
  <c r="AG32" i="13" s="1"/>
  <c r="J30" i="52"/>
  <c r="J34" i="52" s="1"/>
  <c r="J27" i="52"/>
  <c r="J32" i="52"/>
  <c r="J33" i="50"/>
  <c r="J33" i="49"/>
  <c r="AC38" i="13" s="1"/>
  <c r="J34" i="49"/>
  <c r="AC39" i="13" s="1"/>
  <c r="AB5" i="13"/>
  <c r="AB6" i="13"/>
  <c r="AB7" i="13"/>
  <c r="AB8" i="13"/>
  <c r="AB9" i="13"/>
  <c r="AB10" i="13"/>
  <c r="AB11" i="13"/>
  <c r="AB12" i="13"/>
  <c r="AB13" i="13"/>
  <c r="AA6" i="13"/>
  <c r="AA7" i="13"/>
  <c r="AA8" i="13"/>
  <c r="AA9" i="13"/>
  <c r="AA10" i="13"/>
  <c r="AA11" i="13"/>
  <c r="AA12" i="13"/>
  <c r="AA13" i="13"/>
  <c r="Z5" i="13"/>
  <c r="Z6" i="13"/>
  <c r="Z7" i="13"/>
  <c r="Z8" i="13"/>
  <c r="Z9" i="13"/>
  <c r="Z10" i="13"/>
  <c r="Z11" i="13"/>
  <c r="Z12" i="13"/>
  <c r="Z13" i="13"/>
  <c r="Y5" i="13"/>
  <c r="Y6" i="13"/>
  <c r="Y7" i="13"/>
  <c r="Y8" i="13"/>
  <c r="Y9" i="13"/>
  <c r="Y10" i="13"/>
  <c r="Y11" i="13"/>
  <c r="Y12" i="13"/>
  <c r="Y13" i="13"/>
  <c r="X5" i="13"/>
  <c r="X6" i="13"/>
  <c r="X7" i="13"/>
  <c r="X8" i="13"/>
  <c r="X9" i="13"/>
  <c r="X10" i="13"/>
  <c r="X11" i="13"/>
  <c r="X12" i="13"/>
  <c r="X13" i="13"/>
  <c r="W5" i="13"/>
  <c r="W6" i="13"/>
  <c r="W7" i="13"/>
  <c r="W8" i="13"/>
  <c r="W9" i="13"/>
  <c r="W10" i="13"/>
  <c r="W11" i="13"/>
  <c r="W12" i="13"/>
  <c r="W13" i="13"/>
  <c r="V5" i="13"/>
  <c r="V6" i="13"/>
  <c r="V7" i="13"/>
  <c r="V8" i="13"/>
  <c r="V9" i="13"/>
  <c r="V10" i="13"/>
  <c r="V11" i="13"/>
  <c r="V12" i="13"/>
  <c r="V13" i="13"/>
  <c r="U5" i="13"/>
  <c r="U6" i="13"/>
  <c r="U7" i="13"/>
  <c r="U8" i="13"/>
  <c r="U9" i="13"/>
  <c r="U10" i="13"/>
  <c r="U11" i="13"/>
  <c r="U12" i="13"/>
  <c r="U13" i="13"/>
  <c r="T5" i="13"/>
  <c r="T6" i="13"/>
  <c r="T7" i="13"/>
  <c r="T8" i="13"/>
  <c r="T9" i="13"/>
  <c r="T10" i="13"/>
  <c r="T11" i="13"/>
  <c r="T12" i="13"/>
  <c r="T13" i="13"/>
  <c r="S6" i="13"/>
  <c r="S7" i="13"/>
  <c r="S8" i="13"/>
  <c r="S9" i="13"/>
  <c r="S10" i="13"/>
  <c r="S11" i="13"/>
  <c r="S12" i="13"/>
  <c r="S13" i="13"/>
  <c r="AB3" i="13"/>
  <c r="AA3" i="13"/>
  <c r="Z3" i="13"/>
  <c r="Y3" i="13"/>
  <c r="X3" i="13"/>
  <c r="W3" i="13"/>
  <c r="V3" i="13"/>
  <c r="U3" i="13"/>
  <c r="T3" i="13"/>
  <c r="S3" i="13"/>
  <c r="AB48" i="13"/>
  <c r="AB46" i="13"/>
  <c r="AB33" i="13"/>
  <c r="AB28" i="13"/>
  <c r="AA48" i="13"/>
  <c r="AA46" i="13"/>
  <c r="AA33" i="13"/>
  <c r="AA28" i="13"/>
  <c r="Z48" i="13"/>
  <c r="Z46" i="13"/>
  <c r="Z33" i="13"/>
  <c r="Z28" i="13"/>
  <c r="Y48" i="13"/>
  <c r="Y46" i="13"/>
  <c r="Y33" i="13"/>
  <c r="Y28" i="13"/>
  <c r="X48" i="13"/>
  <c r="X46" i="13"/>
  <c r="X33" i="13"/>
  <c r="X28" i="13"/>
  <c r="W54" i="13"/>
  <c r="W52" i="13"/>
  <c r="W51" i="13"/>
  <c r="W49" i="13"/>
  <c r="W48" i="13"/>
  <c r="W47" i="13"/>
  <c r="W46" i="13"/>
  <c r="W45" i="13"/>
  <c r="W44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V48" i="13"/>
  <c r="V46" i="13"/>
  <c r="V33" i="13"/>
  <c r="V28" i="13"/>
  <c r="U48" i="13"/>
  <c r="U46" i="13"/>
  <c r="U33" i="13"/>
  <c r="U28" i="13"/>
  <c r="T48" i="13"/>
  <c r="T46" i="13"/>
  <c r="T33" i="13"/>
  <c r="T28" i="13"/>
  <c r="S54" i="13"/>
  <c r="S52" i="13"/>
  <c r="S51" i="13"/>
  <c r="S49" i="13"/>
  <c r="S48" i="13"/>
  <c r="S47" i="13"/>
  <c r="S46" i="13"/>
  <c r="S45" i="13"/>
  <c r="S44" i="13"/>
  <c r="S41" i="13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R3" i="13"/>
  <c r="R48" i="13"/>
  <c r="R46" i="13"/>
  <c r="R33" i="13"/>
  <c r="R28" i="13"/>
  <c r="R13" i="13"/>
  <c r="R12" i="13"/>
  <c r="R11" i="13"/>
  <c r="R10" i="13"/>
  <c r="R9" i="13"/>
  <c r="R8" i="13"/>
  <c r="R7" i="13"/>
  <c r="R6" i="13"/>
  <c r="R5" i="13"/>
  <c r="R4" i="13"/>
  <c r="Q3" i="13"/>
  <c r="Q48" i="13"/>
  <c r="Q46" i="13"/>
  <c r="Q33" i="13"/>
  <c r="Q28" i="13"/>
  <c r="Q13" i="13"/>
  <c r="Q12" i="13"/>
  <c r="Q11" i="13"/>
  <c r="Q10" i="13"/>
  <c r="Q9" i="13"/>
  <c r="Q8" i="13"/>
  <c r="Q7" i="13"/>
  <c r="Q6" i="13"/>
  <c r="Q5" i="13"/>
  <c r="Q4" i="13"/>
  <c r="P3" i="13"/>
  <c r="P48" i="13"/>
  <c r="P46" i="13"/>
  <c r="P33" i="13"/>
  <c r="P28" i="13"/>
  <c r="P13" i="13"/>
  <c r="P12" i="13"/>
  <c r="P11" i="13"/>
  <c r="P10" i="13"/>
  <c r="P9" i="13"/>
  <c r="P8" i="13"/>
  <c r="P7" i="13"/>
  <c r="P6" i="13"/>
  <c r="P5" i="13"/>
  <c r="P4" i="13"/>
  <c r="O3" i="13"/>
  <c r="O4" i="13"/>
  <c r="O5" i="13"/>
  <c r="O6" i="13"/>
  <c r="O7" i="13"/>
  <c r="O8" i="13"/>
  <c r="O9" i="13"/>
  <c r="O10" i="13"/>
  <c r="O11" i="13"/>
  <c r="O12" i="13"/>
  <c r="O13" i="13"/>
  <c r="O28" i="13"/>
  <c r="O33" i="13"/>
  <c r="O46" i="13"/>
  <c r="O48" i="13"/>
  <c r="N4" i="13"/>
  <c r="N3" i="13"/>
  <c r="N48" i="13"/>
  <c r="N46" i="13"/>
  <c r="N33" i="13"/>
  <c r="N28" i="13"/>
  <c r="N13" i="13"/>
  <c r="N12" i="13"/>
  <c r="N11" i="13"/>
  <c r="N10" i="13"/>
  <c r="N9" i="13"/>
  <c r="N8" i="13"/>
  <c r="N7" i="13"/>
  <c r="N6" i="13"/>
  <c r="N5" i="13"/>
  <c r="M3" i="13"/>
  <c r="M48" i="13"/>
  <c r="M46" i="13"/>
  <c r="M33" i="13"/>
  <c r="M28" i="13"/>
  <c r="M13" i="13"/>
  <c r="M12" i="13"/>
  <c r="M11" i="13"/>
  <c r="M10" i="13"/>
  <c r="M9" i="13"/>
  <c r="M8" i="13"/>
  <c r="M7" i="13"/>
  <c r="M6" i="13"/>
  <c r="M5" i="13"/>
  <c r="M4" i="13"/>
  <c r="L4" i="13"/>
  <c r="L3" i="13"/>
  <c r="L48" i="13"/>
  <c r="L46" i="13"/>
  <c r="L33" i="13"/>
  <c r="L28" i="13"/>
  <c r="L13" i="13"/>
  <c r="L12" i="13"/>
  <c r="L11" i="13"/>
  <c r="L10" i="13"/>
  <c r="L9" i="13"/>
  <c r="L8" i="13"/>
  <c r="L7" i="13"/>
  <c r="L6" i="13"/>
  <c r="L5" i="13"/>
  <c r="J3" i="13"/>
  <c r="J48" i="13"/>
  <c r="J46" i="13"/>
  <c r="J33" i="13"/>
  <c r="J28" i="13"/>
  <c r="J13" i="13"/>
  <c r="J12" i="13"/>
  <c r="J11" i="13"/>
  <c r="J10" i="13"/>
  <c r="J9" i="13"/>
  <c r="J8" i="13"/>
  <c r="J7" i="13"/>
  <c r="J6" i="13"/>
  <c r="J5" i="13"/>
  <c r="J4" i="13"/>
  <c r="K3" i="13"/>
  <c r="K48" i="13"/>
  <c r="K46" i="13"/>
  <c r="K33" i="13"/>
  <c r="K28" i="13"/>
  <c r="K13" i="13"/>
  <c r="K12" i="13"/>
  <c r="K11" i="13"/>
  <c r="K10" i="13"/>
  <c r="K9" i="13"/>
  <c r="K8" i="13"/>
  <c r="K7" i="13"/>
  <c r="K6" i="13"/>
  <c r="K5" i="13"/>
  <c r="K4" i="13"/>
  <c r="I3" i="13"/>
  <c r="I4" i="13"/>
  <c r="I5" i="13"/>
  <c r="I6" i="13"/>
  <c r="I7" i="13"/>
  <c r="I8" i="13"/>
  <c r="I9" i="13"/>
  <c r="I10" i="13"/>
  <c r="I11" i="13"/>
  <c r="I12" i="13"/>
  <c r="I13" i="13"/>
  <c r="I28" i="13"/>
  <c r="I33" i="13"/>
  <c r="I46" i="13"/>
  <c r="I48" i="13"/>
  <c r="D4" i="13"/>
  <c r="D5" i="13"/>
  <c r="D6" i="13"/>
  <c r="D7" i="13"/>
  <c r="D8" i="13"/>
  <c r="D9" i="13"/>
  <c r="D10" i="13"/>
  <c r="D11" i="13"/>
  <c r="D12" i="13"/>
  <c r="D13" i="13"/>
  <c r="D3" i="13"/>
  <c r="D48" i="13"/>
  <c r="D46" i="13"/>
  <c r="D33" i="13"/>
  <c r="D28" i="13"/>
  <c r="C46" i="13"/>
  <c r="C48" i="13"/>
  <c r="C28" i="13"/>
  <c r="C33" i="13"/>
  <c r="C4" i="13"/>
  <c r="C5" i="13"/>
  <c r="C6" i="13"/>
  <c r="C7" i="13"/>
  <c r="C8" i="13"/>
  <c r="C9" i="13"/>
  <c r="C10" i="13"/>
  <c r="C11" i="13"/>
  <c r="C12" i="13"/>
  <c r="C13" i="13"/>
  <c r="C3" i="13"/>
  <c r="J33" i="55" l="1"/>
  <c r="J34" i="53"/>
  <c r="AG39" i="13" s="1"/>
  <c r="AG35" i="13"/>
  <c r="J34" i="50"/>
  <c r="B25" i="47" a="1"/>
  <c r="B25" i="47" s="1"/>
  <c r="B32" i="47"/>
  <c r="B29" i="47"/>
  <c r="F26" i="47" a="1"/>
  <c r="F26" i="47" s="1"/>
  <c r="E26" i="47" a="1"/>
  <c r="E26" i="47" s="1"/>
  <c r="G26" i="47" s="1"/>
  <c r="D26" i="47" a="1"/>
  <c r="D26" i="47" s="1"/>
  <c r="B26" i="47" a="1"/>
  <c r="B26" i="47" s="1"/>
  <c r="F25" i="47" a="1"/>
  <c r="F25" i="47" s="1"/>
  <c r="E25" i="47" a="1"/>
  <c r="E25" i="47" s="1"/>
  <c r="G25" i="47" s="1"/>
  <c r="D25" i="47" a="1"/>
  <c r="D25" i="47" s="1"/>
  <c r="Z15" i="47"/>
  <c r="V15" i="47"/>
  <c r="Q15" i="47"/>
  <c r="P15" i="47"/>
  <c r="K15" i="47"/>
  <c r="J15" i="47"/>
  <c r="Z14" i="47"/>
  <c r="V14" i="47"/>
  <c r="Q14" i="47"/>
  <c r="P14" i="47"/>
  <c r="R15" i="47" s="1"/>
  <c r="K14" i="47"/>
  <c r="J14" i="47"/>
  <c r="L15" i="47" s="1"/>
  <c r="Z13" i="47"/>
  <c r="V13" i="47"/>
  <c r="Q13" i="47"/>
  <c r="P13" i="47"/>
  <c r="K13" i="47"/>
  <c r="J13" i="47"/>
  <c r="L14" i="47" s="1"/>
  <c r="Z12" i="47"/>
  <c r="V12" i="47"/>
  <c r="Q12" i="47"/>
  <c r="P12" i="47"/>
  <c r="R13" i="47" s="1"/>
  <c r="K12" i="47"/>
  <c r="J12" i="47"/>
  <c r="L13" i="47" s="1"/>
  <c r="Z11" i="47"/>
  <c r="V11" i="47"/>
  <c r="Q11" i="47"/>
  <c r="P11" i="47"/>
  <c r="K11" i="47"/>
  <c r="J11" i="47"/>
  <c r="L12" i="47" s="1"/>
  <c r="Z10" i="47"/>
  <c r="V10" i="47"/>
  <c r="Q10" i="47"/>
  <c r="P10" i="47"/>
  <c r="R11" i="47" s="1"/>
  <c r="K10" i="47"/>
  <c r="J10" i="47"/>
  <c r="L11" i="47" s="1"/>
  <c r="Z9" i="47"/>
  <c r="V9" i="47"/>
  <c r="Q9" i="47"/>
  <c r="P9" i="47"/>
  <c r="K9" i="47"/>
  <c r="J9" i="47"/>
  <c r="L10" i="47" s="1"/>
  <c r="Z8" i="47"/>
  <c r="V8" i="47"/>
  <c r="Q8" i="47"/>
  <c r="P8" i="47"/>
  <c r="R9" i="47" s="1"/>
  <c r="K8" i="47"/>
  <c r="J8" i="47"/>
  <c r="L9" i="47" s="1"/>
  <c r="Z7" i="47"/>
  <c r="V7" i="47"/>
  <c r="Q7" i="47"/>
  <c r="P7" i="47"/>
  <c r="K7" i="47"/>
  <c r="J7" i="47"/>
  <c r="L8" i="47" s="1"/>
  <c r="Z6" i="47"/>
  <c r="V6" i="47"/>
  <c r="V21" i="47" s="1"/>
  <c r="AB54" i="13" s="1"/>
  <c r="Q6" i="47"/>
  <c r="P6" i="47"/>
  <c r="K6" i="47"/>
  <c r="J21" i="47" s="1"/>
  <c r="AB26" i="13" s="1"/>
  <c r="J6" i="47"/>
  <c r="L7" i="47" s="1"/>
  <c r="P5" i="47"/>
  <c r="J5" i="47"/>
  <c r="L6" i="47" s="1"/>
  <c r="L21" i="47" s="1"/>
  <c r="AB44" i="13" s="1"/>
  <c r="B32" i="46"/>
  <c r="AA19" i="13" s="1"/>
  <c r="B31" i="46"/>
  <c r="AA18" i="13" s="1"/>
  <c r="B29" i="46"/>
  <c r="F26" i="46" a="1"/>
  <c r="F26" i="46" s="1"/>
  <c r="E26" i="46" a="1"/>
  <c r="E26" i="46" s="1"/>
  <c r="G26" i="46" s="1"/>
  <c r="D26" i="46" a="1"/>
  <c r="D26" i="46" s="1"/>
  <c r="B26" i="46" a="1"/>
  <c r="B26" i="46" s="1"/>
  <c r="F25" i="46" a="1"/>
  <c r="F25" i="46" s="1"/>
  <c r="E25" i="46" a="1"/>
  <c r="E25" i="46" s="1"/>
  <c r="G25" i="46" s="1"/>
  <c r="D25" i="46" a="1"/>
  <c r="D25" i="46" s="1"/>
  <c r="B25" i="46" a="1"/>
  <c r="B25" i="46" s="1"/>
  <c r="F24" i="46"/>
  <c r="F24" i="46" a="1"/>
  <c r="E24" i="46" a="1"/>
  <c r="E24" i="46" s="1"/>
  <c r="G24" i="46" s="1"/>
  <c r="D24" i="46"/>
  <c r="D24" i="46" a="1"/>
  <c r="B24" i="46" a="1"/>
  <c r="B24" i="46" s="1"/>
  <c r="F23" i="46" a="1"/>
  <c r="F23" i="46" s="1"/>
  <c r="E23" i="46" a="1"/>
  <c r="E23" i="46" s="1"/>
  <c r="G23" i="46" s="1"/>
  <c r="D23" i="46" a="1"/>
  <c r="D23" i="46" s="1"/>
  <c r="B23" i="46" a="1"/>
  <c r="B23" i="46" s="1"/>
  <c r="F22" i="46"/>
  <c r="F22" i="46" a="1"/>
  <c r="E22" i="46" a="1"/>
  <c r="E22" i="46" s="1"/>
  <c r="G22" i="46" s="1"/>
  <c r="D22" i="46"/>
  <c r="D22" i="46" a="1"/>
  <c r="B22" i="46" a="1"/>
  <c r="B22" i="46" s="1"/>
  <c r="Z18" i="46"/>
  <c r="V18" i="46"/>
  <c r="Q18" i="46"/>
  <c r="P18" i="46"/>
  <c r="K18" i="46"/>
  <c r="J18" i="46"/>
  <c r="Z17" i="46"/>
  <c r="V17" i="46"/>
  <c r="Q17" i="46"/>
  <c r="P17" i="46"/>
  <c r="R17" i="46" s="1"/>
  <c r="K17" i="46"/>
  <c r="J17" i="46"/>
  <c r="L18" i="46" s="1"/>
  <c r="Z16" i="46"/>
  <c r="V16" i="46"/>
  <c r="Q16" i="46"/>
  <c r="P16" i="46"/>
  <c r="K16" i="46"/>
  <c r="J16" i="46"/>
  <c r="L17" i="46" s="1"/>
  <c r="V15" i="46"/>
  <c r="Q15" i="46"/>
  <c r="P15" i="46"/>
  <c r="R16" i="46" s="1"/>
  <c r="K15" i="46"/>
  <c r="J15" i="46"/>
  <c r="Y14" i="46"/>
  <c r="Z13" i="46"/>
  <c r="V13" i="46"/>
  <c r="Q13" i="46"/>
  <c r="P13" i="46"/>
  <c r="R15" i="46" s="1"/>
  <c r="K13" i="46"/>
  <c r="J13" i="46"/>
  <c r="L15" i="46" s="1"/>
  <c r="Z12" i="46"/>
  <c r="V12" i="46"/>
  <c r="Q12" i="46"/>
  <c r="P12" i="46"/>
  <c r="L12" i="46"/>
  <c r="K12" i="46"/>
  <c r="J12" i="46"/>
  <c r="Z11" i="46"/>
  <c r="V11" i="46"/>
  <c r="Q11" i="46"/>
  <c r="P11" i="46"/>
  <c r="K11" i="46"/>
  <c r="J11" i="46"/>
  <c r="Z10" i="46"/>
  <c r="V10" i="46"/>
  <c r="Q10" i="46"/>
  <c r="P10" i="46"/>
  <c r="R11" i="46" s="1"/>
  <c r="K10" i="46"/>
  <c r="J10" i="46"/>
  <c r="L11" i="46" s="1"/>
  <c r="Z9" i="46"/>
  <c r="V9" i="46"/>
  <c r="Q9" i="46"/>
  <c r="P9" i="46"/>
  <c r="R10" i="46" s="1"/>
  <c r="K9" i="46"/>
  <c r="J9" i="46"/>
  <c r="L9" i="46" s="1"/>
  <c r="Z8" i="46"/>
  <c r="V8" i="46"/>
  <c r="Q8" i="46"/>
  <c r="P8" i="46"/>
  <c r="L8" i="46"/>
  <c r="K8" i="46"/>
  <c r="J8" i="46"/>
  <c r="Z7" i="46"/>
  <c r="V7" i="46"/>
  <c r="Q7" i="46"/>
  <c r="P7" i="46"/>
  <c r="K7" i="46"/>
  <c r="J7" i="46"/>
  <c r="Z6" i="46"/>
  <c r="V6" i="46"/>
  <c r="Q6" i="46"/>
  <c r="P6" i="46"/>
  <c r="R7" i="46" s="1"/>
  <c r="K6" i="46"/>
  <c r="J6" i="46"/>
  <c r="L7" i="46" s="1"/>
  <c r="P5" i="46"/>
  <c r="R6" i="46" s="1"/>
  <c r="J5" i="46"/>
  <c r="B32" i="45"/>
  <c r="B29" i="45"/>
  <c r="F26" i="45" a="1"/>
  <c r="F26" i="45" s="1"/>
  <c r="E26" i="45"/>
  <c r="G26" i="45" s="1"/>
  <c r="E26" i="45" a="1"/>
  <c r="D26" i="45" a="1"/>
  <c r="D26" i="45" s="1"/>
  <c r="B26" i="45"/>
  <c r="B26" i="45" a="1"/>
  <c r="F25" i="45" a="1"/>
  <c r="F25" i="45" s="1"/>
  <c r="E25" i="45" a="1"/>
  <c r="E25" i="45" s="1"/>
  <c r="G25" i="45" s="1"/>
  <c r="D25" i="45" a="1"/>
  <c r="D25" i="45" s="1"/>
  <c r="B25" i="45" a="1"/>
  <c r="B25" i="45" s="1"/>
  <c r="F24" i="45"/>
  <c r="F24" i="45" a="1"/>
  <c r="E24" i="45" a="1"/>
  <c r="E24" i="45" s="1"/>
  <c r="G24" i="45" s="1"/>
  <c r="D24" i="45" a="1"/>
  <c r="D24" i="45" s="1"/>
  <c r="B24" i="45" a="1"/>
  <c r="B24" i="45" s="1"/>
  <c r="F23" i="45" a="1"/>
  <c r="F23" i="45" s="1"/>
  <c r="E23" i="45" a="1"/>
  <c r="E23" i="45" s="1"/>
  <c r="G23" i="45" s="1"/>
  <c r="D23" i="45" a="1"/>
  <c r="D23" i="45" s="1"/>
  <c r="B23" i="45" a="1"/>
  <c r="B23" i="45" s="1"/>
  <c r="F22" i="45" a="1"/>
  <c r="F22" i="45" s="1"/>
  <c r="E22" i="45"/>
  <c r="G22" i="45" s="1"/>
  <c r="E22" i="45" a="1"/>
  <c r="D22" i="45" a="1"/>
  <c r="D22" i="45" s="1"/>
  <c r="B22" i="45" a="1"/>
  <c r="B22" i="45" s="1"/>
  <c r="Z18" i="45"/>
  <c r="V18" i="45"/>
  <c r="Q18" i="45"/>
  <c r="P18" i="45"/>
  <c r="L18" i="45"/>
  <c r="K18" i="45"/>
  <c r="J18" i="45"/>
  <c r="Z17" i="45"/>
  <c r="V17" i="45"/>
  <c r="Q17" i="45"/>
  <c r="P17" i="45"/>
  <c r="K17" i="45"/>
  <c r="J17" i="45"/>
  <c r="Z16" i="45"/>
  <c r="V16" i="45"/>
  <c r="Q16" i="45"/>
  <c r="P16" i="45"/>
  <c r="R17" i="45" s="1"/>
  <c r="K16" i="45"/>
  <c r="J16" i="45"/>
  <c r="L17" i="45" s="1"/>
  <c r="Z15" i="45"/>
  <c r="V15" i="45"/>
  <c r="Q15" i="45"/>
  <c r="P15" i="45"/>
  <c r="R16" i="45" s="1"/>
  <c r="K15" i="45"/>
  <c r="J15" i="45"/>
  <c r="L16" i="45" s="1"/>
  <c r="Z14" i="45"/>
  <c r="V14" i="45"/>
  <c r="Q14" i="45"/>
  <c r="P14" i="45"/>
  <c r="L14" i="45"/>
  <c r="K14" i="45"/>
  <c r="J14" i="45"/>
  <c r="L15" i="45" s="1"/>
  <c r="Z13" i="45"/>
  <c r="V13" i="45"/>
  <c r="Q13" i="45"/>
  <c r="P13" i="45"/>
  <c r="K13" i="45"/>
  <c r="J13" i="45"/>
  <c r="Z12" i="45"/>
  <c r="V12" i="45"/>
  <c r="Q12" i="45"/>
  <c r="P12" i="45"/>
  <c r="R13" i="45" s="1"/>
  <c r="K12" i="45"/>
  <c r="J12" i="45"/>
  <c r="L13" i="45" s="1"/>
  <c r="Z11" i="45"/>
  <c r="Z21" i="45" s="1"/>
  <c r="Z55" i="13" s="1"/>
  <c r="V11" i="45"/>
  <c r="Q11" i="45"/>
  <c r="P11" i="45"/>
  <c r="R12" i="45" s="1"/>
  <c r="K11" i="45"/>
  <c r="J11" i="45"/>
  <c r="L12" i="45" s="1"/>
  <c r="Z10" i="45"/>
  <c r="V10" i="45"/>
  <c r="Q10" i="45"/>
  <c r="P10" i="45"/>
  <c r="L10" i="45"/>
  <c r="K10" i="45"/>
  <c r="J10" i="45"/>
  <c r="L11" i="45" s="1"/>
  <c r="Z9" i="45"/>
  <c r="V9" i="45"/>
  <c r="Q9" i="45"/>
  <c r="P9" i="45"/>
  <c r="K9" i="45"/>
  <c r="J9" i="45"/>
  <c r="Z8" i="45"/>
  <c r="V8" i="45"/>
  <c r="Q8" i="45"/>
  <c r="P21" i="45" s="1"/>
  <c r="J32" i="45" s="1"/>
  <c r="Z37" i="13" s="1"/>
  <c r="P8" i="45"/>
  <c r="R9" i="45" s="1"/>
  <c r="K8" i="45"/>
  <c r="J8" i="45"/>
  <c r="L9" i="45" s="1"/>
  <c r="Z7" i="45"/>
  <c r="V7" i="45"/>
  <c r="Q7" i="45"/>
  <c r="P7" i="45"/>
  <c r="R8" i="45" s="1"/>
  <c r="K7" i="45"/>
  <c r="J7" i="45"/>
  <c r="Z6" i="45"/>
  <c r="V6" i="45"/>
  <c r="V21" i="45" s="1"/>
  <c r="Z54" i="13" s="1"/>
  <c r="Q6" i="45"/>
  <c r="P6" i="45"/>
  <c r="K6" i="45"/>
  <c r="J21" i="45" s="1"/>
  <c r="Z26" i="13" s="1"/>
  <c r="J6" i="45"/>
  <c r="L7" i="45" s="1"/>
  <c r="P5" i="45"/>
  <c r="J5" i="45"/>
  <c r="L6" i="45" s="1"/>
  <c r="B32" i="44"/>
  <c r="B29" i="44"/>
  <c r="F26" i="44" a="1"/>
  <c r="F26" i="44" s="1"/>
  <c r="E26" i="44" a="1"/>
  <c r="E26" i="44" s="1"/>
  <c r="G26" i="44" s="1"/>
  <c r="D26" i="44" a="1"/>
  <c r="D26" i="44" s="1"/>
  <c r="B26" i="44" a="1"/>
  <c r="B26" i="44" s="1"/>
  <c r="F25" i="44" a="1"/>
  <c r="F25" i="44" s="1"/>
  <c r="E25" i="44" a="1"/>
  <c r="E25" i="44" s="1"/>
  <c r="G25" i="44" s="1"/>
  <c r="D25" i="44" a="1"/>
  <c r="D25" i="44" s="1"/>
  <c r="B25" i="44" a="1"/>
  <c r="B25" i="44" s="1"/>
  <c r="Z15" i="44"/>
  <c r="V15" i="44"/>
  <c r="Q15" i="44"/>
  <c r="P15" i="44"/>
  <c r="K15" i="44"/>
  <c r="J15" i="44"/>
  <c r="Z14" i="44"/>
  <c r="V14" i="44"/>
  <c r="Q14" i="44"/>
  <c r="P14" i="44"/>
  <c r="R15" i="44" s="1"/>
  <c r="K14" i="44"/>
  <c r="J14" i="44"/>
  <c r="Z13" i="44"/>
  <c r="V13" i="44"/>
  <c r="Q13" i="44"/>
  <c r="P13" i="44"/>
  <c r="K13" i="44"/>
  <c r="J13" i="44"/>
  <c r="L14" i="44" s="1"/>
  <c r="Z12" i="44"/>
  <c r="V12" i="44"/>
  <c r="Q12" i="44"/>
  <c r="P12" i="44"/>
  <c r="R13" i="44" s="1"/>
  <c r="K12" i="44"/>
  <c r="J12" i="44"/>
  <c r="Z11" i="44"/>
  <c r="V11" i="44"/>
  <c r="Q11" i="44"/>
  <c r="P11" i="44"/>
  <c r="K11" i="44"/>
  <c r="J11" i="44"/>
  <c r="L12" i="44" s="1"/>
  <c r="Z10" i="44"/>
  <c r="V10" i="44"/>
  <c r="Q10" i="44"/>
  <c r="P10" i="44"/>
  <c r="R11" i="44" s="1"/>
  <c r="K10" i="44"/>
  <c r="J10" i="44"/>
  <c r="Z9" i="44"/>
  <c r="V9" i="44"/>
  <c r="Q9" i="44"/>
  <c r="P9" i="44"/>
  <c r="K9" i="44"/>
  <c r="J9" i="44"/>
  <c r="L10" i="44" s="1"/>
  <c r="Z8" i="44"/>
  <c r="V8" i="44"/>
  <c r="Q8" i="44"/>
  <c r="P8" i="44"/>
  <c r="R9" i="44" s="1"/>
  <c r="K8" i="44"/>
  <c r="J8" i="44"/>
  <c r="Z7" i="44"/>
  <c r="V7" i="44"/>
  <c r="Q7" i="44"/>
  <c r="P7" i="44"/>
  <c r="K7" i="44"/>
  <c r="J7" i="44"/>
  <c r="L8" i="44" s="1"/>
  <c r="Z6" i="44"/>
  <c r="V6" i="44"/>
  <c r="Q6" i="44"/>
  <c r="P6" i="44"/>
  <c r="R7" i="44" s="1"/>
  <c r="K6" i="44"/>
  <c r="J21" i="44" s="1"/>
  <c r="Y26" i="13" s="1"/>
  <c r="J6" i="44"/>
  <c r="P5" i="44"/>
  <c r="J5" i="44"/>
  <c r="L6" i="44" s="1"/>
  <c r="Y14" i="42"/>
  <c r="V15" i="42"/>
  <c r="Q15" i="42"/>
  <c r="L15" i="42"/>
  <c r="K15" i="42"/>
  <c r="B32" i="42"/>
  <c r="B29" i="42"/>
  <c r="F26" i="42" a="1"/>
  <c r="F26" i="42" s="1"/>
  <c r="E26" i="42" a="1"/>
  <c r="E26" i="42" s="1"/>
  <c r="G26" i="42" s="1"/>
  <c r="D26" i="42" a="1"/>
  <c r="D26" i="42" s="1"/>
  <c r="B26" i="42" a="1"/>
  <c r="B26" i="42" s="1"/>
  <c r="F25" i="42" a="1"/>
  <c r="F25" i="42" s="1"/>
  <c r="E25" i="42" a="1"/>
  <c r="E25" i="42" s="1"/>
  <c r="G25" i="42" s="1"/>
  <c r="D25" i="42" a="1"/>
  <c r="D25" i="42" s="1"/>
  <c r="B25" i="42" a="1"/>
  <c r="B25" i="42" s="1"/>
  <c r="F24" i="42"/>
  <c r="F24" i="42" a="1"/>
  <c r="E24" i="42" a="1"/>
  <c r="E24" i="42" s="1"/>
  <c r="G24" i="42" s="1"/>
  <c r="D24" i="42" a="1"/>
  <c r="D24" i="42" s="1"/>
  <c r="B24" i="42" a="1"/>
  <c r="B24" i="42" s="1"/>
  <c r="F23" i="42" a="1"/>
  <c r="F23" i="42" s="1"/>
  <c r="E23" i="42" a="1"/>
  <c r="E23" i="42" s="1"/>
  <c r="G23" i="42" s="1"/>
  <c r="D23" i="42" a="1"/>
  <c r="D23" i="42" s="1"/>
  <c r="B23" i="42" a="1"/>
  <c r="B23" i="42" s="1"/>
  <c r="F22" i="42" a="1"/>
  <c r="F22" i="42" s="1"/>
  <c r="E22" i="42" a="1"/>
  <c r="E22" i="42" s="1"/>
  <c r="G22" i="42" s="1"/>
  <c r="D22" i="42"/>
  <c r="D22" i="42" a="1"/>
  <c r="B22" i="42" a="1"/>
  <c r="B22" i="42" s="1"/>
  <c r="Z18" i="42"/>
  <c r="V18" i="42"/>
  <c r="Q18" i="42"/>
  <c r="P18" i="42"/>
  <c r="K18" i="42"/>
  <c r="J18" i="42"/>
  <c r="Z17" i="42"/>
  <c r="V17" i="42"/>
  <c r="Q17" i="42"/>
  <c r="P17" i="42"/>
  <c r="K17" i="42"/>
  <c r="J17" i="42"/>
  <c r="L18" i="42" s="1"/>
  <c r="Z16" i="42"/>
  <c r="V16" i="42"/>
  <c r="Q16" i="42"/>
  <c r="P21" i="42" s="1"/>
  <c r="X51" i="13" s="1"/>
  <c r="P16" i="42"/>
  <c r="R17" i="42" s="1"/>
  <c r="K16" i="42"/>
  <c r="J16" i="42"/>
  <c r="L17" i="42" s="1"/>
  <c r="P15" i="42"/>
  <c r="R16" i="42" s="1"/>
  <c r="J15" i="42"/>
  <c r="L16" i="42" s="1"/>
  <c r="Z13" i="42"/>
  <c r="V13" i="42"/>
  <c r="Q13" i="42"/>
  <c r="P13" i="42"/>
  <c r="L13" i="42"/>
  <c r="K13" i="42"/>
  <c r="J13" i="42"/>
  <c r="Z12" i="42"/>
  <c r="V12" i="42"/>
  <c r="Q12" i="42"/>
  <c r="P12" i="42"/>
  <c r="R13" i="42" s="1"/>
  <c r="L12" i="42"/>
  <c r="K12" i="42"/>
  <c r="J12" i="42"/>
  <c r="Z11" i="42"/>
  <c r="V11" i="42"/>
  <c r="Q11" i="42"/>
  <c r="P11" i="42"/>
  <c r="R12" i="42" s="1"/>
  <c r="L11" i="42"/>
  <c r="K11" i="42"/>
  <c r="J11" i="42"/>
  <c r="Z10" i="42"/>
  <c r="V10" i="42"/>
  <c r="Q10" i="42"/>
  <c r="P10" i="42"/>
  <c r="R11" i="42" s="1"/>
  <c r="L10" i="42"/>
  <c r="K10" i="42"/>
  <c r="J10" i="42"/>
  <c r="Z9" i="42"/>
  <c r="V9" i="42"/>
  <c r="Q9" i="42"/>
  <c r="P9" i="42"/>
  <c r="R10" i="42" s="1"/>
  <c r="L9" i="42"/>
  <c r="K9" i="42"/>
  <c r="J9" i="42"/>
  <c r="Z8" i="42"/>
  <c r="V8" i="42"/>
  <c r="Q8" i="42"/>
  <c r="P8" i="42"/>
  <c r="R9" i="42" s="1"/>
  <c r="L8" i="42"/>
  <c r="K8" i="42"/>
  <c r="J8" i="42"/>
  <c r="Z7" i="42"/>
  <c r="V7" i="42"/>
  <c r="Q7" i="42"/>
  <c r="P7" i="42"/>
  <c r="R8" i="42" s="1"/>
  <c r="L7" i="42"/>
  <c r="K7" i="42"/>
  <c r="J7" i="42"/>
  <c r="Z6" i="42"/>
  <c r="V6" i="42"/>
  <c r="Q6" i="42"/>
  <c r="P6" i="42"/>
  <c r="R7" i="42" s="1"/>
  <c r="K6" i="42"/>
  <c r="J21" i="42" s="1"/>
  <c r="X26" i="13" s="1"/>
  <c r="J6" i="42"/>
  <c r="P5" i="42"/>
  <c r="R6" i="42" s="1"/>
  <c r="J5" i="42"/>
  <c r="L6" i="42" s="1"/>
  <c r="B32" i="41"/>
  <c r="B29" i="41"/>
  <c r="F26" i="41" a="1"/>
  <c r="F26" i="41" s="1"/>
  <c r="E26" i="41" a="1"/>
  <c r="E26" i="41" s="1"/>
  <c r="G26" i="41" s="1"/>
  <c r="D26" i="41" a="1"/>
  <c r="D26" i="41" s="1"/>
  <c r="B26" i="41" a="1"/>
  <c r="B26" i="41" s="1"/>
  <c r="F25" i="41" a="1"/>
  <c r="F25" i="41" s="1"/>
  <c r="E25" i="41" a="1"/>
  <c r="E25" i="41" s="1"/>
  <c r="G25" i="41" s="1"/>
  <c r="D25" i="41" a="1"/>
  <c r="D25" i="41" s="1"/>
  <c r="B25" i="41" a="1"/>
  <c r="B25" i="41" s="1"/>
  <c r="F24" i="41" a="1"/>
  <c r="F24" i="41" s="1"/>
  <c r="E24" i="41" a="1"/>
  <c r="E24" i="41" s="1"/>
  <c r="G24" i="41" s="1"/>
  <c r="D24" i="41" a="1"/>
  <c r="D24" i="41" s="1"/>
  <c r="B24" i="41" a="1"/>
  <c r="B24" i="41" s="1"/>
  <c r="F23" i="41" a="1"/>
  <c r="F23" i="41" s="1"/>
  <c r="E23" i="41" a="1"/>
  <c r="E23" i="41" s="1"/>
  <c r="G23" i="41" s="1"/>
  <c r="D23" i="41"/>
  <c r="D23" i="41" a="1"/>
  <c r="B23" i="41" a="1"/>
  <c r="B23" i="41" s="1"/>
  <c r="F22" i="41" a="1"/>
  <c r="F22" i="41" s="1"/>
  <c r="E22" i="41"/>
  <c r="G22" i="41" s="1"/>
  <c r="E22" i="41" a="1"/>
  <c r="D22" i="41" a="1"/>
  <c r="D22" i="41" s="1"/>
  <c r="B22" i="41" a="1"/>
  <c r="B22" i="41" s="1"/>
  <c r="Z18" i="41"/>
  <c r="V18" i="41"/>
  <c r="Q18" i="41"/>
  <c r="P18" i="41"/>
  <c r="K18" i="41"/>
  <c r="J18" i="41"/>
  <c r="Z17" i="41"/>
  <c r="V17" i="41"/>
  <c r="Q17" i="41"/>
  <c r="P17" i="41"/>
  <c r="R18" i="41" s="1"/>
  <c r="K17" i="41"/>
  <c r="J17" i="41"/>
  <c r="Z16" i="41"/>
  <c r="V16" i="41"/>
  <c r="Q16" i="41"/>
  <c r="P16" i="41"/>
  <c r="R16" i="41" s="1"/>
  <c r="K16" i="41"/>
  <c r="J16" i="41"/>
  <c r="L17" i="41" s="1"/>
  <c r="Z15" i="41"/>
  <c r="V15" i="41"/>
  <c r="R15" i="41"/>
  <c r="Q15" i="41"/>
  <c r="P15" i="41"/>
  <c r="K15" i="41"/>
  <c r="J15" i="41"/>
  <c r="L16" i="41" s="1"/>
  <c r="Z14" i="41"/>
  <c r="V14" i="41"/>
  <c r="Q14" i="41"/>
  <c r="P14" i="41"/>
  <c r="K14" i="41"/>
  <c r="J14" i="41"/>
  <c r="Z13" i="41"/>
  <c r="V13" i="41"/>
  <c r="Q13" i="41"/>
  <c r="P13" i="41"/>
  <c r="R14" i="41" s="1"/>
  <c r="K13" i="41"/>
  <c r="J13" i="41"/>
  <c r="Z12" i="41"/>
  <c r="V12" i="41"/>
  <c r="Q12" i="41"/>
  <c r="P12" i="41"/>
  <c r="K12" i="41"/>
  <c r="J12" i="41"/>
  <c r="L13" i="41" s="1"/>
  <c r="Z11" i="41"/>
  <c r="V11" i="41"/>
  <c r="R11" i="41"/>
  <c r="Q11" i="41"/>
  <c r="P11" i="41"/>
  <c r="R12" i="41" s="1"/>
  <c r="K11" i="41"/>
  <c r="J11" i="41"/>
  <c r="L12" i="41" s="1"/>
  <c r="Z10" i="41"/>
  <c r="V10" i="41"/>
  <c r="Q10" i="41"/>
  <c r="P10" i="41"/>
  <c r="K10" i="41"/>
  <c r="J10" i="41"/>
  <c r="Z9" i="41"/>
  <c r="V9" i="41"/>
  <c r="Q9" i="41"/>
  <c r="P9" i="41"/>
  <c r="R10" i="41" s="1"/>
  <c r="K9" i="41"/>
  <c r="J9" i="41"/>
  <c r="Z8" i="41"/>
  <c r="V8" i="41"/>
  <c r="Q8" i="41"/>
  <c r="P8" i="41"/>
  <c r="K8" i="41"/>
  <c r="J8" i="41"/>
  <c r="L9" i="41" s="1"/>
  <c r="Z7" i="41"/>
  <c r="V7" i="41"/>
  <c r="Q7" i="41"/>
  <c r="P7" i="41"/>
  <c r="R8" i="41" s="1"/>
  <c r="K7" i="41"/>
  <c r="J7" i="41"/>
  <c r="L8" i="41" s="1"/>
  <c r="Z6" i="41"/>
  <c r="V6" i="41"/>
  <c r="Q6" i="41"/>
  <c r="P6" i="41"/>
  <c r="R7" i="41" s="1"/>
  <c r="K6" i="41"/>
  <c r="J6" i="41"/>
  <c r="P5" i="41"/>
  <c r="J5" i="41"/>
  <c r="L6" i="41" s="1"/>
  <c r="P14" i="40"/>
  <c r="B32" i="40"/>
  <c r="B29" i="40"/>
  <c r="V16" i="13" s="1"/>
  <c r="B28" i="40"/>
  <c r="F26" i="40" a="1"/>
  <c r="F26" i="40" s="1"/>
  <c r="E26" i="40" a="1"/>
  <c r="E26" i="40" s="1"/>
  <c r="G26" i="40" s="1"/>
  <c r="D26" i="40" a="1"/>
  <c r="D26" i="40" s="1"/>
  <c r="B26" i="40" a="1"/>
  <c r="B26" i="40" s="1"/>
  <c r="F25" i="40" a="1"/>
  <c r="F25" i="40" s="1"/>
  <c r="E25" i="40" a="1"/>
  <c r="E25" i="40" s="1"/>
  <c r="G25" i="40" s="1"/>
  <c r="D25" i="40" a="1"/>
  <c r="D25" i="40" s="1"/>
  <c r="B25" i="40" a="1"/>
  <c r="B25" i="40" s="1"/>
  <c r="F24" i="40" a="1"/>
  <c r="F24" i="40" s="1"/>
  <c r="E24" i="40" a="1"/>
  <c r="E24" i="40" s="1"/>
  <c r="G24" i="40" s="1"/>
  <c r="D24" i="40" a="1"/>
  <c r="D24" i="40" s="1"/>
  <c r="B24" i="40" a="1"/>
  <c r="B24" i="40" s="1"/>
  <c r="F23" i="40" a="1"/>
  <c r="F23" i="40" s="1"/>
  <c r="E23" i="40" a="1"/>
  <c r="E23" i="40" s="1"/>
  <c r="G23" i="40" s="1"/>
  <c r="D23" i="40" a="1"/>
  <c r="D23" i="40" s="1"/>
  <c r="B23" i="40" a="1"/>
  <c r="B23" i="40" s="1"/>
  <c r="F22" i="40" a="1"/>
  <c r="F22" i="40" s="1"/>
  <c r="E22" i="40" a="1"/>
  <c r="E22" i="40" s="1"/>
  <c r="G22" i="40" s="1"/>
  <c r="D22" i="40" a="1"/>
  <c r="D22" i="40" s="1"/>
  <c r="B22" i="40" a="1"/>
  <c r="B22" i="40" s="1"/>
  <c r="Z18" i="40"/>
  <c r="V18" i="40"/>
  <c r="Q18" i="40"/>
  <c r="P18" i="40"/>
  <c r="K18" i="40"/>
  <c r="J18" i="40"/>
  <c r="Z17" i="40"/>
  <c r="V17" i="40"/>
  <c r="Q17" i="40"/>
  <c r="P17" i="40"/>
  <c r="R18" i="40" s="1"/>
  <c r="K17" i="40"/>
  <c r="J17" i="40"/>
  <c r="Z16" i="40"/>
  <c r="V16" i="40"/>
  <c r="Q16" i="40"/>
  <c r="P16" i="40"/>
  <c r="K16" i="40"/>
  <c r="J16" i="40"/>
  <c r="L17" i="40" s="1"/>
  <c r="V15" i="40"/>
  <c r="Q15" i="40"/>
  <c r="P15" i="40"/>
  <c r="R16" i="40" s="1"/>
  <c r="K15" i="40"/>
  <c r="J15" i="40"/>
  <c r="Y14" i="40"/>
  <c r="Z15" i="40" s="1"/>
  <c r="V14" i="40"/>
  <c r="Q14" i="40"/>
  <c r="K14" i="40"/>
  <c r="J14" i="40"/>
  <c r="L15" i="40" s="1"/>
  <c r="Z13" i="40"/>
  <c r="V13" i="40"/>
  <c r="Q13" i="40"/>
  <c r="P13" i="40"/>
  <c r="K13" i="40"/>
  <c r="J13" i="40"/>
  <c r="Z12" i="40"/>
  <c r="V12" i="40"/>
  <c r="Q12" i="40"/>
  <c r="P12" i="40"/>
  <c r="R12" i="40" s="1"/>
  <c r="K12" i="40"/>
  <c r="J12" i="40"/>
  <c r="L13" i="40" s="1"/>
  <c r="Z11" i="40"/>
  <c r="V11" i="40"/>
  <c r="R11" i="40"/>
  <c r="Q11" i="40"/>
  <c r="P11" i="40"/>
  <c r="K11" i="40"/>
  <c r="J11" i="40"/>
  <c r="L12" i="40" s="1"/>
  <c r="Z10" i="40"/>
  <c r="V10" i="40"/>
  <c r="Q10" i="40"/>
  <c r="P10" i="40"/>
  <c r="K10" i="40"/>
  <c r="J10" i="40"/>
  <c r="Z9" i="40"/>
  <c r="V9" i="40"/>
  <c r="Q9" i="40"/>
  <c r="P9" i="40"/>
  <c r="R10" i="40" s="1"/>
  <c r="K9" i="40"/>
  <c r="J9" i="40"/>
  <c r="Z8" i="40"/>
  <c r="V8" i="40"/>
  <c r="Q8" i="40"/>
  <c r="P8" i="40"/>
  <c r="R8" i="40" s="1"/>
  <c r="K8" i="40"/>
  <c r="J8" i="40"/>
  <c r="L9" i="40" s="1"/>
  <c r="Z7" i="40"/>
  <c r="V7" i="40"/>
  <c r="Q7" i="40"/>
  <c r="P7" i="40"/>
  <c r="K7" i="40"/>
  <c r="J7" i="40"/>
  <c r="L8" i="40" s="1"/>
  <c r="Z6" i="40"/>
  <c r="V6" i="40"/>
  <c r="Q6" i="40"/>
  <c r="P6" i="40"/>
  <c r="R7" i="40" s="1"/>
  <c r="K6" i="40"/>
  <c r="J6" i="40"/>
  <c r="P5" i="40"/>
  <c r="J5" i="40"/>
  <c r="L6" i="40" s="1"/>
  <c r="B32" i="39"/>
  <c r="B29" i="39"/>
  <c r="F26" i="39" a="1"/>
  <c r="F26" i="39" s="1"/>
  <c r="E26" i="39" a="1"/>
  <c r="E26" i="39" s="1"/>
  <c r="G26" i="39" s="1"/>
  <c r="D26" i="39" a="1"/>
  <c r="D26" i="39" s="1"/>
  <c r="B26" i="39" a="1"/>
  <c r="B26" i="39" s="1"/>
  <c r="F25" i="39" a="1"/>
  <c r="F25" i="39" s="1"/>
  <c r="E25" i="39" a="1"/>
  <c r="E25" i="39" s="1"/>
  <c r="G25" i="39" s="1"/>
  <c r="D25" i="39" a="1"/>
  <c r="D25" i="39" s="1"/>
  <c r="B25" i="39" a="1"/>
  <c r="B25" i="39" s="1"/>
  <c r="F24" i="39" a="1"/>
  <c r="F24" i="39" s="1"/>
  <c r="E24" i="39" a="1"/>
  <c r="E24" i="39" s="1"/>
  <c r="G24" i="39" s="1"/>
  <c r="D24" i="39" a="1"/>
  <c r="D24" i="39" s="1"/>
  <c r="B24" i="39" a="1"/>
  <c r="B24" i="39" s="1"/>
  <c r="Z16" i="39"/>
  <c r="V16" i="39"/>
  <c r="K16" i="39"/>
  <c r="J16" i="39"/>
  <c r="Z15" i="39"/>
  <c r="V15" i="39"/>
  <c r="Q15" i="39"/>
  <c r="P15" i="39"/>
  <c r="K15" i="39"/>
  <c r="J15" i="39"/>
  <c r="Z14" i="39"/>
  <c r="V14" i="39"/>
  <c r="Q14" i="39"/>
  <c r="P14" i="39"/>
  <c r="R14" i="39" s="1"/>
  <c r="K14" i="39"/>
  <c r="J14" i="39"/>
  <c r="L15" i="39" s="1"/>
  <c r="Z13" i="39"/>
  <c r="V13" i="39"/>
  <c r="R13" i="39"/>
  <c r="Q13" i="39"/>
  <c r="P13" i="39"/>
  <c r="K13" i="39"/>
  <c r="J13" i="39"/>
  <c r="L14" i="39" s="1"/>
  <c r="Z12" i="39"/>
  <c r="V12" i="39"/>
  <c r="Q12" i="39"/>
  <c r="P12" i="39"/>
  <c r="K12" i="39"/>
  <c r="J12" i="39"/>
  <c r="Z11" i="39"/>
  <c r="Z21" i="39" s="1"/>
  <c r="U55" i="13" s="1"/>
  <c r="V11" i="39"/>
  <c r="Q11" i="39"/>
  <c r="P11" i="39"/>
  <c r="R12" i="39" s="1"/>
  <c r="K11" i="39"/>
  <c r="J11" i="39"/>
  <c r="Z10" i="39"/>
  <c r="V10" i="39"/>
  <c r="Q10" i="39"/>
  <c r="P10" i="39"/>
  <c r="R10" i="39" s="1"/>
  <c r="K10" i="39"/>
  <c r="J10" i="39"/>
  <c r="L11" i="39" s="1"/>
  <c r="Z9" i="39"/>
  <c r="V9" i="39"/>
  <c r="R9" i="39"/>
  <c r="Q9" i="39"/>
  <c r="P9" i="39"/>
  <c r="K9" i="39"/>
  <c r="J9" i="39"/>
  <c r="L10" i="39" s="1"/>
  <c r="Z8" i="39"/>
  <c r="V8" i="39"/>
  <c r="Q8" i="39"/>
  <c r="P8" i="39"/>
  <c r="K8" i="39"/>
  <c r="J8" i="39"/>
  <c r="Z7" i="39"/>
  <c r="V7" i="39"/>
  <c r="Q7" i="39"/>
  <c r="P7" i="39"/>
  <c r="R8" i="39" s="1"/>
  <c r="K7" i="39"/>
  <c r="J7" i="39"/>
  <c r="Z6" i="39"/>
  <c r="V6" i="39"/>
  <c r="V21" i="39" s="1"/>
  <c r="U54" i="13" s="1"/>
  <c r="Q6" i="39"/>
  <c r="P6" i="39"/>
  <c r="R6" i="39" s="1"/>
  <c r="K6" i="39"/>
  <c r="J21" i="39" s="1"/>
  <c r="U26" i="13" s="1"/>
  <c r="J6" i="39"/>
  <c r="L7" i="39" s="1"/>
  <c r="P5" i="39"/>
  <c r="J5" i="39"/>
  <c r="L6" i="39" s="1"/>
  <c r="Y14" i="37"/>
  <c r="Z14" i="37" s="1"/>
  <c r="B32" i="38"/>
  <c r="B29" i="38"/>
  <c r="F26" i="38" a="1"/>
  <c r="F26" i="38" s="1"/>
  <c r="E26" i="38" a="1"/>
  <c r="E26" i="38" s="1"/>
  <c r="G26" i="38" s="1"/>
  <c r="D26" i="38" a="1"/>
  <c r="D26" i="38" s="1"/>
  <c r="B26" i="38" a="1"/>
  <c r="B26" i="38" s="1"/>
  <c r="F25" i="38" a="1"/>
  <c r="F25" i="38" s="1"/>
  <c r="E25" i="38" a="1"/>
  <c r="E25" i="38" s="1"/>
  <c r="G25" i="38" s="1"/>
  <c r="D25" i="38" a="1"/>
  <c r="D25" i="38" s="1"/>
  <c r="B25" i="38" a="1"/>
  <c r="B25" i="38" s="1"/>
  <c r="F24" i="38" a="1"/>
  <c r="F24" i="38" s="1"/>
  <c r="E24" i="38" a="1"/>
  <c r="E24" i="38" s="1"/>
  <c r="G24" i="38" s="1"/>
  <c r="D24" i="38" a="1"/>
  <c r="D24" i="38" s="1"/>
  <c r="B24" i="38" a="1"/>
  <c r="B24" i="38" s="1"/>
  <c r="F23" i="38" a="1"/>
  <c r="F23" i="38" s="1"/>
  <c r="E23" i="38" a="1"/>
  <c r="E23" i="38" s="1"/>
  <c r="G23" i="38" s="1"/>
  <c r="D23" i="38" a="1"/>
  <c r="D23" i="38" s="1"/>
  <c r="B23" i="38" a="1"/>
  <c r="B23" i="38" s="1"/>
  <c r="F22" i="38" a="1"/>
  <c r="F22" i="38" s="1"/>
  <c r="B37" i="38" s="1"/>
  <c r="E22" i="38"/>
  <c r="G22" i="38" s="1"/>
  <c r="E22" i="38" a="1"/>
  <c r="D22" i="38" a="1"/>
  <c r="D22" i="38" s="1"/>
  <c r="B22" i="38" a="1"/>
  <c r="B22" i="38" s="1"/>
  <c r="Z18" i="38"/>
  <c r="V18" i="38"/>
  <c r="R18" i="38"/>
  <c r="Q18" i="38"/>
  <c r="P18" i="38"/>
  <c r="K18" i="38"/>
  <c r="J18" i="38"/>
  <c r="Z17" i="38"/>
  <c r="V17" i="38"/>
  <c r="Q17" i="38"/>
  <c r="P17" i="38"/>
  <c r="K17" i="38"/>
  <c r="J17" i="38"/>
  <c r="Z16" i="38"/>
  <c r="V16" i="38"/>
  <c r="Q16" i="38"/>
  <c r="P16" i="38"/>
  <c r="R17" i="38" s="1"/>
  <c r="K16" i="38"/>
  <c r="J16" i="38"/>
  <c r="Z15" i="38"/>
  <c r="V15" i="38"/>
  <c r="Q15" i="38"/>
  <c r="P15" i="38"/>
  <c r="R15" i="38" s="1"/>
  <c r="K15" i="38"/>
  <c r="J15" i="38"/>
  <c r="L16" i="38" s="1"/>
  <c r="Z14" i="38"/>
  <c r="V14" i="38"/>
  <c r="R14" i="38"/>
  <c r="Q14" i="38"/>
  <c r="P14" i="38"/>
  <c r="K14" i="38"/>
  <c r="J14" i="38"/>
  <c r="L15" i="38" s="1"/>
  <c r="Z13" i="38"/>
  <c r="V13" i="38"/>
  <c r="Q13" i="38"/>
  <c r="P13" i="38"/>
  <c r="K13" i="38"/>
  <c r="J13" i="38"/>
  <c r="Z12" i="38"/>
  <c r="V12" i="38"/>
  <c r="Q12" i="38"/>
  <c r="P12" i="38"/>
  <c r="R13" i="38" s="1"/>
  <c r="K12" i="38"/>
  <c r="J12" i="38"/>
  <c r="Z11" i="38"/>
  <c r="Z21" i="38" s="1"/>
  <c r="V11" i="38"/>
  <c r="Q11" i="38"/>
  <c r="P11" i="38"/>
  <c r="R11" i="38" s="1"/>
  <c r="K11" i="38"/>
  <c r="J11" i="38"/>
  <c r="L12" i="38" s="1"/>
  <c r="Z10" i="38"/>
  <c r="V10" i="38"/>
  <c r="R10" i="38"/>
  <c r="Q10" i="38"/>
  <c r="P10" i="38"/>
  <c r="K10" i="38"/>
  <c r="J10" i="38"/>
  <c r="L11" i="38" s="1"/>
  <c r="Z9" i="38"/>
  <c r="V9" i="38"/>
  <c r="Q9" i="38"/>
  <c r="P9" i="38"/>
  <c r="K9" i="38"/>
  <c r="J9" i="38"/>
  <c r="Z8" i="38"/>
  <c r="V8" i="38"/>
  <c r="Q8" i="38"/>
  <c r="P8" i="38"/>
  <c r="R9" i="38" s="1"/>
  <c r="K8" i="38"/>
  <c r="J8" i="38"/>
  <c r="Z7" i="38"/>
  <c r="V7" i="38"/>
  <c r="Q7" i="38"/>
  <c r="P7" i="38"/>
  <c r="R7" i="38" s="1"/>
  <c r="K7" i="38"/>
  <c r="J7" i="38"/>
  <c r="L8" i="38" s="1"/>
  <c r="Z6" i="38"/>
  <c r="V6" i="38"/>
  <c r="R6" i="38"/>
  <c r="Q6" i="38"/>
  <c r="P6" i="38"/>
  <c r="K6" i="38"/>
  <c r="J6" i="38"/>
  <c r="L7" i="38" s="1"/>
  <c r="P5" i="38"/>
  <c r="J5" i="38"/>
  <c r="B32" i="37"/>
  <c r="B29" i="37"/>
  <c r="F26" i="37" a="1"/>
  <c r="F26" i="37" s="1"/>
  <c r="E26" i="37" a="1"/>
  <c r="E26" i="37" s="1"/>
  <c r="G26" i="37" s="1"/>
  <c r="D26" i="37" a="1"/>
  <c r="D26" i="37" s="1"/>
  <c r="B26" i="37" a="1"/>
  <c r="B26" i="37" s="1"/>
  <c r="F25" i="37" a="1"/>
  <c r="F25" i="37" s="1"/>
  <c r="E25" i="37" a="1"/>
  <c r="E25" i="37" s="1"/>
  <c r="G25" i="37" s="1"/>
  <c r="D25" i="37" a="1"/>
  <c r="D25" i="37" s="1"/>
  <c r="B25" i="37" a="1"/>
  <c r="B25" i="37" s="1"/>
  <c r="F24" i="37" a="1"/>
  <c r="F24" i="37" s="1"/>
  <c r="E24" i="37" a="1"/>
  <c r="E24" i="37" s="1"/>
  <c r="G24" i="37" s="1"/>
  <c r="D24" i="37" a="1"/>
  <c r="D24" i="37" s="1"/>
  <c r="B24" i="37" a="1"/>
  <c r="B24" i="37" s="1"/>
  <c r="F23" i="37" a="1"/>
  <c r="F23" i="37" s="1"/>
  <c r="E23" i="37" a="1"/>
  <c r="E23" i="37" s="1"/>
  <c r="G23" i="37" s="1"/>
  <c r="D23" i="37" a="1"/>
  <c r="D23" i="37" s="1"/>
  <c r="B23" i="37" a="1"/>
  <c r="B23" i="37" s="1"/>
  <c r="F22" i="37" a="1"/>
  <c r="F22" i="37" s="1"/>
  <c r="E22" i="37" a="1"/>
  <c r="E22" i="37" s="1"/>
  <c r="G22" i="37" s="1"/>
  <c r="D22" i="37" a="1"/>
  <c r="D22" i="37" s="1"/>
  <c r="B22" i="37" a="1"/>
  <c r="B22" i="37" s="1"/>
  <c r="Z18" i="37"/>
  <c r="V18" i="37"/>
  <c r="Q18" i="37"/>
  <c r="P18" i="37"/>
  <c r="K18" i="37"/>
  <c r="J18" i="37"/>
  <c r="Z17" i="37"/>
  <c r="V17" i="37"/>
  <c r="Q17" i="37"/>
  <c r="P17" i="37"/>
  <c r="R18" i="37" s="1"/>
  <c r="K17" i="37"/>
  <c r="J17" i="37"/>
  <c r="L17" i="37" s="1"/>
  <c r="Z16" i="37"/>
  <c r="V16" i="37"/>
  <c r="Q16" i="37"/>
  <c r="P16" i="37"/>
  <c r="K16" i="37"/>
  <c r="J16" i="37"/>
  <c r="Z15" i="37"/>
  <c r="V15" i="37"/>
  <c r="Q15" i="37"/>
  <c r="P15" i="37"/>
  <c r="K15" i="37"/>
  <c r="J15" i="37"/>
  <c r="L16" i="37" s="1"/>
  <c r="V14" i="37"/>
  <c r="Q14" i="37"/>
  <c r="P14" i="37"/>
  <c r="R15" i="37" s="1"/>
  <c r="L14" i="37"/>
  <c r="K14" i="37"/>
  <c r="J14" i="37"/>
  <c r="Z13" i="37"/>
  <c r="V13" i="37"/>
  <c r="Q13" i="37"/>
  <c r="P13" i="37"/>
  <c r="K13" i="37"/>
  <c r="J13" i="37"/>
  <c r="Z12" i="37"/>
  <c r="V12" i="37"/>
  <c r="Q12" i="37"/>
  <c r="P12" i="37"/>
  <c r="R13" i="37" s="1"/>
  <c r="K12" i="37"/>
  <c r="J12" i="37"/>
  <c r="L13" i="37" s="1"/>
  <c r="Z11" i="37"/>
  <c r="V11" i="37"/>
  <c r="Q11" i="37"/>
  <c r="P11" i="37"/>
  <c r="R12" i="37" s="1"/>
  <c r="K11" i="37"/>
  <c r="J11" i="37"/>
  <c r="Z10" i="37"/>
  <c r="V10" i="37"/>
  <c r="Q10" i="37"/>
  <c r="P10" i="37"/>
  <c r="L10" i="37"/>
  <c r="K10" i="37"/>
  <c r="J10" i="37"/>
  <c r="Z9" i="37"/>
  <c r="V9" i="37"/>
  <c r="Q9" i="37"/>
  <c r="P9" i="37"/>
  <c r="K9" i="37"/>
  <c r="J9" i="37"/>
  <c r="Z8" i="37"/>
  <c r="V8" i="37"/>
  <c r="Q8" i="37"/>
  <c r="P8" i="37"/>
  <c r="R9" i="37" s="1"/>
  <c r="K8" i="37"/>
  <c r="J8" i="37"/>
  <c r="L9" i="37" s="1"/>
  <c r="Z7" i="37"/>
  <c r="V7" i="37"/>
  <c r="Q7" i="37"/>
  <c r="P7" i="37"/>
  <c r="R8" i="37" s="1"/>
  <c r="K7" i="37"/>
  <c r="J7" i="37"/>
  <c r="L8" i="37" s="1"/>
  <c r="Z6" i="37"/>
  <c r="V6" i="37"/>
  <c r="Q6" i="37"/>
  <c r="P6" i="37"/>
  <c r="R7" i="37" s="1"/>
  <c r="K6" i="37"/>
  <c r="J6" i="37"/>
  <c r="L7" i="37" s="1"/>
  <c r="P5" i="37"/>
  <c r="J5" i="37"/>
  <c r="B28" i="37" l="1"/>
  <c r="T15" i="13" s="1"/>
  <c r="T16" i="13"/>
  <c r="V21" i="37"/>
  <c r="T54" i="13" s="1"/>
  <c r="L6" i="37"/>
  <c r="L21" i="37" s="1"/>
  <c r="T44" i="13" s="1"/>
  <c r="P21" i="37"/>
  <c r="T51" i="13" s="1"/>
  <c r="P21" i="46"/>
  <c r="Z21" i="47"/>
  <c r="AB55" i="13" s="1"/>
  <c r="J22" i="40"/>
  <c r="V27" i="13" s="1"/>
  <c r="V15" i="13"/>
  <c r="R15" i="42"/>
  <c r="R21" i="42" s="1"/>
  <c r="X52" i="13" s="1"/>
  <c r="Z15" i="42"/>
  <c r="Z14" i="42"/>
  <c r="Z21" i="42" s="1"/>
  <c r="X55" i="13" s="1"/>
  <c r="B31" i="44"/>
  <c r="Y18" i="13" s="1"/>
  <c r="Y19" i="13"/>
  <c r="B37" i="46"/>
  <c r="AA24" i="13" s="1"/>
  <c r="R8" i="47"/>
  <c r="R10" i="47"/>
  <c r="R12" i="47"/>
  <c r="R14" i="47"/>
  <c r="R9" i="41"/>
  <c r="L21" i="45"/>
  <c r="Z44" i="13" s="1"/>
  <c r="L8" i="45"/>
  <c r="J21" i="37"/>
  <c r="T26" i="13" s="1"/>
  <c r="R11" i="37"/>
  <c r="L11" i="37"/>
  <c r="L12" i="37"/>
  <c r="V21" i="40"/>
  <c r="V54" i="13" s="1"/>
  <c r="R13" i="41"/>
  <c r="B31" i="41"/>
  <c r="W18" i="13" s="1"/>
  <c r="W19" i="13"/>
  <c r="R18" i="42"/>
  <c r="Z15" i="46"/>
  <c r="Z14" i="46"/>
  <c r="Z21" i="46" s="1"/>
  <c r="AA55" i="13" s="1"/>
  <c r="R7" i="47"/>
  <c r="R6" i="47"/>
  <c r="B31" i="37"/>
  <c r="T18" i="13" s="1"/>
  <c r="T19" i="13"/>
  <c r="J21" i="38"/>
  <c r="V21" i="38"/>
  <c r="L10" i="38"/>
  <c r="L14" i="38"/>
  <c r="L22" i="38" s="1"/>
  <c r="L18" i="38"/>
  <c r="L9" i="39"/>
  <c r="L13" i="39"/>
  <c r="R6" i="40"/>
  <c r="P21" i="40"/>
  <c r="V51" i="13" s="1"/>
  <c r="L11" i="40"/>
  <c r="R6" i="41"/>
  <c r="L11" i="41"/>
  <c r="L15" i="41"/>
  <c r="B28" i="42"/>
  <c r="X15" i="13" s="1"/>
  <c r="X16" i="13"/>
  <c r="R7" i="45"/>
  <c r="R11" i="45"/>
  <c r="R15" i="45"/>
  <c r="B28" i="45"/>
  <c r="Z16" i="13"/>
  <c r="V21" i="46"/>
  <c r="AA54" i="13" s="1"/>
  <c r="R9" i="46"/>
  <c r="R13" i="46"/>
  <c r="B28" i="46"/>
  <c r="AA15" i="13" s="1"/>
  <c r="AA16" i="13"/>
  <c r="R17" i="37"/>
  <c r="R6" i="37"/>
  <c r="R21" i="37" s="1"/>
  <c r="T52" i="13" s="1"/>
  <c r="R10" i="37"/>
  <c r="R14" i="37"/>
  <c r="L15" i="37"/>
  <c r="R16" i="37"/>
  <c r="L18" i="37"/>
  <c r="L6" i="38"/>
  <c r="L9" i="38"/>
  <c r="R8" i="38"/>
  <c r="R21" i="38" s="1"/>
  <c r="L13" i="38"/>
  <c r="R12" i="38"/>
  <c r="L17" i="38"/>
  <c r="R16" i="38"/>
  <c r="B28" i="38"/>
  <c r="L8" i="39"/>
  <c r="R7" i="39"/>
  <c r="L12" i="39"/>
  <c r="R11" i="39"/>
  <c r="R15" i="39"/>
  <c r="B28" i="39"/>
  <c r="U15" i="13" s="1"/>
  <c r="U16" i="13"/>
  <c r="L7" i="40"/>
  <c r="L21" i="40" s="1"/>
  <c r="V44" i="13" s="1"/>
  <c r="L10" i="40"/>
  <c r="R9" i="40"/>
  <c r="L14" i="40"/>
  <c r="R13" i="40"/>
  <c r="R17" i="40"/>
  <c r="L18" i="40"/>
  <c r="L22" i="40" s="1"/>
  <c r="V45" i="13" s="1"/>
  <c r="B31" i="40"/>
  <c r="V18" i="13" s="1"/>
  <c r="V19" i="13"/>
  <c r="L7" i="41"/>
  <c r="L10" i="41"/>
  <c r="Z21" i="41"/>
  <c r="W55" i="13" s="1"/>
  <c r="L14" i="41"/>
  <c r="L18" i="41"/>
  <c r="R17" i="41"/>
  <c r="B31" i="42"/>
  <c r="X18" i="13" s="1"/>
  <c r="X19" i="13"/>
  <c r="R6" i="44"/>
  <c r="Z21" i="44"/>
  <c r="Y55" i="13" s="1"/>
  <c r="R6" i="45"/>
  <c r="R10" i="45"/>
  <c r="R14" i="45"/>
  <c r="R18" i="45"/>
  <c r="B31" i="45"/>
  <c r="Z18" i="13" s="1"/>
  <c r="Z19" i="13"/>
  <c r="J21" i="46"/>
  <c r="AA26" i="13" s="1"/>
  <c r="R8" i="46"/>
  <c r="R21" i="46" s="1"/>
  <c r="AA52" i="13" s="1"/>
  <c r="L10" i="46"/>
  <c r="R12" i="46"/>
  <c r="L16" i="46"/>
  <c r="R18" i="46"/>
  <c r="B28" i="47"/>
  <c r="AB15" i="13" s="1"/>
  <c r="AB16" i="13"/>
  <c r="P21" i="38"/>
  <c r="B31" i="38"/>
  <c r="B31" i="39"/>
  <c r="U18" i="13" s="1"/>
  <c r="U19" i="13"/>
  <c r="J21" i="40"/>
  <c r="V26" i="13" s="1"/>
  <c r="R15" i="40"/>
  <c r="L16" i="40"/>
  <c r="B28" i="41"/>
  <c r="W15" i="13" s="1"/>
  <c r="W16" i="13"/>
  <c r="L7" i="44"/>
  <c r="V21" i="44"/>
  <c r="Y54" i="13" s="1"/>
  <c r="R8" i="44"/>
  <c r="L9" i="44"/>
  <c r="L22" i="44" s="1"/>
  <c r="Y45" i="13" s="1"/>
  <c r="R10" i="44"/>
  <c r="L11" i="44"/>
  <c r="R12" i="44"/>
  <c r="L13" i="44"/>
  <c r="R14" i="44"/>
  <c r="L15" i="44"/>
  <c r="B28" i="44"/>
  <c r="Y15" i="13" s="1"/>
  <c r="Y16" i="13"/>
  <c r="L6" i="46"/>
  <c r="L13" i="46"/>
  <c r="B31" i="47"/>
  <c r="AB18" i="13" s="1"/>
  <c r="AB19" i="13"/>
  <c r="J30" i="45"/>
  <c r="Z35" i="13" s="1"/>
  <c r="Z51" i="13"/>
  <c r="J29" i="45"/>
  <c r="Z34" i="13" s="1"/>
  <c r="B37" i="47"/>
  <c r="AB24" i="13" s="1"/>
  <c r="B35" i="47"/>
  <c r="AB22" i="13" s="1"/>
  <c r="B33" i="47"/>
  <c r="AB20" i="13" s="1"/>
  <c r="B36" i="47"/>
  <c r="AB23" i="13" s="1"/>
  <c r="B34" i="47"/>
  <c r="J22" i="47"/>
  <c r="AB27" i="13" s="1"/>
  <c r="L22" i="47"/>
  <c r="AB45" i="13" s="1"/>
  <c r="L22" i="46"/>
  <c r="AA45" i="13" s="1"/>
  <c r="J22" i="46"/>
  <c r="AA27" i="13" s="1"/>
  <c r="L21" i="46"/>
  <c r="AA44" i="13" s="1"/>
  <c r="B34" i="46"/>
  <c r="B36" i="46"/>
  <c r="AA23" i="13" s="1"/>
  <c r="B33" i="46"/>
  <c r="AA20" i="13" s="1"/>
  <c r="B35" i="46"/>
  <c r="AA22" i="13" s="1"/>
  <c r="B36" i="45"/>
  <c r="Z23" i="13" s="1"/>
  <c r="B35" i="45"/>
  <c r="B34" i="45"/>
  <c r="B37" i="45"/>
  <c r="Z24" i="13" s="1"/>
  <c r="B33" i="45"/>
  <c r="Z20" i="13" s="1"/>
  <c r="B37" i="44"/>
  <c r="Y24" i="13" s="1"/>
  <c r="B35" i="44"/>
  <c r="Y22" i="13" s="1"/>
  <c r="B33" i="44"/>
  <c r="Y20" i="13" s="1"/>
  <c r="B36" i="44"/>
  <c r="Y23" i="13" s="1"/>
  <c r="B34" i="44"/>
  <c r="J22" i="44"/>
  <c r="Y27" i="13" s="1"/>
  <c r="L21" i="44"/>
  <c r="Y44" i="13" s="1"/>
  <c r="V21" i="42"/>
  <c r="X54" i="13" s="1"/>
  <c r="L22" i="42"/>
  <c r="X45" i="13" s="1"/>
  <c r="L21" i="42"/>
  <c r="X44" i="13" s="1"/>
  <c r="B37" i="42"/>
  <c r="X24" i="13" s="1"/>
  <c r="B34" i="42"/>
  <c r="B36" i="42"/>
  <c r="X23" i="13" s="1"/>
  <c r="J22" i="42"/>
  <c r="X27" i="13" s="1"/>
  <c r="B33" i="42"/>
  <c r="X20" i="13" s="1"/>
  <c r="B35" i="42"/>
  <c r="X22" i="13" s="1"/>
  <c r="B37" i="41"/>
  <c r="W24" i="13" s="1"/>
  <c r="B33" i="41"/>
  <c r="W20" i="13" s="1"/>
  <c r="B36" i="41"/>
  <c r="W23" i="13" s="1"/>
  <c r="B34" i="41"/>
  <c r="B35" i="41"/>
  <c r="W22" i="13" s="1"/>
  <c r="R14" i="40"/>
  <c r="R21" i="40" s="1"/>
  <c r="V52" i="13" s="1"/>
  <c r="Z14" i="40"/>
  <c r="Z21" i="40" s="1"/>
  <c r="V55" i="13" s="1"/>
  <c r="B36" i="40"/>
  <c r="V23" i="13" s="1"/>
  <c r="B34" i="40"/>
  <c r="B35" i="40"/>
  <c r="V22" i="13" s="1"/>
  <c r="B37" i="40"/>
  <c r="V24" i="13" s="1"/>
  <c r="B33" i="40"/>
  <c r="B34" i="39"/>
  <c r="B35" i="39"/>
  <c r="U22" i="13" s="1"/>
  <c r="B36" i="39"/>
  <c r="U23" i="13" s="1"/>
  <c r="B33" i="39"/>
  <c r="B37" i="39"/>
  <c r="U24" i="13" s="1"/>
  <c r="L16" i="39"/>
  <c r="L21" i="39" s="1"/>
  <c r="U44" i="13" s="1"/>
  <c r="L22" i="39"/>
  <c r="U45" i="13" s="1"/>
  <c r="Z21" i="37"/>
  <c r="T55" i="13" s="1"/>
  <c r="B37" i="37"/>
  <c r="T24" i="13" s="1"/>
  <c r="J22" i="38"/>
  <c r="B34" i="38"/>
  <c r="B36" i="38"/>
  <c r="B33" i="38"/>
  <c r="B35" i="38"/>
  <c r="J22" i="37"/>
  <c r="T27" i="13" s="1"/>
  <c r="B34" i="37"/>
  <c r="B36" i="37"/>
  <c r="T23" i="13" s="1"/>
  <c r="B33" i="37"/>
  <c r="T20" i="13" s="1"/>
  <c r="B35" i="37"/>
  <c r="T22" i="13" s="1"/>
  <c r="B32" i="36"/>
  <c r="B29" i="36"/>
  <c r="F26" i="36" a="1"/>
  <c r="F26" i="36" s="1"/>
  <c r="E26" i="36" a="1"/>
  <c r="E26" i="36" s="1"/>
  <c r="G26" i="36" s="1"/>
  <c r="D26" i="36" a="1"/>
  <c r="D26" i="36" s="1"/>
  <c r="B26" i="36" a="1"/>
  <c r="B26" i="36" s="1"/>
  <c r="F25" i="36" a="1"/>
  <c r="F25" i="36" s="1"/>
  <c r="E25" i="36" a="1"/>
  <c r="E25" i="36" s="1"/>
  <c r="G25" i="36" s="1"/>
  <c r="D25" i="36" a="1"/>
  <c r="D25" i="36" s="1"/>
  <c r="B25" i="36" a="1"/>
  <c r="B25" i="36" s="1"/>
  <c r="F24" i="36" a="1"/>
  <c r="F24" i="36" s="1"/>
  <c r="E24" i="36" a="1"/>
  <c r="E24" i="36" s="1"/>
  <c r="G24" i="36" s="1"/>
  <c r="D24" i="36" a="1"/>
  <c r="D24" i="36" s="1"/>
  <c r="B24" i="36" a="1"/>
  <c r="B24" i="36" s="1"/>
  <c r="F23" i="36" a="1"/>
  <c r="F23" i="36" s="1"/>
  <c r="E23" i="36" a="1"/>
  <c r="E23" i="36" s="1"/>
  <c r="G23" i="36" s="1"/>
  <c r="D23" i="36" a="1"/>
  <c r="D23" i="36" s="1"/>
  <c r="B23" i="36" a="1"/>
  <c r="B23" i="36" s="1"/>
  <c r="F22" i="36"/>
  <c r="F22" i="36" a="1"/>
  <c r="E22" i="36"/>
  <c r="G22" i="36" s="1"/>
  <c r="E22" i="36" a="1"/>
  <c r="D22" i="36"/>
  <c r="D22" i="36" a="1"/>
  <c r="B22" i="36" a="1"/>
  <c r="B22" i="36" s="1"/>
  <c r="Z18" i="36"/>
  <c r="V18" i="36"/>
  <c r="R18" i="36"/>
  <c r="Q18" i="36"/>
  <c r="P18" i="36"/>
  <c r="L18" i="36"/>
  <c r="K18" i="36"/>
  <c r="J18" i="36"/>
  <c r="Z17" i="36"/>
  <c r="V17" i="36"/>
  <c r="R17" i="36"/>
  <c r="Q17" i="36"/>
  <c r="P17" i="36"/>
  <c r="L17" i="36"/>
  <c r="K17" i="36"/>
  <c r="J17" i="36"/>
  <c r="Z16" i="36"/>
  <c r="V16" i="36"/>
  <c r="R16" i="36"/>
  <c r="Q16" i="36"/>
  <c r="P16" i="36"/>
  <c r="L16" i="36"/>
  <c r="K16" i="36"/>
  <c r="J16" i="36"/>
  <c r="Z15" i="36"/>
  <c r="V15" i="36"/>
  <c r="R15" i="36"/>
  <c r="Q15" i="36"/>
  <c r="P15" i="36"/>
  <c r="L15" i="36"/>
  <c r="K15" i="36"/>
  <c r="J15" i="36"/>
  <c r="Z14" i="36"/>
  <c r="V14" i="36"/>
  <c r="R14" i="36"/>
  <c r="Q14" i="36"/>
  <c r="P14" i="36"/>
  <c r="L14" i="36"/>
  <c r="K14" i="36"/>
  <c r="J14" i="36"/>
  <c r="Z13" i="36"/>
  <c r="V13" i="36"/>
  <c r="R13" i="36"/>
  <c r="Q13" i="36"/>
  <c r="P13" i="36"/>
  <c r="L13" i="36"/>
  <c r="K13" i="36"/>
  <c r="J13" i="36"/>
  <c r="Z12" i="36"/>
  <c r="V12" i="36"/>
  <c r="R12" i="36"/>
  <c r="Q12" i="36"/>
  <c r="P12" i="36"/>
  <c r="L12" i="36"/>
  <c r="K12" i="36"/>
  <c r="J12" i="36"/>
  <c r="Z11" i="36"/>
  <c r="Z21" i="36" s="1"/>
  <c r="S55" i="13" s="1"/>
  <c r="V11" i="36"/>
  <c r="R11" i="36"/>
  <c r="Q11" i="36"/>
  <c r="P11" i="36"/>
  <c r="L11" i="36"/>
  <c r="K11" i="36"/>
  <c r="J11" i="36"/>
  <c r="Z10" i="36"/>
  <c r="V10" i="36"/>
  <c r="R10" i="36"/>
  <c r="Q10" i="36"/>
  <c r="P10" i="36"/>
  <c r="L10" i="36"/>
  <c r="K10" i="36"/>
  <c r="J10" i="36"/>
  <c r="Z9" i="36"/>
  <c r="V9" i="36"/>
  <c r="R9" i="36"/>
  <c r="Q9" i="36"/>
  <c r="P9" i="36"/>
  <c r="L9" i="36"/>
  <c r="K9" i="36"/>
  <c r="J9" i="36"/>
  <c r="Z8" i="36"/>
  <c r="V8" i="36"/>
  <c r="R8" i="36"/>
  <c r="Q8" i="36"/>
  <c r="P8" i="36"/>
  <c r="L8" i="36"/>
  <c r="K8" i="36"/>
  <c r="J8" i="36"/>
  <c r="Z7" i="36"/>
  <c r="V7" i="36"/>
  <c r="R7" i="36"/>
  <c r="Q7" i="36"/>
  <c r="P7" i="36"/>
  <c r="K7" i="36"/>
  <c r="J7" i="36"/>
  <c r="Z6" i="36"/>
  <c r="V6" i="36"/>
  <c r="R6" i="36"/>
  <c r="Q6" i="36"/>
  <c r="P6" i="36"/>
  <c r="K6" i="36"/>
  <c r="J6" i="36"/>
  <c r="L7" i="36" s="1"/>
  <c r="P5" i="36"/>
  <c r="J5" i="36"/>
  <c r="B39" i="35"/>
  <c r="B36" i="35"/>
  <c r="F32" i="35" a="1"/>
  <c r="F32" i="35" s="1"/>
  <c r="E32" i="35" a="1"/>
  <c r="E32" i="35" s="1"/>
  <c r="G32" i="35" s="1"/>
  <c r="D32" i="35" a="1"/>
  <c r="D32" i="35" s="1"/>
  <c r="F31" i="35" a="1"/>
  <c r="F31" i="35" s="1"/>
  <c r="E31" i="35" a="1"/>
  <c r="E31" i="35" s="1"/>
  <c r="G31" i="35" s="1"/>
  <c r="D31" i="35" a="1"/>
  <c r="D31" i="35" s="1"/>
  <c r="F30" i="35" a="1"/>
  <c r="F30" i="35" s="1"/>
  <c r="E30" i="35" a="1"/>
  <c r="E30" i="35" s="1"/>
  <c r="G30" i="35" s="1"/>
  <c r="D30" i="35" a="1"/>
  <c r="D30" i="35" s="1"/>
  <c r="F29" i="35" a="1"/>
  <c r="F29" i="35" s="1"/>
  <c r="E29" i="35"/>
  <c r="G29" i="35" s="1"/>
  <c r="E29" i="35" a="1"/>
  <c r="D29" i="35" a="1"/>
  <c r="D29" i="35" s="1"/>
  <c r="F28" i="35" a="1"/>
  <c r="F28" i="35" s="1"/>
  <c r="E28" i="35" a="1"/>
  <c r="E28" i="35" s="1"/>
  <c r="G28" i="35" s="1"/>
  <c r="D28" i="35" a="1"/>
  <c r="D28" i="35" s="1"/>
  <c r="F27" i="35" a="1"/>
  <c r="F27" i="35" s="1"/>
  <c r="E27" i="35" a="1"/>
  <c r="E27" i="35" s="1"/>
  <c r="G27" i="35" s="1"/>
  <c r="D27" i="35"/>
  <c r="D27" i="35" a="1"/>
  <c r="F26" i="35" a="1"/>
  <c r="F26" i="35" s="1"/>
  <c r="E26" i="35" a="1"/>
  <c r="E26" i="35" s="1"/>
  <c r="G26" i="35" s="1"/>
  <c r="D26" i="35" a="1"/>
  <c r="D26" i="35" s="1"/>
  <c r="F25" i="35" a="1"/>
  <c r="F25" i="35" s="1"/>
  <c r="E25" i="35"/>
  <c r="G25" i="35" s="1"/>
  <c r="E25" i="35" a="1"/>
  <c r="D25" i="35" a="1"/>
  <c r="D25" i="35" s="1"/>
  <c r="F24" i="35" a="1"/>
  <c r="F24" i="35" s="1"/>
  <c r="E24" i="35" a="1"/>
  <c r="E24" i="35" s="1"/>
  <c r="G24" i="35" s="1"/>
  <c r="D24" i="35" a="1"/>
  <c r="D24" i="35" s="1"/>
  <c r="F23" i="35" a="1"/>
  <c r="F23" i="35" s="1"/>
  <c r="E23" i="35" a="1"/>
  <c r="E23" i="35" s="1"/>
  <c r="G23" i="35" s="1"/>
  <c r="D23" i="35" a="1"/>
  <c r="D23" i="35" s="1"/>
  <c r="F22" i="35"/>
  <c r="F22" i="35" a="1"/>
  <c r="E22" i="35" a="1"/>
  <c r="E22" i="35" s="1"/>
  <c r="G22" i="35" s="1"/>
  <c r="D22" i="35" a="1"/>
  <c r="D22" i="35" s="1"/>
  <c r="Z18" i="35"/>
  <c r="V18" i="35"/>
  <c r="Q18" i="35"/>
  <c r="P18" i="35"/>
  <c r="K18" i="35"/>
  <c r="J18" i="35"/>
  <c r="Z17" i="35"/>
  <c r="V17" i="35"/>
  <c r="Q17" i="35"/>
  <c r="P17" i="35"/>
  <c r="L17" i="35"/>
  <c r="K17" i="35"/>
  <c r="J17" i="35"/>
  <c r="L18" i="35" s="1"/>
  <c r="Z16" i="35"/>
  <c r="V16" i="35"/>
  <c r="Q16" i="35"/>
  <c r="P16" i="35"/>
  <c r="K16" i="35"/>
  <c r="J16" i="35"/>
  <c r="Z15" i="35"/>
  <c r="V15" i="35"/>
  <c r="Q15" i="35"/>
  <c r="P15" i="35"/>
  <c r="K15" i="35"/>
  <c r="J15" i="35"/>
  <c r="L16" i="35" s="1"/>
  <c r="Z14" i="35"/>
  <c r="V14" i="35"/>
  <c r="Q14" i="35"/>
  <c r="P14" i="35"/>
  <c r="R15" i="35" s="1"/>
  <c r="K14" i="35"/>
  <c r="J14" i="35"/>
  <c r="L15" i="35" s="1"/>
  <c r="Z13" i="35"/>
  <c r="V13" i="35"/>
  <c r="Q13" i="35"/>
  <c r="P13" i="35"/>
  <c r="L13" i="35"/>
  <c r="K13" i="35"/>
  <c r="J13" i="35"/>
  <c r="L14" i="35" s="1"/>
  <c r="Z12" i="35"/>
  <c r="V12" i="35"/>
  <c r="Q12" i="35"/>
  <c r="P12" i="35"/>
  <c r="K12" i="35"/>
  <c r="J12" i="35"/>
  <c r="Z11" i="35"/>
  <c r="V11" i="35"/>
  <c r="Q11" i="35"/>
  <c r="P11" i="35"/>
  <c r="K11" i="35"/>
  <c r="J11" i="35"/>
  <c r="L12" i="35" s="1"/>
  <c r="Z10" i="35"/>
  <c r="V10" i="35"/>
  <c r="Q10" i="35"/>
  <c r="P10" i="35"/>
  <c r="R11" i="35" s="1"/>
  <c r="K10" i="35"/>
  <c r="J10" i="35"/>
  <c r="L11" i="35" s="1"/>
  <c r="Z9" i="35"/>
  <c r="V9" i="35"/>
  <c r="Q9" i="35"/>
  <c r="P9" i="35"/>
  <c r="K9" i="35"/>
  <c r="J9" i="35"/>
  <c r="L10" i="35" s="1"/>
  <c r="Z8" i="35"/>
  <c r="V8" i="35"/>
  <c r="Q8" i="35"/>
  <c r="P8" i="35"/>
  <c r="K8" i="35"/>
  <c r="J8" i="35"/>
  <c r="L9" i="35" s="1"/>
  <c r="Z7" i="35"/>
  <c r="V7" i="35"/>
  <c r="Q7" i="35"/>
  <c r="P7" i="35"/>
  <c r="R8" i="35" s="1"/>
  <c r="K7" i="35"/>
  <c r="J7" i="35"/>
  <c r="P6" i="35"/>
  <c r="R7" i="35" s="1"/>
  <c r="J6" i="35"/>
  <c r="L7" i="35" s="1"/>
  <c r="Z6" i="35"/>
  <c r="V6" i="35"/>
  <c r="Q6" i="35"/>
  <c r="B31" i="35" a="1"/>
  <c r="B31" i="35" s="1"/>
  <c r="Z8" i="34"/>
  <c r="V8" i="34"/>
  <c r="R8" i="34"/>
  <c r="Q8" i="34"/>
  <c r="K8" i="34"/>
  <c r="B39" i="34"/>
  <c r="Q19" i="13" s="1"/>
  <c r="B36" i="34"/>
  <c r="Q16" i="13" s="1"/>
  <c r="B35" i="34"/>
  <c r="Q15" i="13" s="1"/>
  <c r="F32" i="34" a="1"/>
  <c r="F32" i="34" s="1"/>
  <c r="E32" i="34" a="1"/>
  <c r="E32" i="34" s="1"/>
  <c r="G32" i="34" s="1"/>
  <c r="D32" i="34" a="1"/>
  <c r="D32" i="34" s="1"/>
  <c r="F31" i="34" a="1"/>
  <c r="F31" i="34" s="1"/>
  <c r="E31" i="34" a="1"/>
  <c r="E31" i="34" s="1"/>
  <c r="G31" i="34" s="1"/>
  <c r="D31" i="34" a="1"/>
  <c r="D31" i="34" s="1"/>
  <c r="F30" i="34" a="1"/>
  <c r="F30" i="34" s="1"/>
  <c r="E30" i="34" a="1"/>
  <c r="E30" i="34" s="1"/>
  <c r="G30" i="34" s="1"/>
  <c r="D30" i="34" a="1"/>
  <c r="D30" i="34" s="1"/>
  <c r="F29" i="34" a="1"/>
  <c r="F29" i="34" s="1"/>
  <c r="E29" i="34" a="1"/>
  <c r="E29" i="34" s="1"/>
  <c r="G29" i="34" s="1"/>
  <c r="D29" i="34" a="1"/>
  <c r="D29" i="34" s="1"/>
  <c r="F28" i="34" a="1"/>
  <c r="F28" i="34" s="1"/>
  <c r="E28" i="34" a="1"/>
  <c r="E28" i="34" s="1"/>
  <c r="G28" i="34" s="1"/>
  <c r="D28" i="34" a="1"/>
  <c r="D28" i="34" s="1"/>
  <c r="F27" i="34" a="1"/>
  <c r="F27" i="34" s="1"/>
  <c r="E27" i="34"/>
  <c r="G27" i="34" s="1"/>
  <c r="E27" i="34" a="1"/>
  <c r="D27" i="34" a="1"/>
  <c r="D27" i="34" s="1"/>
  <c r="F26" i="34" a="1"/>
  <c r="F26" i="34" s="1"/>
  <c r="E26" i="34" a="1"/>
  <c r="E26" i="34" s="1"/>
  <c r="G26" i="34" s="1"/>
  <c r="D26" i="34" a="1"/>
  <c r="D26" i="34" s="1"/>
  <c r="F25" i="34" a="1"/>
  <c r="F25" i="34" s="1"/>
  <c r="E25" i="34" a="1"/>
  <c r="E25" i="34" s="1"/>
  <c r="G25" i="34" s="1"/>
  <c r="D25" i="34" a="1"/>
  <c r="D25" i="34" s="1"/>
  <c r="F24" i="34" a="1"/>
  <c r="F24" i="34" s="1"/>
  <c r="E24" i="34" a="1"/>
  <c r="E24" i="34" s="1"/>
  <c r="G24" i="34" s="1"/>
  <c r="D24" i="34" a="1"/>
  <c r="D24" i="34" s="1"/>
  <c r="F23" i="34" a="1"/>
  <c r="F23" i="34" s="1"/>
  <c r="E23" i="34" a="1"/>
  <c r="E23" i="34" s="1"/>
  <c r="G23" i="34" s="1"/>
  <c r="D23" i="34" a="1"/>
  <c r="D23" i="34" s="1"/>
  <c r="F22" i="34" a="1"/>
  <c r="F22" i="34" s="1"/>
  <c r="E22" i="34"/>
  <c r="G22" i="34" s="1"/>
  <c r="E22" i="34" a="1"/>
  <c r="D22" i="34" a="1"/>
  <c r="D22" i="34" s="1"/>
  <c r="Z18" i="34"/>
  <c r="V18" i="34"/>
  <c r="Q18" i="34"/>
  <c r="P18" i="34"/>
  <c r="K18" i="34"/>
  <c r="J18" i="34"/>
  <c r="Z17" i="34"/>
  <c r="V17" i="34"/>
  <c r="Q17" i="34"/>
  <c r="P17" i="34"/>
  <c r="K17" i="34"/>
  <c r="J17" i="34"/>
  <c r="L18" i="34" s="1"/>
  <c r="Z16" i="34"/>
  <c r="V16" i="34"/>
  <c r="Q16" i="34"/>
  <c r="P16" i="34"/>
  <c r="R17" i="34" s="1"/>
  <c r="K16" i="34"/>
  <c r="J16" i="34"/>
  <c r="Z15" i="34"/>
  <c r="V15" i="34"/>
  <c r="Q15" i="34"/>
  <c r="P15" i="34"/>
  <c r="K15" i="34"/>
  <c r="J15" i="34"/>
  <c r="L16" i="34" s="1"/>
  <c r="Z14" i="34"/>
  <c r="V14" i="34"/>
  <c r="Q14" i="34"/>
  <c r="P14" i="34"/>
  <c r="K14" i="34"/>
  <c r="J14" i="34"/>
  <c r="Z13" i="34"/>
  <c r="V13" i="34"/>
  <c r="Q13" i="34"/>
  <c r="P13" i="34"/>
  <c r="K13" i="34"/>
  <c r="J13" i="34"/>
  <c r="L14" i="34" s="1"/>
  <c r="Z12" i="34"/>
  <c r="Z21" i="34" s="1"/>
  <c r="Q55" i="13" s="1"/>
  <c r="V12" i="34"/>
  <c r="Q12" i="34"/>
  <c r="P12" i="34"/>
  <c r="R13" i="34" s="1"/>
  <c r="K12" i="34"/>
  <c r="J12" i="34"/>
  <c r="Z11" i="34"/>
  <c r="V11" i="34"/>
  <c r="Q11" i="34"/>
  <c r="P11" i="34"/>
  <c r="K11" i="34"/>
  <c r="J11" i="34"/>
  <c r="L12" i="34" s="1"/>
  <c r="Z10" i="34"/>
  <c r="V10" i="34"/>
  <c r="Q10" i="34"/>
  <c r="P10" i="34"/>
  <c r="R11" i="34" s="1"/>
  <c r="K10" i="34"/>
  <c r="J10" i="34"/>
  <c r="Z9" i="34"/>
  <c r="V9" i="34"/>
  <c r="Q9" i="34"/>
  <c r="P9" i="34"/>
  <c r="K9" i="34"/>
  <c r="J9" i="34"/>
  <c r="L10" i="34" s="1"/>
  <c r="P8" i="34"/>
  <c r="R9" i="34" s="1"/>
  <c r="J8" i="34"/>
  <c r="P6" i="34"/>
  <c r="J6" i="34"/>
  <c r="L8" i="34" s="1"/>
  <c r="Z6" i="34"/>
  <c r="V6" i="34"/>
  <c r="P5" i="34"/>
  <c r="R6" i="34" s="1"/>
  <c r="Q6" i="34"/>
  <c r="B27" i="34" a="1"/>
  <c r="B27" i="34" s="1"/>
  <c r="B39" i="33"/>
  <c r="B36" i="33"/>
  <c r="P16" i="13" s="1"/>
  <c r="B35" i="33"/>
  <c r="P15" i="13" s="1"/>
  <c r="F32" i="33" a="1"/>
  <c r="F32" i="33" s="1"/>
  <c r="E32" i="33" a="1"/>
  <c r="E32" i="33" s="1"/>
  <c r="G32" i="33" s="1"/>
  <c r="D32" i="33" a="1"/>
  <c r="D32" i="33" s="1"/>
  <c r="B32" i="33" a="1"/>
  <c r="B32" i="33" s="1"/>
  <c r="F31" i="33" a="1"/>
  <c r="F31" i="33" s="1"/>
  <c r="E31" i="33" a="1"/>
  <c r="E31" i="33" s="1"/>
  <c r="G31" i="33" s="1"/>
  <c r="D31" i="33" a="1"/>
  <c r="D31" i="33" s="1"/>
  <c r="F30" i="33" a="1"/>
  <c r="F30" i="33" s="1"/>
  <c r="E30" i="33" a="1"/>
  <c r="E30" i="33" s="1"/>
  <c r="G30" i="33" s="1"/>
  <c r="D30" i="33" a="1"/>
  <c r="D30" i="33" s="1"/>
  <c r="F29" i="33" a="1"/>
  <c r="F29" i="33" s="1"/>
  <c r="E29" i="33" a="1"/>
  <c r="E29" i="33" s="1"/>
  <c r="G29" i="33" s="1"/>
  <c r="D29" i="33" a="1"/>
  <c r="D29" i="33" s="1"/>
  <c r="F28" i="33" a="1"/>
  <c r="F28" i="33" s="1"/>
  <c r="E28" i="33" a="1"/>
  <c r="E28" i="33" s="1"/>
  <c r="G28" i="33" s="1"/>
  <c r="D28" i="33"/>
  <c r="D28" i="33" a="1"/>
  <c r="F27" i="33" a="1"/>
  <c r="F27" i="33" s="1"/>
  <c r="E27" i="33" a="1"/>
  <c r="E27" i="33" s="1"/>
  <c r="G27" i="33" s="1"/>
  <c r="D27" i="33" a="1"/>
  <c r="D27" i="33" s="1"/>
  <c r="F26" i="33" a="1"/>
  <c r="F26" i="33" s="1"/>
  <c r="E26" i="33" a="1"/>
  <c r="E26" i="33" s="1"/>
  <c r="G26" i="33" s="1"/>
  <c r="D26" i="33" a="1"/>
  <c r="D26" i="33" s="1"/>
  <c r="F25" i="33" a="1"/>
  <c r="F25" i="33" s="1"/>
  <c r="E25" i="33" a="1"/>
  <c r="E25" i="33" s="1"/>
  <c r="G25" i="33" s="1"/>
  <c r="D25" i="33" a="1"/>
  <c r="D25" i="33" s="1"/>
  <c r="F24" i="33" a="1"/>
  <c r="F24" i="33" s="1"/>
  <c r="E24" i="33" a="1"/>
  <c r="E24" i="33" s="1"/>
  <c r="G24" i="33" s="1"/>
  <c r="D24" i="33" a="1"/>
  <c r="D24" i="33" s="1"/>
  <c r="F23" i="33" a="1"/>
  <c r="F23" i="33" s="1"/>
  <c r="E23" i="33" a="1"/>
  <c r="E23" i="33" s="1"/>
  <c r="G23" i="33" s="1"/>
  <c r="D23" i="33" a="1"/>
  <c r="D23" i="33" s="1"/>
  <c r="F22" i="33" a="1"/>
  <c r="F22" i="33" s="1"/>
  <c r="E22" i="33"/>
  <c r="G22" i="33" s="1"/>
  <c r="E22" i="33" a="1"/>
  <c r="D22" i="33" a="1"/>
  <c r="D22" i="33" s="1"/>
  <c r="Z18" i="33"/>
  <c r="V18" i="33"/>
  <c r="Q18" i="33"/>
  <c r="P18" i="33"/>
  <c r="K18" i="33"/>
  <c r="J18" i="33"/>
  <c r="Z17" i="33"/>
  <c r="V17" i="33"/>
  <c r="Q17" i="33"/>
  <c r="P17" i="33"/>
  <c r="R18" i="33" s="1"/>
  <c r="K17" i="33"/>
  <c r="J17" i="33"/>
  <c r="L18" i="33" s="1"/>
  <c r="Z16" i="33"/>
  <c r="V16" i="33"/>
  <c r="Q16" i="33"/>
  <c r="P16" i="33"/>
  <c r="R17" i="33" s="1"/>
  <c r="K16" i="33"/>
  <c r="J16" i="33"/>
  <c r="L17" i="33" s="1"/>
  <c r="Z15" i="33"/>
  <c r="V15" i="33"/>
  <c r="Q15" i="33"/>
  <c r="P15" i="33"/>
  <c r="R16" i="33" s="1"/>
  <c r="K15" i="33"/>
  <c r="J15" i="33"/>
  <c r="L16" i="33" s="1"/>
  <c r="Z14" i="33"/>
  <c r="V14" i="33"/>
  <c r="Q14" i="33"/>
  <c r="P14" i="33"/>
  <c r="K14" i="33"/>
  <c r="J14" i="33"/>
  <c r="Z13" i="33"/>
  <c r="V13" i="33"/>
  <c r="Q13" i="33"/>
  <c r="P13" i="33"/>
  <c r="R14" i="33" s="1"/>
  <c r="K13" i="33"/>
  <c r="J13" i="33"/>
  <c r="L14" i="33" s="1"/>
  <c r="Z12" i="33"/>
  <c r="Z21" i="33" s="1"/>
  <c r="P55" i="13" s="1"/>
  <c r="V12" i="33"/>
  <c r="Q12" i="33"/>
  <c r="P12" i="33"/>
  <c r="R13" i="33" s="1"/>
  <c r="K12" i="33"/>
  <c r="J12" i="33"/>
  <c r="L13" i="33" s="1"/>
  <c r="Z11" i="33"/>
  <c r="V11" i="33"/>
  <c r="Q11" i="33"/>
  <c r="P11" i="33"/>
  <c r="R12" i="33" s="1"/>
  <c r="K11" i="33"/>
  <c r="J11" i="33"/>
  <c r="L12" i="33" s="1"/>
  <c r="Z10" i="33"/>
  <c r="V10" i="33"/>
  <c r="Q10" i="33"/>
  <c r="P10" i="33"/>
  <c r="R11" i="33" s="1"/>
  <c r="K10" i="33"/>
  <c r="J10" i="33"/>
  <c r="L11" i="33" s="1"/>
  <c r="Z9" i="33"/>
  <c r="V9" i="33"/>
  <c r="Q9" i="33"/>
  <c r="P9" i="33"/>
  <c r="R10" i="33" s="1"/>
  <c r="K9" i="33"/>
  <c r="J9" i="33"/>
  <c r="L10" i="33" s="1"/>
  <c r="Z8" i="33"/>
  <c r="V8" i="33"/>
  <c r="Q8" i="33"/>
  <c r="P8" i="33"/>
  <c r="R9" i="33" s="1"/>
  <c r="K8" i="33"/>
  <c r="J8" i="33"/>
  <c r="L9" i="33" s="1"/>
  <c r="Z7" i="33"/>
  <c r="V7" i="33"/>
  <c r="Q7" i="33"/>
  <c r="P7" i="33"/>
  <c r="R8" i="33" s="1"/>
  <c r="K7" i="33"/>
  <c r="J7" i="33"/>
  <c r="L8" i="33" s="1"/>
  <c r="P6" i="33"/>
  <c r="J6" i="33"/>
  <c r="Z6" i="33"/>
  <c r="V6" i="33"/>
  <c r="Q6" i="33"/>
  <c r="P21" i="33" s="1"/>
  <c r="P51" i="13" s="1"/>
  <c r="B27" i="33" a="1"/>
  <c r="B27" i="33" s="1"/>
  <c r="O5" i="32"/>
  <c r="U5" i="32"/>
  <c r="V6" i="32" s="1"/>
  <c r="V21" i="32" s="1"/>
  <c r="O54" i="13" s="1"/>
  <c r="Y5" i="32"/>
  <c r="Z6" i="32" s="1"/>
  <c r="Z18" i="32"/>
  <c r="Z17" i="32"/>
  <c r="Z16" i="32"/>
  <c r="Z15" i="32"/>
  <c r="Z14" i="32"/>
  <c r="Z13" i="32"/>
  <c r="Z21" i="32" s="1"/>
  <c r="O55" i="13" s="1"/>
  <c r="Z12" i="32"/>
  <c r="Z11" i="32"/>
  <c r="Z10" i="32"/>
  <c r="Z9" i="32"/>
  <c r="Z8" i="32"/>
  <c r="Z7" i="32"/>
  <c r="V7" i="32"/>
  <c r="V8" i="32"/>
  <c r="V9" i="32"/>
  <c r="V10" i="32"/>
  <c r="V11" i="32"/>
  <c r="V12" i="32"/>
  <c r="V13" i="32"/>
  <c r="V14" i="32"/>
  <c r="V15" i="32"/>
  <c r="V16" i="32"/>
  <c r="V17" i="32"/>
  <c r="V18" i="32"/>
  <c r="P5" i="32"/>
  <c r="B39" i="32"/>
  <c r="B36" i="32"/>
  <c r="F32" i="32" a="1"/>
  <c r="F32" i="32" s="1"/>
  <c r="E32" i="32" a="1"/>
  <c r="E32" i="32" s="1"/>
  <c r="G32" i="32" s="1"/>
  <c r="D32" i="32" a="1"/>
  <c r="D32" i="32" s="1"/>
  <c r="B32" i="32" a="1"/>
  <c r="B32" i="32" s="1"/>
  <c r="F31" i="32" a="1"/>
  <c r="F31" i="32" s="1"/>
  <c r="E31" i="32" a="1"/>
  <c r="E31" i="32" s="1"/>
  <c r="G31" i="32" s="1"/>
  <c r="D31" i="32" a="1"/>
  <c r="D31" i="32" s="1"/>
  <c r="B31" i="32" a="1"/>
  <c r="B31" i="32" s="1"/>
  <c r="F30" i="32" a="1"/>
  <c r="F30" i="32" s="1"/>
  <c r="E30" i="32" a="1"/>
  <c r="E30" i="32" s="1"/>
  <c r="G30" i="32" s="1"/>
  <c r="D30" i="32" a="1"/>
  <c r="D30" i="32" s="1"/>
  <c r="B30" i="32" a="1"/>
  <c r="B30" i="32" s="1"/>
  <c r="F29" i="32" a="1"/>
  <c r="F29" i="32" s="1"/>
  <c r="E29" i="32" a="1"/>
  <c r="E29" i="32" s="1"/>
  <c r="G29" i="32" s="1"/>
  <c r="D29" i="32" a="1"/>
  <c r="D29" i="32" s="1"/>
  <c r="B29" i="32" a="1"/>
  <c r="B29" i="32" s="1"/>
  <c r="F28" i="32" a="1"/>
  <c r="F28" i="32" s="1"/>
  <c r="E28" i="32" a="1"/>
  <c r="E28" i="32" s="1"/>
  <c r="G28" i="32" s="1"/>
  <c r="D28" i="32" a="1"/>
  <c r="D28" i="32" s="1"/>
  <c r="B28" i="32" a="1"/>
  <c r="B28" i="32" s="1"/>
  <c r="F27" i="32" a="1"/>
  <c r="F27" i="32" s="1"/>
  <c r="E27" i="32" a="1"/>
  <c r="E27" i="32" s="1"/>
  <c r="G27" i="32" s="1"/>
  <c r="D27" i="32" a="1"/>
  <c r="D27" i="32" s="1"/>
  <c r="B27" i="32" a="1"/>
  <c r="B27" i="32" s="1"/>
  <c r="F26" i="32" a="1"/>
  <c r="F26" i="32" s="1"/>
  <c r="E26" i="32" a="1"/>
  <c r="E26" i="32" s="1"/>
  <c r="G26" i="32" s="1"/>
  <c r="D26" i="32" a="1"/>
  <c r="D26" i="32" s="1"/>
  <c r="B26" i="32" a="1"/>
  <c r="B26" i="32" s="1"/>
  <c r="F25" i="32" a="1"/>
  <c r="F25" i="32" s="1"/>
  <c r="E25" i="32" a="1"/>
  <c r="E25" i="32" s="1"/>
  <c r="G25" i="32" s="1"/>
  <c r="D25" i="32" a="1"/>
  <c r="D25" i="32" s="1"/>
  <c r="B25" i="32" a="1"/>
  <c r="B25" i="32" s="1"/>
  <c r="F24" i="32" a="1"/>
  <c r="F24" i="32" s="1"/>
  <c r="E24" i="32" a="1"/>
  <c r="E24" i="32" s="1"/>
  <c r="G24" i="32" s="1"/>
  <c r="D24" i="32"/>
  <c r="D24" i="32" a="1"/>
  <c r="B24" i="32" a="1"/>
  <c r="B24" i="32" s="1"/>
  <c r="F23" i="32" a="1"/>
  <c r="F23" i="32" s="1"/>
  <c r="E23" i="32" a="1"/>
  <c r="E23" i="32" s="1"/>
  <c r="G23" i="32" s="1"/>
  <c r="D23" i="32" a="1"/>
  <c r="D23" i="32" s="1"/>
  <c r="B23" i="32" a="1"/>
  <c r="B23" i="32" s="1"/>
  <c r="F22" i="32" a="1"/>
  <c r="F22" i="32" s="1"/>
  <c r="E22" i="32"/>
  <c r="G22" i="32" s="1"/>
  <c r="E22" i="32" a="1"/>
  <c r="D22" i="32" a="1"/>
  <c r="D22" i="32" s="1"/>
  <c r="B22" i="32" a="1"/>
  <c r="B22" i="32" s="1"/>
  <c r="Q18" i="32"/>
  <c r="P18" i="32"/>
  <c r="K18" i="32"/>
  <c r="J18" i="32"/>
  <c r="Q17" i="32"/>
  <c r="P17" i="32"/>
  <c r="R18" i="32" s="1"/>
  <c r="K17" i="32"/>
  <c r="J17" i="32"/>
  <c r="L18" i="32" s="1"/>
  <c r="Q16" i="32"/>
  <c r="P16" i="32"/>
  <c r="R17" i="32" s="1"/>
  <c r="K16" i="32"/>
  <c r="J16" i="32"/>
  <c r="L17" i="32" s="1"/>
  <c r="Q15" i="32"/>
  <c r="P15" i="32"/>
  <c r="R16" i="32" s="1"/>
  <c r="K15" i="32"/>
  <c r="J15" i="32"/>
  <c r="L16" i="32" s="1"/>
  <c r="Q14" i="32"/>
  <c r="P14" i="32"/>
  <c r="K14" i="32"/>
  <c r="J14" i="32"/>
  <c r="L15" i="32" s="1"/>
  <c r="Q13" i="32"/>
  <c r="P13" i="32"/>
  <c r="R14" i="32" s="1"/>
  <c r="K13" i="32"/>
  <c r="J13" i="32"/>
  <c r="L14" i="32" s="1"/>
  <c r="Q12" i="32"/>
  <c r="P12" i="32"/>
  <c r="R13" i="32" s="1"/>
  <c r="K12" i="32"/>
  <c r="J12" i="32"/>
  <c r="L13" i="32" s="1"/>
  <c r="Q11" i="32"/>
  <c r="P11" i="32"/>
  <c r="R12" i="32" s="1"/>
  <c r="K11" i="32"/>
  <c r="J11" i="32"/>
  <c r="L12" i="32" s="1"/>
  <c r="Q10" i="32"/>
  <c r="P10" i="32"/>
  <c r="R11" i="32" s="1"/>
  <c r="K10" i="32"/>
  <c r="J10" i="32"/>
  <c r="L11" i="32" s="1"/>
  <c r="Q9" i="32"/>
  <c r="P9" i="32"/>
  <c r="R10" i="32" s="1"/>
  <c r="K9" i="32"/>
  <c r="J9" i="32"/>
  <c r="L10" i="32" s="1"/>
  <c r="Q8" i="32"/>
  <c r="P8" i="32"/>
  <c r="R9" i="32" s="1"/>
  <c r="K8" i="32"/>
  <c r="J8" i="32"/>
  <c r="L9" i="32" s="1"/>
  <c r="Q7" i="32"/>
  <c r="P7" i="32"/>
  <c r="R8" i="32" s="1"/>
  <c r="L7" i="32"/>
  <c r="K7" i="32"/>
  <c r="J7" i="32"/>
  <c r="L8" i="32" s="1"/>
  <c r="Q6" i="32"/>
  <c r="P6" i="32"/>
  <c r="R7" i="32" s="1"/>
  <c r="K6" i="32"/>
  <c r="J6" i="32"/>
  <c r="F32" i="31" a="1"/>
  <c r="F32" i="31" s="1"/>
  <c r="F31" i="31" a="1"/>
  <c r="F31" i="31" s="1"/>
  <c r="F30" i="31" a="1"/>
  <c r="F30" i="31" s="1"/>
  <c r="F29" i="31" a="1"/>
  <c r="F29" i="31" s="1"/>
  <c r="F28" i="31" a="1"/>
  <c r="F28" i="31" s="1"/>
  <c r="F27" i="31" a="1"/>
  <c r="F27" i="31" s="1"/>
  <c r="E32" i="31" a="1"/>
  <c r="E32" i="31" s="1"/>
  <c r="G32" i="31" s="1"/>
  <c r="E31" i="31" a="1"/>
  <c r="E31" i="31" s="1"/>
  <c r="G31" i="31" s="1"/>
  <c r="E30" i="31" a="1"/>
  <c r="E30" i="31" s="1"/>
  <c r="G30" i="31" s="1"/>
  <c r="E29" i="31" a="1"/>
  <c r="E29" i="31" s="1"/>
  <c r="G29" i="31" s="1"/>
  <c r="E28" i="31" a="1"/>
  <c r="E28" i="31" s="1"/>
  <c r="G28" i="31" s="1"/>
  <c r="E27" i="31" a="1"/>
  <c r="E27" i="31"/>
  <c r="G27" i="31" s="1"/>
  <c r="E26" i="31" a="1"/>
  <c r="E26" i="31" s="1"/>
  <c r="G26" i="31" s="1"/>
  <c r="E25" i="31" a="1"/>
  <c r="E25" i="31" s="1"/>
  <c r="G25" i="31" s="1"/>
  <c r="E26" i="26" a="1"/>
  <c r="E26" i="26" s="1"/>
  <c r="G26" i="26" s="1"/>
  <c r="D32" i="31" a="1"/>
  <c r="D32" i="31" s="1"/>
  <c r="D31" i="31" a="1"/>
  <c r="D31" i="31" s="1"/>
  <c r="D30" i="31" a="1"/>
  <c r="D30" i="31" s="1"/>
  <c r="D29" i="31" a="1"/>
  <c r="D29" i="31" s="1"/>
  <c r="D28" i="31" a="1"/>
  <c r="D28" i="31" s="1"/>
  <c r="D27" i="31" a="1"/>
  <c r="D27" i="31" s="1"/>
  <c r="B32" i="31" a="1"/>
  <c r="B32" i="31" s="1"/>
  <c r="B31" i="31" a="1"/>
  <c r="B31" i="31" s="1"/>
  <c r="B30" i="31" a="1"/>
  <c r="B30" i="31" s="1"/>
  <c r="B29" i="31" a="1"/>
  <c r="B29" i="31" s="1"/>
  <c r="B28" i="31" a="1"/>
  <c r="B28" i="31" s="1"/>
  <c r="B27" i="31" a="1"/>
  <c r="B27" i="31" s="1"/>
  <c r="B39" i="31"/>
  <c r="B36" i="31"/>
  <c r="F26" i="31" a="1"/>
  <c r="F26" i="31" s="1"/>
  <c r="D26" i="31" a="1"/>
  <c r="D26" i="31" s="1"/>
  <c r="B26" i="31" a="1"/>
  <c r="B26" i="31" s="1"/>
  <c r="F25" i="31" a="1"/>
  <c r="F25" i="31" s="1"/>
  <c r="D25" i="31" a="1"/>
  <c r="D25" i="31" s="1"/>
  <c r="B25" i="31" a="1"/>
  <c r="B25" i="31" s="1"/>
  <c r="F24" i="31" a="1"/>
  <c r="F24" i="31" s="1"/>
  <c r="E24" i="31" a="1"/>
  <c r="E24" i="31" s="1"/>
  <c r="G24" i="31" s="1"/>
  <c r="D24" i="31" a="1"/>
  <c r="D24" i="31" s="1"/>
  <c r="B24" i="31" a="1"/>
  <c r="B24" i="31" s="1"/>
  <c r="F23" i="31" a="1"/>
  <c r="F23" i="31" s="1"/>
  <c r="E23" i="31" a="1"/>
  <c r="E23" i="31" s="1"/>
  <c r="G23" i="31" s="1"/>
  <c r="D23" i="31" a="1"/>
  <c r="D23" i="31" s="1"/>
  <c r="B23" i="31" a="1"/>
  <c r="B23" i="31" s="1"/>
  <c r="F22" i="31" a="1"/>
  <c r="F22" i="31" s="1"/>
  <c r="E22" i="31" a="1"/>
  <c r="E22" i="31" s="1"/>
  <c r="G22" i="31" s="1"/>
  <c r="D22" i="31" a="1"/>
  <c r="D22" i="31" s="1"/>
  <c r="B22" i="31" a="1"/>
  <c r="B22" i="31" s="1"/>
  <c r="Z18" i="31"/>
  <c r="V18" i="31"/>
  <c r="Q18" i="31"/>
  <c r="P18" i="31"/>
  <c r="K18" i="31"/>
  <c r="J18" i="31"/>
  <c r="Z17" i="31"/>
  <c r="V17" i="31"/>
  <c r="Q17" i="31"/>
  <c r="P17" i="31"/>
  <c r="K17" i="31"/>
  <c r="J17" i="31"/>
  <c r="Z16" i="31"/>
  <c r="V16" i="31"/>
  <c r="Q16" i="31"/>
  <c r="P16" i="31"/>
  <c r="K16" i="31"/>
  <c r="J16" i="31"/>
  <c r="Z15" i="31"/>
  <c r="V15" i="31"/>
  <c r="Q15" i="31"/>
  <c r="P15" i="31"/>
  <c r="K15" i="31"/>
  <c r="J15" i="31"/>
  <c r="Z14" i="31"/>
  <c r="V14" i="31"/>
  <c r="Q14" i="31"/>
  <c r="P14" i="31"/>
  <c r="K14" i="31"/>
  <c r="J14" i="31"/>
  <c r="Z13" i="31"/>
  <c r="V13" i="31"/>
  <c r="Q13" i="31"/>
  <c r="P13" i="31"/>
  <c r="K13" i="31"/>
  <c r="J13" i="31"/>
  <c r="Z12" i="31"/>
  <c r="V12" i="31"/>
  <c r="Q12" i="31"/>
  <c r="P12" i="31"/>
  <c r="K12" i="31"/>
  <c r="J12" i="31"/>
  <c r="Z11" i="31"/>
  <c r="V11" i="31"/>
  <c r="Q11" i="31"/>
  <c r="P11" i="31"/>
  <c r="K11" i="31"/>
  <c r="J11" i="31"/>
  <c r="Z10" i="31"/>
  <c r="V10" i="31"/>
  <c r="Q10" i="31"/>
  <c r="P10" i="31"/>
  <c r="K10" i="31"/>
  <c r="J10" i="31"/>
  <c r="Z9" i="31"/>
  <c r="V9" i="31"/>
  <c r="Q9" i="31"/>
  <c r="P9" i="31"/>
  <c r="K9" i="31"/>
  <c r="J9" i="31"/>
  <c r="Z8" i="31"/>
  <c r="V8" i="31"/>
  <c r="Q8" i="31"/>
  <c r="P8" i="31"/>
  <c r="K8" i="31"/>
  <c r="J8" i="31"/>
  <c r="Z7" i="31"/>
  <c r="V7" i="31"/>
  <c r="Q7" i="31"/>
  <c r="P21" i="31" s="1"/>
  <c r="D51" i="13" s="1"/>
  <c r="P7" i="31"/>
  <c r="K7" i="31"/>
  <c r="J7" i="31"/>
  <c r="Z6" i="31"/>
  <c r="V6" i="31"/>
  <c r="Q6" i="31"/>
  <c r="P6" i="31"/>
  <c r="K6" i="31"/>
  <c r="J6" i="31"/>
  <c r="B32" i="30"/>
  <c r="B29" i="30"/>
  <c r="F26" i="30" a="1"/>
  <c r="F26" i="30" s="1"/>
  <c r="E26" i="30" a="1"/>
  <c r="E26" i="30" s="1"/>
  <c r="G26" i="30" s="1"/>
  <c r="D26" i="30" a="1"/>
  <c r="D26" i="30" s="1"/>
  <c r="B26" i="30" a="1"/>
  <c r="B26" i="30" s="1"/>
  <c r="F25" i="30" a="1"/>
  <c r="F25" i="30" s="1"/>
  <c r="E25" i="30" a="1"/>
  <c r="E25" i="30" s="1"/>
  <c r="G25" i="30" s="1"/>
  <c r="D25" i="30" a="1"/>
  <c r="D25" i="30" s="1"/>
  <c r="B25" i="30" a="1"/>
  <c r="B25" i="30" s="1"/>
  <c r="Z15" i="30"/>
  <c r="V15" i="30"/>
  <c r="Q15" i="30"/>
  <c r="P15" i="30"/>
  <c r="K15" i="30"/>
  <c r="J15" i="30"/>
  <c r="Z14" i="30"/>
  <c r="V14" i="30"/>
  <c r="Q14" i="30"/>
  <c r="P14" i="30"/>
  <c r="R14" i="30" s="1"/>
  <c r="K14" i="30"/>
  <c r="J14" i="30"/>
  <c r="L15" i="30" s="1"/>
  <c r="Z13" i="30"/>
  <c r="V13" i="30"/>
  <c r="R13" i="30"/>
  <c r="Q13" i="30"/>
  <c r="P13" i="30"/>
  <c r="K13" i="30"/>
  <c r="J13" i="30"/>
  <c r="L14" i="30" s="1"/>
  <c r="Z12" i="30"/>
  <c r="V12" i="30"/>
  <c r="Q12" i="30"/>
  <c r="P12" i="30"/>
  <c r="K12" i="30"/>
  <c r="J12" i="30"/>
  <c r="Z11" i="30"/>
  <c r="Z21" i="30" s="1"/>
  <c r="N55" i="13" s="1"/>
  <c r="V11" i="30"/>
  <c r="Q11" i="30"/>
  <c r="P11" i="30"/>
  <c r="R12" i="30" s="1"/>
  <c r="K11" i="30"/>
  <c r="J11" i="30"/>
  <c r="Z10" i="30"/>
  <c r="V10" i="30"/>
  <c r="Q10" i="30"/>
  <c r="P10" i="30"/>
  <c r="R10" i="30" s="1"/>
  <c r="K10" i="30"/>
  <c r="J10" i="30"/>
  <c r="L11" i="30" s="1"/>
  <c r="Z9" i="30"/>
  <c r="V9" i="30"/>
  <c r="R9" i="30"/>
  <c r="Q9" i="30"/>
  <c r="P9" i="30"/>
  <c r="K9" i="30"/>
  <c r="J9" i="30"/>
  <c r="L10" i="30" s="1"/>
  <c r="Z8" i="30"/>
  <c r="V8" i="30"/>
  <c r="Q8" i="30"/>
  <c r="P8" i="30"/>
  <c r="K8" i="30"/>
  <c r="J8" i="30"/>
  <c r="Z7" i="30"/>
  <c r="V7" i="30"/>
  <c r="Q7" i="30"/>
  <c r="P7" i="30"/>
  <c r="R8" i="30" s="1"/>
  <c r="K7" i="30"/>
  <c r="J7" i="30"/>
  <c r="Z6" i="30"/>
  <c r="V6" i="30"/>
  <c r="V21" i="30" s="1"/>
  <c r="N54" i="13" s="1"/>
  <c r="Q6" i="30"/>
  <c r="P6" i="30"/>
  <c r="R6" i="30" s="1"/>
  <c r="K6" i="30"/>
  <c r="J21" i="30" s="1"/>
  <c r="N26" i="13" s="1"/>
  <c r="J6" i="30"/>
  <c r="L7" i="30" s="1"/>
  <c r="P5" i="30"/>
  <c r="J5" i="30"/>
  <c r="L6" i="30" s="1"/>
  <c r="Z14" i="29"/>
  <c r="V15" i="29"/>
  <c r="Q15" i="29"/>
  <c r="L15" i="29"/>
  <c r="K15" i="29"/>
  <c r="Y14" i="29"/>
  <c r="Z15" i="29"/>
  <c r="B32" i="29"/>
  <c r="B29" i="29"/>
  <c r="F26" i="29" a="1"/>
  <c r="F26" i="29" s="1"/>
  <c r="E26" i="29" a="1"/>
  <c r="E26" i="29" s="1"/>
  <c r="G26" i="29" s="1"/>
  <c r="D26" i="29" a="1"/>
  <c r="D26" i="29" s="1"/>
  <c r="B26" i="29" a="1"/>
  <c r="B26" i="29" s="1"/>
  <c r="F25" i="29" a="1"/>
  <c r="F25" i="29" s="1"/>
  <c r="E25" i="29" a="1"/>
  <c r="E25" i="29" s="1"/>
  <c r="G25" i="29" s="1"/>
  <c r="D25" i="29" a="1"/>
  <c r="D25" i="29" s="1"/>
  <c r="B25" i="29" a="1"/>
  <c r="B25" i="29" s="1"/>
  <c r="F24" i="29" a="1"/>
  <c r="F24" i="29" s="1"/>
  <c r="E24" i="29" a="1"/>
  <c r="E24" i="29" s="1"/>
  <c r="G24" i="29" s="1"/>
  <c r="D24" i="29" a="1"/>
  <c r="D24" i="29" s="1"/>
  <c r="B24" i="29" a="1"/>
  <c r="B24" i="29" s="1"/>
  <c r="F23" i="29" a="1"/>
  <c r="F23" i="29" s="1"/>
  <c r="E23" i="29" a="1"/>
  <c r="E23" i="29" s="1"/>
  <c r="G23" i="29" s="1"/>
  <c r="D23" i="29" a="1"/>
  <c r="D23" i="29" s="1"/>
  <c r="B23" i="29" a="1"/>
  <c r="B23" i="29" s="1"/>
  <c r="F22" i="29" a="1"/>
  <c r="F22" i="29" s="1"/>
  <c r="E22" i="29" a="1"/>
  <c r="E22" i="29" s="1"/>
  <c r="G22" i="29" s="1"/>
  <c r="D22" i="29"/>
  <c r="D22" i="29" a="1"/>
  <c r="B22" i="29" a="1"/>
  <c r="B22" i="29" s="1"/>
  <c r="Z18" i="29"/>
  <c r="V18" i="29"/>
  <c r="Q18" i="29"/>
  <c r="P18" i="29"/>
  <c r="K18" i="29"/>
  <c r="J18" i="29"/>
  <c r="Z17" i="29"/>
  <c r="V17" i="29"/>
  <c r="Q17" i="29"/>
  <c r="P17" i="29"/>
  <c r="R17" i="29" s="1"/>
  <c r="K17" i="29"/>
  <c r="J17" i="29"/>
  <c r="L18" i="29" s="1"/>
  <c r="Z16" i="29"/>
  <c r="V16" i="29"/>
  <c r="R16" i="29"/>
  <c r="Q16" i="29"/>
  <c r="P16" i="29"/>
  <c r="K16" i="29"/>
  <c r="J16" i="29"/>
  <c r="L17" i="29" s="1"/>
  <c r="P15" i="29"/>
  <c r="J15" i="29"/>
  <c r="Z13" i="29"/>
  <c r="V13" i="29"/>
  <c r="Q13" i="29"/>
  <c r="P13" i="29"/>
  <c r="R13" i="29" s="1"/>
  <c r="K13" i="29"/>
  <c r="J13" i="29"/>
  <c r="Z12" i="29"/>
  <c r="V12" i="29"/>
  <c r="R12" i="29"/>
  <c r="Q12" i="29"/>
  <c r="P12" i="29"/>
  <c r="K12" i="29"/>
  <c r="J12" i="29"/>
  <c r="L13" i="29" s="1"/>
  <c r="Z11" i="29"/>
  <c r="V11" i="29"/>
  <c r="Q11" i="29"/>
  <c r="P11" i="29"/>
  <c r="K11" i="29"/>
  <c r="J11" i="29"/>
  <c r="Z10" i="29"/>
  <c r="V10" i="29"/>
  <c r="Q10" i="29"/>
  <c r="P10" i="29"/>
  <c r="R11" i="29" s="1"/>
  <c r="K10" i="29"/>
  <c r="J10" i="29"/>
  <c r="Z9" i="29"/>
  <c r="V9" i="29"/>
  <c r="Q9" i="29"/>
  <c r="P9" i="29"/>
  <c r="R9" i="29" s="1"/>
  <c r="K9" i="29"/>
  <c r="J9" i="29"/>
  <c r="L10" i="29" s="1"/>
  <c r="Z8" i="29"/>
  <c r="V8" i="29"/>
  <c r="R8" i="29"/>
  <c r="Q8" i="29"/>
  <c r="P8" i="29"/>
  <c r="K8" i="29"/>
  <c r="J8" i="29"/>
  <c r="L9" i="29" s="1"/>
  <c r="Z7" i="29"/>
  <c r="V7" i="29"/>
  <c r="Q7" i="29"/>
  <c r="P7" i="29"/>
  <c r="K7" i="29"/>
  <c r="J7" i="29"/>
  <c r="Z6" i="29"/>
  <c r="V6" i="29"/>
  <c r="Q6" i="29"/>
  <c r="P6" i="29"/>
  <c r="R7" i="29" s="1"/>
  <c r="K6" i="29"/>
  <c r="J6" i="29"/>
  <c r="P5" i="29"/>
  <c r="R6" i="29" s="1"/>
  <c r="J5" i="29"/>
  <c r="L6" i="29" s="1"/>
  <c r="B32" i="28"/>
  <c r="B29" i="28"/>
  <c r="F26" i="28" a="1"/>
  <c r="F26" i="28" s="1"/>
  <c r="E26" i="28" a="1"/>
  <c r="E26" i="28" s="1"/>
  <c r="G26" i="28" s="1"/>
  <c r="D26" i="28" a="1"/>
  <c r="D26" i="28" s="1"/>
  <c r="B26" i="28" a="1"/>
  <c r="B26" i="28" s="1"/>
  <c r="F25" i="28" a="1"/>
  <c r="F25" i="28" s="1"/>
  <c r="E25" i="28" a="1"/>
  <c r="E25" i="28" s="1"/>
  <c r="G25" i="28" s="1"/>
  <c r="D25" i="28" a="1"/>
  <c r="D25" i="28" s="1"/>
  <c r="B25" i="28" a="1"/>
  <c r="B25" i="28" s="1"/>
  <c r="F24" i="28" a="1"/>
  <c r="F24" i="28" s="1"/>
  <c r="E24" i="28" a="1"/>
  <c r="E24" i="28" s="1"/>
  <c r="G24" i="28" s="1"/>
  <c r="D24" i="28" a="1"/>
  <c r="D24" i="28" s="1"/>
  <c r="B24" i="28" a="1"/>
  <c r="B24" i="28" s="1"/>
  <c r="F23" i="28" a="1"/>
  <c r="F23" i="28" s="1"/>
  <c r="E23" i="28" a="1"/>
  <c r="E23" i="28" s="1"/>
  <c r="G23" i="28" s="1"/>
  <c r="D23" i="28" a="1"/>
  <c r="D23" i="28" s="1"/>
  <c r="B23" i="28" a="1"/>
  <c r="B23" i="28" s="1"/>
  <c r="F22" i="28" a="1"/>
  <c r="F22" i="28" s="1"/>
  <c r="G22" i="28"/>
  <c r="B22" i="28" a="1"/>
  <c r="B22" i="28" s="1"/>
  <c r="Z18" i="28"/>
  <c r="V18" i="28"/>
  <c r="Q18" i="28"/>
  <c r="P18" i="28"/>
  <c r="K18" i="28"/>
  <c r="J18" i="28"/>
  <c r="Z17" i="28"/>
  <c r="V17" i="28"/>
  <c r="Q17" i="28"/>
  <c r="P17" i="28"/>
  <c r="R18" i="28" s="1"/>
  <c r="K17" i="28"/>
  <c r="J17" i="28"/>
  <c r="Z16" i="28"/>
  <c r="V16" i="28"/>
  <c r="R16" i="28"/>
  <c r="Q16" i="28"/>
  <c r="P16" i="28"/>
  <c r="R17" i="28" s="1"/>
  <c r="K16" i="28"/>
  <c r="J16" i="28"/>
  <c r="L17" i="28" s="1"/>
  <c r="Z15" i="28"/>
  <c r="V15" i="28"/>
  <c r="R15" i="28"/>
  <c r="Q15" i="28"/>
  <c r="P15" i="28"/>
  <c r="K15" i="28"/>
  <c r="J15" i="28"/>
  <c r="L16" i="28" s="1"/>
  <c r="Z14" i="28"/>
  <c r="V14" i="28"/>
  <c r="Q14" i="28"/>
  <c r="P14" i="28"/>
  <c r="K14" i="28"/>
  <c r="J14" i="28"/>
  <c r="Z13" i="28"/>
  <c r="V13" i="28"/>
  <c r="Q13" i="28"/>
  <c r="P13" i="28"/>
  <c r="R14" i="28" s="1"/>
  <c r="K13" i="28"/>
  <c r="J13" i="28"/>
  <c r="Z12" i="28"/>
  <c r="V12" i="28"/>
  <c r="R12" i="28"/>
  <c r="Q12" i="28"/>
  <c r="P12" i="28"/>
  <c r="R13" i="28" s="1"/>
  <c r="K12" i="28"/>
  <c r="J12" i="28"/>
  <c r="L13" i="28" s="1"/>
  <c r="Z11" i="28"/>
  <c r="Z21" i="28" s="1"/>
  <c r="L55" i="13" s="1"/>
  <c r="V11" i="28"/>
  <c r="R11" i="28"/>
  <c r="Q11" i="28"/>
  <c r="P11" i="28"/>
  <c r="K11" i="28"/>
  <c r="J11" i="28"/>
  <c r="L12" i="28" s="1"/>
  <c r="Z10" i="28"/>
  <c r="V10" i="28"/>
  <c r="Q10" i="28"/>
  <c r="P10" i="28"/>
  <c r="K10" i="28"/>
  <c r="J10" i="28"/>
  <c r="Z9" i="28"/>
  <c r="V9" i="28"/>
  <c r="Q9" i="28"/>
  <c r="P9" i="28"/>
  <c r="R10" i="28" s="1"/>
  <c r="K9" i="28"/>
  <c r="J9" i="28"/>
  <c r="Z8" i="28"/>
  <c r="V8" i="28"/>
  <c r="R8" i="28"/>
  <c r="Q8" i="28"/>
  <c r="P8" i="28"/>
  <c r="R9" i="28" s="1"/>
  <c r="K8" i="28"/>
  <c r="J21" i="28" s="1"/>
  <c r="L26" i="13" s="1"/>
  <c r="J8" i="28"/>
  <c r="L9" i="28" s="1"/>
  <c r="Z7" i="28"/>
  <c r="V7" i="28"/>
  <c r="V21" i="28" s="1"/>
  <c r="L54" i="13" s="1"/>
  <c r="R7" i="28"/>
  <c r="Q7" i="28"/>
  <c r="P7" i="28"/>
  <c r="K7" i="28"/>
  <c r="J7" i="28"/>
  <c r="L8" i="28" s="1"/>
  <c r="Z6" i="28"/>
  <c r="V6" i="28"/>
  <c r="Q6" i="28"/>
  <c r="P21" i="28" s="1"/>
  <c r="L51" i="13" s="1"/>
  <c r="P6" i="28"/>
  <c r="K6" i="28"/>
  <c r="J6" i="28"/>
  <c r="P5" i="28"/>
  <c r="R6" i="28" s="1"/>
  <c r="J5" i="28"/>
  <c r="L6" i="28" s="1"/>
  <c r="B32" i="27"/>
  <c r="B29" i="27"/>
  <c r="F26" i="27" a="1"/>
  <c r="F26" i="27" s="1"/>
  <c r="E26" i="27" a="1"/>
  <c r="E26" i="27" s="1"/>
  <c r="G26" i="27" s="1"/>
  <c r="D26" i="27" a="1"/>
  <c r="D26" i="27" s="1"/>
  <c r="B26" i="27" a="1"/>
  <c r="B26" i="27" s="1"/>
  <c r="F25" i="27" a="1"/>
  <c r="F25" i="27" s="1"/>
  <c r="E25" i="27" a="1"/>
  <c r="E25" i="27" s="1"/>
  <c r="G25" i="27" s="1"/>
  <c r="D25" i="27" a="1"/>
  <c r="D25" i="27" s="1"/>
  <c r="B25" i="27" a="1"/>
  <c r="B25" i="27" s="1"/>
  <c r="F24" i="27" a="1"/>
  <c r="F24" i="27" s="1"/>
  <c r="E24" i="27" a="1"/>
  <c r="E24" i="27" s="1"/>
  <c r="G24" i="27" s="1"/>
  <c r="D24" i="27" a="1"/>
  <c r="D24" i="27" s="1"/>
  <c r="B24" i="27" a="1"/>
  <c r="B24" i="27" s="1"/>
  <c r="Z16" i="27"/>
  <c r="V16" i="27"/>
  <c r="K16" i="27"/>
  <c r="J16" i="27"/>
  <c r="Z15" i="27"/>
  <c r="V15" i="27"/>
  <c r="Q15" i="27"/>
  <c r="P15" i="27"/>
  <c r="K15" i="27"/>
  <c r="J15" i="27"/>
  <c r="Z14" i="27"/>
  <c r="V14" i="27"/>
  <c r="R14" i="27"/>
  <c r="Q14" i="27"/>
  <c r="P14" i="27"/>
  <c r="R15" i="27" s="1"/>
  <c r="K14" i="27"/>
  <c r="J14" i="27"/>
  <c r="L15" i="27" s="1"/>
  <c r="Z13" i="27"/>
  <c r="V13" i="27"/>
  <c r="R13" i="27"/>
  <c r="Q13" i="27"/>
  <c r="P13" i="27"/>
  <c r="K13" i="27"/>
  <c r="J13" i="27"/>
  <c r="L14" i="27" s="1"/>
  <c r="Z12" i="27"/>
  <c r="V12" i="27"/>
  <c r="Q12" i="27"/>
  <c r="P12" i="27"/>
  <c r="K12" i="27"/>
  <c r="J12" i="27"/>
  <c r="Z11" i="27"/>
  <c r="Z21" i="27" s="1"/>
  <c r="K55" i="13" s="1"/>
  <c r="V11" i="27"/>
  <c r="Q11" i="27"/>
  <c r="P11" i="27"/>
  <c r="R12" i="27" s="1"/>
  <c r="K11" i="27"/>
  <c r="J11" i="27"/>
  <c r="Z10" i="27"/>
  <c r="V10" i="27"/>
  <c r="R10" i="27"/>
  <c r="Q10" i="27"/>
  <c r="P10" i="27"/>
  <c r="R11" i="27" s="1"/>
  <c r="K10" i="27"/>
  <c r="J10" i="27"/>
  <c r="L11" i="27" s="1"/>
  <c r="Z9" i="27"/>
  <c r="V9" i="27"/>
  <c r="R9" i="27"/>
  <c r="Q9" i="27"/>
  <c r="P9" i="27"/>
  <c r="K9" i="27"/>
  <c r="J9" i="27"/>
  <c r="L10" i="27" s="1"/>
  <c r="Z8" i="27"/>
  <c r="V8" i="27"/>
  <c r="Q8" i="27"/>
  <c r="P8" i="27"/>
  <c r="K8" i="27"/>
  <c r="J8" i="27"/>
  <c r="Z7" i="27"/>
  <c r="V7" i="27"/>
  <c r="Q7" i="27"/>
  <c r="P7" i="27"/>
  <c r="R8" i="27" s="1"/>
  <c r="K7" i="27"/>
  <c r="J7" i="27"/>
  <c r="Z6" i="27"/>
  <c r="V6" i="27"/>
  <c r="V21" i="27" s="1"/>
  <c r="K54" i="13" s="1"/>
  <c r="R6" i="27"/>
  <c r="Q6" i="27"/>
  <c r="P6" i="27"/>
  <c r="R7" i="27" s="1"/>
  <c r="K6" i="27"/>
  <c r="J6" i="27"/>
  <c r="L7" i="27" s="1"/>
  <c r="P5" i="27"/>
  <c r="J5" i="27"/>
  <c r="B32" i="26"/>
  <c r="C19" i="13" s="1"/>
  <c r="B29" i="26"/>
  <c r="F26" i="26" a="1"/>
  <c r="F26" i="26" s="1"/>
  <c r="D26" i="26" a="1"/>
  <c r="D26" i="26" s="1"/>
  <c r="B26" i="26" a="1"/>
  <c r="B26" i="26" s="1"/>
  <c r="F25" i="26" a="1"/>
  <c r="F25" i="26" s="1"/>
  <c r="E25" i="26" a="1"/>
  <c r="E25" i="26" s="1"/>
  <c r="G25" i="26" s="1"/>
  <c r="D25" i="26"/>
  <c r="D25" i="26" a="1"/>
  <c r="B25" i="26" a="1"/>
  <c r="B25" i="26" s="1"/>
  <c r="F24" i="26" a="1"/>
  <c r="F24" i="26" s="1"/>
  <c r="E24" i="26"/>
  <c r="G24" i="26" s="1"/>
  <c r="E24" i="26" a="1"/>
  <c r="D24" i="26" a="1"/>
  <c r="D24" i="26" s="1"/>
  <c r="B24" i="26" a="1"/>
  <c r="B24" i="26" s="1"/>
  <c r="F23" i="26"/>
  <c r="F23" i="26" a="1"/>
  <c r="E23" i="26" a="1"/>
  <c r="E23" i="26" s="1"/>
  <c r="G23" i="26" s="1"/>
  <c r="D23" i="26"/>
  <c r="D23" i="26" a="1"/>
  <c r="B23" i="26" a="1"/>
  <c r="B23" i="26" s="1"/>
  <c r="F22" i="26" a="1"/>
  <c r="F22" i="26" s="1"/>
  <c r="E22" i="26"/>
  <c r="G22" i="26" s="1"/>
  <c r="E22" i="26" a="1"/>
  <c r="D22" i="26" a="1"/>
  <c r="D22" i="26" s="1"/>
  <c r="B22" i="26" a="1"/>
  <c r="B22" i="26" s="1"/>
  <c r="Z18" i="26"/>
  <c r="V18" i="26"/>
  <c r="Q18" i="26"/>
  <c r="P18" i="26"/>
  <c r="R18" i="26" s="1"/>
  <c r="K18" i="26"/>
  <c r="J18" i="26"/>
  <c r="Z17" i="26"/>
  <c r="V17" i="26"/>
  <c r="R17" i="26"/>
  <c r="Q17" i="26"/>
  <c r="P17" i="26"/>
  <c r="K17" i="26"/>
  <c r="J17" i="26"/>
  <c r="L18" i="26" s="1"/>
  <c r="Z16" i="26"/>
  <c r="V16" i="26"/>
  <c r="Q16" i="26"/>
  <c r="P16" i="26"/>
  <c r="K16" i="26"/>
  <c r="J16" i="26"/>
  <c r="Z15" i="26"/>
  <c r="V15" i="26"/>
  <c r="Q15" i="26"/>
  <c r="P15" i="26"/>
  <c r="R16" i="26" s="1"/>
  <c r="K15" i="26"/>
  <c r="J15" i="26"/>
  <c r="Z14" i="26"/>
  <c r="V14" i="26"/>
  <c r="Q14" i="26"/>
  <c r="P14" i="26"/>
  <c r="R14" i="26" s="1"/>
  <c r="K14" i="26"/>
  <c r="J14" i="26"/>
  <c r="L15" i="26" s="1"/>
  <c r="Z13" i="26"/>
  <c r="V13" i="26"/>
  <c r="R13" i="26"/>
  <c r="Q13" i="26"/>
  <c r="P13" i="26"/>
  <c r="K13" i="26"/>
  <c r="J13" i="26"/>
  <c r="L14" i="26" s="1"/>
  <c r="Z12" i="26"/>
  <c r="V12" i="26"/>
  <c r="Q12" i="26"/>
  <c r="P12" i="26"/>
  <c r="K12" i="26"/>
  <c r="J12" i="26"/>
  <c r="Z11" i="26"/>
  <c r="Z21" i="26" s="1"/>
  <c r="C55" i="13" s="1"/>
  <c r="V11" i="26"/>
  <c r="Q11" i="26"/>
  <c r="P11" i="26"/>
  <c r="R12" i="26" s="1"/>
  <c r="K11" i="26"/>
  <c r="J11" i="26"/>
  <c r="Z10" i="26"/>
  <c r="V10" i="26"/>
  <c r="Q10" i="26"/>
  <c r="P10" i="26"/>
  <c r="R10" i="26" s="1"/>
  <c r="K10" i="26"/>
  <c r="J10" i="26"/>
  <c r="L11" i="26" s="1"/>
  <c r="Z9" i="26"/>
  <c r="V9" i="26"/>
  <c r="R9" i="26"/>
  <c r="Q9" i="26"/>
  <c r="P9" i="26"/>
  <c r="K9" i="26"/>
  <c r="J9" i="26"/>
  <c r="L10" i="26" s="1"/>
  <c r="Z8" i="26"/>
  <c r="V8" i="26"/>
  <c r="Q8" i="26"/>
  <c r="P8" i="26"/>
  <c r="K8" i="26"/>
  <c r="J8" i="26"/>
  <c r="Z7" i="26"/>
  <c r="V7" i="26"/>
  <c r="Q7" i="26"/>
  <c r="P7" i="26"/>
  <c r="R8" i="26" s="1"/>
  <c r="K7" i="26"/>
  <c r="J7" i="26"/>
  <c r="Z6" i="26"/>
  <c r="V6" i="26"/>
  <c r="V21" i="26" s="1"/>
  <c r="C54" i="13" s="1"/>
  <c r="Q6" i="26"/>
  <c r="P6" i="26"/>
  <c r="R6" i="26" s="1"/>
  <c r="K6" i="26"/>
  <c r="J21" i="26" s="1"/>
  <c r="C26" i="13" s="1"/>
  <c r="J6" i="26"/>
  <c r="L7" i="26" s="1"/>
  <c r="P5" i="26"/>
  <c r="J5" i="26"/>
  <c r="L6" i="26" s="1"/>
  <c r="Y14" i="25"/>
  <c r="AA51" i="13" l="1"/>
  <c r="J32" i="46"/>
  <c r="AA37" i="13" s="1"/>
  <c r="B43" i="31"/>
  <c r="D23" i="13" s="1"/>
  <c r="B42" i="31" a="1"/>
  <c r="B42" i="31" s="1"/>
  <c r="D22" i="13" s="1"/>
  <c r="P21" i="35"/>
  <c r="R51" i="13" s="1"/>
  <c r="R15" i="34"/>
  <c r="R15" i="33"/>
  <c r="L15" i="33"/>
  <c r="B44" i="32"/>
  <c r="O24" i="13" s="1"/>
  <c r="R15" i="32"/>
  <c r="R21" i="28"/>
  <c r="L52" i="13" s="1"/>
  <c r="B46" i="31"/>
  <c r="D61" i="13" s="1"/>
  <c r="R21" i="26"/>
  <c r="C52" i="13" s="1"/>
  <c r="B28" i="27"/>
  <c r="K15" i="13" s="1"/>
  <c r="K16" i="13"/>
  <c r="B35" i="31"/>
  <c r="D15" i="13" s="1"/>
  <c r="D16" i="13"/>
  <c r="J24" i="40"/>
  <c r="V29" i="13" s="1"/>
  <c r="V20" i="13"/>
  <c r="L9" i="26"/>
  <c r="L13" i="26"/>
  <c r="L17" i="26"/>
  <c r="L6" i="27"/>
  <c r="L9" i="27"/>
  <c r="L13" i="27"/>
  <c r="L22" i="27" s="1"/>
  <c r="K45" i="13" s="1"/>
  <c r="B31" i="27"/>
  <c r="K18" i="13" s="1"/>
  <c r="K19" i="13"/>
  <c r="L7" i="28"/>
  <c r="L11" i="28"/>
  <c r="L15" i="28"/>
  <c r="P21" i="29"/>
  <c r="M51" i="13" s="1"/>
  <c r="L8" i="29"/>
  <c r="L12" i="29"/>
  <c r="L21" i="29" s="1"/>
  <c r="M44" i="13" s="1"/>
  <c r="L9" i="30"/>
  <c r="L13" i="30"/>
  <c r="B38" i="31"/>
  <c r="D18" i="13" s="1"/>
  <c r="D19" i="13"/>
  <c r="B40" i="31" a="1"/>
  <c r="B40" i="31" s="1"/>
  <c r="D20" i="13" s="1"/>
  <c r="B44" i="31"/>
  <c r="D24" i="13" s="1"/>
  <c r="P21" i="32"/>
  <c r="O51" i="13" s="1"/>
  <c r="R6" i="32"/>
  <c r="R21" i="32" s="1"/>
  <c r="O52" i="13" s="1"/>
  <c r="V21" i="35"/>
  <c r="R54" i="13" s="1"/>
  <c r="L8" i="35"/>
  <c r="R10" i="35"/>
  <c r="Z21" i="35"/>
  <c r="R55" i="13" s="1"/>
  <c r="R14" i="35"/>
  <c r="R18" i="35"/>
  <c r="B38" i="35"/>
  <c r="R18" i="13" s="1"/>
  <c r="R19" i="13"/>
  <c r="L22" i="37"/>
  <c r="T45" i="13" s="1"/>
  <c r="B40" i="38"/>
  <c r="B39" i="38"/>
  <c r="Z15" i="13"/>
  <c r="L22" i="45"/>
  <c r="J22" i="45"/>
  <c r="B38" i="32"/>
  <c r="O18" i="13" s="1"/>
  <c r="O19" i="13"/>
  <c r="B35" i="35"/>
  <c r="R15" i="13" s="1"/>
  <c r="R16" i="13"/>
  <c r="O16" i="39"/>
  <c r="P16" i="39" s="1"/>
  <c r="R16" i="39" s="1"/>
  <c r="R21" i="39" s="1"/>
  <c r="U52" i="13" s="1"/>
  <c r="U20" i="13"/>
  <c r="B40" i="46"/>
  <c r="AA62" i="13" s="1"/>
  <c r="B39" i="46"/>
  <c r="AA61" i="13" s="1"/>
  <c r="AA21" i="13"/>
  <c r="J31" i="45"/>
  <c r="Z36" i="13" s="1"/>
  <c r="P21" i="26"/>
  <c r="C51" i="13" s="1"/>
  <c r="L8" i="26"/>
  <c r="L22" i="26" s="1"/>
  <c r="C45" i="13" s="1"/>
  <c r="R7" i="26"/>
  <c r="L12" i="26"/>
  <c r="R11" i="26"/>
  <c r="L16" i="26"/>
  <c r="R15" i="26"/>
  <c r="B28" i="26"/>
  <c r="C15" i="13" s="1"/>
  <c r="C16" i="13"/>
  <c r="L8" i="27"/>
  <c r="L12" i="27"/>
  <c r="L16" i="27"/>
  <c r="L10" i="28"/>
  <c r="L21" i="28" s="1"/>
  <c r="L44" i="13" s="1"/>
  <c r="L14" i="28"/>
  <c r="L18" i="28"/>
  <c r="B28" i="28"/>
  <c r="L15" i="13" s="1"/>
  <c r="L16" i="13"/>
  <c r="L7" i="29"/>
  <c r="L11" i="29"/>
  <c r="R10" i="29"/>
  <c r="L16" i="29"/>
  <c r="R18" i="29"/>
  <c r="Z21" i="29"/>
  <c r="M55" i="13" s="1"/>
  <c r="R15" i="29"/>
  <c r="L8" i="30"/>
  <c r="L22" i="30" s="1"/>
  <c r="N45" i="13" s="1"/>
  <c r="R7" i="30"/>
  <c r="L12" i="30"/>
  <c r="R11" i="30"/>
  <c r="R15" i="30"/>
  <c r="B28" i="30"/>
  <c r="N15" i="13" s="1"/>
  <c r="N16" i="13"/>
  <c r="R7" i="31"/>
  <c r="L8" i="31"/>
  <c r="L12" i="31"/>
  <c r="L16" i="31"/>
  <c r="R17" i="31"/>
  <c r="L18" i="31"/>
  <c r="B41" i="31"/>
  <c r="D21" i="13" s="1"/>
  <c r="J5" i="32"/>
  <c r="L6" i="32" s="1"/>
  <c r="L21" i="32" s="1"/>
  <c r="O44" i="13" s="1"/>
  <c r="O59" i="13"/>
  <c r="B38" i="33"/>
  <c r="P18" i="13" s="1"/>
  <c r="P19" i="13"/>
  <c r="L9" i="34"/>
  <c r="R10" i="34"/>
  <c r="L11" i="34"/>
  <c r="R12" i="34"/>
  <c r="L13" i="34"/>
  <c r="R14" i="34"/>
  <c r="L15" i="34"/>
  <c r="R16" i="34"/>
  <c r="L17" i="34"/>
  <c r="R18" i="34"/>
  <c r="R9" i="35"/>
  <c r="R13" i="35"/>
  <c r="R17" i="35"/>
  <c r="L6" i="36"/>
  <c r="B37" i="36"/>
  <c r="S24" i="13" s="1"/>
  <c r="B28" i="36"/>
  <c r="S15" i="13" s="1"/>
  <c r="S16" i="13"/>
  <c r="B30" i="38"/>
  <c r="B40" i="41"/>
  <c r="W62" i="13" s="1"/>
  <c r="B39" i="41"/>
  <c r="W61" i="13" s="1"/>
  <c r="W21" i="13"/>
  <c r="B39" i="42"/>
  <c r="X61" i="13" s="1"/>
  <c r="B40" i="42"/>
  <c r="X62" i="13" s="1"/>
  <c r="X21" i="13"/>
  <c r="B40" i="45"/>
  <c r="Z62" i="13" s="1"/>
  <c r="B39" i="45"/>
  <c r="Z61" i="13" s="1"/>
  <c r="Z21" i="13"/>
  <c r="L21" i="38"/>
  <c r="B31" i="29"/>
  <c r="M18" i="13" s="1"/>
  <c r="M19" i="13"/>
  <c r="B31" i="26"/>
  <c r="C18" i="13" s="1"/>
  <c r="B31" i="28"/>
  <c r="L18" i="13" s="1"/>
  <c r="L19" i="13"/>
  <c r="B28" i="29"/>
  <c r="M15" i="13" s="1"/>
  <c r="M16" i="13"/>
  <c r="B31" i="30"/>
  <c r="N18" i="13" s="1"/>
  <c r="N19" i="13"/>
  <c r="J21" i="32"/>
  <c r="O26" i="13" s="1"/>
  <c r="B35" i="32"/>
  <c r="O15" i="13" s="1"/>
  <c r="O16" i="13"/>
  <c r="L7" i="33"/>
  <c r="B38" i="34"/>
  <c r="Q18" i="13" s="1"/>
  <c r="R12" i="35"/>
  <c r="R16" i="35"/>
  <c r="B31" i="36"/>
  <c r="S18" i="13" s="1"/>
  <c r="S19" i="13"/>
  <c r="B40" i="37"/>
  <c r="T62" i="13" s="1"/>
  <c r="B39" i="37"/>
  <c r="T61" i="13" s="1"/>
  <c r="T21" i="13"/>
  <c r="J22" i="39"/>
  <c r="U27" i="13" s="1"/>
  <c r="B40" i="39"/>
  <c r="U62" i="13" s="1"/>
  <c r="B39" i="39"/>
  <c r="U61" i="13" s="1"/>
  <c r="U21" i="13"/>
  <c r="B39" i="40"/>
  <c r="V61" i="13" s="1"/>
  <c r="B40" i="40"/>
  <c r="V62" i="13" s="1"/>
  <c r="V21" i="13"/>
  <c r="B40" i="44"/>
  <c r="Y62" i="13" s="1"/>
  <c r="B39" i="44"/>
  <c r="Y61" i="13" s="1"/>
  <c r="Y21" i="13"/>
  <c r="B30" i="45"/>
  <c r="Z17" i="13" s="1"/>
  <c r="Z22" i="13"/>
  <c r="R21" i="45"/>
  <c r="B40" i="47"/>
  <c r="AB62" i="13" s="1"/>
  <c r="B39" i="47"/>
  <c r="AB61" i="13" s="1"/>
  <c r="AB21" i="13"/>
  <c r="V21" i="31"/>
  <c r="D54" i="13" s="1"/>
  <c r="J24" i="47"/>
  <c r="AB29" i="13" s="1"/>
  <c r="B30" i="47"/>
  <c r="L26" i="47" s="1"/>
  <c r="AB49" i="13" s="1"/>
  <c r="L24" i="47"/>
  <c r="AB47" i="13" s="1"/>
  <c r="B30" i="46"/>
  <c r="AA17" i="13" s="1"/>
  <c r="J31" i="46"/>
  <c r="AA36" i="13" s="1"/>
  <c r="J24" i="46"/>
  <c r="AA29" i="13" s="1"/>
  <c r="L24" i="46"/>
  <c r="AA47" i="13" s="1"/>
  <c r="B30" i="44"/>
  <c r="L24" i="44"/>
  <c r="Y47" i="13" s="1"/>
  <c r="J24" i="44"/>
  <c r="O16" i="44"/>
  <c r="B30" i="42"/>
  <c r="J24" i="42"/>
  <c r="L24" i="42"/>
  <c r="X47" i="13" s="1"/>
  <c r="B30" i="41"/>
  <c r="W17" i="13" s="1"/>
  <c r="J31" i="40"/>
  <c r="V36" i="13" s="1"/>
  <c r="J25" i="40"/>
  <c r="V30" i="13" s="1"/>
  <c r="J29" i="40"/>
  <c r="V34" i="13" s="1"/>
  <c r="B30" i="40"/>
  <c r="L24" i="40"/>
  <c r="Q16" i="39"/>
  <c r="P21" i="39" s="1"/>
  <c r="U51" i="13" s="1"/>
  <c r="B30" i="39"/>
  <c r="L24" i="39"/>
  <c r="U47" i="13" s="1"/>
  <c r="B30" i="37"/>
  <c r="T17" i="13" s="1"/>
  <c r="J26" i="38"/>
  <c r="J24" i="38"/>
  <c r="L24" i="38"/>
  <c r="L26" i="38"/>
  <c r="J26" i="37"/>
  <c r="J24" i="37"/>
  <c r="L26" i="37"/>
  <c r="T49" i="13" s="1"/>
  <c r="B34" i="36"/>
  <c r="B36" i="36"/>
  <c r="S23" i="13" s="1"/>
  <c r="B33" i="36"/>
  <c r="S20" i="13" s="1"/>
  <c r="B35" i="36"/>
  <c r="P5" i="35"/>
  <c r="R6" i="35" s="1"/>
  <c r="R21" i="35" s="1"/>
  <c r="R52" i="13" s="1"/>
  <c r="B43" i="35"/>
  <c r="B41" i="35"/>
  <c r="R21" i="13" s="1"/>
  <c r="B42" i="35" a="1"/>
  <c r="B42" i="35" s="1"/>
  <c r="R22" i="13" s="1"/>
  <c r="B44" i="35"/>
  <c r="R24" i="13" s="1"/>
  <c r="B22" i="35" a="1"/>
  <c r="B22" i="35" s="1"/>
  <c r="B30" i="35" a="1"/>
  <c r="B30" i="35" s="1"/>
  <c r="B28" i="35" a="1"/>
  <c r="B28" i="35" s="1"/>
  <c r="B40" i="35" a="1"/>
  <c r="B40" i="35" s="1"/>
  <c r="R20" i="13" s="1"/>
  <c r="B24" i="35" a="1"/>
  <c r="B24" i="35" s="1"/>
  <c r="B27" i="35" a="1"/>
  <c r="B27" i="35" s="1"/>
  <c r="J5" i="35"/>
  <c r="L6" i="35" s="1"/>
  <c r="L21" i="35" s="1"/>
  <c r="R44" i="13" s="1"/>
  <c r="B26" i="35" a="1"/>
  <c r="B26" i="35" s="1"/>
  <c r="B32" i="35" a="1"/>
  <c r="B32" i="35" s="1"/>
  <c r="K6" i="35"/>
  <c r="B23" i="35" a="1"/>
  <c r="B23" i="35" s="1"/>
  <c r="B25" i="35" a="1"/>
  <c r="B25" i="35" s="1"/>
  <c r="B29" i="35" a="1"/>
  <c r="B29" i="35" s="1"/>
  <c r="V21" i="34"/>
  <c r="Q54" i="13" s="1"/>
  <c r="P21" i="34"/>
  <c r="Q51" i="13" s="1"/>
  <c r="B25" i="34" a="1"/>
  <c r="B25" i="34" s="1"/>
  <c r="B26" i="34" a="1"/>
  <c r="B26" i="34" s="1"/>
  <c r="B23" i="34" a="1"/>
  <c r="B23" i="34" s="1"/>
  <c r="B32" i="34" a="1"/>
  <c r="B32" i="34" s="1"/>
  <c r="J5" i="34"/>
  <c r="L6" i="34" s="1"/>
  <c r="B30" i="34" a="1"/>
  <c r="B30" i="34" s="1"/>
  <c r="K6" i="34"/>
  <c r="J22" i="34" s="1"/>
  <c r="Q27" i="13" s="1"/>
  <c r="B44" i="34"/>
  <c r="Q24" i="13" s="1"/>
  <c r="R21" i="34"/>
  <c r="Q52" i="13" s="1"/>
  <c r="B42" i="34" a="1"/>
  <c r="B42" i="34" s="1"/>
  <c r="Q22" i="13" s="1"/>
  <c r="B28" i="34" a="1"/>
  <c r="B28" i="34" s="1"/>
  <c r="B40" i="34" a="1"/>
  <c r="B40" i="34" s="1"/>
  <c r="Q20" i="13" s="1"/>
  <c r="B29" i="34" a="1"/>
  <c r="B29" i="34" s="1"/>
  <c r="B31" i="34" a="1"/>
  <c r="B31" i="34" s="1"/>
  <c r="B43" i="34"/>
  <c r="B22" i="34" a="1"/>
  <c r="B22" i="34" s="1"/>
  <c r="B24" i="34" a="1"/>
  <c r="B24" i="34" s="1"/>
  <c r="B41" i="34"/>
  <c r="Q21" i="13" s="1"/>
  <c r="V21" i="33"/>
  <c r="P54" i="13" s="1"/>
  <c r="R7" i="33"/>
  <c r="B29" i="33" a="1"/>
  <c r="B29" i="33" s="1"/>
  <c r="B30" i="33" a="1"/>
  <c r="B30" i="33" s="1"/>
  <c r="J5" i="33"/>
  <c r="L6" i="33" s="1"/>
  <c r="L21" i="33" s="1"/>
  <c r="P44" i="13" s="1"/>
  <c r="J22" i="33"/>
  <c r="P27" i="13" s="1"/>
  <c r="K6" i="33"/>
  <c r="J21" i="33" s="1"/>
  <c r="P26" i="13" s="1"/>
  <c r="B23" i="33" a="1"/>
  <c r="B23" i="33" s="1"/>
  <c r="B25" i="33" a="1"/>
  <c r="B25" i="33" s="1"/>
  <c r="B26" i="33" a="1"/>
  <c r="B26" i="33" s="1"/>
  <c r="B28" i="33" a="1"/>
  <c r="B28" i="33" s="1"/>
  <c r="B44" i="33"/>
  <c r="P24" i="13" s="1"/>
  <c r="B41" i="33"/>
  <c r="P21" i="13" s="1"/>
  <c r="B42" i="33" a="1"/>
  <c r="B42" i="33" s="1"/>
  <c r="P22" i="13" s="1"/>
  <c r="B43" i="33"/>
  <c r="B40" i="33" a="1"/>
  <c r="B40" i="33" s="1"/>
  <c r="P20" i="13" s="1"/>
  <c r="P5" i="33"/>
  <c r="R6" i="33" s="1"/>
  <c r="B31" i="33" a="1"/>
  <c r="B31" i="33" s="1"/>
  <c r="B22" i="33" a="1"/>
  <c r="B22" i="33" s="1"/>
  <c r="B24" i="33" a="1"/>
  <c r="B24" i="33" s="1"/>
  <c r="J22" i="32"/>
  <c r="O27" i="13" s="1"/>
  <c r="B42" i="32" a="1"/>
  <c r="B42" i="32" s="1"/>
  <c r="O22" i="13" s="1"/>
  <c r="B40" i="32" a="1"/>
  <c r="B40" i="32" s="1"/>
  <c r="O20" i="13" s="1"/>
  <c r="B43" i="32"/>
  <c r="B41" i="32"/>
  <c r="O21" i="13" s="1"/>
  <c r="L9" i="31"/>
  <c r="L11" i="31"/>
  <c r="L13" i="31"/>
  <c r="L15" i="31"/>
  <c r="R8" i="31"/>
  <c r="R10" i="31"/>
  <c r="R12" i="31"/>
  <c r="R14" i="31"/>
  <c r="L17" i="31"/>
  <c r="L10" i="31"/>
  <c r="L7" i="31"/>
  <c r="L14" i="31"/>
  <c r="Z21" i="31"/>
  <c r="D55" i="13" s="1"/>
  <c r="R16" i="31"/>
  <c r="R6" i="31"/>
  <c r="R9" i="31"/>
  <c r="R11" i="31"/>
  <c r="R18" i="31"/>
  <c r="R13" i="31"/>
  <c r="R15" i="31"/>
  <c r="J21" i="31"/>
  <c r="D26" i="13" s="1"/>
  <c r="L6" i="31"/>
  <c r="J22" i="31"/>
  <c r="D27" i="13" s="1"/>
  <c r="L21" i="30"/>
  <c r="N44" i="13" s="1"/>
  <c r="B37" i="30"/>
  <c r="N24" i="13" s="1"/>
  <c r="J22" i="30"/>
  <c r="N27" i="13" s="1"/>
  <c r="B34" i="30"/>
  <c r="B36" i="30"/>
  <c r="N23" i="13" s="1"/>
  <c r="B33" i="30"/>
  <c r="B35" i="30"/>
  <c r="N22" i="13" s="1"/>
  <c r="V21" i="29"/>
  <c r="M54" i="13" s="1"/>
  <c r="R21" i="29"/>
  <c r="M52" i="13" s="1"/>
  <c r="J21" i="29"/>
  <c r="M26" i="13" s="1"/>
  <c r="L22" i="29"/>
  <c r="M45" i="13" s="1"/>
  <c r="B37" i="29"/>
  <c r="M24" i="13" s="1"/>
  <c r="B34" i="29"/>
  <c r="B36" i="29"/>
  <c r="M23" i="13" s="1"/>
  <c r="J22" i="29"/>
  <c r="M27" i="13" s="1"/>
  <c r="B33" i="29"/>
  <c r="M20" i="13" s="1"/>
  <c r="B35" i="29"/>
  <c r="J22" i="28"/>
  <c r="L27" i="13" s="1"/>
  <c r="L22" i="28"/>
  <c r="L45" i="13" s="1"/>
  <c r="B33" i="28"/>
  <c r="L20" i="13" s="1"/>
  <c r="B36" i="28"/>
  <c r="L23" i="13" s="1"/>
  <c r="B34" i="28"/>
  <c r="B37" i="28"/>
  <c r="L24" i="13" s="1"/>
  <c r="B35" i="28"/>
  <c r="J21" i="27"/>
  <c r="K26" i="13" s="1"/>
  <c r="B37" i="27"/>
  <c r="K24" i="13" s="1"/>
  <c r="J22" i="27"/>
  <c r="K27" i="13" s="1"/>
  <c r="L21" i="27"/>
  <c r="K44" i="13" s="1"/>
  <c r="B34" i="27"/>
  <c r="B36" i="27"/>
  <c r="K23" i="13" s="1"/>
  <c r="B33" i="27"/>
  <c r="B35" i="27"/>
  <c r="K22" i="13" s="1"/>
  <c r="J22" i="26"/>
  <c r="C27" i="13" s="1"/>
  <c r="B33" i="26"/>
  <c r="C20" i="13" s="1"/>
  <c r="B36" i="26"/>
  <c r="C23" i="13" s="1"/>
  <c r="B34" i="26"/>
  <c r="B37" i="26"/>
  <c r="C24" i="13" s="1"/>
  <c r="B35" i="26"/>
  <c r="C22" i="13" s="1"/>
  <c r="L21" i="26"/>
  <c r="C44" i="13" s="1"/>
  <c r="B32" i="25"/>
  <c r="B29" i="25"/>
  <c r="F26" i="25" a="1"/>
  <c r="F26" i="25" s="1"/>
  <c r="E26" i="25" a="1"/>
  <c r="E26" i="25" s="1"/>
  <c r="G26" i="25" s="1"/>
  <c r="D26" i="25" a="1"/>
  <c r="D26" i="25" s="1"/>
  <c r="B26" i="25" a="1"/>
  <c r="B26" i="25" s="1"/>
  <c r="F25" i="25" a="1"/>
  <c r="F25" i="25" s="1"/>
  <c r="E25" i="25" a="1"/>
  <c r="E25" i="25" s="1"/>
  <c r="G25" i="25" s="1"/>
  <c r="D25" i="25" a="1"/>
  <c r="D25" i="25" s="1"/>
  <c r="B25" i="25" a="1"/>
  <c r="B25" i="25" s="1"/>
  <c r="F24" i="25" a="1"/>
  <c r="F24" i="25" s="1"/>
  <c r="E24" i="25"/>
  <c r="G24" i="25" s="1"/>
  <c r="E24" i="25" a="1"/>
  <c r="D24" i="25" a="1"/>
  <c r="D24" i="25" s="1"/>
  <c r="B24" i="25" a="1"/>
  <c r="B24" i="25" s="1"/>
  <c r="F23" i="25" a="1"/>
  <c r="F23" i="25" s="1"/>
  <c r="E23" i="25" a="1"/>
  <c r="E23" i="25" s="1"/>
  <c r="G23" i="25" s="1"/>
  <c r="D23" i="25" a="1"/>
  <c r="D23" i="25" s="1"/>
  <c r="B23" i="25" a="1"/>
  <c r="B23" i="25" s="1"/>
  <c r="F22" i="25"/>
  <c r="F22" i="25" a="1"/>
  <c r="E22" i="25"/>
  <c r="G22" i="25" s="1"/>
  <c r="E22" i="25" a="1"/>
  <c r="D22" i="25"/>
  <c r="D22" i="25" a="1"/>
  <c r="B22" i="25" a="1"/>
  <c r="B22" i="25" s="1"/>
  <c r="Z18" i="25"/>
  <c r="V18" i="25"/>
  <c r="Q18" i="25"/>
  <c r="P18" i="25"/>
  <c r="R18" i="25" s="1"/>
  <c r="K18" i="25"/>
  <c r="J18" i="25"/>
  <c r="Z17" i="25"/>
  <c r="V17" i="25"/>
  <c r="Q17" i="25"/>
  <c r="P17" i="25"/>
  <c r="K17" i="25"/>
  <c r="J17" i="25"/>
  <c r="Z16" i="25"/>
  <c r="V16" i="25"/>
  <c r="Q16" i="25"/>
  <c r="P16" i="25"/>
  <c r="R17" i="25" s="1"/>
  <c r="K16" i="25"/>
  <c r="J16" i="25"/>
  <c r="L17" i="25" s="1"/>
  <c r="Z15" i="25"/>
  <c r="V15" i="25"/>
  <c r="Q15" i="25"/>
  <c r="P15" i="25"/>
  <c r="R16" i="25" s="1"/>
  <c r="K15" i="25"/>
  <c r="J15" i="25"/>
  <c r="Z14" i="25"/>
  <c r="V14" i="25"/>
  <c r="Q14" i="25"/>
  <c r="P14" i="25"/>
  <c r="R14" i="25" s="1"/>
  <c r="K14" i="25"/>
  <c r="J14" i="25"/>
  <c r="L15" i="25" s="1"/>
  <c r="Z13" i="25"/>
  <c r="V13" i="25"/>
  <c r="Q13" i="25"/>
  <c r="P13" i="25"/>
  <c r="K13" i="25"/>
  <c r="J13" i="25"/>
  <c r="Z12" i="25"/>
  <c r="V12" i="25"/>
  <c r="Q12" i="25"/>
  <c r="P12" i="25"/>
  <c r="R12" i="25" s="1"/>
  <c r="K12" i="25"/>
  <c r="J12" i="25"/>
  <c r="L13" i="25" s="1"/>
  <c r="Z11" i="25"/>
  <c r="Z21" i="25" s="1"/>
  <c r="J55" i="13" s="1"/>
  <c r="V11" i="25"/>
  <c r="Q11" i="25"/>
  <c r="P11" i="25"/>
  <c r="K11" i="25"/>
  <c r="J11" i="25"/>
  <c r="Z10" i="25"/>
  <c r="V10" i="25"/>
  <c r="R10" i="25"/>
  <c r="Q10" i="25"/>
  <c r="P10" i="25"/>
  <c r="R11" i="25" s="1"/>
  <c r="K10" i="25"/>
  <c r="J10" i="25"/>
  <c r="L11" i="25" s="1"/>
  <c r="Z9" i="25"/>
  <c r="V9" i="25"/>
  <c r="Q9" i="25"/>
  <c r="P9" i="25"/>
  <c r="K9" i="25"/>
  <c r="J9" i="25"/>
  <c r="Z8" i="25"/>
  <c r="V8" i="25"/>
  <c r="Q8" i="25"/>
  <c r="P8" i="25"/>
  <c r="R8" i="25" s="1"/>
  <c r="K8" i="25"/>
  <c r="J8" i="25"/>
  <c r="L9" i="25" s="1"/>
  <c r="Z7" i="25"/>
  <c r="V7" i="25"/>
  <c r="Q7" i="25"/>
  <c r="P7" i="25"/>
  <c r="K7" i="25"/>
  <c r="J7" i="25"/>
  <c r="Z6" i="25"/>
  <c r="V6" i="25"/>
  <c r="R6" i="25"/>
  <c r="Q6" i="25"/>
  <c r="P6" i="25"/>
  <c r="R7" i="25" s="1"/>
  <c r="K6" i="25"/>
  <c r="J6" i="25"/>
  <c r="L7" i="25" s="1"/>
  <c r="P5" i="25"/>
  <c r="J5" i="25"/>
  <c r="B32" i="1"/>
  <c r="I19" i="13" s="1"/>
  <c r="B29" i="1"/>
  <c r="I16" i="13" s="1"/>
  <c r="Z18" i="1"/>
  <c r="Z17" i="1"/>
  <c r="Z16" i="1"/>
  <c r="Z15" i="1"/>
  <c r="Z14" i="1"/>
  <c r="Z21" i="1" s="1"/>
  <c r="I55" i="13" s="1"/>
  <c r="Z13" i="1"/>
  <c r="Z12" i="1"/>
  <c r="Z11" i="1"/>
  <c r="Z10" i="1"/>
  <c r="Z9" i="1"/>
  <c r="Z8" i="1"/>
  <c r="Z7" i="1"/>
  <c r="Z6" i="1"/>
  <c r="V7" i="1"/>
  <c r="V8" i="1"/>
  <c r="V9" i="1"/>
  <c r="V10" i="1"/>
  <c r="V11" i="1"/>
  <c r="V12" i="1"/>
  <c r="V13" i="1"/>
  <c r="V14" i="1"/>
  <c r="V15" i="1"/>
  <c r="V16" i="1"/>
  <c r="V17" i="1"/>
  <c r="V18" i="1"/>
  <c r="V6" i="1"/>
  <c r="V21" i="1" s="1"/>
  <c r="I54" i="13" s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P21" i="1" s="1"/>
  <c r="I51" i="13" s="1"/>
  <c r="K7" i="1"/>
  <c r="K8" i="1"/>
  <c r="K9" i="1"/>
  <c r="K10" i="1"/>
  <c r="K11" i="1"/>
  <c r="K12" i="1"/>
  <c r="K13" i="1"/>
  <c r="K14" i="1"/>
  <c r="K15" i="1"/>
  <c r="K16" i="1"/>
  <c r="K17" i="1"/>
  <c r="K18" i="1"/>
  <c r="P18" i="1"/>
  <c r="P17" i="1"/>
  <c r="R18" i="1" s="1"/>
  <c r="P16" i="1"/>
  <c r="P15" i="1"/>
  <c r="R16" i="1" s="1"/>
  <c r="P14" i="1"/>
  <c r="P13" i="1"/>
  <c r="R13" i="1" s="1"/>
  <c r="P12" i="1"/>
  <c r="P11" i="1"/>
  <c r="R12" i="1" s="1"/>
  <c r="P10" i="1"/>
  <c r="P9" i="1"/>
  <c r="R10" i="1" s="1"/>
  <c r="P8" i="1"/>
  <c r="P7" i="1"/>
  <c r="R8" i="1" s="1"/>
  <c r="P6" i="1"/>
  <c r="P5" i="1"/>
  <c r="R6" i="1" s="1"/>
  <c r="J12" i="1"/>
  <c r="J13" i="1"/>
  <c r="J14" i="1"/>
  <c r="J15" i="1"/>
  <c r="J16" i="1"/>
  <c r="J17" i="1"/>
  <c r="J18" i="1"/>
  <c r="R17" i="1"/>
  <c r="R9" i="1"/>
  <c r="L24" i="37" l="1"/>
  <c r="T47" i="13" s="1"/>
  <c r="B47" i="31"/>
  <c r="D62" i="13" s="1"/>
  <c r="L22" i="32"/>
  <c r="O45" i="13" s="1"/>
  <c r="B40" i="36"/>
  <c r="S62" i="13" s="1"/>
  <c r="B39" i="36"/>
  <c r="S61" i="13" s="1"/>
  <c r="S21" i="13"/>
  <c r="Z52" i="13"/>
  <c r="J24" i="45"/>
  <c r="J26" i="45"/>
  <c r="J36" i="45" s="1"/>
  <c r="Z27" i="13"/>
  <c r="R14" i="1"/>
  <c r="V21" i="25"/>
  <c r="J54" i="13" s="1"/>
  <c r="L10" i="25"/>
  <c r="R9" i="25"/>
  <c r="R13" i="25"/>
  <c r="K20" i="13"/>
  <c r="O16" i="27"/>
  <c r="B40" i="28"/>
  <c r="L62" i="13" s="1"/>
  <c r="B39" i="28"/>
  <c r="L61" i="13" s="1"/>
  <c r="L21" i="13"/>
  <c r="B47" i="32"/>
  <c r="O62" i="13" s="1"/>
  <c r="B46" i="32"/>
  <c r="O61" i="13" s="1"/>
  <c r="O23" i="13"/>
  <c r="R21" i="33"/>
  <c r="P52" i="13" s="1"/>
  <c r="B47" i="34"/>
  <c r="Q62" i="13" s="1"/>
  <c r="B46" i="34"/>
  <c r="Q61" i="13" s="1"/>
  <c r="Q23" i="13"/>
  <c r="B30" i="36"/>
  <c r="S17" i="13" s="1"/>
  <c r="S22" i="13"/>
  <c r="L26" i="45"/>
  <c r="Z49" i="13" s="1"/>
  <c r="Z45" i="13"/>
  <c r="L24" i="45"/>
  <c r="Z47" i="13" s="1"/>
  <c r="J26" i="39"/>
  <c r="U17" i="13"/>
  <c r="B31" i="1"/>
  <c r="I18" i="13" s="1"/>
  <c r="L16" i="25"/>
  <c r="B28" i="25"/>
  <c r="J15" i="13" s="1"/>
  <c r="J16" i="13"/>
  <c r="B30" i="29"/>
  <c r="M17" i="13" s="1"/>
  <c r="M22" i="13"/>
  <c r="B40" i="29"/>
  <c r="M62" i="13" s="1"/>
  <c r="B39" i="29"/>
  <c r="M61" i="13" s="1"/>
  <c r="M21" i="13"/>
  <c r="O16" i="30"/>
  <c r="Q16" i="30" s="1"/>
  <c r="P21" i="30" s="1"/>
  <c r="N51" i="13" s="1"/>
  <c r="N20" i="13"/>
  <c r="B46" i="35"/>
  <c r="R61" i="13" s="1"/>
  <c r="B47" i="35"/>
  <c r="R62" i="13" s="1"/>
  <c r="R23" i="13"/>
  <c r="L26" i="42"/>
  <c r="X49" i="13" s="1"/>
  <c r="X17" i="13"/>
  <c r="L26" i="44"/>
  <c r="Y49" i="13" s="1"/>
  <c r="Y17" i="13"/>
  <c r="J26" i="46"/>
  <c r="AA31" i="13" s="1"/>
  <c r="B39" i="30"/>
  <c r="N61" i="13" s="1"/>
  <c r="B40" i="30"/>
  <c r="N62" i="13" s="1"/>
  <c r="N21" i="13"/>
  <c r="L6" i="25"/>
  <c r="B28" i="1"/>
  <c r="P21" i="25"/>
  <c r="J51" i="13" s="1"/>
  <c r="L8" i="25"/>
  <c r="L12" i="25"/>
  <c r="L18" i="25"/>
  <c r="B31" i="25"/>
  <c r="J18" i="13" s="1"/>
  <c r="J19" i="13"/>
  <c r="B39" i="26"/>
  <c r="C61" i="13" s="1"/>
  <c r="B40" i="26"/>
  <c r="C62" i="13" s="1"/>
  <c r="C21" i="13"/>
  <c r="B40" i="27"/>
  <c r="K62" i="13" s="1"/>
  <c r="B39" i="27"/>
  <c r="K61" i="13" s="1"/>
  <c r="K21" i="13"/>
  <c r="B30" i="28"/>
  <c r="L17" i="13" s="1"/>
  <c r="L22" i="13"/>
  <c r="B46" i="33"/>
  <c r="P61" i="13" s="1"/>
  <c r="B47" i="33"/>
  <c r="P62" i="13" s="1"/>
  <c r="P23" i="13"/>
  <c r="L21" i="34"/>
  <c r="Q44" i="13" s="1"/>
  <c r="J24" i="39"/>
  <c r="J31" i="39" s="1"/>
  <c r="U36" i="13" s="1"/>
  <c r="J26" i="40"/>
  <c r="V31" i="13" s="1"/>
  <c r="V17" i="13"/>
  <c r="L26" i="46"/>
  <c r="AA49" i="13" s="1"/>
  <c r="J26" i="47"/>
  <c r="AB31" i="13" s="1"/>
  <c r="AB17" i="13"/>
  <c r="J31" i="37"/>
  <c r="T36" i="13" s="1"/>
  <c r="T29" i="13"/>
  <c r="J31" i="38"/>
  <c r="J35" i="40"/>
  <c r="V40" i="13" s="1"/>
  <c r="V47" i="13"/>
  <c r="J31" i="42"/>
  <c r="X36" i="13" s="1"/>
  <c r="X29" i="13"/>
  <c r="J32" i="37"/>
  <c r="T37" i="13" s="1"/>
  <c r="T31" i="13"/>
  <c r="U29" i="13"/>
  <c r="J32" i="38"/>
  <c r="J32" i="39"/>
  <c r="U37" i="13" s="1"/>
  <c r="U31" i="13"/>
  <c r="J31" i="44"/>
  <c r="Y36" i="13" s="1"/>
  <c r="Y29" i="13"/>
  <c r="J36" i="38"/>
  <c r="J35" i="46"/>
  <c r="AA40" i="13" s="1"/>
  <c r="P16" i="47"/>
  <c r="R16" i="47" s="1"/>
  <c r="R21" i="47" s="1"/>
  <c r="Q16" i="47"/>
  <c r="P21" i="47" s="1"/>
  <c r="J32" i="47" s="1"/>
  <c r="AB37" i="13" s="1"/>
  <c r="J25" i="47"/>
  <c r="AB30" i="13" s="1"/>
  <c r="J30" i="46"/>
  <c r="AA35" i="13" s="1"/>
  <c r="J29" i="46"/>
  <c r="J25" i="46"/>
  <c r="AA30" i="13" s="1"/>
  <c r="J26" i="44"/>
  <c r="J35" i="44"/>
  <c r="Y40" i="13" s="1"/>
  <c r="Q16" i="44"/>
  <c r="P21" i="44" s="1"/>
  <c r="Y51" i="13" s="1"/>
  <c r="P16" i="44"/>
  <c r="R16" i="44" s="1"/>
  <c r="R21" i="44" s="1"/>
  <c r="Y52" i="13" s="1"/>
  <c r="J30" i="44"/>
  <c r="Y35" i="13" s="1"/>
  <c r="J25" i="44"/>
  <c r="Y30" i="13" s="1"/>
  <c r="J29" i="44"/>
  <c r="Y34" i="13" s="1"/>
  <c r="J26" i="42"/>
  <c r="J36" i="42" s="1"/>
  <c r="X41" i="13" s="1"/>
  <c r="J35" i="42"/>
  <c r="X40" i="13" s="1"/>
  <c r="J25" i="42"/>
  <c r="X30" i="13" s="1"/>
  <c r="J29" i="42"/>
  <c r="X34" i="13" s="1"/>
  <c r="L26" i="40"/>
  <c r="J27" i="40"/>
  <c r="V32" i="13" s="1"/>
  <c r="J35" i="39"/>
  <c r="U40" i="13" s="1"/>
  <c r="L26" i="39"/>
  <c r="J25" i="39"/>
  <c r="U30" i="13" s="1"/>
  <c r="J29" i="39"/>
  <c r="J30" i="39"/>
  <c r="U35" i="13" s="1"/>
  <c r="J27" i="39"/>
  <c r="U32" i="13" s="1"/>
  <c r="J36" i="37"/>
  <c r="T41" i="13" s="1"/>
  <c r="J25" i="38"/>
  <c r="J29" i="38"/>
  <c r="J35" i="38"/>
  <c r="J30" i="38"/>
  <c r="J27" i="38"/>
  <c r="J25" i="37"/>
  <c r="T30" i="13" s="1"/>
  <c r="J29" i="37"/>
  <c r="T34" i="13" s="1"/>
  <c r="J35" i="37"/>
  <c r="T40" i="13" s="1"/>
  <c r="J27" i="37"/>
  <c r="T32" i="13" s="1"/>
  <c r="J30" i="37"/>
  <c r="T35" i="13" s="1"/>
  <c r="L22" i="35"/>
  <c r="J22" i="35"/>
  <c r="R27" i="13" s="1"/>
  <c r="J21" i="35"/>
  <c r="R26" i="13" s="1"/>
  <c r="B37" i="35"/>
  <c r="R17" i="13" s="1"/>
  <c r="J21" i="34"/>
  <c r="Q26" i="13" s="1"/>
  <c r="L22" i="34"/>
  <c r="B37" i="34"/>
  <c r="J24" i="34"/>
  <c r="Q29" i="13" s="1"/>
  <c r="J24" i="33"/>
  <c r="J25" i="33" s="1"/>
  <c r="P30" i="13" s="1"/>
  <c r="L22" i="33"/>
  <c r="B37" i="33"/>
  <c r="P17" i="13" s="1"/>
  <c r="B37" i="32"/>
  <c r="O17" i="13" s="1"/>
  <c r="J24" i="32"/>
  <c r="O29" i="13" s="1"/>
  <c r="L24" i="32"/>
  <c r="L21" i="31"/>
  <c r="D44" i="13" s="1"/>
  <c r="R21" i="31"/>
  <c r="D52" i="13" s="1"/>
  <c r="B37" i="31"/>
  <c r="B30" i="26"/>
  <c r="C17" i="13" s="1"/>
  <c r="L22" i="31"/>
  <c r="D45" i="13" s="1"/>
  <c r="J24" i="31"/>
  <c r="J38" i="31" s="1"/>
  <c r="D57" i="13" s="1"/>
  <c r="P16" i="30"/>
  <c r="R16" i="30" s="1"/>
  <c r="R21" i="30" s="1"/>
  <c r="N52" i="13" s="1"/>
  <c r="B30" i="30"/>
  <c r="J24" i="30"/>
  <c r="L24" i="30"/>
  <c r="N47" i="13" s="1"/>
  <c r="L26" i="30"/>
  <c r="N49" i="13" s="1"/>
  <c r="J26" i="29"/>
  <c r="M31" i="13" s="1"/>
  <c r="J24" i="29"/>
  <c r="L24" i="29"/>
  <c r="M47" i="13" s="1"/>
  <c r="L26" i="29"/>
  <c r="M49" i="13" s="1"/>
  <c r="L24" i="28"/>
  <c r="L47" i="13" s="1"/>
  <c r="J24" i="28"/>
  <c r="B30" i="27"/>
  <c r="J24" i="27"/>
  <c r="L24" i="27"/>
  <c r="K47" i="13" s="1"/>
  <c r="L26" i="27"/>
  <c r="K49" i="13" s="1"/>
  <c r="L24" i="26"/>
  <c r="C47" i="13" s="1"/>
  <c r="L26" i="26"/>
  <c r="C49" i="13" s="1"/>
  <c r="J24" i="26"/>
  <c r="J26" i="26"/>
  <c r="C31" i="13" s="1"/>
  <c r="R15" i="25"/>
  <c r="R21" i="25"/>
  <c r="J52" i="13" s="1"/>
  <c r="J21" i="25"/>
  <c r="J26" i="13" s="1"/>
  <c r="L14" i="25"/>
  <c r="L21" i="25" s="1"/>
  <c r="J44" i="13" s="1"/>
  <c r="B37" i="25"/>
  <c r="J24" i="13" s="1"/>
  <c r="L22" i="25"/>
  <c r="J45" i="13" s="1"/>
  <c r="J22" i="25"/>
  <c r="J27" i="13" s="1"/>
  <c r="B34" i="25"/>
  <c r="B36" i="25"/>
  <c r="J23" i="13" s="1"/>
  <c r="B33" i="25"/>
  <c r="J20" i="13" s="1"/>
  <c r="B35" i="25"/>
  <c r="R7" i="1"/>
  <c r="R21" i="1" s="1"/>
  <c r="I52" i="13" s="1"/>
  <c r="R11" i="1"/>
  <c r="R15" i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L26" i="28" l="1"/>
  <c r="L49" i="13" s="1"/>
  <c r="J26" i="28"/>
  <c r="L31" i="13" s="1"/>
  <c r="J27" i="46"/>
  <c r="AA32" i="13" s="1"/>
  <c r="J32" i="40"/>
  <c r="V37" i="13" s="1"/>
  <c r="J30" i="40"/>
  <c r="V35" i="13" s="1"/>
  <c r="J36" i="46"/>
  <c r="L26" i="32"/>
  <c r="O49" i="13" s="1"/>
  <c r="J34" i="45"/>
  <c r="Z39" i="13" s="1"/>
  <c r="Z41" i="13"/>
  <c r="J26" i="34"/>
  <c r="Q31" i="13" s="1"/>
  <c r="Q17" i="13"/>
  <c r="B39" i="25"/>
  <c r="J61" i="13" s="1"/>
  <c r="B40" i="25"/>
  <c r="J62" i="13" s="1"/>
  <c r="J21" i="13"/>
  <c r="Z29" i="13"/>
  <c r="J25" i="45"/>
  <c r="Z30" i="13" s="1"/>
  <c r="B35" i="1"/>
  <c r="I22" i="13" s="1"/>
  <c r="B37" i="1"/>
  <c r="I24" i="13" s="1"/>
  <c r="B33" i="1"/>
  <c r="B36" i="1"/>
  <c r="I23" i="13" s="1"/>
  <c r="B30" i="25"/>
  <c r="J17" i="13" s="1"/>
  <c r="J22" i="13"/>
  <c r="J26" i="31"/>
  <c r="D31" i="13" s="1"/>
  <c r="D17" i="13"/>
  <c r="J31" i="33"/>
  <c r="P36" i="13" s="1"/>
  <c r="B30" i="1"/>
  <c r="I17" i="13" s="1"/>
  <c r="I15" i="13"/>
  <c r="J35" i="45"/>
  <c r="J26" i="27"/>
  <c r="K31" i="13" s="1"/>
  <c r="K17" i="13"/>
  <c r="J26" i="30"/>
  <c r="N17" i="13"/>
  <c r="J26" i="32"/>
  <c r="O31" i="13" s="1"/>
  <c r="P16" i="27"/>
  <c r="R16" i="27" s="1"/>
  <c r="R21" i="27" s="1"/>
  <c r="K52" i="13" s="1"/>
  <c r="Q16" i="27"/>
  <c r="P21" i="27" s="1"/>
  <c r="K51" i="13" s="1"/>
  <c r="Z31" i="13"/>
  <c r="J27" i="45"/>
  <c r="Z32" i="13" s="1"/>
  <c r="J33" i="40"/>
  <c r="V38" i="13" s="1"/>
  <c r="J30" i="42"/>
  <c r="X35" i="13" s="1"/>
  <c r="J27" i="47"/>
  <c r="AB32" i="13" s="1"/>
  <c r="J32" i="30"/>
  <c r="N37" i="13" s="1"/>
  <c r="N31" i="13"/>
  <c r="J33" i="39"/>
  <c r="U38" i="13" s="1"/>
  <c r="U34" i="13"/>
  <c r="J36" i="40"/>
  <c r="V41" i="13" s="1"/>
  <c r="V49" i="13"/>
  <c r="J30" i="47"/>
  <c r="AB35" i="13" s="1"/>
  <c r="AB51" i="13"/>
  <c r="L24" i="33"/>
  <c r="P45" i="13"/>
  <c r="L24" i="34"/>
  <c r="Q47" i="13" s="1"/>
  <c r="Q45" i="13"/>
  <c r="J34" i="38"/>
  <c r="J32" i="44"/>
  <c r="Y37" i="13" s="1"/>
  <c r="Y31" i="13"/>
  <c r="J35" i="47"/>
  <c r="AB40" i="13" s="1"/>
  <c r="AB52" i="13"/>
  <c r="J34" i="46"/>
  <c r="AA39" i="13" s="1"/>
  <c r="AA41" i="13"/>
  <c r="J31" i="26"/>
  <c r="C36" i="13" s="1"/>
  <c r="C29" i="13"/>
  <c r="J35" i="32"/>
  <c r="O40" i="13" s="1"/>
  <c r="O47" i="13"/>
  <c r="J29" i="33"/>
  <c r="P34" i="13" s="1"/>
  <c r="P29" i="13"/>
  <c r="L26" i="35"/>
  <c r="R49" i="13" s="1"/>
  <c r="R45" i="13"/>
  <c r="J33" i="38"/>
  <c r="J36" i="39"/>
  <c r="U41" i="13" s="1"/>
  <c r="U49" i="13"/>
  <c r="J32" i="42"/>
  <c r="X37" i="13" s="1"/>
  <c r="X31" i="13"/>
  <c r="J31" i="28"/>
  <c r="L36" i="13" s="1"/>
  <c r="L29" i="13"/>
  <c r="J31" i="27"/>
  <c r="K36" i="13" s="1"/>
  <c r="K29" i="13"/>
  <c r="J31" i="29"/>
  <c r="M36" i="13" s="1"/>
  <c r="M29" i="13"/>
  <c r="J31" i="30"/>
  <c r="N36" i="13" s="1"/>
  <c r="N29" i="13"/>
  <c r="J31" i="31"/>
  <c r="D36" i="13" s="1"/>
  <c r="J29" i="31"/>
  <c r="D34" i="13" s="1"/>
  <c r="D29" i="13"/>
  <c r="J33" i="46"/>
  <c r="AA38" i="13" s="1"/>
  <c r="AA34" i="13"/>
  <c r="J38" i="33"/>
  <c r="P57" i="13" s="1"/>
  <c r="J34" i="37"/>
  <c r="T39" i="13" s="1"/>
  <c r="J31" i="47"/>
  <c r="AB36" i="13" s="1"/>
  <c r="J29" i="47"/>
  <c r="J36" i="47"/>
  <c r="J33" i="44"/>
  <c r="Y38" i="13" s="1"/>
  <c r="J27" i="44"/>
  <c r="Y32" i="13" s="1"/>
  <c r="J36" i="44"/>
  <c r="J34" i="42"/>
  <c r="X39" i="13" s="1"/>
  <c r="J33" i="42"/>
  <c r="X38" i="13" s="1"/>
  <c r="J27" i="42"/>
  <c r="X32" i="13" s="1"/>
  <c r="J33" i="37"/>
  <c r="T38" i="13" s="1"/>
  <c r="L24" i="35"/>
  <c r="R47" i="13" s="1"/>
  <c r="J24" i="35"/>
  <c r="R29" i="13" s="1"/>
  <c r="J26" i="35"/>
  <c r="J29" i="34"/>
  <c r="Q34" i="13" s="1"/>
  <c r="J25" i="34"/>
  <c r="Q30" i="13" s="1"/>
  <c r="J38" i="34"/>
  <c r="Q57" i="13" s="1"/>
  <c r="J30" i="34"/>
  <c r="Q35" i="13" s="1"/>
  <c r="L26" i="34"/>
  <c r="J31" i="34"/>
  <c r="Q36" i="13" s="1"/>
  <c r="L26" i="33"/>
  <c r="P49" i="13" s="1"/>
  <c r="J26" i="33"/>
  <c r="P31" i="13" s="1"/>
  <c r="J31" i="32"/>
  <c r="O36" i="13" s="1"/>
  <c r="J38" i="32"/>
  <c r="O57" i="13" s="1"/>
  <c r="J30" i="32"/>
  <c r="O35" i="13" s="1"/>
  <c r="J29" i="32"/>
  <c r="J25" i="32"/>
  <c r="O30" i="13" s="1"/>
  <c r="L26" i="31"/>
  <c r="D49" i="13" s="1"/>
  <c r="L24" i="31"/>
  <c r="J30" i="31"/>
  <c r="D35" i="13" s="1"/>
  <c r="J27" i="31"/>
  <c r="D32" i="13" s="1"/>
  <c r="J32" i="31"/>
  <c r="D37" i="13" s="1"/>
  <c r="J25" i="31"/>
  <c r="D30" i="13" s="1"/>
  <c r="J36" i="30"/>
  <c r="N41" i="13" s="1"/>
  <c r="J29" i="30"/>
  <c r="N34" i="13" s="1"/>
  <c r="J25" i="30"/>
  <c r="N30" i="13" s="1"/>
  <c r="J35" i="30"/>
  <c r="N40" i="13" s="1"/>
  <c r="J30" i="30"/>
  <c r="J27" i="30"/>
  <c r="N32" i="13" s="1"/>
  <c r="J30" i="29"/>
  <c r="M35" i="13" s="1"/>
  <c r="J27" i="29"/>
  <c r="M32" i="13" s="1"/>
  <c r="J36" i="29"/>
  <c r="M41" i="13" s="1"/>
  <c r="J25" i="29"/>
  <c r="M30" i="13" s="1"/>
  <c r="J29" i="29"/>
  <c r="M34" i="13" s="1"/>
  <c r="J35" i="29"/>
  <c r="M40" i="13" s="1"/>
  <c r="J32" i="29"/>
  <c r="M37" i="13" s="1"/>
  <c r="J35" i="28"/>
  <c r="L40" i="13" s="1"/>
  <c r="J27" i="28"/>
  <c r="L32" i="13" s="1"/>
  <c r="J25" i="28"/>
  <c r="L30" i="13" s="1"/>
  <c r="J29" i="28"/>
  <c r="L34" i="13" s="1"/>
  <c r="J32" i="28"/>
  <c r="L37" i="13" s="1"/>
  <c r="J35" i="27"/>
  <c r="K40" i="13" s="1"/>
  <c r="J30" i="27"/>
  <c r="K35" i="13" s="1"/>
  <c r="J32" i="27"/>
  <c r="K37" i="13" s="1"/>
  <c r="J25" i="27"/>
  <c r="K30" i="13" s="1"/>
  <c r="J29" i="27"/>
  <c r="K34" i="13" s="1"/>
  <c r="J36" i="26"/>
  <c r="C41" i="13" s="1"/>
  <c r="J35" i="26"/>
  <c r="C40" i="13" s="1"/>
  <c r="J30" i="26"/>
  <c r="C35" i="13" s="1"/>
  <c r="J27" i="26"/>
  <c r="C32" i="13" s="1"/>
  <c r="J25" i="26"/>
  <c r="C30" i="13" s="1"/>
  <c r="J29" i="26"/>
  <c r="C34" i="13" s="1"/>
  <c r="J32" i="26"/>
  <c r="C37" i="13" s="1"/>
  <c r="J26" i="25"/>
  <c r="J31" i="13" s="1"/>
  <c r="J24" i="25"/>
  <c r="J29" i="13" s="1"/>
  <c r="L24" i="25"/>
  <c r="J47" i="13" s="1"/>
  <c r="L26" i="25"/>
  <c r="L8" i="1"/>
  <c r="L12" i="1"/>
  <c r="L13" i="1"/>
  <c r="L14" i="1"/>
  <c r="L15" i="1"/>
  <c r="L16" i="1"/>
  <c r="L17" i="1"/>
  <c r="L18" i="1"/>
  <c r="J6" i="1"/>
  <c r="L7" i="1" s="1"/>
  <c r="J7" i="1"/>
  <c r="J8" i="1"/>
  <c r="L9" i="1" s="1"/>
  <c r="J9" i="1"/>
  <c r="L10" i="1" s="1"/>
  <c r="J10" i="1"/>
  <c r="L11" i="1" s="1"/>
  <c r="J11" i="1"/>
  <c r="J5" i="1"/>
  <c r="L6" i="1" s="1"/>
  <c r="G22" i="1"/>
  <c r="B34" i="1" s="1"/>
  <c r="G23" i="1"/>
  <c r="G24" i="1"/>
  <c r="G25" i="1"/>
  <c r="G26" i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J36" i="28" l="1"/>
  <c r="L41" i="13" s="1"/>
  <c r="J30" i="28"/>
  <c r="L35" i="13" s="1"/>
  <c r="J32" i="32"/>
  <c r="O37" i="13" s="1"/>
  <c r="J36" i="27"/>
  <c r="K41" i="13" s="1"/>
  <c r="J27" i="27"/>
  <c r="K32" i="13" s="1"/>
  <c r="J36" i="32"/>
  <c r="O41" i="13" s="1"/>
  <c r="J39" i="31"/>
  <c r="D58" i="13" s="1"/>
  <c r="J36" i="31"/>
  <c r="D41" i="13" s="1"/>
  <c r="J31" i="25"/>
  <c r="J36" i="13" s="1"/>
  <c r="J27" i="34"/>
  <c r="Q32" i="13" s="1"/>
  <c r="J32" i="34"/>
  <c r="Q37" i="13" s="1"/>
  <c r="J39" i="34"/>
  <c r="Q58" i="13" s="1"/>
  <c r="J27" i="32"/>
  <c r="O32" i="13" s="1"/>
  <c r="J39" i="32"/>
  <c r="O58" i="13" s="1"/>
  <c r="L21" i="1"/>
  <c r="I44" i="13" s="1"/>
  <c r="L22" i="1"/>
  <c r="B40" i="1"/>
  <c r="I62" i="13" s="1"/>
  <c r="B39" i="1"/>
  <c r="I61" i="13" s="1"/>
  <c r="I21" i="13"/>
  <c r="J32" i="25"/>
  <c r="J37" i="13" s="1"/>
  <c r="J33" i="28"/>
  <c r="L38" i="13" s="1"/>
  <c r="Z40" i="13"/>
  <c r="J33" i="45"/>
  <c r="Z38" i="13" s="1"/>
  <c r="J34" i="40"/>
  <c r="V39" i="13" s="1"/>
  <c r="I20" i="13"/>
  <c r="J34" i="39"/>
  <c r="U39" i="13" s="1"/>
  <c r="J35" i="34"/>
  <c r="Q40" i="13" s="1"/>
  <c r="J36" i="25"/>
  <c r="J41" i="13" s="1"/>
  <c r="J49" i="13"/>
  <c r="J33" i="32"/>
  <c r="O38" i="13" s="1"/>
  <c r="O34" i="13"/>
  <c r="J35" i="31"/>
  <c r="D40" i="13" s="1"/>
  <c r="D47" i="13"/>
  <c r="J34" i="30"/>
  <c r="N39" i="13" s="1"/>
  <c r="N35" i="13"/>
  <c r="J36" i="34"/>
  <c r="Q49" i="13"/>
  <c r="J34" i="47"/>
  <c r="AB39" i="13" s="1"/>
  <c r="AB41" i="13"/>
  <c r="J36" i="35"/>
  <c r="R41" i="13" s="1"/>
  <c r="R31" i="13"/>
  <c r="J34" i="44"/>
  <c r="Y39" i="13" s="1"/>
  <c r="Y41" i="13"/>
  <c r="J33" i="47"/>
  <c r="AB38" i="13" s="1"/>
  <c r="AB34" i="13"/>
  <c r="J35" i="33"/>
  <c r="P47" i="13"/>
  <c r="J35" i="25"/>
  <c r="J40" i="13" s="1"/>
  <c r="J35" i="35"/>
  <c r="R40" i="13" s="1"/>
  <c r="J30" i="35"/>
  <c r="J27" i="35"/>
  <c r="R32" i="13" s="1"/>
  <c r="J32" i="35"/>
  <c r="R37" i="13" s="1"/>
  <c r="J39" i="35"/>
  <c r="R58" i="13" s="1"/>
  <c r="J29" i="35"/>
  <c r="J25" i="35"/>
  <c r="R30" i="13" s="1"/>
  <c r="J38" i="35"/>
  <c r="R57" i="13" s="1"/>
  <c r="J31" i="35"/>
  <c r="R36" i="13" s="1"/>
  <c r="J36" i="33"/>
  <c r="P41" i="13" s="1"/>
  <c r="J39" i="33"/>
  <c r="P58" i="13" s="1"/>
  <c r="J30" i="33"/>
  <c r="J27" i="33"/>
  <c r="P32" i="13" s="1"/>
  <c r="J32" i="33"/>
  <c r="P37" i="13" s="1"/>
  <c r="J34" i="26"/>
  <c r="C39" i="13" s="1"/>
  <c r="J34" i="31"/>
  <c r="D39" i="13" s="1"/>
  <c r="J33" i="30"/>
  <c r="N38" i="13" s="1"/>
  <c r="J34" i="29"/>
  <c r="M39" i="13" s="1"/>
  <c r="J33" i="29"/>
  <c r="M38" i="13" s="1"/>
  <c r="J33" i="27"/>
  <c r="K38" i="13" s="1"/>
  <c r="J34" i="27"/>
  <c r="K39" i="13" s="1"/>
  <c r="J33" i="26"/>
  <c r="C38" i="13" s="1"/>
  <c r="J25" i="25"/>
  <c r="J30" i="13" s="1"/>
  <c r="J29" i="25"/>
  <c r="J30" i="25"/>
  <c r="J27" i="25"/>
  <c r="J32" i="13" s="1"/>
  <c r="K6" i="1"/>
  <c r="J34" i="28" l="1"/>
  <c r="L39" i="13" s="1"/>
  <c r="J34" i="32"/>
  <c r="O39" i="13" s="1"/>
  <c r="I45" i="13"/>
  <c r="L26" i="1"/>
  <c r="L24" i="1"/>
  <c r="J21" i="1"/>
  <c r="I26" i="13" s="1"/>
  <c r="J22" i="1"/>
  <c r="J33" i="34"/>
  <c r="Q38" i="13" s="1"/>
  <c r="J33" i="31"/>
  <c r="D38" i="13" s="1"/>
  <c r="J33" i="35"/>
  <c r="R38" i="13" s="1"/>
  <c r="R34" i="13"/>
  <c r="J34" i="35"/>
  <c r="R39" i="13" s="1"/>
  <c r="R35" i="13"/>
  <c r="P40" i="13"/>
  <c r="J33" i="33"/>
  <c r="P38" i="13" s="1"/>
  <c r="J34" i="25"/>
  <c r="J39" i="13" s="1"/>
  <c r="J35" i="13"/>
  <c r="J34" i="33"/>
  <c r="P39" i="13" s="1"/>
  <c r="P35" i="13"/>
  <c r="J33" i="25"/>
  <c r="J38" i="13" s="1"/>
  <c r="J34" i="13"/>
  <c r="J34" i="34"/>
  <c r="Q39" i="13" s="1"/>
  <c r="Q41" i="13"/>
  <c r="I47" i="13" l="1"/>
  <c r="I49" i="13"/>
  <c r="J26" i="1"/>
  <c r="J36" i="1" s="1"/>
  <c r="J24" i="1"/>
  <c r="I27" i="13"/>
  <c r="I29" i="13" l="1"/>
  <c r="J31" i="1"/>
  <c r="I36" i="13" s="1"/>
  <c r="J25" i="1"/>
  <c r="I30" i="13" s="1"/>
  <c r="J29" i="1"/>
  <c r="I34" i="13" s="1"/>
  <c r="I41" i="13"/>
  <c r="J35" i="1"/>
  <c r="I31" i="13"/>
  <c r="J27" i="1"/>
  <c r="I32" i="13" s="1"/>
  <c r="J30" i="1"/>
  <c r="I35" i="13" s="1"/>
  <c r="J32" i="1"/>
  <c r="I37" i="13" s="1"/>
  <c r="I40" i="13" l="1"/>
  <c r="J33" i="1"/>
  <c r="I38" i="13" s="1"/>
  <c r="J34" i="1"/>
  <c r="I39" i="13" s="1"/>
  <c r="J22" i="51" l="1"/>
  <c r="J26" i="51" s="1"/>
  <c r="K16" i="51"/>
  <c r="K17" i="51"/>
  <c r="J16" i="51"/>
  <c r="L17" i="51" s="1"/>
  <c r="J21" i="51" l="1"/>
  <c r="J32" i="51"/>
  <c r="J27" i="51"/>
  <c r="J30" i="51"/>
  <c r="J24" i="51"/>
  <c r="L16" i="51"/>
  <c r="J29" i="51" l="1"/>
  <c r="J31" i="51"/>
  <c r="J25" i="51"/>
  <c r="L22" i="51"/>
  <c r="L21" i="51"/>
  <c r="L26" i="51" l="1"/>
  <c r="J36" i="51" s="1"/>
  <c r="J34" i="51" s="1"/>
  <c r="L24" i="51"/>
  <c r="J35" i="51" s="1"/>
  <c r="J33" i="5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<sst xmlns="http://schemas.openxmlformats.org/spreadsheetml/2006/main" count="4713" uniqueCount="178">
  <si>
    <t>SDT-1</t>
  </si>
  <si>
    <t>.</t>
  </si>
  <si>
    <t>rule</t>
  </si>
  <si>
    <t>ntad</t>
  </si>
  <si>
    <t>tad</t>
  </si>
  <si>
    <t>dv</t>
  </si>
  <si>
    <t>loq</t>
  </si>
  <si>
    <t>id</t>
  </si>
  <si>
    <t>SDT-3</t>
  </si>
  <si>
    <t>MDT-1</t>
  </si>
  <si>
    <t>MDT-2</t>
  </si>
  <si>
    <t>MDT-3</t>
  </si>
  <si>
    <t>SDC-1</t>
  </si>
  <si>
    <t>SDC-2</t>
  </si>
  <si>
    <t>SDC-3</t>
  </si>
  <si>
    <t>SDC-4a</t>
  </si>
  <si>
    <t>SDC-4b</t>
  </si>
  <si>
    <t>SDC-4c</t>
  </si>
  <si>
    <t>SDC-4d</t>
  </si>
  <si>
    <t>tadcorr</t>
  </si>
  <si>
    <t>dvcorr</t>
  </si>
  <si>
    <t>AUCall</t>
  </si>
  <si>
    <t>AUClast</t>
  </si>
  <si>
    <t>tlast</t>
  </si>
  <si>
    <t>Cmax</t>
  </si>
  <si>
    <t>Tmax</t>
  </si>
  <si>
    <t>start</t>
  </si>
  <si>
    <t>stop</t>
  </si>
  <si>
    <t>no.points</t>
  </si>
  <si>
    <t>intercept</t>
  </si>
  <si>
    <t>lambda_z</t>
  </si>
  <si>
    <t>adj.R2</t>
  </si>
  <si>
    <t>thalf</t>
  </si>
  <si>
    <t>Thalf</t>
  </si>
  <si>
    <t>Cmax included:</t>
  </si>
  <si>
    <t>Y</t>
  </si>
  <si>
    <t>N</t>
  </si>
  <si>
    <t>AUC4-12</t>
  </si>
  <si>
    <t>AUCinf,obs</t>
  </si>
  <si>
    <t xml:space="preserve"> %extrap,obs</t>
  </si>
  <si>
    <t>Clast,pred</t>
  </si>
  <si>
    <t>Clast,obs</t>
  </si>
  <si>
    <t>AUCinf,pred</t>
  </si>
  <si>
    <t xml:space="preserve"> %extrap,pred</t>
  </si>
  <si>
    <t>AUMCall</t>
  </si>
  <si>
    <t>AUMClast</t>
  </si>
  <si>
    <t>AUMCinf,obs</t>
  </si>
  <si>
    <t>AUMCinf,pred</t>
  </si>
  <si>
    <t>dvcorr*t</t>
  </si>
  <si>
    <t>cl.f.obs</t>
  </si>
  <si>
    <t>cl.f.pred</t>
  </si>
  <si>
    <t>vz.f.obs</t>
  </si>
  <si>
    <t>vz.f.pred</t>
  </si>
  <si>
    <t>vss.obs</t>
  </si>
  <si>
    <t>vss.pred</t>
  </si>
  <si>
    <t>mrt.obs</t>
  </si>
  <si>
    <t>mrt.pred</t>
  </si>
  <si>
    <t>Steady state:</t>
  </si>
  <si>
    <t>Route:</t>
  </si>
  <si>
    <t>Method:</t>
  </si>
  <si>
    <t>Dose:</t>
  </si>
  <si>
    <t>Regimen:</t>
  </si>
  <si>
    <t>SD</t>
  </si>
  <si>
    <t>PO</t>
  </si>
  <si>
    <t>Factor</t>
  </si>
  <si>
    <t>AUCtau</t>
  </si>
  <si>
    <t>Tau</t>
  </si>
  <si>
    <t>Teval</t>
  </si>
  <si>
    <t>Tstart</t>
  </si>
  <si>
    <t>Tend</t>
  </si>
  <si>
    <t>AUC18</t>
  </si>
  <si>
    <t>AUMCtau</t>
  </si>
  <si>
    <t>Intercept</t>
  </si>
  <si>
    <t>partial</t>
  </si>
  <si>
    <t>auc</t>
  </si>
  <si>
    <t>aumc</t>
  </si>
  <si>
    <t>AUCall, AUClast</t>
  </si>
  <si>
    <t>original data</t>
  </si>
  <si>
    <t>SDT-2</t>
  </si>
  <si>
    <t>IV</t>
  </si>
  <si>
    <t xml:space="preserve"> %backextrap,obs</t>
  </si>
  <si>
    <t xml:space="preserve"> %backextrap,pred</t>
  </si>
  <si>
    <t>Remark:</t>
  </si>
  <si>
    <t>Predose sample taken too late: DV set to NA, TAD set to 0. Since steady state has not been reached, the missing predose concentration cannot be imputed with the concentration at t=TAU. Therefore, except for AUC4-12, no AUC or AUC-derived PK parameter should be calculated.</t>
  </si>
  <si>
    <t>NC</t>
  </si>
  <si>
    <t>MDT-3a</t>
  </si>
  <si>
    <t>NA</t>
  </si>
  <si>
    <t>MDC-1-noss</t>
  </si>
  <si>
    <t>MDC-2-noss</t>
  </si>
  <si>
    <t>MDC-3-noss</t>
  </si>
  <si>
    <t>MDC-1-ss</t>
  </si>
  <si>
    <t>MDC-2-ss</t>
  </si>
  <si>
    <t>MDC-3-ss</t>
  </si>
  <si>
    <t>Parameter</t>
  </si>
  <si>
    <t>START_POSD</t>
  </si>
  <si>
    <t>START_POMD</t>
  </si>
  <si>
    <t>START_IVSD</t>
  </si>
  <si>
    <t>SDT_1</t>
  </si>
  <si>
    <t>SDT_3</t>
  </si>
  <si>
    <t>SDT_2</t>
  </si>
  <si>
    <t>SDC_1</t>
  </si>
  <si>
    <t>SDC_2</t>
  </si>
  <si>
    <t>SDC_3</t>
  </si>
  <si>
    <t>SDC_4a</t>
  </si>
  <si>
    <t>SDC_4b</t>
  </si>
  <si>
    <t>SDC_4c</t>
  </si>
  <si>
    <t>SDC_4d</t>
  </si>
  <si>
    <t>MDT_1</t>
  </si>
  <si>
    <t>MDT_2</t>
  </si>
  <si>
    <t>MDT_3</t>
  </si>
  <si>
    <t>MDT_3a</t>
  </si>
  <si>
    <t>MDC_1_noss</t>
  </si>
  <si>
    <t>MDC_2_noss</t>
  </si>
  <si>
    <t>MDC_3_noss</t>
  </si>
  <si>
    <t>MDC_1_ss</t>
  </si>
  <si>
    <t>MDC_2_ss</t>
  </si>
  <si>
    <t>MDC_3_ss</t>
  </si>
  <si>
    <t>ST_POSD</t>
  </si>
  <si>
    <t>ST_IVSD</t>
  </si>
  <si>
    <t>ST_POMD</t>
  </si>
  <si>
    <t>pctback.obs</t>
  </si>
  <si>
    <t>pctback.pred</t>
  </si>
  <si>
    <t>auc18</t>
  </si>
  <si>
    <t>auc4_12</t>
  </si>
  <si>
    <t>aucall</t>
  </si>
  <si>
    <t>auclast</t>
  </si>
  <si>
    <t>aucinf.obs</t>
  </si>
  <si>
    <t>aucinf.pred</t>
  </si>
  <si>
    <t>clast.obs</t>
  </si>
  <si>
    <t>clast.pred</t>
  </si>
  <si>
    <t>tmax</t>
  </si>
  <si>
    <t>cmax</t>
  </si>
  <si>
    <t>adj.r.squared</t>
  </si>
  <si>
    <t xml:space="preserve"> pctextr.obs</t>
  </si>
  <si>
    <t>pctextr.pred</t>
  </si>
  <si>
    <t>aumcall</t>
  </si>
  <si>
    <t>aumclast</t>
  </si>
  <si>
    <t>aumcinf.obs</t>
  </si>
  <si>
    <t>aumcinf.pred</t>
  </si>
  <si>
    <t>auctau</t>
  </si>
  <si>
    <t>aumctau</t>
  </si>
  <si>
    <t>includeCmax</t>
  </si>
  <si>
    <t>reg</t>
  </si>
  <si>
    <t>ss</t>
  </si>
  <si>
    <t>route</t>
  </si>
  <si>
    <t>method</t>
  </si>
  <si>
    <t>dose</t>
  </si>
  <si>
    <t>factor</t>
  </si>
  <si>
    <t>tau</t>
  </si>
  <si>
    <t>teval</t>
  </si>
  <si>
    <t>tstart</t>
  </si>
  <si>
    <t>tend</t>
  </si>
  <si>
    <t>c0</t>
  </si>
  <si>
    <t>start_th</t>
  </si>
  <si>
    <t>end_th</t>
  </si>
  <si>
    <t>MD</t>
  </si>
  <si>
    <t>mrtinf.obs</t>
  </si>
  <si>
    <t>mrtinf.pred</t>
  </si>
  <si>
    <t>POSDLOQ_1</t>
  </si>
  <si>
    <t>POSDLOQ_2</t>
  </si>
  <si>
    <t>POSDLOQ_3</t>
  </si>
  <si>
    <t>POSDLOQ_4</t>
  </si>
  <si>
    <t>IVSDLOQ_1</t>
  </si>
  <si>
    <t>IVSDLOQ_2</t>
  </si>
  <si>
    <t>IVSDLOQ_3</t>
  </si>
  <si>
    <t>IVSDLOQ_4</t>
  </si>
  <si>
    <t>mrt.last</t>
  </si>
  <si>
    <t>POSDEXCL</t>
  </si>
  <si>
    <t>Tinfusion (h)</t>
  </si>
  <si>
    <t>ST_INFSD</t>
  </si>
  <si>
    <t>START_INFSD</t>
  </si>
  <si>
    <t>START_INFMD</t>
  </si>
  <si>
    <t>START_IVMD</t>
  </si>
  <si>
    <t>INF</t>
  </si>
  <si>
    <t>POSDTRAP_2</t>
  </si>
  <si>
    <t>POSDTRAP_3</t>
  </si>
  <si>
    <t>ST_IVMD</t>
  </si>
  <si>
    <t>ST_INFMD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</si>
</sst>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00"/>
    <numFmt numFmtId="168" formatCode="0.00000"/>
    <numFmt numFmtId="170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left" vertical="center" indent="1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2" borderId="0" xfId="0" applyFill="1" applyAlignment="1">
      <alignment horizontal="right"/>
    </xf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4" xfId="0" applyFont="1" applyBorder="1"/>
    <xf numFmtId="2" fontId="4" fillId="0" borderId="4" xfId="0" applyNumberFormat="1" applyFon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0" fontId="4" fillId="0" borderId="1" xfId="0" applyFont="1" applyBorder="1"/>
    <xf numFmtId="0" fontId="5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5" xfId="0" applyFont="1" applyBorder="1"/>
    <xf numFmtId="0" fontId="5" fillId="0" borderId="4" xfId="0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0" fontId="4" fillId="0" borderId="8" xfId="0" applyFont="1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3" fillId="0" borderId="0" xfId="0" applyFont="1"/>
    <xf numFmtId="2" fontId="3" fillId="0" borderId="4" xfId="0" applyNumberFormat="1" applyFont="1" applyBorder="1"/>
    <xf numFmtId="2" fontId="0" fillId="4" borderId="0" xfId="0" applyNumberFormat="1" applyFill="1"/>
    <xf numFmtId="2" fontId="3" fillId="4" borderId="0" xfId="0" applyNumberFormat="1" applyFont="1" applyFill="1"/>
    <xf numFmtId="2" fontId="4" fillId="4" borderId="0" xfId="0" applyNumberFormat="1" applyFon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4" borderId="0" xfId="0" applyFill="1"/>
    <xf numFmtId="0" fontId="7" fillId="0" borderId="0" xfId="0" applyFont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2" fontId="3" fillId="0" borderId="7" xfId="0" applyNumberFormat="1" applyFont="1" applyBorder="1"/>
    <xf numFmtId="2" fontId="3" fillId="4" borderId="7" xfId="0" applyNumberFormat="1" applyFont="1" applyFill="1" applyBorder="1"/>
    <xf numFmtId="0" fontId="0" fillId="4" borderId="7" xfId="0" applyFill="1" applyBorder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1" fontId="4" fillId="0" borderId="0" xfId="0" applyNumberFormat="1" applyFon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170" fontId="0" fillId="0" borderId="0" xfId="0" applyNumberFormat="1"/>
    <xf numFmtId="2" fontId="8" fillId="0" borderId="0" xfId="0" applyNumberFormat="1" applyFont="1"/>
    <xf numFmtId="2" fontId="8" fillId="0" borderId="7" xfId="0" applyNumberFormat="1" applyFont="1" applyBorder="1"/>
    <xf numFmtId="2" fontId="8" fillId="0" borderId="5" xfId="0" applyNumberFormat="1" applyFont="1" applyBorder="1"/>
    <xf numFmtId="2" fontId="8" fillId="0" borderId="8" xfId="0" applyNumberFormat="1" applyFont="1" applyBorder="1"/>
    <xf numFmtId="1" fontId="8" fillId="0" borderId="0" xfId="0" applyNumberFormat="1" applyFont="1"/>
    <xf numFmtId="2" fontId="8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5012-CCC5-42D8-9CC9-7862E5B77E7B}">
  <dimension ref="A1:Z42"/>
  <sheetViews>
    <sheetView tabSelected="1" workbookViewId="0"/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117</v>
      </c>
      <c r="B5">
        <v>-1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117</v>
      </c>
      <c r="B6">
        <v>-1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117</v>
      </c>
      <c r="B7">
        <v>-1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117</v>
      </c>
      <c r="B8">
        <v>-1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117</v>
      </c>
      <c r="B9">
        <v>-1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117</v>
      </c>
      <c r="B10">
        <v>-1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117</v>
      </c>
      <c r="B11">
        <v>-1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117</v>
      </c>
      <c r="B12">
        <v>-1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117</v>
      </c>
      <c r="B13">
        <v>-1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117</v>
      </c>
      <c r="B14">
        <v>-1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117</v>
      </c>
      <c r="B15">
        <v>-1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117</v>
      </c>
      <c r="B16">
        <v>-1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117</v>
      </c>
      <c r="B17">
        <v>-1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117</v>
      </c>
      <c r="B18">
        <v>-1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</row>
    <row r="27" spans="1:26" x14ac:dyDescent="0.45">
      <c r="E27" s="1"/>
      <c r="I27" s="3" t="s">
        <v>43</v>
      </c>
      <c r="J27" s="5">
        <f>(J26-J22)/J26*100</f>
        <v>1.1965462944570928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11.407227957917359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11.403907399070052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106.16154296400119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8F3D-AB7B-40C9-853E-BE3E9EB5D1C2}">
  <dimension ref="A1:Z47"/>
  <sheetViews>
    <sheetView workbookViewId="0">
      <selection activeCell="I5" sqref="I5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118</v>
      </c>
      <c r="B5">
        <v>-2</v>
      </c>
      <c r="C5" s="15">
        <v>0</v>
      </c>
      <c r="D5">
        <v>0</v>
      </c>
      <c r="F5" s="16" t="s">
        <v>1</v>
      </c>
      <c r="H5" s="15">
        <v>0</v>
      </c>
      <c r="I5" s="37">
        <f>EXP(LN($E$6)+(0-$D$6)/($D$7-$D$6)*(LN($E$7)-LN($E$6)))</f>
        <v>9889.8611266034786</v>
      </c>
      <c r="J5" s="9"/>
      <c r="L5" s="16"/>
      <c r="N5" s="15">
        <v>0</v>
      </c>
      <c r="O5" s="37">
        <f>EXP(LN($E$6)+(0-$D$6)/($D$7-$D$6)*(LN($E$7)-LN($E$6)))</f>
        <v>9889.8611266034786</v>
      </c>
      <c r="R5" s="16"/>
      <c r="T5" s="15">
        <v>0</v>
      </c>
      <c r="U5" s="37">
        <f>EXP(LN($E$6)+(0-$D$6)/($D$7-$D$6)*(LN($E$7)-LN($E$6)))</f>
        <v>9889.8611266034786</v>
      </c>
      <c r="V5" s="28"/>
      <c r="X5" s="15">
        <v>0</v>
      </c>
      <c r="Y5" s="37">
        <f>EXP(LN($E$6)+(0-$D$6)/($D$7-$D$6)*(LN($E$7)-LN($E$6)))</f>
        <v>9889.8611266034786</v>
      </c>
      <c r="Z5" s="16"/>
    </row>
    <row r="6" spans="1:26" x14ac:dyDescent="0.45">
      <c r="A6" t="s">
        <v>118</v>
      </c>
      <c r="B6">
        <v>-2</v>
      </c>
      <c r="C6" s="15">
        <v>0.5</v>
      </c>
      <c r="D6">
        <v>0.5</v>
      </c>
      <c r="E6">
        <v>4211</v>
      </c>
      <c r="F6" s="16" t="s">
        <v>1</v>
      </c>
      <c r="H6" s="15">
        <v>0.5</v>
      </c>
      <c r="I6">
        <v>4211</v>
      </c>
      <c r="J6">
        <f t="shared" ref="J6:J18" si="0">I6*H6</f>
        <v>2105.5</v>
      </c>
      <c r="K6">
        <f>(I5+I6)/2*(H6-H5)</f>
        <v>3525.2152816508697</v>
      </c>
      <c r="L6" s="16">
        <f>(J5+J6)/2*(H6-H5)</f>
        <v>526.375</v>
      </c>
      <c r="N6" s="15">
        <v>0.5</v>
      </c>
      <c r="O6">
        <v>4211</v>
      </c>
      <c r="P6">
        <f t="shared" ref="P6:P18" si="1">O6*N6</f>
        <v>2105.5</v>
      </c>
      <c r="Q6">
        <f>(O5+O6)/2*(N6-N5)</f>
        <v>3525.2152816508697</v>
      </c>
      <c r="R6" s="16">
        <f>(P5+P6)/2*(N6-N5)</f>
        <v>526.375</v>
      </c>
      <c r="T6" s="15">
        <v>0.5</v>
      </c>
      <c r="U6">
        <v>4211</v>
      </c>
      <c r="V6" s="28">
        <f>(U5+U6)/2*(T6-T5)</f>
        <v>3525.2152816508697</v>
      </c>
      <c r="X6" s="15">
        <v>0.5</v>
      </c>
      <c r="Y6">
        <v>4211</v>
      </c>
      <c r="Z6" s="16">
        <f>(Y5+Y6)/2*(X6-X5)</f>
        <v>3525.2152816508697</v>
      </c>
    </row>
    <row r="7" spans="1:26" x14ac:dyDescent="0.45">
      <c r="A7" t="s">
        <v>118</v>
      </c>
      <c r="B7">
        <v>-2</v>
      </c>
      <c r="C7" s="15">
        <v>1</v>
      </c>
      <c r="D7">
        <v>1</v>
      </c>
      <c r="E7">
        <v>1793</v>
      </c>
      <c r="F7" s="16" t="s">
        <v>1</v>
      </c>
      <c r="H7" s="15">
        <v>1</v>
      </c>
      <c r="I7">
        <v>1793</v>
      </c>
      <c r="J7">
        <f t="shared" si="0"/>
        <v>1793</v>
      </c>
      <c r="K7">
        <f t="shared" ref="K7:K18" si="2">(I6+I7)/2*(H7-H6)</f>
        <v>1501</v>
      </c>
      <c r="L7" s="16">
        <f t="shared" ref="L7:L18" si="3">(J6+J7)/2*(H7-H6)</f>
        <v>974.625</v>
      </c>
      <c r="N7" s="15">
        <v>1</v>
      </c>
      <c r="O7">
        <v>1793</v>
      </c>
      <c r="P7">
        <f t="shared" si="1"/>
        <v>1793</v>
      </c>
      <c r="Q7">
        <f t="shared" ref="Q7:Q18" si="4">(O6+O7)/2*(N7-N6)</f>
        <v>1501</v>
      </c>
      <c r="R7" s="16">
        <f t="shared" ref="R7:R18" si="5">(P6+P7)/2*(N7-N6)</f>
        <v>974.625</v>
      </c>
      <c r="T7" s="15">
        <v>1</v>
      </c>
      <c r="U7">
        <v>1793</v>
      </c>
      <c r="V7" s="28">
        <f t="shared" ref="V7:V18" si="6">(U6+U7)/2*(T7-T6)</f>
        <v>1501</v>
      </c>
      <c r="X7" s="15">
        <v>1</v>
      </c>
      <c r="Y7">
        <v>1793</v>
      </c>
      <c r="Z7" s="16">
        <f t="shared" ref="Z7:Z18" si="7">(Y6+Y7)/2*(X7-X6)</f>
        <v>1501</v>
      </c>
    </row>
    <row r="8" spans="1:26" x14ac:dyDescent="0.45">
      <c r="A8" t="s">
        <v>118</v>
      </c>
      <c r="B8">
        <v>-2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1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28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45">
      <c r="A9" t="s">
        <v>118</v>
      </c>
      <c r="B9">
        <v>-2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28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118</v>
      </c>
      <c r="B10">
        <v>-2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28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118</v>
      </c>
      <c r="B11">
        <v>-2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28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118</v>
      </c>
      <c r="B12">
        <v>-2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28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118</v>
      </c>
      <c r="B13">
        <v>-2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28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118</v>
      </c>
      <c r="B14">
        <v>-2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28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45">
      <c r="A15" t="s">
        <v>118</v>
      </c>
      <c r="B15">
        <v>-2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28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45">
      <c r="A16" t="s">
        <v>118</v>
      </c>
      <c r="B16">
        <v>-2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28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45">
      <c r="A17" t="s">
        <v>118</v>
      </c>
      <c r="B17">
        <v>-2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28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4.65" thickBot="1" x14ac:dyDescent="0.5">
      <c r="A18" t="s">
        <v>118</v>
      </c>
      <c r="B18">
        <v>-2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3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8102.2152816508697</v>
      </c>
      <c r="K21" s="3" t="s">
        <v>44</v>
      </c>
      <c r="L21" s="5">
        <f>SUM(L6:L18)</f>
        <v>31074.75</v>
      </c>
      <c r="O21" s="3" t="s">
        <v>65</v>
      </c>
      <c r="P21" s="5">
        <f>SUM(Q6:INDEX(Q6:Q18,MATCH(E42,N6:N18,0)))</f>
        <v>7730.2152816508697</v>
      </c>
      <c r="Q21" s="3" t="s">
        <v>71</v>
      </c>
      <c r="R21" s="5">
        <f>SUM(R6:INDEX(R6:R18,MATCH(E42,N6:N18,0)))</f>
        <v>19410.75</v>
      </c>
      <c r="U21" s="3" t="s">
        <v>70</v>
      </c>
      <c r="V21" s="5">
        <f>SUM(V6:INDEX(V6:V18,MATCH(E43,T6:T18,0)))</f>
        <v>7487.2152816508697</v>
      </c>
      <c r="Y21" s="3" t="s">
        <v>37</v>
      </c>
      <c r="Z21" s="5">
        <f>SUM(INDEX(Z6:Z18,MATCH(E44,X6:X18,0)+1):INDEX(Z6:Z18,MATCH(E45,X6:X18,0)))</f>
        <v>722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8102.2152816508697</v>
      </c>
      <c r="K22" s="3" t="s">
        <v>45</v>
      </c>
      <c r="L22" s="5">
        <f>SUM(L6:INDEX(L6:L18,MATCH(B35,H6:H18,0)))</f>
        <v>31074.75</v>
      </c>
    </row>
    <row r="23" spans="1:26" x14ac:dyDescent="0.4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8191.6875122274541</v>
      </c>
      <c r="K24" s="3" t="s">
        <v>46</v>
      </c>
      <c r="L24" s="5">
        <f>L22+B35*B36/B40+B36/(B40*B40)</f>
        <v>36703.630408400946</v>
      </c>
    </row>
    <row r="25" spans="1:26" x14ac:dyDescent="0.4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1.09223197836871</v>
      </c>
    </row>
    <row r="26" spans="1:26" x14ac:dyDescent="0.4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8190.7521108792589</v>
      </c>
      <c r="K26" s="3" t="s">
        <v>47</v>
      </c>
      <c r="L26" s="5">
        <f>L22+B35*B37/B40+B37/(B40*B40)</f>
        <v>36644.782402836376</v>
      </c>
    </row>
    <row r="27" spans="1:26" x14ac:dyDescent="0.4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1.0809365004563058</v>
      </c>
    </row>
    <row r="28" spans="1:26" x14ac:dyDescent="0.4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4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0.12207496910829838</v>
      </c>
    </row>
    <row r="30" spans="1:26" x14ac:dyDescent="0.4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0.12208891032995164</v>
      </c>
    </row>
    <row r="31" spans="1:26" x14ac:dyDescent="0.4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5.8856663680793986</v>
      </c>
      <c r="E31">
        <f t="array" ref="E31">-SLOPE(IF(E$7:$E18&gt;0,LN(E$7:$E18)),IF(E$7:$E18&gt;0,D$7:$D18))</f>
        <v>9.4942110102733832E-2</v>
      </c>
      <c r="F31">
        <f t="array" ref="F31">1-(1-RSQ(IF(E7:$E$18&gt;0,LN(E7:$E$18)),IF(E7:$E$18&gt;0,D7:$D$18)))*((C31-1)/(C31-2))</f>
        <v>0.76785243654448077</v>
      </c>
      <c r="G31">
        <f t="shared" si="8"/>
        <v>7.3007349405855084</v>
      </c>
      <c r="I31" s="3" t="s">
        <v>51</v>
      </c>
      <c r="J31" s="5">
        <f>IF(E37="N",E40*E41/(B40*J24),E40*E41/(B40*P21))</f>
        <v>1.8203866306145091</v>
      </c>
    </row>
    <row r="32" spans="1:26" x14ac:dyDescent="0.4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6.2200650671857822</v>
      </c>
      <c r="E32">
        <f t="array" ref="E32">-SLOPE(IF(E$6:$E18&gt;0,LN(E$6:$E18)),IF(E$6:$E18&gt;0,D$6:$D18))</f>
        <v>0.10616115262254543</v>
      </c>
      <c r="F32">
        <f t="array" ref="F32">1-(1-RSQ(IF(E6:$E$18&gt;0,LN(E6:$E$18)),IF(E6:$E$18&gt;0,D6:$D$18)))*((C32-1)/(C32-2))</f>
        <v>0.69938964070864151</v>
      </c>
      <c r="G32">
        <f t="shared" si="8"/>
        <v>6.5291979545891037</v>
      </c>
      <c r="I32" s="3" t="s">
        <v>52</v>
      </c>
      <c r="J32" s="5">
        <f>IF(E37="N",E40*E41/(B40*J26),NA)</f>
        <v>1.8205945226475559</v>
      </c>
    </row>
    <row r="33" spans="1:16" x14ac:dyDescent="0.45">
      <c r="I33" s="3" t="s">
        <v>53</v>
      </c>
      <c r="J33" s="5">
        <f>J35*J29</f>
        <v>0.54696844106661968</v>
      </c>
    </row>
    <row r="34" spans="1:16" x14ac:dyDescent="0.45">
      <c r="I34" s="3" t="s">
        <v>54</v>
      </c>
      <c r="J34" s="5">
        <f>J36*J30</f>
        <v>0.54621620728797937</v>
      </c>
      <c r="M34" s="3"/>
      <c r="P34" s="3"/>
    </row>
    <row r="35" spans="1:16" x14ac:dyDescent="0.4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4.4805945482679466</v>
      </c>
      <c r="M35" s="3"/>
      <c r="P35" s="3"/>
    </row>
    <row r="36" spans="1:16" x14ac:dyDescent="0.4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4.4739215528404799</v>
      </c>
      <c r="M36" s="3"/>
      <c r="P36" s="3"/>
    </row>
    <row r="37" spans="1:16" x14ac:dyDescent="0.4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J37" s="3"/>
      <c r="M37" s="3"/>
      <c r="P37" s="3"/>
    </row>
    <row r="38" spans="1:16" x14ac:dyDescent="0.4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80</v>
      </c>
      <c r="J38" s="46">
        <f>K6/J24*100</f>
        <v>43.034054660763125</v>
      </c>
      <c r="M38" s="3"/>
      <c r="P38" s="3"/>
    </row>
    <row r="39" spans="1:16" x14ac:dyDescent="0.4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81</v>
      </c>
      <c r="J39" s="46">
        <f>K6/J26*100</f>
        <v>43.038969241524825</v>
      </c>
      <c r="M39" s="3"/>
      <c r="P39" s="3"/>
    </row>
    <row r="40" spans="1:16" x14ac:dyDescent="0.4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INDEX(A22:A32,MATCH(B43,C22:C32))</f>
        <v>24</v>
      </c>
    </row>
    <row r="47" spans="1:16" x14ac:dyDescent="0.4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F3CB-2FE6-498F-8EFF-758A6259A504}">
  <dimension ref="A1:Z42"/>
  <sheetViews>
    <sheetView workbookViewId="0"/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169</v>
      </c>
      <c r="B5">
        <v>-3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169</v>
      </c>
      <c r="B6">
        <v>-3</v>
      </c>
      <c r="C6" s="15">
        <v>0.5</v>
      </c>
      <c r="D6" s="2">
        <v>0.5</v>
      </c>
      <c r="E6" s="2" t="s">
        <v>1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169</v>
      </c>
      <c r="B7">
        <v>-3</v>
      </c>
      <c r="C7" s="15">
        <v>1</v>
      </c>
      <c r="D7" s="2">
        <v>1</v>
      </c>
      <c r="E7" s="2" t="s">
        <v>1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169</v>
      </c>
      <c r="B8">
        <v>-3</v>
      </c>
      <c r="C8" s="15">
        <v>2</v>
      </c>
      <c r="D8" s="2">
        <v>2</v>
      </c>
      <c r="E8" s="2" t="s">
        <v>1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169</v>
      </c>
      <c r="B9">
        <v>-3</v>
      </c>
      <c r="C9" s="15">
        <v>3</v>
      </c>
      <c r="D9" s="2">
        <v>3</v>
      </c>
      <c r="E9" s="2" t="s">
        <v>1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169</v>
      </c>
      <c r="B10">
        <v>-3</v>
      </c>
      <c r="C10" s="15">
        <v>4</v>
      </c>
      <c r="D10" s="2">
        <v>4</v>
      </c>
      <c r="E10" s="2" t="s">
        <v>1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169</v>
      </c>
      <c r="B11">
        <v>-3</v>
      </c>
      <c r="C11" s="15">
        <v>6</v>
      </c>
      <c r="D11" s="2">
        <v>6</v>
      </c>
      <c r="E11" s="2" t="s">
        <v>1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169</v>
      </c>
      <c r="B12">
        <v>-3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169</v>
      </c>
      <c r="B13">
        <v>-3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169</v>
      </c>
      <c r="B14">
        <v>-3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169</v>
      </c>
      <c r="B15">
        <v>-3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169</v>
      </c>
      <c r="B16">
        <v>-3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169</v>
      </c>
      <c r="B17">
        <v>-3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169</v>
      </c>
      <c r="B18">
        <v>-3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</row>
    <row r="27" spans="1:26" x14ac:dyDescent="0.45">
      <c r="E27" s="1"/>
      <c r="I27" s="3" t="s">
        <v>43</v>
      </c>
      <c r="J27" s="5">
        <f>(J26-J22)/J26*100</f>
        <v>1.1965462944570928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11.407227957917359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11.403907399070052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173</v>
      </c>
      <c r="I31" s="3" t="s">
        <v>51</v>
      </c>
      <c r="J31" s="5">
        <f>IF(E30="N",E33*E34/(B33*J24),E33*E34/(B33*P21))</f>
        <v>106.16154296400119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IF(E39="0",L22/J22,(L22/J22)-(E39/2))</f>
        <v>10.027181440443213</v>
      </c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D39" s="3" t="s">
        <v>168</v>
      </c>
      <c r="E39" s="4">
        <f>INDEX(D5:D18,MATCH(B32,E5:E18,0))</f>
        <v>8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D163-DE36-4859-8280-DDF6861CA5D4}">
  <dimension ref="A1:Z42"/>
  <sheetViews>
    <sheetView workbookViewId="0">
      <selection activeCell="I5" sqref="I5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119</v>
      </c>
      <c r="B5">
        <v>-4</v>
      </c>
      <c r="C5" s="15">
        <v>0</v>
      </c>
      <c r="D5" s="11">
        <v>0</v>
      </c>
      <c r="E5" s="2">
        <v>1.1000000000000001</v>
      </c>
      <c r="F5" s="16">
        <v>0.1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45">
      <c r="A6" t="s">
        <v>119</v>
      </c>
      <c r="B6">
        <v>-4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45">
      <c r="A7" t="s">
        <v>119</v>
      </c>
      <c r="B7">
        <v>-4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119</v>
      </c>
      <c r="B8">
        <v>-4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119</v>
      </c>
      <c r="B9">
        <v>-4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119</v>
      </c>
      <c r="B10">
        <v>-4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119</v>
      </c>
      <c r="B11">
        <v>-4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119</v>
      </c>
      <c r="B12">
        <v>-4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119</v>
      </c>
      <c r="B13">
        <v>-4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119</v>
      </c>
      <c r="B14">
        <v>-4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119</v>
      </c>
      <c r="B15">
        <v>-4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119</v>
      </c>
      <c r="B16">
        <v>-4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119</v>
      </c>
      <c r="B17">
        <v>-4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119</v>
      </c>
      <c r="B18">
        <v>-4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86.914999999999992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72.394999999999996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60.664999999999999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86.914999999999992</v>
      </c>
      <c r="K22" s="3" t="s">
        <v>45</v>
      </c>
      <c r="L22" s="5">
        <f>SUM(L6:INDEX(L6:L18,MATCH(B28,H6:H18,0)))</f>
        <v>1215.3149999999998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87.938716696915392</v>
      </c>
      <c r="K24" s="3" t="s">
        <v>46</v>
      </c>
      <c r="L24" s="5">
        <f>L22+B28*B29/B33+B29/(B33*B33)</f>
        <v>1273.9806366841512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1.1641251264146648</v>
      </c>
      <c r="P25" s="3"/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87.964242380339442</v>
      </c>
      <c r="K26" s="3" t="s">
        <v>47</v>
      </c>
      <c r="L26" s="5">
        <f>L22+B28*B30/B33+B30/(B33*B33)</f>
        <v>1275.4434246550638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45">
      <c r="E27" s="1"/>
      <c r="I27" s="3" t="s">
        <v>43</v>
      </c>
      <c r="J27" s="5">
        <f>(J26-J22)/J26*100</f>
        <v>1.1928055672926052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11.371555528227043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11.368255701858988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105.82955694678738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105.79884706178832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164.74133460316952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164.83478504868279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14.487141551939867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14.499566984733486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F468-DEE2-4A68-A503-55F70ECEBFC4}">
  <dimension ref="A1:Z47"/>
  <sheetViews>
    <sheetView workbookViewId="0"/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176</v>
      </c>
      <c r="B5">
        <v>-5</v>
      </c>
      <c r="C5" s="15">
        <v>0</v>
      </c>
      <c r="D5">
        <v>0</v>
      </c>
      <c r="E5" s="72">
        <v>25</v>
      </c>
      <c r="F5" s="16" t="s">
        <v>1</v>
      </c>
      <c r="H5" s="15">
        <v>0</v>
      </c>
      <c r="I5" s="37">
        <f>EXP(LN($E$6)+(0-$D$6)/($D$7-$D$6)*(LN($E$7)-LN($E$6)))</f>
        <v>9889.8611266034786</v>
      </c>
      <c r="J5">
        <f t="shared" ref="J5:J18" si="0">I5*H5</f>
        <v>0</v>
      </c>
      <c r="L5" s="16"/>
      <c r="N5" s="15">
        <v>0</v>
      </c>
      <c r="O5" s="37">
        <f>EXP(LN($E$6)+(0-$D$6)/($D$7-$D$6)*(LN($E$7)-LN($E$6)))</f>
        <v>9889.8611266034786</v>
      </c>
      <c r="R5" s="16"/>
      <c r="T5" s="15">
        <v>0</v>
      </c>
      <c r="U5" s="37">
        <f>EXP(LN($E$6)+(0-$D$6)/($D$7-$D$6)*(LN($E$7)-LN($E$6)))</f>
        <v>9889.8611266034786</v>
      </c>
      <c r="V5" s="28"/>
      <c r="X5" s="15">
        <v>0</v>
      </c>
      <c r="Y5" s="37">
        <f>EXP(LN($E$6)+(0-$D$6)/($D$7-$D$6)*(LN($E$7)-LN($E$6)))</f>
        <v>9889.8611266034786</v>
      </c>
      <c r="Z5" s="16"/>
    </row>
    <row r="6" spans="1:26" x14ac:dyDescent="0.45">
      <c r="A6" t="s">
        <v>176</v>
      </c>
      <c r="B6">
        <v>-5</v>
      </c>
      <c r="C6" s="15">
        <v>0.5</v>
      </c>
      <c r="D6">
        <v>0.5</v>
      </c>
      <c r="E6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3525.2152816508697</v>
      </c>
      <c r="L6" s="16">
        <f>(J5+J6)/2*(H6-H5)</f>
        <v>526.375</v>
      </c>
      <c r="N6" s="15">
        <v>0.5</v>
      </c>
      <c r="O6">
        <v>4211</v>
      </c>
      <c r="P6">
        <f t="shared" ref="P6:P18" si="1">O6*N6</f>
        <v>2105.5</v>
      </c>
      <c r="Q6">
        <f>(O5+O6)/2*(N6-N5)</f>
        <v>3525.2152816508697</v>
      </c>
      <c r="R6" s="16">
        <f>(P5+P6)/2*(N6-N5)</f>
        <v>526.375</v>
      </c>
      <c r="T6" s="15">
        <v>0.5</v>
      </c>
      <c r="U6">
        <v>4211</v>
      </c>
      <c r="V6" s="28">
        <f>(U5+U6)/2*(T6-T5)</f>
        <v>3525.2152816508697</v>
      </c>
      <c r="X6" s="15">
        <v>0.5</v>
      </c>
      <c r="Y6">
        <v>4211</v>
      </c>
      <c r="Z6" s="16">
        <f>(Y5+Y6)/2*(X6-X5)</f>
        <v>3525.2152816508697</v>
      </c>
    </row>
    <row r="7" spans="1:26" x14ac:dyDescent="0.45">
      <c r="A7" t="s">
        <v>176</v>
      </c>
      <c r="B7">
        <v>-5</v>
      </c>
      <c r="C7" s="15">
        <v>1</v>
      </c>
      <c r="D7">
        <v>1</v>
      </c>
      <c r="E7">
        <v>1793</v>
      </c>
      <c r="F7" s="16" t="s">
        <v>1</v>
      </c>
      <c r="H7" s="15">
        <v>1</v>
      </c>
      <c r="I7">
        <v>1793</v>
      </c>
      <c r="J7">
        <f t="shared" si="0"/>
        <v>1793</v>
      </c>
      <c r="K7">
        <f t="shared" ref="K7:K18" si="2">(I6+I7)/2*(H7-H6)</f>
        <v>1501</v>
      </c>
      <c r="L7" s="16">
        <f t="shared" ref="L7:L18" si="3">(J6+J7)/2*(H7-H6)</f>
        <v>974.625</v>
      </c>
      <c r="N7" s="15">
        <v>1</v>
      </c>
      <c r="O7">
        <v>1793</v>
      </c>
      <c r="P7">
        <f t="shared" si="1"/>
        <v>1793</v>
      </c>
      <c r="Q7">
        <f t="shared" ref="Q7:Q18" si="4">(O6+O7)/2*(N7-N6)</f>
        <v>1501</v>
      </c>
      <c r="R7" s="16">
        <f t="shared" ref="R7:R18" si="5">(P6+P7)/2*(N7-N6)</f>
        <v>974.625</v>
      </c>
      <c r="T7" s="15">
        <v>1</v>
      </c>
      <c r="U7">
        <v>1793</v>
      </c>
      <c r="V7" s="28">
        <f t="shared" ref="V7:V18" si="6">(U6+U7)/2*(T7-T6)</f>
        <v>1501</v>
      </c>
      <c r="X7" s="15">
        <v>1</v>
      </c>
      <c r="Y7">
        <v>1793</v>
      </c>
      <c r="Z7" s="16">
        <f t="shared" ref="Z7:Z18" si="7">(Y6+Y7)/2*(X7-X6)</f>
        <v>1501</v>
      </c>
    </row>
    <row r="8" spans="1:26" x14ac:dyDescent="0.45">
      <c r="A8" t="s">
        <v>176</v>
      </c>
      <c r="B8">
        <v>-5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1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28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45">
      <c r="A9" t="s">
        <v>176</v>
      </c>
      <c r="B9">
        <v>-5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28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176</v>
      </c>
      <c r="B10">
        <v>-5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28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176</v>
      </c>
      <c r="B11">
        <v>-5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28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176</v>
      </c>
      <c r="B12">
        <v>-5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28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176</v>
      </c>
      <c r="B13">
        <v>-5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28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176</v>
      </c>
      <c r="B14">
        <v>-5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28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45">
      <c r="A15" t="s">
        <v>176</v>
      </c>
      <c r="B15">
        <v>-5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28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45">
      <c r="A16" t="s">
        <v>176</v>
      </c>
      <c r="B16">
        <v>-5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28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45">
      <c r="A17" t="s">
        <v>176</v>
      </c>
      <c r="B17">
        <v>-5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28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4.65" thickBot="1" x14ac:dyDescent="0.5">
      <c r="A18" t="s">
        <v>176</v>
      </c>
      <c r="B18">
        <v>-5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3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8102.2152816508697</v>
      </c>
      <c r="K21" s="3" t="s">
        <v>44</v>
      </c>
      <c r="L21" s="5">
        <f>SUM(L6:L18)</f>
        <v>31074.75</v>
      </c>
      <c r="O21" s="3" t="s">
        <v>65</v>
      </c>
      <c r="P21" s="5">
        <f>SUM(Q6:INDEX(Q6:Q18,MATCH(E42,N6:N18,0)))</f>
        <v>7730.2152816508697</v>
      </c>
      <c r="Q21" s="3" t="s">
        <v>71</v>
      </c>
      <c r="R21" s="5">
        <f>SUM(R6:INDEX(R6:R18,MATCH(E42,N6:N18,0)))</f>
        <v>19410.75</v>
      </c>
      <c r="U21" s="3" t="s">
        <v>70</v>
      </c>
      <c r="V21" s="5">
        <f>SUM(V6:INDEX(V6:V18,MATCH(E43,T6:T18,0)))</f>
        <v>7487.2152816508697</v>
      </c>
      <c r="Y21" s="3" t="s">
        <v>37</v>
      </c>
      <c r="Z21" s="5">
        <f>SUM(INDEX(Z6:Z18,MATCH(E44,X6:X18,0)+1):INDEX(Z6:Z18,MATCH(E45,X6:X18,0)))</f>
        <v>722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8102.2152816508697</v>
      </c>
      <c r="K22" s="3" t="s">
        <v>45</v>
      </c>
      <c r="L22" s="5">
        <f>SUM(L6:INDEX(L6:L18,MATCH(B35,H6:H18,0)))</f>
        <v>31074.75</v>
      </c>
    </row>
    <row r="23" spans="1:26" x14ac:dyDescent="0.4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8191.6875122274541</v>
      </c>
      <c r="K24" s="3" t="s">
        <v>46</v>
      </c>
      <c r="L24" s="5">
        <f>L22+B35*B36/B40+B36/(B40*B40)</f>
        <v>36703.630408400946</v>
      </c>
    </row>
    <row r="25" spans="1:26" x14ac:dyDescent="0.4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1.09223197836871</v>
      </c>
    </row>
    <row r="26" spans="1:26" x14ac:dyDescent="0.4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8190.7521108792589</v>
      </c>
      <c r="K26" s="3" t="s">
        <v>47</v>
      </c>
      <c r="L26" s="5">
        <f>L22+B35*B37/B40+B37/(B40*B40)</f>
        <v>36644.782402836376</v>
      </c>
    </row>
    <row r="27" spans="1:26" x14ac:dyDescent="0.4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1.0809365004563058</v>
      </c>
    </row>
    <row r="28" spans="1:26" x14ac:dyDescent="0.4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4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0.12207496910829838</v>
      </c>
    </row>
    <row r="30" spans="1:26" x14ac:dyDescent="0.4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0.12208891032995164</v>
      </c>
    </row>
    <row r="31" spans="1:26" x14ac:dyDescent="0.4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5.8856663680793986</v>
      </c>
      <c r="E31">
        <f t="array" ref="E31">-SLOPE(IF(E$7:$E18&gt;0,LN(E$7:$E18)),IF(E$7:$E18&gt;0,D$7:$D18))</f>
        <v>9.4942110102733832E-2</v>
      </c>
      <c r="F31">
        <f t="array" ref="F31">1-(1-RSQ(IF(E7:$E$18&gt;0,LN(E7:$E$18)),IF(E7:$E$18&gt;0,D7:$D$18)))*((C31-1)/(C31-2))</f>
        <v>0.76785243654448077</v>
      </c>
      <c r="G31">
        <f t="shared" si="8"/>
        <v>7.3007349405855084</v>
      </c>
      <c r="I31" s="3" t="s">
        <v>51</v>
      </c>
      <c r="J31" s="5">
        <f>IF(E37="N",E40*E41/(B40*J24),E40*E41/(B40*P21))</f>
        <v>1.8203866306145091</v>
      </c>
    </row>
    <row r="32" spans="1:26" x14ac:dyDescent="0.4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6.2200650671857822</v>
      </c>
      <c r="E32">
        <f t="array" ref="E32">-SLOPE(IF(E$6:$E18&gt;0,LN(E$6:$E18)),IF(E$6:$E18&gt;0,D$6:$D18))</f>
        <v>0.10616115262254543</v>
      </c>
      <c r="F32">
        <f t="array" ref="F32">1-(1-RSQ(IF(E6:$E$18&gt;0,LN(E6:$E$18)),IF(E6:$E$18&gt;0,D6:$D$18)))*((C32-1)/(C32-2))</f>
        <v>0.69938964070864151</v>
      </c>
      <c r="G32">
        <f t="shared" si="8"/>
        <v>6.5291979545891037</v>
      </c>
      <c r="I32" s="3" t="s">
        <v>52</v>
      </c>
      <c r="J32" s="5">
        <f>IF(E37="N",E40*E41/(B40*J26),NA)</f>
        <v>1.8205945226475559</v>
      </c>
    </row>
    <row r="33" spans="1:16" x14ac:dyDescent="0.45">
      <c r="I33" s="3" t="s">
        <v>53</v>
      </c>
      <c r="J33" s="5">
        <f>J35*J29</f>
        <v>0.54696844106661968</v>
      </c>
    </row>
    <row r="34" spans="1:16" x14ac:dyDescent="0.45">
      <c r="I34" s="3" t="s">
        <v>54</v>
      </c>
      <c r="J34" s="5">
        <f>J36*J30</f>
        <v>0.54621620728797937</v>
      </c>
      <c r="M34" s="3"/>
      <c r="P34" s="3"/>
    </row>
    <row r="35" spans="1:16" x14ac:dyDescent="0.4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4.4805945482679466</v>
      </c>
      <c r="M35" s="3"/>
      <c r="P35" s="3"/>
    </row>
    <row r="36" spans="1:16" x14ac:dyDescent="0.45">
      <c r="A36" s="3" t="s">
        <v>41</v>
      </c>
      <c r="B36" s="5">
        <f>LOOKUP(2,1/(E5:E18&gt;0),E5:E18)</f>
        <v>6</v>
      </c>
      <c r="D36" s="3" t="s">
        <v>61</v>
      </c>
      <c r="E36" s="7" t="s">
        <v>155</v>
      </c>
      <c r="I36" s="3" t="s">
        <v>56</v>
      </c>
      <c r="J36" s="5">
        <f>IF(E37="N",L26/J26,(R21+E42*(J26-P21))/P21)</f>
        <v>4.4739215528404799</v>
      </c>
      <c r="M36" s="3"/>
      <c r="P36" s="3"/>
    </row>
    <row r="37" spans="1:16" x14ac:dyDescent="0.45">
      <c r="A37" s="3" t="s">
        <v>40</v>
      </c>
      <c r="B37" s="5">
        <f>EXP(B42-B40*B35)</f>
        <v>5.9372720669530601</v>
      </c>
      <c r="D37" s="3" t="s">
        <v>57</v>
      </c>
      <c r="E37" s="48" t="s">
        <v>36</v>
      </c>
      <c r="J37" s="3"/>
      <c r="M37" s="3"/>
      <c r="P37" s="3"/>
    </row>
    <row r="38" spans="1:16" x14ac:dyDescent="0.4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80</v>
      </c>
      <c r="J38" s="46">
        <f>K6/J24*100</f>
        <v>43.034054660763125</v>
      </c>
      <c r="M38" s="3"/>
      <c r="P38" s="3"/>
    </row>
    <row r="39" spans="1:16" x14ac:dyDescent="0.4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81</v>
      </c>
      <c r="J39" s="46">
        <f>K6/J26*100</f>
        <v>43.038969241524825</v>
      </c>
      <c r="M39" s="3"/>
      <c r="P39" s="3"/>
    </row>
    <row r="40" spans="1:16" x14ac:dyDescent="0.4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INDEX(A22:A32,MATCH(B43,C22:C32))</f>
        <v>24</v>
      </c>
    </row>
    <row r="47" spans="1:16" x14ac:dyDescent="0.4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9A43-0C67-43EA-B9FF-0A4E5D954DC6}">
  <dimension ref="A1:Z42"/>
  <sheetViews>
    <sheetView workbookViewId="0">
      <selection activeCell="F5" sqref="F5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177</v>
      </c>
      <c r="B5">
        <v>-6</v>
      </c>
      <c r="C5" s="15">
        <v>0</v>
      </c>
      <c r="D5" s="11">
        <v>0</v>
      </c>
      <c r="E5" s="2">
        <v>1.1000000000000001</v>
      </c>
      <c r="F5" s="16">
        <v>0.1</v>
      </c>
      <c r="H5" s="19">
        <v>0</v>
      </c>
      <c r="I5" s="2">
        <f>$E$5</f>
        <v>1.1000000000000001</v>
      </c>
      <c r="J5" s="9">
        <f>I5*H5</f>
        <v>0</v>
      </c>
      <c r="L5" s="16"/>
      <c r="N5" s="19">
        <v>0</v>
      </c>
      <c r="O5" s="2">
        <f>$E$5</f>
        <v>1.1000000000000001</v>
      </c>
      <c r="P5">
        <f>O5*N5</f>
        <v>0</v>
      </c>
      <c r="R5" s="16"/>
      <c r="T5" s="19">
        <v>0</v>
      </c>
      <c r="U5" s="2">
        <f>$E$5</f>
        <v>1.1000000000000001</v>
      </c>
      <c r="V5" s="28"/>
      <c r="X5" s="19">
        <v>0</v>
      </c>
      <c r="Y5" s="2">
        <f>$E$5</f>
        <v>1.1000000000000001</v>
      </c>
      <c r="Z5" s="16"/>
    </row>
    <row r="6" spans="1:26" x14ac:dyDescent="0.45">
      <c r="A6" t="s">
        <v>177</v>
      </c>
      <c r="B6">
        <v>-6</v>
      </c>
      <c r="C6" s="15">
        <v>0.5</v>
      </c>
      <c r="D6" s="2">
        <v>0.5</v>
      </c>
      <c r="E6" s="2" t="s">
        <v>1</v>
      </c>
      <c r="F6" s="16" t="s">
        <v>1</v>
      </c>
      <c r="H6" s="20">
        <v>0.5</v>
      </c>
      <c r="I6" s="2">
        <v>0</v>
      </c>
      <c r="J6">
        <f t="shared" ref="J6:J18" si="0">I6*H6</f>
        <v>0</v>
      </c>
      <c r="K6">
        <f>(I5+I6)/2*(H6-H5)</f>
        <v>0.27500000000000002</v>
      </c>
      <c r="L6" s="16">
        <f>(J5+J6)/2*(H6-H5)</f>
        <v>0</v>
      </c>
      <c r="N6" s="20">
        <v>0.5</v>
      </c>
      <c r="O6" s="2">
        <v>0</v>
      </c>
      <c r="P6">
        <f t="shared" ref="P6:P18" si="1">O6*N6</f>
        <v>0</v>
      </c>
      <c r="Q6">
        <f>(O5+O6)/2*(N6-N5)</f>
        <v>0.27500000000000002</v>
      </c>
      <c r="R6" s="16">
        <f>(P5+P6)/2*(N6-N5)</f>
        <v>0</v>
      </c>
      <c r="T6" s="19">
        <v>0.5</v>
      </c>
      <c r="U6" s="2">
        <v>0</v>
      </c>
      <c r="V6" s="28">
        <f>(U5+U6)/2*(T6-T5)</f>
        <v>0.27500000000000002</v>
      </c>
      <c r="X6" s="20">
        <v>0.5</v>
      </c>
      <c r="Y6" s="2">
        <v>0</v>
      </c>
      <c r="Z6" s="16">
        <f>(Y5+Y6)/2*(X6-X5)</f>
        <v>0.27500000000000002</v>
      </c>
    </row>
    <row r="7" spans="1:26" x14ac:dyDescent="0.45">
      <c r="A7" t="s">
        <v>177</v>
      </c>
      <c r="B7">
        <v>-6</v>
      </c>
      <c r="C7" s="15">
        <v>1</v>
      </c>
      <c r="D7" s="2">
        <v>1</v>
      </c>
      <c r="E7" s="2" t="s">
        <v>1</v>
      </c>
      <c r="F7" s="16" t="s">
        <v>1</v>
      </c>
      <c r="H7" s="20">
        <v>1</v>
      </c>
      <c r="I7" s="2">
        <v>0</v>
      </c>
      <c r="J7">
        <f t="shared" si="0"/>
        <v>0</v>
      </c>
      <c r="K7">
        <f t="shared" ref="K7:K18" si="2">(I6+I7)/2*(H7-H6)</f>
        <v>0</v>
      </c>
      <c r="L7" s="16">
        <f t="shared" ref="L7:L18" si="3">(J6+J7)/2*(H7-H6)</f>
        <v>0</v>
      </c>
      <c r="N7" s="20">
        <v>1</v>
      </c>
      <c r="O7" s="2">
        <v>0</v>
      </c>
      <c r="P7">
        <f t="shared" si="1"/>
        <v>0</v>
      </c>
      <c r="Q7">
        <f t="shared" ref="Q7:Q18" si="4">(O6+O7)/2*(N7-N6)</f>
        <v>0</v>
      </c>
      <c r="R7" s="16">
        <f t="shared" ref="R7:R18" si="5">(P6+P7)/2*(N7-N6)</f>
        <v>0</v>
      </c>
      <c r="T7" s="19">
        <v>1</v>
      </c>
      <c r="U7" s="2">
        <v>0</v>
      </c>
      <c r="V7" s="28">
        <f t="shared" ref="V7:V18" si="6">(U6+U7)/2*(T7-T6)</f>
        <v>0</v>
      </c>
      <c r="X7" s="20">
        <v>1</v>
      </c>
      <c r="Y7" s="2">
        <v>0</v>
      </c>
      <c r="Z7" s="16">
        <f t="shared" ref="Z7:Z18" si="7">(Y6+Y7)/2*(X7-X6)</f>
        <v>0</v>
      </c>
    </row>
    <row r="8" spans="1:26" x14ac:dyDescent="0.45">
      <c r="A8" t="s">
        <v>177</v>
      </c>
      <c r="B8">
        <v>-6</v>
      </c>
      <c r="C8" s="15">
        <v>2</v>
      </c>
      <c r="D8" s="2">
        <v>2</v>
      </c>
      <c r="E8" s="2" t="s">
        <v>1</v>
      </c>
      <c r="F8" s="16" t="s">
        <v>1</v>
      </c>
      <c r="H8" s="20">
        <v>2</v>
      </c>
      <c r="I8" s="2">
        <v>0</v>
      </c>
      <c r="J8">
        <f t="shared" si="0"/>
        <v>0</v>
      </c>
      <c r="K8">
        <f t="shared" si="2"/>
        <v>0</v>
      </c>
      <c r="L8" s="16">
        <f t="shared" si="3"/>
        <v>0</v>
      </c>
      <c r="N8" s="20">
        <v>2</v>
      </c>
      <c r="O8" s="2">
        <v>0</v>
      </c>
      <c r="P8">
        <f t="shared" si="1"/>
        <v>0</v>
      </c>
      <c r="Q8">
        <f t="shared" si="4"/>
        <v>0</v>
      </c>
      <c r="R8" s="16">
        <f t="shared" si="5"/>
        <v>0</v>
      </c>
      <c r="T8" s="19">
        <v>2</v>
      </c>
      <c r="U8" s="2">
        <v>0</v>
      </c>
      <c r="V8" s="28">
        <f t="shared" si="6"/>
        <v>0</v>
      </c>
      <c r="X8" s="20">
        <v>2</v>
      </c>
      <c r="Y8" s="2">
        <v>0</v>
      </c>
      <c r="Z8" s="16">
        <f t="shared" si="7"/>
        <v>0</v>
      </c>
    </row>
    <row r="9" spans="1:26" x14ac:dyDescent="0.45">
      <c r="A9" t="s">
        <v>177</v>
      </c>
      <c r="B9">
        <v>-6</v>
      </c>
      <c r="C9" s="15">
        <v>3</v>
      </c>
      <c r="D9" s="2">
        <v>3</v>
      </c>
      <c r="E9" s="2" t="s">
        <v>1</v>
      </c>
      <c r="F9" s="16" t="s">
        <v>1</v>
      </c>
      <c r="H9" s="20">
        <v>3</v>
      </c>
      <c r="I9" s="2">
        <v>0</v>
      </c>
      <c r="J9">
        <f t="shared" si="0"/>
        <v>0</v>
      </c>
      <c r="K9">
        <f t="shared" si="2"/>
        <v>0</v>
      </c>
      <c r="L9" s="16">
        <f t="shared" si="3"/>
        <v>0</v>
      </c>
      <c r="N9" s="20">
        <v>3</v>
      </c>
      <c r="O9" s="2">
        <v>0</v>
      </c>
      <c r="P9">
        <f t="shared" si="1"/>
        <v>0</v>
      </c>
      <c r="Q9">
        <f t="shared" si="4"/>
        <v>0</v>
      </c>
      <c r="R9" s="16">
        <f t="shared" si="5"/>
        <v>0</v>
      </c>
      <c r="T9" s="19">
        <v>3</v>
      </c>
      <c r="U9" s="2">
        <v>0</v>
      </c>
      <c r="V9" s="28">
        <f t="shared" si="6"/>
        <v>0</v>
      </c>
      <c r="X9" s="20">
        <v>3</v>
      </c>
      <c r="Y9" s="2">
        <v>0</v>
      </c>
      <c r="Z9" s="16">
        <f t="shared" si="7"/>
        <v>0</v>
      </c>
    </row>
    <row r="10" spans="1:26" x14ac:dyDescent="0.45">
      <c r="A10" t="s">
        <v>177</v>
      </c>
      <c r="B10">
        <v>-6</v>
      </c>
      <c r="C10" s="15">
        <v>4</v>
      </c>
      <c r="D10" s="2">
        <v>4</v>
      </c>
      <c r="E10" s="2" t="s">
        <v>1</v>
      </c>
      <c r="F10" s="16" t="s">
        <v>1</v>
      </c>
      <c r="H10" s="20">
        <v>4</v>
      </c>
      <c r="I10" s="2">
        <v>0</v>
      </c>
      <c r="J10">
        <f t="shared" si="0"/>
        <v>0</v>
      </c>
      <c r="K10">
        <f t="shared" si="2"/>
        <v>0</v>
      </c>
      <c r="L10" s="16">
        <f t="shared" si="3"/>
        <v>0</v>
      </c>
      <c r="N10" s="20">
        <v>4</v>
      </c>
      <c r="O10" s="2">
        <v>0</v>
      </c>
      <c r="P10">
        <f t="shared" si="1"/>
        <v>0</v>
      </c>
      <c r="Q10">
        <f t="shared" si="4"/>
        <v>0</v>
      </c>
      <c r="R10" s="16">
        <f t="shared" si="5"/>
        <v>0</v>
      </c>
      <c r="T10" s="19">
        <v>4</v>
      </c>
      <c r="U10" s="2">
        <v>0</v>
      </c>
      <c r="V10" s="28">
        <f t="shared" si="6"/>
        <v>0</v>
      </c>
      <c r="X10" s="20">
        <v>4</v>
      </c>
      <c r="Y10" s="2">
        <v>0</v>
      </c>
      <c r="Z10" s="16">
        <f t="shared" si="7"/>
        <v>0</v>
      </c>
    </row>
    <row r="11" spans="1:26" x14ac:dyDescent="0.45">
      <c r="A11" t="s">
        <v>177</v>
      </c>
      <c r="B11">
        <v>-6</v>
      </c>
      <c r="C11" s="15">
        <v>6</v>
      </c>
      <c r="D11" s="2">
        <v>6</v>
      </c>
      <c r="E11" s="2" t="s">
        <v>1</v>
      </c>
      <c r="F11" s="16" t="s">
        <v>1</v>
      </c>
      <c r="H11" s="20">
        <v>6</v>
      </c>
      <c r="I11" s="2">
        <v>0</v>
      </c>
      <c r="J11">
        <f t="shared" si="0"/>
        <v>0</v>
      </c>
      <c r="K11">
        <f t="shared" si="2"/>
        <v>0</v>
      </c>
      <c r="L11" s="16">
        <f t="shared" si="3"/>
        <v>0</v>
      </c>
      <c r="N11" s="20">
        <v>6</v>
      </c>
      <c r="O11" s="2">
        <v>0</v>
      </c>
      <c r="P11">
        <f t="shared" si="1"/>
        <v>0</v>
      </c>
      <c r="Q11">
        <f t="shared" si="4"/>
        <v>0</v>
      </c>
      <c r="R11" s="16">
        <f t="shared" si="5"/>
        <v>0</v>
      </c>
      <c r="T11" s="19">
        <v>6</v>
      </c>
      <c r="U11" s="2">
        <v>0</v>
      </c>
      <c r="V11" s="28">
        <f t="shared" si="6"/>
        <v>0</v>
      </c>
      <c r="X11" s="20">
        <v>6</v>
      </c>
      <c r="Y11" s="2">
        <v>0</v>
      </c>
      <c r="Z11" s="16">
        <f t="shared" si="7"/>
        <v>0</v>
      </c>
    </row>
    <row r="12" spans="1:26" x14ac:dyDescent="0.45">
      <c r="A12" t="s">
        <v>177</v>
      </c>
      <c r="B12">
        <v>-6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4.3099999999999996</v>
      </c>
      <c r="L12" s="16">
        <f t="shared" si="3"/>
        <v>34.479999999999997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4.3099999999999996</v>
      </c>
      <c r="R12" s="16">
        <f t="shared" si="5"/>
        <v>34.479999999999997</v>
      </c>
      <c r="T12" s="19">
        <v>8</v>
      </c>
      <c r="U12" s="11">
        <v>4.3099999999999996</v>
      </c>
      <c r="V12" s="28">
        <f t="shared" si="6"/>
        <v>4.3099999999999996</v>
      </c>
      <c r="X12" s="20">
        <v>8</v>
      </c>
      <c r="Y12" s="2">
        <v>4.3099999999999996</v>
      </c>
      <c r="Z12" s="16">
        <f t="shared" si="7"/>
        <v>4.3099999999999996</v>
      </c>
    </row>
    <row r="13" spans="1:26" x14ac:dyDescent="0.45">
      <c r="A13" t="s">
        <v>177</v>
      </c>
      <c r="B13">
        <v>-6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177</v>
      </c>
      <c r="B14">
        <v>-6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177</v>
      </c>
      <c r="B15">
        <v>-6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177</v>
      </c>
      <c r="B16">
        <v>-6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177</v>
      </c>
      <c r="B17">
        <v>-6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177</v>
      </c>
      <c r="B18">
        <v>-6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65.584999999999994</v>
      </c>
      <c r="K21" s="3" t="s">
        <v>44</v>
      </c>
      <c r="L21" s="5">
        <f>SUM(L6:L18)</f>
        <v>1125.6399999999999</v>
      </c>
      <c r="O21" s="3" t="s">
        <v>65</v>
      </c>
      <c r="P21" s="5">
        <f>SUM(Q6:INDEX(Q6:Q18,MATCH(E35,N6:N18,0)))</f>
        <v>51.064999999999998</v>
      </c>
      <c r="Q21" s="3" t="s">
        <v>71</v>
      </c>
      <c r="R21" s="5">
        <f>SUM(R6:INDEX(R6:R18,MATCH(E35,N6:N18,0)))</f>
        <v>699.4</v>
      </c>
      <c r="U21" s="3" t="s">
        <v>70</v>
      </c>
      <c r="V21" s="5">
        <f>SUM(V6:INDEX(V6:V18,MATCH(E36,T6:T18,0)))</f>
        <v>39.335000000000001</v>
      </c>
      <c r="Y21" s="3" t="s">
        <v>37</v>
      </c>
      <c r="Z21" s="5">
        <f>SUM(INDEX(Z6:Z18,MATCH(E37,X6:X18,0)+1):INDEX(Z6:Z18,MATCH(E38,X6:X18,0)))</f>
        <v>20.519999999999996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65.584999999999994</v>
      </c>
      <c r="K22" s="3" t="s">
        <v>45</v>
      </c>
      <c r="L22" s="5">
        <f>SUM(L6:INDEX(L6:L18,MATCH(B28,H6:H18,0)))</f>
        <v>1125.6399999999999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66.608716696915394</v>
      </c>
      <c r="K24" s="3" t="s">
        <v>46</v>
      </c>
      <c r="L24" s="5">
        <f>L22+B28*B29/B33+B29/(B33*B33)</f>
        <v>1184.3056366841513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1.5369110045664758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66.634242380339444</v>
      </c>
      <c r="K26" s="3" t="s">
        <v>47</v>
      </c>
      <c r="L26" s="5">
        <f>L22+B28*B30/B33+B30/(B33*B33)</f>
        <v>1185.7684246550639</v>
      </c>
    </row>
    <row r="27" spans="1:26" x14ac:dyDescent="0.45">
      <c r="E27" s="1"/>
      <c r="I27" s="3" t="s">
        <v>43</v>
      </c>
      <c r="J27" s="5">
        <f>(J26-J22)/J26*100</f>
        <v>1.5746294140338739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15.01305008697622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15.007299014403619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173</v>
      </c>
      <c r="I31" s="3" t="s">
        <v>51</v>
      </c>
      <c r="J31" s="5">
        <f>IF(E30="N",E33*E34/(B33*J24),E33*E34/(B33*P21))</f>
        <v>139.71918223331556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139.66565978769972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266.93262869378788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267.05760694425447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17.780039841827424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17.795181310636874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IF(E39="0",L22/J22,(L22/J22)-(E39/2))</f>
        <v>13.16307082412137</v>
      </c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D39" s="3" t="s">
        <v>168</v>
      </c>
      <c r="E39" s="4">
        <f>INDEX(D5:D18,MATCH(B32,E5:E18,0))</f>
        <v>8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2"/>
  <sheetViews>
    <sheetView topLeftCell="A8" workbookViewId="0">
      <selection activeCell="A39" sqref="A39:B40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0</v>
      </c>
      <c r="B5">
        <v>1</v>
      </c>
      <c r="C5" s="15">
        <v>0</v>
      </c>
      <c r="D5" s="8">
        <v>-0.5</v>
      </c>
      <c r="E5" s="2">
        <v>0</v>
      </c>
      <c r="F5" s="16">
        <v>0.1</v>
      </c>
      <c r="H5" s="19">
        <v>0</v>
      </c>
      <c r="I5" s="2">
        <v>0</v>
      </c>
      <c r="J5" s="37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45">
      <c r="A6" t="s">
        <v>0</v>
      </c>
      <c r="B6">
        <v>1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0</v>
      </c>
      <c r="B7">
        <v>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0</v>
      </c>
      <c r="B8">
        <v>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0</v>
      </c>
      <c r="B9">
        <v>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0</v>
      </c>
      <c r="B10">
        <v>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0</v>
      </c>
      <c r="B11">
        <v>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0</v>
      </c>
      <c r="B12">
        <v>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0</v>
      </c>
      <c r="B13">
        <v>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0</v>
      </c>
      <c r="B14">
        <v>1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0</v>
      </c>
      <c r="B15">
        <v>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0</v>
      </c>
      <c r="B16">
        <v>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0</v>
      </c>
      <c r="B17">
        <v>1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0</v>
      </c>
      <c r="B18">
        <v>1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6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</row>
    <row r="27" spans="1:26" x14ac:dyDescent="0.45">
      <c r="E27" s="1"/>
      <c r="I27" s="3" t="s">
        <v>43</v>
      </c>
      <c r="J27" s="5">
        <f>(J26-J22)/J26*100</f>
        <v>1.1965462944570928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11.407227957917359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11.403907399070052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106.16154296400119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0E06-448D-472D-918F-9C7ABC068E53}">
  <dimension ref="A1:Z42"/>
  <sheetViews>
    <sheetView topLeftCell="A13" workbookViewId="0">
      <selection activeCell="A39" sqref="A39:B40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78</v>
      </c>
      <c r="B5">
        <v>2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78</v>
      </c>
      <c r="B6">
        <v>2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78</v>
      </c>
      <c r="B7">
        <v>2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78</v>
      </c>
      <c r="B8">
        <v>2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78</v>
      </c>
      <c r="B9">
        <v>2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78</v>
      </c>
      <c r="B10">
        <v>2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78</v>
      </c>
      <c r="B11">
        <v>2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78</v>
      </c>
      <c r="B12">
        <v>2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78</v>
      </c>
      <c r="B13">
        <v>2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78</v>
      </c>
      <c r="B14">
        <v>2</v>
      </c>
      <c r="C14" s="15">
        <v>12</v>
      </c>
      <c r="D14" s="8">
        <v>12.5</v>
      </c>
      <c r="E14" s="2">
        <v>3.72</v>
      </c>
      <c r="F14" s="16" t="s">
        <v>1</v>
      </c>
      <c r="H14" s="38">
        <v>12.5</v>
      </c>
      <c r="I14" s="2">
        <v>3.72</v>
      </c>
      <c r="J14">
        <f t="shared" si="0"/>
        <v>46.5</v>
      </c>
      <c r="K14">
        <f t="shared" si="2"/>
        <v>9.7625000000000011</v>
      </c>
      <c r="L14" s="16">
        <f t="shared" si="3"/>
        <v>109.25</v>
      </c>
      <c r="N14" s="38">
        <v>12.5</v>
      </c>
      <c r="O14" s="2">
        <v>3.72</v>
      </c>
      <c r="P14">
        <f t="shared" si="1"/>
        <v>46.5</v>
      </c>
      <c r="Q14">
        <f t="shared" si="4"/>
        <v>9.7625000000000011</v>
      </c>
      <c r="R14" s="16">
        <f t="shared" si="5"/>
        <v>109.25</v>
      </c>
      <c r="T14" s="38">
        <v>12.5</v>
      </c>
      <c r="U14" s="11">
        <v>3.72</v>
      </c>
      <c r="V14" s="28">
        <f t="shared" si="6"/>
        <v>9.7625000000000011</v>
      </c>
      <c r="X14" s="38">
        <v>12</v>
      </c>
      <c r="Y14" s="8">
        <f>E13+((E14-E13)*(C14-D13)/(D14-D13))</f>
        <v>3.794</v>
      </c>
      <c r="Z14" s="16">
        <f t="shared" si="7"/>
        <v>7.8840000000000003</v>
      </c>
    </row>
    <row r="15" spans="1:26" x14ac:dyDescent="0.45">
      <c r="A15" t="s">
        <v>78</v>
      </c>
      <c r="B15">
        <v>2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16.994999999999997</v>
      </c>
      <c r="L15" s="16">
        <f t="shared" si="3"/>
        <v>249.64500000000001</v>
      </c>
      <c r="N15" s="20">
        <v>18</v>
      </c>
      <c r="O15" s="2">
        <v>2.46</v>
      </c>
      <c r="P15">
        <f t="shared" si="1"/>
        <v>44.28</v>
      </c>
      <c r="Q15">
        <f t="shared" si="4"/>
        <v>16.994999999999997</v>
      </c>
      <c r="R15" s="16">
        <f t="shared" si="5"/>
        <v>249.64500000000001</v>
      </c>
      <c r="T15" s="19">
        <v>18</v>
      </c>
      <c r="U15" s="11">
        <v>2.46</v>
      </c>
      <c r="V15" s="28">
        <f t="shared" si="6"/>
        <v>16.994999999999997</v>
      </c>
      <c r="X15" s="20">
        <v>18</v>
      </c>
      <c r="Y15" s="2">
        <v>2.46</v>
      </c>
      <c r="Z15" s="16">
        <f t="shared" si="7"/>
        <v>18.762</v>
      </c>
    </row>
    <row r="16" spans="1:26" x14ac:dyDescent="0.45">
      <c r="A16" t="s">
        <v>78</v>
      </c>
      <c r="B16">
        <v>2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78</v>
      </c>
      <c r="B17">
        <v>2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78</v>
      </c>
      <c r="B18">
        <v>2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87.047499999999985</v>
      </c>
      <c r="K21" s="3" t="s">
        <v>44</v>
      </c>
      <c r="L21" s="5">
        <f>SUM(L6:L18)</f>
        <v>1221.9099999999999</v>
      </c>
      <c r="O21" s="3" t="s">
        <v>65</v>
      </c>
      <c r="P21" s="5">
        <f>SUM(Q6:INDEX(Q6:Q18,MATCH(E35,N6:N18,0)))</f>
        <v>72.527499999999989</v>
      </c>
      <c r="Q21" s="3" t="s">
        <v>71</v>
      </c>
      <c r="R21" s="5">
        <f>SUM(R6:INDEX(R6:R18,MATCH(E35,N6:N18,0)))</f>
        <v>795.67</v>
      </c>
      <c r="U21" s="3" t="s">
        <v>70</v>
      </c>
      <c r="V21" s="5">
        <f>SUM(V6:INDEX(V6:V18,MATCH(E36,T6:T18,0)))</f>
        <v>60.797499999999992</v>
      </c>
      <c r="Y21" s="3" t="s">
        <v>37</v>
      </c>
      <c r="Z21" s="5">
        <f>SUM(INDEX(Z6:Z18,MATCH(E37,X6:X18,0)+1):INDEX(Z6:Z18,MATCH(E38,X6:X18,0)))</f>
        <v>32.884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87.047499999999985</v>
      </c>
      <c r="K22" s="3" t="s">
        <v>45</v>
      </c>
      <c r="L22" s="5">
        <f>SUM(L6:INDEX(L6:L18,MATCH(B28,H6:H18,0)))</f>
        <v>1221.9099999999999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2.6737180427136256</v>
      </c>
      <c r="E24">
        <f t="array" ref="E24">-SLOPE(IF(E14:$E$18&gt;0,LN(E14:$E$18)),IF(E14:$E$18&gt;0,D14:$D$18))</f>
        <v>9.9887268031700865E-2</v>
      </c>
      <c r="F24">
        <f t="array" ref="F24">1-(1-RSQ(IF(E14:$E$18&gt;0,LN(E14:$E$18)),IF(E14:$E$18&gt;0,D14:$D$18)))*((C24-1)/(C24-2))</f>
        <v>0.99421433480950405</v>
      </c>
      <c r="G24">
        <f t="shared" si="8"/>
        <v>6.9392946089982521</v>
      </c>
      <c r="I24" s="3" t="s">
        <v>38</v>
      </c>
      <c r="J24" s="5">
        <f>J22+B29/B33</f>
        <v>88.071216696915386</v>
      </c>
      <c r="K24" s="3" t="s">
        <v>46</v>
      </c>
      <c r="L24" s="5">
        <f>L22+B28*B29/B33+B29/(B33*B33)</f>
        <v>1280.5756366841513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2.5393924333001934</v>
      </c>
      <c r="E25">
        <f t="array" ref="E25">-SLOPE(IF(E$13:$E19&gt;0,LN(E$13:$E19)),IF(E$13:$E19&gt;0,D$13:$D19))</f>
        <v>9.6253239316962225E-2</v>
      </c>
      <c r="F25">
        <f t="array" ref="F25">1-(1-RSQ(IF(E13:$E$18&gt;0,LN(E13:$E$18)),IF(E13:$E$18&gt;0,D13:$D$18)))*((C25-1)/(C25-2))</f>
        <v>0.99003534676991523</v>
      </c>
      <c r="G25">
        <f t="shared" si="8"/>
        <v>7.2012867876312132</v>
      </c>
      <c r="I25" s="3" t="s">
        <v>39</v>
      </c>
      <c r="J25" s="5">
        <f>(J24-J22)/J24*100</f>
        <v>1.1623737417394566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2.4204075796085651</v>
      </c>
      <c r="E26">
        <f t="array" ref="E26">-SLOPE(IF(E$12:$E20&gt;0,LN(E$12:$E20)),IF(E$12:$E20&gt;0,D$12:$D20))</f>
        <v>9.2902022951514562E-2</v>
      </c>
      <c r="F26">
        <f t="array" ref="F26">1-(1-RSQ(IF(E12:$E$18&gt;0,LN(E12:$E$18)),IF(E12:$E$18&gt;0,D12:$D$18)))*((C26-1)/(C26-2))</f>
        <v>0.98471174399058692</v>
      </c>
      <c r="G26">
        <f t="shared" si="8"/>
        <v>7.4610558364450021</v>
      </c>
      <c r="I26" s="3" t="s">
        <v>42</v>
      </c>
      <c r="J26" s="5">
        <f>J22+B30/B33</f>
        <v>88.096742380339435</v>
      </c>
      <c r="K26" s="3" t="s">
        <v>47</v>
      </c>
      <c r="L26" s="5">
        <f>L22+B28*B30/B33+B30/(B33*B33)</f>
        <v>1282.0384246550639</v>
      </c>
    </row>
    <row r="27" spans="1:26" x14ac:dyDescent="0.45">
      <c r="E27" s="1"/>
      <c r="I27" s="3" t="s">
        <v>43</v>
      </c>
      <c r="J27" s="5">
        <f>(J26-J22)/J26*100</f>
        <v>1.1910115538773995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11.354447429077291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11.351157522745929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105.67034015813209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105.63972259410748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165.09626289966576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165.18908321995318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14.540228745687378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14.552620108472667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DE0A-99F0-4AFC-8EA6-D8E1AA4370CB}">
  <dimension ref="A1:Z42"/>
  <sheetViews>
    <sheetView topLeftCell="A16" workbookViewId="0">
      <selection activeCell="A39" sqref="A39:B40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8</v>
      </c>
      <c r="B5">
        <v>3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8</v>
      </c>
      <c r="B6">
        <v>3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6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8</v>
      </c>
      <c r="B7">
        <v>3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6" si="2">(I6+I7)/2*(H7-H6)</f>
        <v>0.54499999999999993</v>
      </c>
      <c r="L7" s="16">
        <f t="shared" ref="L7:L16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6" si="6">(U6+U7)/2*(T7-T6)</f>
        <v>0.54499999999999993</v>
      </c>
      <c r="X7" s="20">
        <v>1</v>
      </c>
      <c r="Y7" s="2">
        <v>1.42</v>
      </c>
      <c r="Z7" s="16">
        <f t="shared" ref="Z7:Z16" si="7">(Y6+Y7)/2*(X7-X6)</f>
        <v>0.54499999999999993</v>
      </c>
    </row>
    <row r="8" spans="1:26" x14ac:dyDescent="0.45">
      <c r="A8" t="s">
        <v>8</v>
      </c>
      <c r="B8">
        <v>3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8</v>
      </c>
      <c r="B9">
        <v>3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8</v>
      </c>
      <c r="B10">
        <v>3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8</v>
      </c>
      <c r="B11">
        <v>3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8</v>
      </c>
      <c r="B12">
        <v>3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8</v>
      </c>
      <c r="B13">
        <v>3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8</v>
      </c>
      <c r="B14">
        <v>3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8</v>
      </c>
      <c r="B15">
        <v>3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8</v>
      </c>
      <c r="B16">
        <v>3</v>
      </c>
      <c r="C16" s="15">
        <v>24</v>
      </c>
      <c r="D16" s="8">
        <v>23.1</v>
      </c>
      <c r="E16" s="2">
        <v>1.45</v>
      </c>
      <c r="F16" s="16" t="s">
        <v>1</v>
      </c>
      <c r="H16" s="38">
        <v>23.1</v>
      </c>
      <c r="I16" s="2">
        <v>1.45</v>
      </c>
      <c r="J16">
        <f t="shared" si="0"/>
        <v>33.495000000000005</v>
      </c>
      <c r="K16">
        <f t="shared" si="2"/>
        <v>9.970500000000003</v>
      </c>
      <c r="L16" s="16">
        <f t="shared" si="3"/>
        <v>198.32625000000007</v>
      </c>
      <c r="N16" s="38">
        <v>24</v>
      </c>
      <c r="O16" s="8">
        <f>E16*EXP(-1*B33*(E35-D16))</f>
        <v>1.3507284728562157</v>
      </c>
      <c r="P16">
        <f t="shared" si="1"/>
        <v>32.417483348549176</v>
      </c>
      <c r="Q16">
        <f t="shared" si="4"/>
        <v>11.432185418568647</v>
      </c>
      <c r="R16" s="16">
        <f t="shared" si="5"/>
        <v>230.09245004564755</v>
      </c>
      <c r="T16" s="38">
        <v>23.1</v>
      </c>
      <c r="U16" s="11">
        <v>1.45</v>
      </c>
      <c r="V16" s="28">
        <f t="shared" si="6"/>
        <v>9.970500000000003</v>
      </c>
      <c r="X16" s="38">
        <v>23.1</v>
      </c>
      <c r="Y16" s="2">
        <v>1.45</v>
      </c>
      <c r="Z16" s="16">
        <f t="shared" si="7"/>
        <v>9.970500000000003</v>
      </c>
    </row>
    <row r="17" spans="1:26" x14ac:dyDescent="0.4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4.65" thickBot="1" x14ac:dyDescent="0.5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70.360500000000002</v>
      </c>
      <c r="K21" s="3" t="s">
        <v>44</v>
      </c>
      <c r="L21" s="5">
        <f>SUM(L6:L18)</f>
        <v>750.16125</v>
      </c>
      <c r="O21" s="3" t="s">
        <v>65</v>
      </c>
      <c r="P21" s="5">
        <f>SUM(Q6:INDEX(Q6:Q18,MATCH(E35,N6:N18,0)))</f>
        <v>71.822185418568637</v>
      </c>
      <c r="Q21" s="3" t="s">
        <v>71</v>
      </c>
      <c r="R21" s="5">
        <f>SUM(R6:INDEX(R6:R18,MATCH(E35,N6:N18,0)))</f>
        <v>781.92745004564745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I22" s="3" t="s">
        <v>22</v>
      </c>
      <c r="J22" s="5">
        <f>SUM(K6:INDEX(K6:K18,MATCH(B28,H6:H18,0)))</f>
        <v>70.360500000000002</v>
      </c>
      <c r="K22" s="3" t="s">
        <v>45</v>
      </c>
      <c r="L22" s="5">
        <f>SUM(L6:INDEX(L6:L18,MATCH(B28,H6:H18,0)))</f>
        <v>750.16125</v>
      </c>
    </row>
    <row r="24" spans="1:26" x14ac:dyDescent="0.45">
      <c r="A24">
        <v>12</v>
      </c>
      <c r="B24">
        <f t="array" ref="B24">MAX(IF(dvcorr&gt;0,tadcorr))</f>
        <v>23.1</v>
      </c>
      <c r="C24">
        <v>3</v>
      </c>
      <c r="D24">
        <f t="array" ref="D24">INTERCEPT(IF(E14:E18&gt;0,LN(E14:E18)),IF(E14:E18&gt;0,D14:D18))</f>
        <v>2.3559477011305221</v>
      </c>
      <c r="E24">
        <f t="array" ref="E24">-SLOPE(IF(E14:$E$18&gt;0,LN(E14:$E$18)),IF(E14:$E$18&gt;0,D14:$D$18))</f>
        <v>8.441420958059806E-2</v>
      </c>
      <c r="F24">
        <f t="array" ref="F24">1-(1-RSQ(IF(E14:$E$18&gt;0,LN(E14:$E$18)),IF(E14:$E$18&gt;0,D14:$D$18)))*((C24-1)/(C24-2))</f>
        <v>0.97267491589379484</v>
      </c>
      <c r="G24">
        <f t="shared" ref="G24:G26" si="8">LN(2)/E24</f>
        <v>8.2112618717128836</v>
      </c>
      <c r="I24" s="3" t="s">
        <v>38</v>
      </c>
      <c r="J24" s="5">
        <f>J22+B29/B33</f>
        <v>88.76164496119776</v>
      </c>
      <c r="K24" s="3" t="s">
        <v>46</v>
      </c>
      <c r="L24" s="5">
        <f>L22+B28*B29/B33+B29/(B33*B33)</f>
        <v>1408.7464130057465</v>
      </c>
    </row>
    <row r="25" spans="1:26" x14ac:dyDescent="0.45">
      <c r="A25">
        <v>10</v>
      </c>
      <c r="B25">
        <f t="array" ref="B25">MAX(IF(dvcorr&gt;0,tadcorr))</f>
        <v>23.1</v>
      </c>
      <c r="C25">
        <v>4</v>
      </c>
      <c r="D25">
        <f t="array" ref="D25">INTERCEPT(IF(E13:E18&gt;0,LN(E13:E18)),IF(E13:E18&gt;0,D13:D18))</f>
        <v>2.2415596222181682</v>
      </c>
      <c r="E25">
        <f t="array" ref="E25">-SLOPE(IF(E$13:$E19&gt;0,LN(E$13:$E19)),IF(E$13:$E19&gt;0,D$13:$D19))</f>
        <v>7.8799444439875646E-2</v>
      </c>
      <c r="F25">
        <f t="array" ref="F25">1-(1-RSQ(IF(E13:$E$18&gt;0,LN(E13:$E$18)),IF(E13:$E$18&gt;0,D13:$D$18)))*((C25-1)/(C25-2))</f>
        <v>0.97595687019840682</v>
      </c>
      <c r="G25">
        <f t="shared" si="8"/>
        <v>8.7963460337441841</v>
      </c>
      <c r="I25" s="3" t="s">
        <v>39</v>
      </c>
      <c r="J25" s="5">
        <f>(J24-J22)/J24*100</f>
        <v>20.730964336275918</v>
      </c>
    </row>
    <row r="26" spans="1:26" x14ac:dyDescent="0.45">
      <c r="A26">
        <v>8</v>
      </c>
      <c r="B26">
        <f t="array" ref="B26">MAX(IF(dvcorr&gt;0,tadcorr))</f>
        <v>23.1</v>
      </c>
      <c r="C26">
        <v>5</v>
      </c>
      <c r="D26">
        <f t="array" ref="D26">INTERCEPT(IF(E12:E18&gt;0,LN(E12:E18)),IF(E12:E18&gt;0,D12:D18))</f>
        <v>2.1255505180161824</v>
      </c>
      <c r="E26">
        <f t="array" ref="E26">-SLOPE(IF(E$12:$E20&gt;0,LN(E$12:$E20)),IF(E$12:$E20&gt;0,D$12:$D20))</f>
        <v>7.2754165137113011E-2</v>
      </c>
      <c r="F26">
        <f t="array" ref="F26">1-(1-RSQ(IF(E12:$E$18&gt;0,LN(E12:$E$18)),IF(E12:$E$18&gt;0,D12:$D$18)))*((C26-1)/(C26-2))</f>
        <v>0.96331340509318819</v>
      </c>
      <c r="G26">
        <f t="shared" si="8"/>
        <v>9.5272508351052512</v>
      </c>
      <c r="I26" s="3" t="s">
        <v>42</v>
      </c>
      <c r="J26" s="5">
        <f>J22+B30/B33</f>
        <v>89.699848214891887</v>
      </c>
      <c r="K26" s="3" t="s">
        <v>47</v>
      </c>
      <c r="L26" s="5">
        <f>L22+B28*B30/B33+B30/(B33*B33)</f>
        <v>1442.3251247690416</v>
      </c>
    </row>
    <row r="27" spans="1:26" x14ac:dyDescent="0.45">
      <c r="E27" s="1"/>
      <c r="I27" s="3" t="s">
        <v>43</v>
      </c>
      <c r="J27" s="5">
        <f>(J26-J22)/J26*100</f>
        <v>21.56006793741841</v>
      </c>
    </row>
    <row r="28" spans="1:26" x14ac:dyDescent="0.45">
      <c r="A28" s="3" t="s">
        <v>23</v>
      </c>
      <c r="B28" s="5">
        <f>INDEX(D5:D18,MATCH(B29,E5:E18,0))</f>
        <v>23.1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11.266127395871843</v>
      </c>
    </row>
    <row r="30" spans="1:26" x14ac:dyDescent="0.45">
      <c r="A30" s="3" t="s">
        <v>40</v>
      </c>
      <c r="B30" s="5">
        <f>EXP(B35-B33*B28)</f>
        <v>1.5239298951627811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11.148290882324826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142.97216783638561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141.47677006569538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7.8799444439875646E-2</v>
      </c>
      <c r="D33" s="3" t="s">
        <v>60</v>
      </c>
      <c r="E33" s="4">
        <v>1</v>
      </c>
      <c r="I33" s="3" t="s">
        <v>53</v>
      </c>
      <c r="J33" s="5">
        <f>J35*J29</f>
        <v>178.80602105040194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8.7963460337441841</v>
      </c>
      <c r="D34" s="3" t="s">
        <v>64</v>
      </c>
      <c r="E34" s="4">
        <v>1000</v>
      </c>
      <c r="I34" s="3" t="s">
        <v>54</v>
      </c>
      <c r="J34" s="5">
        <f>J36*J30</f>
        <v>179.25849773223169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2.2415596222181682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15.87111655740023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4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16.079460037810723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0.97595687019840682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23.1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E194-D9B5-465E-B45F-5B3F3ED6B9C8}">
  <dimension ref="A1:Z42"/>
  <sheetViews>
    <sheetView topLeftCell="A10" workbookViewId="0">
      <selection activeCell="E14" sqref="E14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12</v>
      </c>
      <c r="B5">
        <v>4</v>
      </c>
      <c r="C5" s="15">
        <v>0</v>
      </c>
      <c r="D5" s="11">
        <v>0</v>
      </c>
      <c r="E5" s="8">
        <v>0.34</v>
      </c>
      <c r="F5" s="16" t="s">
        <v>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45">
      <c r="A6" t="s">
        <v>12</v>
      </c>
      <c r="B6">
        <v>4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12</v>
      </c>
      <c r="B7">
        <v>4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12</v>
      </c>
      <c r="B8">
        <v>4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12</v>
      </c>
      <c r="B9">
        <v>4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12</v>
      </c>
      <c r="B10">
        <v>4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12</v>
      </c>
      <c r="B11">
        <v>4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12</v>
      </c>
      <c r="B12">
        <v>4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12</v>
      </c>
      <c r="B13">
        <v>4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12</v>
      </c>
      <c r="B14">
        <v>4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12</v>
      </c>
      <c r="B15">
        <v>4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12</v>
      </c>
      <c r="B16">
        <v>4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12</v>
      </c>
      <c r="B17">
        <v>4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12</v>
      </c>
      <c r="B18">
        <v>4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 cm="1">
        <f t="array" ref="D22">INTERCEPT(IF(E16:E18&gt;0,LN(E16:E18)),IF(E16:E18&gt;0,D16:D18))</f>
        <v>2.9750305620827162</v>
      </c>
      <c r="E22" cm="1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</row>
    <row r="27" spans="1:26" x14ac:dyDescent="0.45">
      <c r="E27" s="1"/>
      <c r="I27" s="3" t="s">
        <v>43</v>
      </c>
      <c r="J27" s="5">
        <f>(J26-J22)/J26*100</f>
        <v>1.1965462944570928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11.407227957917359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11.403907399070052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106.16154296400119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86FF-8EC1-43CA-AD6D-170320F1D1E5}">
  <dimension ref="A1:Z42"/>
  <sheetViews>
    <sheetView workbookViewId="0">
      <selection activeCell="A39" sqref="A39:B40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13</v>
      </c>
      <c r="B5">
        <v>5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13</v>
      </c>
      <c r="B6">
        <v>5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13</v>
      </c>
      <c r="B7">
        <v>5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13</v>
      </c>
      <c r="B8">
        <v>5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13</v>
      </c>
      <c r="B9">
        <v>5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13</v>
      </c>
      <c r="B10">
        <v>5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13</v>
      </c>
      <c r="B11">
        <v>5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13</v>
      </c>
      <c r="B12">
        <v>5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13</v>
      </c>
      <c r="B13">
        <v>5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13</v>
      </c>
      <c r="B14">
        <v>5</v>
      </c>
      <c r="C14" s="15">
        <v>12</v>
      </c>
      <c r="D14" s="2">
        <v>12</v>
      </c>
      <c r="E14" s="39"/>
      <c r="F14" s="16" t="s">
        <v>1</v>
      </c>
      <c r="H14" s="20">
        <v>12</v>
      </c>
      <c r="I14" s="39"/>
      <c r="L14" s="16"/>
      <c r="N14" s="20">
        <v>12</v>
      </c>
      <c r="O14" s="39"/>
      <c r="R14" s="16"/>
      <c r="T14" s="19">
        <v>12</v>
      </c>
      <c r="U14" s="41"/>
      <c r="V14" s="28"/>
      <c r="X14" s="20">
        <v>12</v>
      </c>
      <c r="Y14" s="8">
        <f>E13+((E15-E13)*(C14-D13)/(D15-D13))</f>
        <v>3.6825000000000001</v>
      </c>
      <c r="Z14" s="16">
        <f t="shared" si="7"/>
        <v>7.7725</v>
      </c>
    </row>
    <row r="15" spans="1:26" x14ac:dyDescent="0.45">
      <c r="A15" t="s">
        <v>13</v>
      </c>
      <c r="B15">
        <v>5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>(I13+I15)/2*(H15-H13)</f>
        <v>26.2</v>
      </c>
      <c r="L15" s="16">
        <f>(J13+J15)/2*(H15-H13)</f>
        <v>340.72</v>
      </c>
      <c r="N15" s="20">
        <v>18</v>
      </c>
      <c r="O15" s="2">
        <v>2.46</v>
      </c>
      <c r="P15">
        <f t="shared" si="1"/>
        <v>44.28</v>
      </c>
      <c r="Q15">
        <f>(O13+O15)/2*(N15-N13)</f>
        <v>26.2</v>
      </c>
      <c r="R15" s="16">
        <f>(P13+P15)/2*(N15-N13)</f>
        <v>340.72</v>
      </c>
      <c r="T15" s="19">
        <v>18</v>
      </c>
      <c r="U15" s="11">
        <v>2.46</v>
      </c>
      <c r="V15" s="28">
        <f>(U13+U15)/2*(T15-T13)</f>
        <v>26.2</v>
      </c>
      <c r="X15" s="20">
        <v>18</v>
      </c>
      <c r="Y15" s="2">
        <v>2.46</v>
      </c>
      <c r="Z15" s="16">
        <f t="shared" si="7"/>
        <v>18.427500000000002</v>
      </c>
    </row>
    <row r="16" spans="1:26" x14ac:dyDescent="0.45">
      <c r="A16" t="s">
        <v>13</v>
      </c>
      <c r="B16">
        <v>5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13</v>
      </c>
      <c r="B17">
        <v>5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13</v>
      </c>
      <c r="B18">
        <v>5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86.49</v>
      </c>
      <c r="K21" s="3" t="s">
        <v>44</v>
      </c>
      <c r="L21" s="5">
        <f>SUM(L6:L18)</f>
        <v>1203.7349999999999</v>
      </c>
      <c r="O21" s="3" t="s">
        <v>65</v>
      </c>
      <c r="P21" s="5">
        <f>SUM(Q6:INDEX(Q6:Q18,MATCH(E35,N6:N18,0)))</f>
        <v>71.97</v>
      </c>
      <c r="Q21" s="3" t="s">
        <v>71</v>
      </c>
      <c r="R21" s="5">
        <f>SUM(R6:INDEX(R6:R18,MATCH(E35,N6:N18,0)))</f>
        <v>777.495</v>
      </c>
      <c r="U21" s="3" t="s">
        <v>70</v>
      </c>
      <c r="V21" s="5">
        <f>SUM(V6:INDEX(V6:V18,MATCH(E36,T6:T18,0)))</f>
        <v>60.239999999999995</v>
      </c>
      <c r="Y21" s="3" t="s">
        <v>37</v>
      </c>
      <c r="Z21" s="5">
        <f>SUM(INDEX(Z6:Z18,MATCH(E37,X6:X18,0)+1):INDEX(Z6:Z18,MATCH(E38,X6:X18,0)))</f>
        <v>32.772499999999994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86.49</v>
      </c>
      <c r="K22" s="3" t="s">
        <v>45</v>
      </c>
      <c r="L22" s="5">
        <f>SUM(L6:INDEX(L6:L18,MATCH(B28,H6:H18,0)))</f>
        <v>1203.7349999999999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2.8271339126733759</v>
      </c>
      <c r="E24">
        <f t="array" ref="E24">-SLOPE(IF(E14:$E$18&gt;0,LN(E14:$E$18)),IF(E14:$E$18&gt;0,D14:$D$18))</f>
        <v>0.10387345815715078</v>
      </c>
      <c r="F24">
        <f t="array" ref="F24">1-(1-RSQ(IF(E14:$E$18&gt;0,LN(E14:$E$18)),IF(E14:$E$18&gt;0,D14:$D$18)))*((C24-1)/(C24-2))</f>
        <v>0.99728345403375018</v>
      </c>
      <c r="G24">
        <f t="shared" si="8"/>
        <v>6.6729960940674449</v>
      </c>
      <c r="I24" s="3" t="s">
        <v>38</v>
      </c>
      <c r="J24" s="5">
        <f>J22+B29/B33</f>
        <v>87.513716696915395</v>
      </c>
      <c r="K24" s="3" t="s">
        <v>46</v>
      </c>
      <c r="L24" s="5">
        <f>L22+B28*B29/B33+B29/(B33*B33)</f>
        <v>1262.4006366841513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2.553881663607481</v>
      </c>
      <c r="E25">
        <f t="array" ref="E25">-SLOPE(IF(E$13:$E19&gt;0,LN(E$13:$E19)),IF(E$13:$E19&gt;0,D$13:$D19))</f>
        <v>9.662046636095728E-2</v>
      </c>
      <c r="F25">
        <f t="array" ref="F25">1-(1-RSQ(IF(E13:$E$18&gt;0,LN(E13:$E$18)),IF(E13:$E$18&gt;0,D13:$D$18)))*((C25-1)/(C25-2))</f>
        <v>0.98825843998905127</v>
      </c>
      <c r="G25">
        <f t="shared" si="8"/>
        <v>7.1739167348920443</v>
      </c>
      <c r="I25" s="3" t="s">
        <v>39</v>
      </c>
      <c r="J25" s="5">
        <f>(J24-J22)/J24*100</f>
        <v>1.1697785622119321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2.3988361530586633</v>
      </c>
      <c r="E26">
        <f t="array" ref="E26">-SLOPE(IF(E$12:$E20&gt;0,LN(E$12:$E20)),IF(E$12:$E20&gt;0,D$12:$D20))</f>
        <v>9.2382320286729908E-2</v>
      </c>
      <c r="F26">
        <f t="array" ref="F26">1-(1-RSQ(IF(E12:$E$18&gt;0,LN(E12:$E$18)),IF(E12:$E$18&gt;0,D12:$D$18)))*((C26-1)/(C26-2))</f>
        <v>0.98354173842781301</v>
      </c>
      <c r="G26">
        <f t="shared" si="8"/>
        <v>7.5030284843312298</v>
      </c>
      <c r="I26" s="3" t="s">
        <v>42</v>
      </c>
      <c r="J26" s="5">
        <f>J22+B30/B33</f>
        <v>87.539242380339445</v>
      </c>
      <c r="K26" s="3" t="s">
        <v>47</v>
      </c>
      <c r="L26" s="5">
        <f>L22+B28*B30/B33+B30/(B33*B33)</f>
        <v>1263.8634246550639</v>
      </c>
    </row>
    <row r="27" spans="1:26" x14ac:dyDescent="0.45">
      <c r="E27" s="1"/>
      <c r="I27" s="3" t="s">
        <v>43</v>
      </c>
      <c r="J27" s="5">
        <f>(J26-J22)/J26*100</f>
        <v>1.1985965971474994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11.426780140801027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11.423448190872067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106.34350565562985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106.31249681221566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164.83329778982497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164.92807064923653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14.425174524997031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14.437678351885264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FF45-E10C-4328-98AC-7E9B5E48D475}">
  <dimension ref="A1:Z42"/>
  <sheetViews>
    <sheetView topLeftCell="A13" workbookViewId="0">
      <selection activeCell="A39" sqref="A39:B40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14</v>
      </c>
      <c r="B5">
        <v>6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14</v>
      </c>
      <c r="B6">
        <v>6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5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14</v>
      </c>
      <c r="B7">
        <v>6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5" si="2">(I6+I7)/2*(H7-H6)</f>
        <v>0.54499999999999993</v>
      </c>
      <c r="L7" s="16">
        <f t="shared" ref="L7:L15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5" si="6">(U6+U7)/2*(T7-T6)</f>
        <v>0.54499999999999993</v>
      </c>
      <c r="X7" s="20">
        <v>1</v>
      </c>
      <c r="Y7" s="2">
        <v>1.42</v>
      </c>
      <c r="Z7" s="16">
        <f t="shared" ref="Z7:Z15" si="7">(Y6+Y7)/2*(X7-X6)</f>
        <v>0.54499999999999993</v>
      </c>
    </row>
    <row r="8" spans="1:26" x14ac:dyDescent="0.45">
      <c r="A8" t="s">
        <v>14</v>
      </c>
      <c r="B8">
        <v>6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14</v>
      </c>
      <c r="B9">
        <v>6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14</v>
      </c>
      <c r="B10">
        <v>6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14</v>
      </c>
      <c r="B11">
        <v>6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14</v>
      </c>
      <c r="B12">
        <v>6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14</v>
      </c>
      <c r="B13">
        <v>6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14</v>
      </c>
      <c r="B14">
        <v>6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14</v>
      </c>
      <c r="B15">
        <v>6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14</v>
      </c>
      <c r="B16">
        <v>6</v>
      </c>
      <c r="C16" s="15">
        <v>24</v>
      </c>
      <c r="D16" s="2">
        <v>24</v>
      </c>
      <c r="E16" s="39"/>
      <c r="F16" s="16" t="s">
        <v>1</v>
      </c>
      <c r="H16" s="20">
        <v>24</v>
      </c>
      <c r="I16" s="39"/>
      <c r="L16" s="16"/>
      <c r="N16" s="20">
        <v>24</v>
      </c>
      <c r="O16" s="8">
        <f>E15*EXP(-1*B33*(D16-D15))</f>
        <v>1.6676670096327975</v>
      </c>
      <c r="P16">
        <f t="shared" si="1"/>
        <v>40.024008231187139</v>
      </c>
      <c r="Q16">
        <f t="shared" si="4"/>
        <v>12.383001028898391</v>
      </c>
      <c r="R16" s="16">
        <f t="shared" si="5"/>
        <v>252.91202469356142</v>
      </c>
      <c r="T16" s="19">
        <v>24</v>
      </c>
      <c r="U16" s="41"/>
      <c r="V16" s="28"/>
      <c r="X16" s="20">
        <v>24</v>
      </c>
      <c r="Y16" s="39"/>
      <c r="Z16" s="16"/>
    </row>
    <row r="17" spans="1:26" x14ac:dyDescent="0.4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4.65" thickBot="1" x14ac:dyDescent="0.5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60.389999999999993</v>
      </c>
      <c r="K21" s="3" t="s">
        <v>44</v>
      </c>
      <c r="L21" s="5">
        <f>SUM(L6:L18)</f>
        <v>551.83499999999992</v>
      </c>
      <c r="O21" s="3" t="s">
        <v>65</v>
      </c>
      <c r="P21" s="5">
        <f>SUM(Q6:INDEX(Q6:Q18,MATCH(E35,N6:N18,0)))</f>
        <v>72.773001028898392</v>
      </c>
      <c r="Q21" s="3" t="s">
        <v>71</v>
      </c>
      <c r="R21" s="5">
        <f>SUM(R6:INDEX(R6:R18,MATCH(E35,N6:N18,0)))</f>
        <v>804.74702469356134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I22" s="3" t="s">
        <v>22</v>
      </c>
      <c r="J22" s="5">
        <f>SUM(K6:INDEX(K6:K18,MATCH(B28,H6:H18,0)))</f>
        <v>60.389999999999993</v>
      </c>
      <c r="K22" s="3" t="s">
        <v>45</v>
      </c>
      <c r="L22" s="5">
        <f>SUM(L6:INDEX(L6:L18,MATCH(B28,H6:H18,0)))</f>
        <v>551.83499999999992</v>
      </c>
    </row>
    <row r="24" spans="1:26" x14ac:dyDescent="0.45">
      <c r="I24" s="3" t="s">
        <v>38</v>
      </c>
      <c r="J24" s="5">
        <f>J22+B29/B33</f>
        <v>98.359242297303695</v>
      </c>
      <c r="K24" s="3" t="s">
        <v>46</v>
      </c>
      <c r="L24" s="5">
        <f>L22+B28*B29/B33+B29/(B33*B33)</f>
        <v>1821.3233778682779</v>
      </c>
    </row>
    <row r="25" spans="1:26" x14ac:dyDescent="0.45">
      <c r="A25">
        <v>10</v>
      </c>
      <c r="B25">
        <f t="array" ref="B25">MAX(IF(dvcorr&gt;0,tadcorr))</f>
        <v>18</v>
      </c>
      <c r="C25">
        <v>3</v>
      </c>
      <c r="D25">
        <f t="array" ref="D25">INTERCEPT(IF(E13:E18&gt;0,LN(E13:E18)),IF(E13:E18&gt;0,D13:D18))</f>
        <v>2.0713337748725671</v>
      </c>
      <c r="E25">
        <f t="array" ref="E25">-SLOPE(IF(E$13:$E19&gt;0,LN(E$13:$E19)),IF(E$13:$E19&gt;0,D$13:$D19))</f>
        <v>6.4789283408341586E-2</v>
      </c>
      <c r="F25">
        <f t="array" ref="F25">1-(1-RSQ(IF(E13:$E$18&gt;0,LN(E13:$E$18)),IF(E13:$E$18&gt;0,D13:$D$18)))*((C25-1)/(C25-2))</f>
        <v>0.99122855522629361</v>
      </c>
      <c r="G25">
        <f t="shared" ref="G25:G26" si="8">LN(2)/E25</f>
        <v>10.698485059501413</v>
      </c>
      <c r="I25" s="3" t="s">
        <v>39</v>
      </c>
      <c r="J25" s="5">
        <f>(J24-J22)/J24*100</f>
        <v>38.602617721003476</v>
      </c>
    </row>
    <row r="26" spans="1:26" x14ac:dyDescent="0.45">
      <c r="A26">
        <v>8</v>
      </c>
      <c r="B26">
        <f t="array" ref="B26">MAX(IF(dvcorr&gt;0,tadcorr))</f>
        <v>18</v>
      </c>
      <c r="C26">
        <v>4</v>
      </c>
      <c r="D26">
        <f t="array" ref="D26">INTERCEPT(IF(E12:E18&gt;0,LN(E12:E18)),IF(E12:E18&gt;0,D12:D18))</f>
        <v>1.9693862852941555</v>
      </c>
      <c r="E26">
        <f t="array" ref="E26">-SLOPE(IF(E$12:$E20&gt;0,LN(E$12:$E20)),IF(E$12:$E20&gt;0,D$12:$D20))</f>
        <v>5.8212026016186018E-2</v>
      </c>
      <c r="F26">
        <f t="array" ref="F26">1-(1-RSQ(IF(E12:$E$18&gt;0,LN(E12:$E$18)),IF(E12:$E$18&gt;0,D12:$D$18)))*((C26-1)/(C26-2))</f>
        <v>0.96466758484792103</v>
      </c>
      <c r="G26">
        <f t="shared" si="8"/>
        <v>11.907284937432237</v>
      </c>
      <c r="I26" s="3" t="s">
        <v>42</v>
      </c>
      <c r="J26" s="5">
        <f>J22+B30/B33</f>
        <v>98.548240702140788</v>
      </c>
      <c r="K26" s="3" t="s">
        <v>47</v>
      </c>
      <c r="L26" s="5">
        <f>L22+B28*B30/B33+B30/(B33*B33)</f>
        <v>1827.6424736378922</v>
      </c>
    </row>
    <row r="27" spans="1:26" x14ac:dyDescent="0.45">
      <c r="E27" s="1"/>
      <c r="I27" s="3" t="s">
        <v>43</v>
      </c>
      <c r="J27" s="5">
        <f>(J26-J22)/J26*100</f>
        <v>38.720367233620109</v>
      </c>
    </row>
    <row r="28" spans="1:26" x14ac:dyDescent="0.45">
      <c r="A28" s="3" t="s">
        <v>23</v>
      </c>
      <c r="B28" s="5">
        <f>INDEX(D5:D18,MATCH(B29,E5:E18,0))</f>
        <v>18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2.46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10.166812763536436</v>
      </c>
    </row>
    <row r="30" spans="1:26" x14ac:dyDescent="0.45">
      <c r="A30" s="3" t="s">
        <v>40</v>
      </c>
      <c r="B30" s="5">
        <f>EXP(B35-B33*B28)</f>
        <v>2.4722450712147155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10.147314582940869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156.92121024798158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156.62026262871748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6.4789283408341586E-2</v>
      </c>
      <c r="D33" s="3" t="s">
        <v>60</v>
      </c>
      <c r="E33" s="4">
        <v>1</v>
      </c>
      <c r="I33" s="3" t="s">
        <v>53</v>
      </c>
      <c r="J33" s="5">
        <f>J35*J29</f>
        <v>188.25941855741712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10.698485059501413</v>
      </c>
      <c r="D34" s="3" t="s">
        <v>64</v>
      </c>
      <c r="E34" s="4">
        <v>1000</v>
      </c>
      <c r="I34" s="3" t="s">
        <v>54</v>
      </c>
      <c r="J34" s="5">
        <f>J36*J30</f>
        <v>188.18867788012204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2.0713337748725671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18.517053764638501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18.545663125147904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0.99122855522629361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18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33E6-69C9-46E6-9027-47FC6A3D8FF4}">
  <dimension ref="A1:Z47"/>
  <sheetViews>
    <sheetView workbookViewId="0">
      <selection activeCell="I29" sqref="I29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6.8632812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15</v>
      </c>
      <c r="B5">
        <v>7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f>EXP(LN($E$6)+(0-$D$6)/($D$7-$D$6)*(LN($E$7)-LN($E$6)))</f>
        <v>9889.8611266034786</v>
      </c>
      <c r="J5">
        <f t="shared" ref="J5:J18" si="0">I5*H5</f>
        <v>0</v>
      </c>
      <c r="L5" s="16"/>
      <c r="N5" s="15">
        <v>0</v>
      </c>
      <c r="O5" s="37">
        <f>EXP(LN($E$6)+(0-$D$6)/($D$7-$D$6)*(LN($E$7)-LN($E$6)))</f>
        <v>9889.8611266034786</v>
      </c>
      <c r="P5">
        <f t="shared" ref="P5:P18" si="1">O5*N5</f>
        <v>0</v>
      </c>
      <c r="R5" s="16"/>
      <c r="T5" s="15">
        <v>0</v>
      </c>
      <c r="U5" s="37">
        <f>EXP(LN($E$6)+(0-$D$6)/($D$7-$D$6)*(LN($E$7)-LN($E$6)))</f>
        <v>9889.8611266034786</v>
      </c>
      <c r="V5" s="28"/>
      <c r="X5" s="15">
        <v>0</v>
      </c>
      <c r="Y5" s="37">
        <f>EXP(LN($E$6)+(0-$D$6)/($D$7-$D$6)*(LN($E$7)-LN($E$6)))</f>
        <v>9889.8611266034786</v>
      </c>
      <c r="Z5" s="16"/>
    </row>
    <row r="6" spans="1:26" x14ac:dyDescent="0.45">
      <c r="A6" t="s">
        <v>15</v>
      </c>
      <c r="B6">
        <v>7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3525.2152816508697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3525.2152816508697</v>
      </c>
      <c r="R6" s="16">
        <f>(P5+P6)/2*(N6-N5)</f>
        <v>526.375</v>
      </c>
      <c r="T6" s="15">
        <v>0.5</v>
      </c>
      <c r="U6">
        <v>4211</v>
      </c>
      <c r="V6" s="16">
        <f>(U5+U6)/2*(T6-T5)</f>
        <v>3525.2152816508697</v>
      </c>
      <c r="X6" s="15">
        <v>0.5</v>
      </c>
      <c r="Y6">
        <v>4211</v>
      </c>
      <c r="Z6" s="16">
        <f>(Y5+Y6)/2*(X6-X5)</f>
        <v>3525.2152816508697</v>
      </c>
    </row>
    <row r="7" spans="1:26" x14ac:dyDescent="0.45">
      <c r="A7" t="s">
        <v>15</v>
      </c>
      <c r="B7">
        <v>7</v>
      </c>
      <c r="C7" s="15">
        <v>1</v>
      </c>
      <c r="D7">
        <v>1</v>
      </c>
      <c r="E7" s="37">
        <v>1793</v>
      </c>
      <c r="F7" s="16" t="s">
        <v>1</v>
      </c>
      <c r="H7" s="15">
        <v>1</v>
      </c>
      <c r="I7">
        <v>1793</v>
      </c>
      <c r="J7">
        <f t="shared" si="0"/>
        <v>1793</v>
      </c>
      <c r="K7">
        <f t="shared" ref="K7:K18" si="2">(I6+I7)/2*(H7-H6)</f>
        <v>1501</v>
      </c>
      <c r="L7" s="16">
        <f t="shared" ref="L7:L18" si="3">(J6+J7)/2*(H7-H6)</f>
        <v>974.625</v>
      </c>
      <c r="N7" s="15">
        <v>1</v>
      </c>
      <c r="O7">
        <v>1793</v>
      </c>
      <c r="P7">
        <f t="shared" si="1"/>
        <v>1793</v>
      </c>
      <c r="Q7">
        <f t="shared" ref="Q7:Q18" si="4">(O6+O7)/2*(N7-N6)</f>
        <v>1501</v>
      </c>
      <c r="R7" s="16">
        <f t="shared" ref="R7:R18" si="5">(P6+P7)/2*(N7-N6)</f>
        <v>974.625</v>
      </c>
      <c r="T7" s="15">
        <v>1</v>
      </c>
      <c r="U7">
        <v>1793</v>
      </c>
      <c r="V7" s="16">
        <f t="shared" ref="V7:V18" si="6">(U6+U7)/2*(T7-T6)</f>
        <v>1501</v>
      </c>
      <c r="X7" s="15">
        <v>1</v>
      </c>
      <c r="Y7">
        <v>1793</v>
      </c>
      <c r="Z7" s="16">
        <f t="shared" ref="Z7:Z18" si="7">(Y6+Y7)/2*(X7-X6)</f>
        <v>1501</v>
      </c>
    </row>
    <row r="8" spans="1:26" x14ac:dyDescent="0.45">
      <c r="A8" t="s">
        <v>15</v>
      </c>
      <c r="B8">
        <v>7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1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45">
      <c r="A9" t="s">
        <v>15</v>
      </c>
      <c r="B9">
        <v>7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15</v>
      </c>
      <c r="B10">
        <v>7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15</v>
      </c>
      <c r="B11">
        <v>7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15</v>
      </c>
      <c r="B12">
        <v>7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15</v>
      </c>
      <c r="B13">
        <v>7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15</v>
      </c>
      <c r="B14">
        <v>7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45">
      <c r="A15" t="s">
        <v>15</v>
      </c>
      <c r="B15">
        <v>7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45">
      <c r="A16" t="s">
        <v>15</v>
      </c>
      <c r="B16">
        <v>7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45">
      <c r="A17" t="s">
        <v>15</v>
      </c>
      <c r="B17">
        <v>7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4.65" thickBot="1" x14ac:dyDescent="0.5">
      <c r="A18" t="s">
        <v>15</v>
      </c>
      <c r="B18">
        <v>7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8102.2152816508697</v>
      </c>
      <c r="K21" s="3" t="s">
        <v>44</v>
      </c>
      <c r="L21" s="5">
        <f>SUM(L6:L18)</f>
        <v>31074.75</v>
      </c>
      <c r="O21" s="3" t="s">
        <v>65</v>
      </c>
      <c r="P21" s="5">
        <f>SUM(Q6:INDEX(Q6:Q18,MATCH(E42,N6:N18,0)))</f>
        <v>7730.2152816508697</v>
      </c>
      <c r="Q21" s="3" t="s">
        <v>71</v>
      </c>
      <c r="R21" s="5">
        <f>SUM(R6:INDEX(R6:R18,MATCH(E42,N6:N18,0)))</f>
        <v>19410.75</v>
      </c>
      <c r="U21" s="3" t="s">
        <v>70</v>
      </c>
      <c r="V21" s="5">
        <f>SUM(V6:INDEX(V6:V18,MATCH(E43,T6:T18,0)))</f>
        <v>7487.2152816508697</v>
      </c>
      <c r="Y21" s="3" t="s">
        <v>37</v>
      </c>
      <c r="Z21" s="5">
        <f>SUM(INDEX(Z6:Z18,MATCH(E44,X6:X18,0)+1):INDEX(Z6:Z18,MATCH(E45,X6:X18,0)))</f>
        <v>722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8102.2152816508697</v>
      </c>
      <c r="K22" s="3" t="s">
        <v>45</v>
      </c>
      <c r="L22" s="5">
        <f>SUM(L6:INDEX(L6:L18,MATCH(B35,H6:H18,0)))</f>
        <v>31074.75</v>
      </c>
    </row>
    <row r="23" spans="1:26" x14ac:dyDescent="0.4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8191.6875122274541</v>
      </c>
      <c r="K24" s="3" t="s">
        <v>46</v>
      </c>
      <c r="L24" s="5">
        <f>L22+B35*B36/B40+B36/(B40*B40)</f>
        <v>36703.630408400946</v>
      </c>
    </row>
    <row r="25" spans="1:26" x14ac:dyDescent="0.4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1.09223197836871</v>
      </c>
    </row>
    <row r="26" spans="1:26" x14ac:dyDescent="0.4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8190.7521108792589</v>
      </c>
      <c r="K26" s="3" t="s">
        <v>47</v>
      </c>
      <c r="L26" s="5">
        <f>L22+B35*B37/B40+B37/(B40*B40)</f>
        <v>36644.782402836376</v>
      </c>
    </row>
    <row r="27" spans="1:26" x14ac:dyDescent="0.4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1.0809365004563058</v>
      </c>
    </row>
    <row r="28" spans="1:26" x14ac:dyDescent="0.4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4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0.12207496910829838</v>
      </c>
    </row>
    <row r="30" spans="1:26" x14ac:dyDescent="0.4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0.12208891032995164</v>
      </c>
    </row>
    <row r="31" spans="1:26" x14ac:dyDescent="0.4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5.8856663680793986</v>
      </c>
      <c r="E31">
        <f t="array" ref="E31">-SLOPE(IF(E$7:$E18&gt;0,LN(E$7:$E18)),IF(E$7:$E18&gt;0,D$7:$D18))</f>
        <v>9.4942110102733832E-2</v>
      </c>
      <c r="F31">
        <f t="array" ref="F31">1-(1-RSQ(IF(E7:$E$18&gt;0,LN(E7:$E$18)),IF(E7:$E$18&gt;0,D7:$D$18)))*((C31-1)/(C31-2))</f>
        <v>0.76785243654448077</v>
      </c>
      <c r="G31">
        <f t="shared" si="8"/>
        <v>7.3007349405855084</v>
      </c>
      <c r="I31" s="3" t="s">
        <v>51</v>
      </c>
      <c r="J31" s="5">
        <f>IF(E37="N",E40*E41/(B40*J24),E40*E41/(B40*P21))</f>
        <v>1.8203866306145091</v>
      </c>
    </row>
    <row r="32" spans="1:26" x14ac:dyDescent="0.4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6.2200650671857822</v>
      </c>
      <c r="E32">
        <f t="array" ref="E32">-SLOPE(IF(E$6:$E18&gt;0,LN(E$6:$E18)),IF(E$6:$E18&gt;0,D$6:$D18))</f>
        <v>0.10616115262254543</v>
      </c>
      <c r="F32">
        <f t="array" ref="F32">1-(1-RSQ(IF(E6:$E$18&gt;0,LN(E6:$E$18)),IF(E6:$E$18&gt;0,D6:$D$18)))*((C32-1)/(C32-2))</f>
        <v>0.69938964070864151</v>
      </c>
      <c r="G32">
        <f t="shared" si="8"/>
        <v>6.5291979545891037</v>
      </c>
      <c r="I32" s="3" t="s">
        <v>52</v>
      </c>
      <c r="J32" s="5">
        <f>IF(E37="N",E40*E41/(B40*J26),NA)</f>
        <v>1.8205945226475559</v>
      </c>
    </row>
    <row r="33" spans="1:16" x14ac:dyDescent="0.45">
      <c r="I33" s="3" t="s">
        <v>53</v>
      </c>
      <c r="J33" s="5">
        <f>J35*J29</f>
        <v>0.54696844106661968</v>
      </c>
    </row>
    <row r="34" spans="1:16" x14ac:dyDescent="0.45">
      <c r="I34" s="3" t="s">
        <v>54</v>
      </c>
      <c r="J34" s="5">
        <f>J36*J30</f>
        <v>0.54621620728797937</v>
      </c>
      <c r="M34" s="3"/>
      <c r="P34" s="3"/>
    </row>
    <row r="35" spans="1:16" x14ac:dyDescent="0.4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4.4805945482679466</v>
      </c>
      <c r="M35" s="3"/>
      <c r="P35" s="3"/>
    </row>
    <row r="36" spans="1:16" x14ac:dyDescent="0.4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4.4739215528404799</v>
      </c>
      <c r="M36" s="3"/>
      <c r="P36" s="3"/>
    </row>
    <row r="37" spans="1:16" x14ac:dyDescent="0.4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J37" s="3"/>
      <c r="L37" s="45"/>
      <c r="M37" s="3"/>
      <c r="P37" s="3"/>
    </row>
    <row r="38" spans="1:16" x14ac:dyDescent="0.4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80</v>
      </c>
      <c r="J38" s="46">
        <f>K6/J24*100</f>
        <v>43.034054660763125</v>
      </c>
      <c r="M38" s="3"/>
      <c r="P38" s="3"/>
    </row>
    <row r="39" spans="1:16" x14ac:dyDescent="0.4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81</v>
      </c>
      <c r="J39" s="46">
        <f>K6/J26*100</f>
        <v>43.038969241524825</v>
      </c>
      <c r="M39" s="3"/>
      <c r="P39" s="3"/>
    </row>
    <row r="40" spans="1:16" x14ac:dyDescent="0.4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INDEX(A22:A32,MATCH(B43,C22:C32))</f>
        <v>24</v>
      </c>
    </row>
    <row r="47" spans="1:16" x14ac:dyDescent="0.4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F15D-94D6-473B-A6C9-248F07F2B05A}">
  <dimension ref="A1:Z47"/>
  <sheetViews>
    <sheetView workbookViewId="0">
      <selection activeCell="U21" sqref="U21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6.8632812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</v>
      </c>
      <c r="B5">
        <v>8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45">
      <c r="A6" t="s">
        <v>16</v>
      </c>
      <c r="B6">
        <v>8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45">
      <c r="A7" t="s">
        <v>16</v>
      </c>
      <c r="B7">
        <v>8</v>
      </c>
      <c r="C7" s="15">
        <v>1</v>
      </c>
      <c r="D7">
        <v>1</v>
      </c>
      <c r="E7" s="37">
        <v>5000</v>
      </c>
      <c r="F7" s="16" t="s">
        <v>1</v>
      </c>
      <c r="H7" s="15">
        <v>1</v>
      </c>
      <c r="I7">
        <v>5000</v>
      </c>
      <c r="J7">
        <f t="shared" si="0"/>
        <v>5000</v>
      </c>
      <c r="K7">
        <f t="shared" ref="K7:K18" si="2">(I6+I7)/2*(H7-H6)</f>
        <v>2302.75</v>
      </c>
      <c r="L7" s="16">
        <f t="shared" ref="L7:L18" si="3">(J6+J7)/2*(H7-H6)</f>
        <v>1776.375</v>
      </c>
      <c r="N7" s="15">
        <v>1</v>
      </c>
      <c r="O7">
        <v>5000</v>
      </c>
      <c r="P7">
        <f t="shared" si="1"/>
        <v>5000</v>
      </c>
      <c r="Q7">
        <f t="shared" ref="Q7:Q18" si="4">(O6+O7)/2*(N7-N6)</f>
        <v>2302.75</v>
      </c>
      <c r="R7" s="16">
        <f t="shared" ref="R7:R18" si="5">(P6+P7)/2*(N7-N6)</f>
        <v>1776.375</v>
      </c>
      <c r="T7" s="15">
        <v>1</v>
      </c>
      <c r="U7">
        <v>5000</v>
      </c>
      <c r="V7" s="16">
        <f t="shared" ref="V7:V18" si="6">(U6+U7)/2*(T7-T6)</f>
        <v>2302.75</v>
      </c>
      <c r="X7" s="15">
        <v>1</v>
      </c>
      <c r="Y7">
        <v>5000</v>
      </c>
      <c r="Z7" s="16">
        <f t="shared" ref="Z7:Z18" si="7">(Y6+Y7)/2*(X7-X6)</f>
        <v>2302.75</v>
      </c>
    </row>
    <row r="8" spans="1:26" x14ac:dyDescent="0.45">
      <c r="A8" t="s">
        <v>16</v>
      </c>
      <c r="B8">
        <v>8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1452</v>
      </c>
      <c r="L8" s="16">
        <f t="shared" si="3"/>
        <v>1553</v>
      </c>
      <c r="N8" s="15">
        <v>1.5</v>
      </c>
      <c r="O8">
        <v>808</v>
      </c>
      <c r="P8">
        <f t="shared" si="1"/>
        <v>1212</v>
      </c>
      <c r="Q8">
        <f t="shared" si="4"/>
        <v>1452</v>
      </c>
      <c r="R8" s="16">
        <f t="shared" si="5"/>
        <v>1553</v>
      </c>
      <c r="T8" s="15">
        <v>1.5</v>
      </c>
      <c r="U8">
        <v>808</v>
      </c>
      <c r="V8" s="16">
        <f t="shared" si="6"/>
        <v>1452</v>
      </c>
      <c r="X8" s="15">
        <v>1.5</v>
      </c>
      <c r="Y8">
        <v>808</v>
      </c>
      <c r="Z8" s="16">
        <f t="shared" si="7"/>
        <v>1452</v>
      </c>
    </row>
    <row r="9" spans="1:26" x14ac:dyDescent="0.45">
      <c r="A9" t="s">
        <v>16</v>
      </c>
      <c r="B9">
        <v>8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16</v>
      </c>
      <c r="B10">
        <v>8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16</v>
      </c>
      <c r="B11">
        <v>8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16</v>
      </c>
      <c r="B12">
        <v>8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16</v>
      </c>
      <c r="B13">
        <v>8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16</v>
      </c>
      <c r="B14">
        <v>8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45">
      <c r="A15" t="s">
        <v>16</v>
      </c>
      <c r="B15">
        <v>8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45">
      <c r="A16" t="s">
        <v>16</v>
      </c>
      <c r="B16">
        <v>8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45">
      <c r="A17" t="s">
        <v>16</v>
      </c>
      <c r="B17">
        <v>8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4.65" thickBot="1" x14ac:dyDescent="0.5">
      <c r="A18" t="s">
        <v>16</v>
      </c>
      <c r="B18">
        <v>8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8286</v>
      </c>
      <c r="K21" s="3" t="s">
        <v>44</v>
      </c>
      <c r="L21" s="5">
        <f>SUM(L6:L18)</f>
        <v>32678.25</v>
      </c>
      <c r="O21" s="3" t="s">
        <v>65</v>
      </c>
      <c r="P21" s="5">
        <f>SUM(Q6:INDEX(Q6:Q18,MATCH(E42,N6:N18,0)))</f>
        <v>7914</v>
      </c>
      <c r="Q21" s="3" t="s">
        <v>71</v>
      </c>
      <c r="R21" s="5">
        <f>SUM(R6:INDEX(R6:R18,MATCH(E42,N6:N18,0)))</f>
        <v>21014.25</v>
      </c>
      <c r="U21" s="3" t="s">
        <v>70</v>
      </c>
      <c r="V21" s="5">
        <f>SUM(V6:INDEX(V6:V18,MATCH(E43,T6:T18,0)))</f>
        <v>7671</v>
      </c>
      <c r="Y21" s="3" t="s">
        <v>37</v>
      </c>
      <c r="Z21" s="5">
        <f>SUM(INDEX(Z6:Z18,MATCH(E44,X6:X18,0)+1):INDEX(Z6:Z18,MATCH(E45,X6:X18,0)))</f>
        <v>722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8286</v>
      </c>
      <c r="K22" s="3" t="s">
        <v>45</v>
      </c>
      <c r="L22" s="5">
        <f>SUM(L6:INDEX(L6:L18,MATCH(B35,H6:H18,0)))</f>
        <v>32678.25</v>
      </c>
    </row>
    <row r="23" spans="1:26" x14ac:dyDescent="0.4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8375.4722305765845</v>
      </c>
      <c r="K24" s="3" t="s">
        <v>46</v>
      </c>
      <c r="L24" s="5">
        <f>L22+B35*B36/B40+B36/(B40*B40)</f>
        <v>38307.130408400946</v>
      </c>
    </row>
    <row r="25" spans="1:26" x14ac:dyDescent="0.4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1.0682649063051699</v>
      </c>
    </row>
    <row r="26" spans="1:26" x14ac:dyDescent="0.4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8374.5368292283893</v>
      </c>
      <c r="K26" s="3" t="s">
        <v>47</v>
      </c>
      <c r="L26" s="5">
        <f>L22+B35*B37/B40+B37/(B40*B40)</f>
        <v>38248.282402836376</v>
      </c>
    </row>
    <row r="27" spans="1:26" x14ac:dyDescent="0.4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1.0572146380607277</v>
      </c>
    </row>
    <row r="28" spans="1:26" x14ac:dyDescent="0.4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4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0.11939625282849968</v>
      </c>
    </row>
    <row r="30" spans="1:26" x14ac:dyDescent="0.4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0.11940958889927501</v>
      </c>
    </row>
    <row r="31" spans="1:26" x14ac:dyDescent="0.4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6.0403481816943669</v>
      </c>
      <c r="E31">
        <f t="array" ref="E31">-SLOPE(IF(E$7:$E18&gt;0,LN(E$7:$E18)),IF(E$7:$E18&gt;0,D$7:$D18))</f>
        <v>0.10002244065666972</v>
      </c>
      <c r="F31">
        <f t="array" ref="F31">1-(1-RSQ(IF(E7:$E$18&gt;0,LN(E7:$E$18)),IF(E7:$E$18&gt;0,D7:$D$18)))*((C31-1)/(C31-2))</f>
        <v>0.67844396762666359</v>
      </c>
      <c r="G31">
        <f t="shared" si="8"/>
        <v>6.9299166867882729</v>
      </c>
      <c r="I31" s="3" t="s">
        <v>51</v>
      </c>
      <c r="J31" s="5">
        <f>IF(E37="N",E40*E41/(B40*J24),E40*E41/(B40*P21))</f>
        <v>1.7804415105086091</v>
      </c>
    </row>
    <row r="32" spans="1:26" x14ac:dyDescent="0.4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6.3544554204225312</v>
      </c>
      <c r="E32">
        <f t="array" ref="E32">-SLOPE(IF(E$6:$E18&gt;0,LN(E$6:$E18)),IF(E$6:$E18&gt;0,D$6:$D18))</f>
        <v>0.11056070673392736</v>
      </c>
      <c r="F32">
        <f t="array" ref="F32">1-(1-RSQ(IF(E6:$E$18&gt;0,LN(E6:$E$18)),IF(E6:$E$18&gt;0,D6:$D$18)))*((C32-1)/(C32-2))</f>
        <v>0.65432961874842421</v>
      </c>
      <c r="G32">
        <f t="shared" si="8"/>
        <v>6.2693808771325603</v>
      </c>
      <c r="I32" s="3" t="s">
        <v>52</v>
      </c>
      <c r="J32" s="5">
        <f>IF(E37="N",E40*E41/(B40*J26),NA)</f>
        <v>1.7806403785085085</v>
      </c>
    </row>
    <row r="33" spans="1:16" x14ac:dyDescent="0.45">
      <c r="I33" s="3" t="s">
        <v>53</v>
      </c>
      <c r="J33" s="5">
        <f>J35*J29</f>
        <v>0.54608596404609921</v>
      </c>
    </row>
    <row r="34" spans="1:16" x14ac:dyDescent="0.45">
      <c r="I34" s="3" t="s">
        <v>54</v>
      </c>
      <c r="J34" s="5">
        <f>J36*J30</f>
        <v>0.54536886886517855</v>
      </c>
      <c r="M34" s="3"/>
      <c r="P34" s="3"/>
    </row>
    <row r="35" spans="1:16" x14ac:dyDescent="0.4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4.5737278273757473</v>
      </c>
      <c r="M35" s="3"/>
      <c r="P35" s="3"/>
    </row>
    <row r="36" spans="1:16" x14ac:dyDescent="0.4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4.5672116778260659</v>
      </c>
      <c r="M36" s="3"/>
      <c r="P36" s="3"/>
    </row>
    <row r="37" spans="1:16" x14ac:dyDescent="0.4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J37" s="3"/>
      <c r="L37" s="45"/>
      <c r="M37" s="3"/>
      <c r="P37" s="3"/>
    </row>
    <row r="38" spans="1:16" x14ac:dyDescent="0.4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80</v>
      </c>
      <c r="J38" s="46">
        <f>K6/J24*100</f>
        <v>25.138881033040605</v>
      </c>
      <c r="M38" s="3"/>
      <c r="P38" s="3"/>
    </row>
    <row r="39" spans="1:16" x14ac:dyDescent="0.45">
      <c r="A39" s="3" t="s">
        <v>24</v>
      </c>
      <c r="B39" s="6">
        <f>MAX(E5:E18)</f>
        <v>5000</v>
      </c>
      <c r="D39" s="3" t="s">
        <v>59</v>
      </c>
      <c r="E39" s="4">
        <v>1</v>
      </c>
      <c r="I39" s="3" t="s">
        <v>81</v>
      </c>
      <c r="J39" s="46">
        <f>K6/J26*100</f>
        <v>25.141688942742352</v>
      </c>
      <c r="M39" s="3"/>
      <c r="P39" s="3"/>
    </row>
    <row r="40" spans="1:16" x14ac:dyDescent="0.4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INDEX(A22:A32,MATCH(B43,C22:C32))</f>
        <v>24</v>
      </c>
    </row>
    <row r="47" spans="1:16" x14ac:dyDescent="0.4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39D5-764A-4D7B-8B43-1B9361572AFA}">
  <dimension ref="A1:Z47"/>
  <sheetViews>
    <sheetView workbookViewId="0">
      <selection activeCell="O26" sqref="O26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6.8632812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17</v>
      </c>
      <c r="B5">
        <v>9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45">
      <c r="A6" t="s">
        <v>17</v>
      </c>
      <c r="B6">
        <v>9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45">
      <c r="A7" t="s">
        <v>17</v>
      </c>
      <c r="B7">
        <v>9</v>
      </c>
      <c r="C7" s="15">
        <v>1</v>
      </c>
      <c r="D7">
        <v>1</v>
      </c>
      <c r="E7" s="47"/>
      <c r="F7" s="16" t="s">
        <v>1</v>
      </c>
      <c r="H7" s="15">
        <v>1</v>
      </c>
      <c r="L7" s="16"/>
      <c r="N7" s="15">
        <v>1</v>
      </c>
      <c r="R7" s="16"/>
      <c r="T7" s="15">
        <v>1</v>
      </c>
      <c r="V7" s="16"/>
      <c r="X7" s="15">
        <v>1</v>
      </c>
      <c r="Z7" s="16"/>
    </row>
    <row r="8" spans="1:26" x14ac:dyDescent="0.45">
      <c r="A8" t="s">
        <v>17</v>
      </c>
      <c r="B8">
        <v>9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>(I6+I8)/2*(H8-H6)</f>
        <v>2509.5</v>
      </c>
      <c r="L8" s="16">
        <f>(J6+J8)/2*(H8-H6)</f>
        <v>1658.75</v>
      </c>
      <c r="N8" s="15">
        <v>1.5</v>
      </c>
      <c r="O8">
        <v>808</v>
      </c>
      <c r="P8">
        <f t="shared" si="1"/>
        <v>1212</v>
      </c>
      <c r="Q8">
        <f>(O6+O8)/2*(N8-N6)</f>
        <v>2509.5</v>
      </c>
      <c r="R8" s="16">
        <f>(P6+P8)/2*(N8-N6)</f>
        <v>1658.75</v>
      </c>
      <c r="T8" s="15">
        <v>1.5</v>
      </c>
      <c r="U8">
        <v>808</v>
      </c>
      <c r="V8" s="16">
        <f>(U6+U8)/2*(T8-T6)</f>
        <v>2509.5</v>
      </c>
      <c r="X8" s="15">
        <v>1.5</v>
      </c>
      <c r="Y8">
        <v>808</v>
      </c>
      <c r="Z8" s="16">
        <f>(Y6+Y8)/2*(X8-X6)</f>
        <v>2509.5</v>
      </c>
    </row>
    <row r="9" spans="1:26" x14ac:dyDescent="0.45">
      <c r="A9" t="s">
        <v>17</v>
      </c>
      <c r="B9">
        <v>9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ref="K9:K18" si="2">(I8+I9)/2*(H9-H8)</f>
        <v>303.25</v>
      </c>
      <c r="L9" s="16">
        <f t="shared" ref="L9:L18" si="3">(J8+J9)/2*(H9-H8)</f>
        <v>505.5</v>
      </c>
      <c r="N9" s="15">
        <v>2</v>
      </c>
      <c r="O9">
        <v>405</v>
      </c>
      <c r="P9">
        <f t="shared" si="1"/>
        <v>810</v>
      </c>
      <c r="Q9">
        <f t="shared" ref="Q9:Q18" si="4">(O8+O9)/2*(N9-N8)</f>
        <v>303.25</v>
      </c>
      <c r="R9" s="16">
        <f t="shared" ref="R9:R18" si="5">(P8+P9)/2*(N9-N8)</f>
        <v>505.5</v>
      </c>
      <c r="T9" s="15">
        <v>2</v>
      </c>
      <c r="U9">
        <v>405</v>
      </c>
      <c r="V9" s="16">
        <f t="shared" ref="V9:V18" si="6">(U8+U9)/2*(T9-T8)</f>
        <v>303.25</v>
      </c>
      <c r="X9" s="15">
        <v>2</v>
      </c>
      <c r="Y9">
        <v>405</v>
      </c>
      <c r="Z9" s="16">
        <f t="shared" ref="Z9:Z18" si="7">(Y8+Y9)/2*(X9-X8)</f>
        <v>303.25</v>
      </c>
    </row>
    <row r="10" spans="1:26" x14ac:dyDescent="0.45">
      <c r="A10" t="s">
        <v>17</v>
      </c>
      <c r="B10">
        <v>9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17</v>
      </c>
      <c r="B11">
        <v>9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17</v>
      </c>
      <c r="B12">
        <v>9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17</v>
      </c>
      <c r="B13">
        <v>9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17</v>
      </c>
      <c r="B14">
        <v>9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45">
      <c r="A15" t="s">
        <v>17</v>
      </c>
      <c r="B15">
        <v>9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45">
      <c r="A16" t="s">
        <v>17</v>
      </c>
      <c r="B16">
        <v>9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45">
      <c r="A17" t="s">
        <v>17</v>
      </c>
      <c r="B17">
        <v>9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4.65" thickBot="1" x14ac:dyDescent="0.5">
      <c r="A18" t="s">
        <v>17</v>
      </c>
      <c r="B18">
        <v>9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7040.75</v>
      </c>
      <c r="K21" s="3" t="s">
        <v>44</v>
      </c>
      <c r="L21" s="5">
        <f>SUM(L6:L18)</f>
        <v>31007.625</v>
      </c>
      <c r="O21" s="3" t="s">
        <v>65</v>
      </c>
      <c r="P21" s="5">
        <f>SUM(Q6:INDEX(Q6:Q18,MATCH(E42,N6:N18,0)))</f>
        <v>6668.75</v>
      </c>
      <c r="Q21" s="3" t="s">
        <v>71</v>
      </c>
      <c r="R21" s="5">
        <f>SUM(R6:INDEX(R6:R18,MATCH(E42,N6:N18,0)))</f>
        <v>19343.625</v>
      </c>
      <c r="U21" s="3" t="s">
        <v>70</v>
      </c>
      <c r="V21" s="5">
        <f>SUM(V6:INDEX(V6:V18,MATCH(E43,T6:T18,0)))</f>
        <v>6425.75</v>
      </c>
      <c r="Y21" s="3" t="s">
        <v>37</v>
      </c>
      <c r="Z21" s="5">
        <f>SUM(INDEX(Z6:Z18,MATCH(E44,X6:X18,0)+1):INDEX(Z6:Z18,MATCH(E45,X6:X18,0)))</f>
        <v>722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7040.75</v>
      </c>
      <c r="K22" s="3" t="s">
        <v>45</v>
      </c>
      <c r="L22" s="5">
        <f>SUM(L6:INDEX(L6:L18,MATCH(B35,H6:H18,0)))</f>
        <v>31007.625</v>
      </c>
    </row>
    <row r="23" spans="1:26" x14ac:dyDescent="0.4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7130.2222305765845</v>
      </c>
      <c r="K24" s="3" t="s">
        <v>46</v>
      </c>
      <c r="L24" s="5">
        <f>L22+B35*B36/B40+B36/(B40*B40)</f>
        <v>36636.505408400946</v>
      </c>
    </row>
    <row r="25" spans="1:26" x14ac:dyDescent="0.4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1.2548308830109116</v>
      </c>
    </row>
    <row r="26" spans="1:26" x14ac:dyDescent="0.4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7129.2868292283893</v>
      </c>
      <c r="K26" s="3" t="s">
        <v>47</v>
      </c>
      <c r="L26" s="5">
        <f>L22+B35*B37/B40+B37/(B40*B40)</f>
        <v>36577.657402836376</v>
      </c>
    </row>
    <row r="27" spans="1:26" x14ac:dyDescent="0.4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1.2418749778085685</v>
      </c>
    </row>
    <row r="28" spans="1:26" x14ac:dyDescent="0.4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4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0.1402480831118689</v>
      </c>
    </row>
    <row r="30" spans="1:26" x14ac:dyDescent="0.4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0.14026648442593678</v>
      </c>
    </row>
    <row r="31" spans="1:26" x14ac:dyDescent="0.4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5.5853036654248704</v>
      </c>
      <c r="E31">
        <f t="array" ref="E31">-SLOPE(IF(E$7:$E18&gt;0,LN(E$7:$E18)),IF(E$7:$E18&gt;0,D$7:$D18))</f>
        <v>8.507707309614107E-2</v>
      </c>
      <c r="F31">
        <f t="array" ref="F31">1-(1-RSQ(IF(E7:$E$18&gt;0,LN(E7:$E$18)),IF(E7:$E$18&gt;0,D7:$D$18)))*((C31-1)/(C31-2))</f>
        <v>0.8479062835154384</v>
      </c>
      <c r="G31">
        <f t="shared" si="8"/>
        <v>8.1472852242654916</v>
      </c>
      <c r="I31" s="3" t="s">
        <v>51</v>
      </c>
      <c r="J31" s="5">
        <f>IF(E37="N",E40*E41/(B40*J24),E40*E41/(B40*P21))</f>
        <v>2.0913848050181771</v>
      </c>
    </row>
    <row r="32" spans="1:26" x14ac:dyDescent="0.4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6.0133164274004836</v>
      </c>
      <c r="E32">
        <f t="array" ref="E32">-SLOPE(IF(E$6:$E18&gt;0,LN(E$6:$E18)),IF(E$6:$E18&gt;0,D$6:$D18))</f>
        <v>9.9392796068056524E-2</v>
      </c>
      <c r="F32">
        <f t="array" ref="F32">1-(1-RSQ(IF(E6:$E$18&gt;0,LN(E6:$E$18)),IF(E6:$E$18&gt;0,D6:$D$18)))*((C32-1)/(C32-2))</f>
        <v>0.70374888828123749</v>
      </c>
      <c r="G32">
        <f t="shared" si="8"/>
        <v>6.9738170972203211</v>
      </c>
      <c r="I32" s="3" t="s">
        <v>52</v>
      </c>
      <c r="J32" s="5">
        <f>IF(E37="N",E40*E41/(B40*J26),NA)</f>
        <v>2.0916592061207098</v>
      </c>
    </row>
    <row r="33" spans="1:16" x14ac:dyDescent="0.45">
      <c r="I33" s="3" t="s">
        <v>53</v>
      </c>
      <c r="J33" s="5">
        <f>J35*J29</f>
        <v>0.72062265232234568</v>
      </c>
    </row>
    <row r="34" spans="1:16" x14ac:dyDescent="0.45">
      <c r="I34" s="3" t="s">
        <v>54</v>
      </c>
      <c r="J34" s="5">
        <f>J36*J30</f>
        <v>0.71965394790932991</v>
      </c>
      <c r="M34" s="3"/>
      <c r="P34" s="3"/>
    </row>
    <row r="35" spans="1:16" x14ac:dyDescent="0.4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5.1381996554458498</v>
      </c>
      <c r="M35" s="3"/>
      <c r="P35" s="3"/>
    </row>
    <row r="36" spans="1:16" x14ac:dyDescent="0.4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5.1306194124321989</v>
      </c>
      <c r="M36" s="3"/>
      <c r="P36" s="3"/>
    </row>
    <row r="37" spans="1:16" x14ac:dyDescent="0.4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J37" s="3"/>
      <c r="L37" s="45"/>
      <c r="M37" s="3"/>
      <c r="P37" s="3"/>
    </row>
    <row r="38" spans="1:16" x14ac:dyDescent="0.4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80</v>
      </c>
      <c r="J38" s="46">
        <f>K6/J24*100</f>
        <v>29.529233899203994</v>
      </c>
      <c r="M38" s="3"/>
      <c r="P38" s="3"/>
    </row>
    <row r="39" spans="1:16" x14ac:dyDescent="0.4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81</v>
      </c>
      <c r="J39" s="46">
        <f>K6/J26*100</f>
        <v>29.533108295880989</v>
      </c>
      <c r="M39" s="3"/>
      <c r="P39" s="3"/>
    </row>
    <row r="40" spans="1:16" x14ac:dyDescent="0.4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INDEX(A22:A32,MATCH(B43,C22:C32))</f>
        <v>24</v>
      </c>
    </row>
    <row r="47" spans="1:16" x14ac:dyDescent="0.4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BAF6-7DD9-45AE-9D1F-59E45F5111B1}">
  <dimension ref="A1:Z47"/>
  <sheetViews>
    <sheetView topLeftCell="A13" workbookViewId="0">
      <selection activeCell="O31" sqref="O31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6.8632812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15</v>
      </c>
      <c r="B5">
        <v>10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45">
      <c r="A6" t="s">
        <v>15</v>
      </c>
      <c r="B6">
        <v>10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45">
      <c r="A7" t="s">
        <v>18</v>
      </c>
      <c r="B7">
        <v>10</v>
      </c>
      <c r="C7" s="15">
        <v>1</v>
      </c>
      <c r="D7">
        <v>1</v>
      </c>
      <c r="E7" s="37">
        <v>0</v>
      </c>
      <c r="F7" s="16">
        <v>1</v>
      </c>
      <c r="H7" s="15">
        <v>1</v>
      </c>
      <c r="I7">
        <v>0</v>
      </c>
      <c r="J7">
        <f t="shared" si="0"/>
        <v>0</v>
      </c>
      <c r="K7">
        <f t="shared" ref="K7:K18" si="2">(I6+I7)/2*(H7-H6)</f>
        <v>1052.75</v>
      </c>
      <c r="L7" s="16">
        <f t="shared" ref="L7:L18" si="3">(J6+J7)/2*(H7-H6)</f>
        <v>526.375</v>
      </c>
      <c r="N7" s="15">
        <v>1</v>
      </c>
      <c r="O7">
        <v>0</v>
      </c>
      <c r="P7">
        <f t="shared" si="1"/>
        <v>0</v>
      </c>
      <c r="Q7">
        <f t="shared" ref="Q7:Q18" si="4">(O6+O7)/2*(N7-N6)</f>
        <v>1052.75</v>
      </c>
      <c r="R7" s="16">
        <f t="shared" ref="R7:R18" si="5">(P6+P7)/2*(N7-N6)</f>
        <v>526.375</v>
      </c>
      <c r="T7" s="15">
        <v>1</v>
      </c>
      <c r="U7">
        <v>0</v>
      </c>
      <c r="V7" s="16">
        <f t="shared" ref="V7:V18" si="6">(U6+U7)/2*(T7-T6)</f>
        <v>1052.75</v>
      </c>
      <c r="X7" s="15">
        <v>1</v>
      </c>
      <c r="Y7">
        <v>0</v>
      </c>
      <c r="Z7" s="16">
        <f t="shared" ref="Z7:Z18" si="7">(Y6+Y7)/2*(X7-X6)</f>
        <v>1052.75</v>
      </c>
    </row>
    <row r="8" spans="1:26" x14ac:dyDescent="0.45">
      <c r="A8" t="s">
        <v>18</v>
      </c>
      <c r="B8">
        <v>10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202</v>
      </c>
      <c r="L8" s="16">
        <f t="shared" si="3"/>
        <v>303</v>
      </c>
      <c r="N8" s="15">
        <v>1.5</v>
      </c>
      <c r="O8">
        <v>808</v>
      </c>
      <c r="P8">
        <f t="shared" si="1"/>
        <v>1212</v>
      </c>
      <c r="Q8">
        <f t="shared" si="4"/>
        <v>202</v>
      </c>
      <c r="R8" s="16">
        <f t="shared" si="5"/>
        <v>303</v>
      </c>
      <c r="T8" s="15">
        <v>1.5</v>
      </c>
      <c r="U8">
        <v>808</v>
      </c>
      <c r="V8" s="16">
        <f t="shared" si="6"/>
        <v>202</v>
      </c>
      <c r="X8" s="15">
        <v>1.5</v>
      </c>
      <c r="Y8">
        <v>808</v>
      </c>
      <c r="Z8" s="16">
        <f t="shared" si="7"/>
        <v>202</v>
      </c>
    </row>
    <row r="9" spans="1:26" x14ac:dyDescent="0.45">
      <c r="A9" t="s">
        <v>18</v>
      </c>
      <c r="B9">
        <v>10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18</v>
      </c>
      <c r="B10">
        <v>10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18</v>
      </c>
      <c r="B11">
        <v>10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18</v>
      </c>
      <c r="B12">
        <v>10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18</v>
      </c>
      <c r="B13">
        <v>10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18</v>
      </c>
      <c r="B14">
        <v>10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45">
      <c r="A15" t="s">
        <v>18</v>
      </c>
      <c r="B15">
        <v>10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45">
      <c r="A16" t="s">
        <v>18</v>
      </c>
      <c r="B16">
        <v>10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45">
      <c r="A17" t="s">
        <v>18</v>
      </c>
      <c r="B17">
        <v>10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4.65" thickBot="1" x14ac:dyDescent="0.5">
      <c r="A18" t="s">
        <v>18</v>
      </c>
      <c r="B18">
        <v>10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5786</v>
      </c>
      <c r="K21" s="3" t="s">
        <v>44</v>
      </c>
      <c r="L21" s="5">
        <f>SUM(L6:L18)</f>
        <v>30178.25</v>
      </c>
      <c r="O21" s="3" t="s">
        <v>65</v>
      </c>
      <c r="P21" s="5">
        <f>SUM(Q6:INDEX(Q6:Q18,MATCH(E42,N6:N18,0)))</f>
        <v>5414</v>
      </c>
      <c r="Q21" s="3" t="s">
        <v>71</v>
      </c>
      <c r="R21" s="5">
        <f>SUM(R6:INDEX(R6:R18,MATCH(E42,N6:N18,0)))</f>
        <v>18514.25</v>
      </c>
      <c r="U21" s="3" t="s">
        <v>70</v>
      </c>
      <c r="V21" s="5">
        <f>SUM(V6:INDEX(V6:V18,MATCH(E43,T6:T18,0)))</f>
        <v>5171</v>
      </c>
      <c r="Y21" s="3" t="s">
        <v>37</v>
      </c>
      <c r="Z21" s="5">
        <f>SUM(INDEX(Z6:Z18,MATCH(E44,X6:X18,0)+1):INDEX(Z6:Z18,MATCH(E45,X6:X18,0)))</f>
        <v>722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5786</v>
      </c>
      <c r="K22" s="3" t="s">
        <v>45</v>
      </c>
      <c r="L22" s="5">
        <f>SUM(L6:INDEX(L6:L18,MATCH(B35,H6:H18,0)))</f>
        <v>30178.25</v>
      </c>
    </row>
    <row r="23" spans="1:26" x14ac:dyDescent="0.4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5875.4722305765845</v>
      </c>
      <c r="K24" s="3" t="s">
        <v>46</v>
      </c>
      <c r="L24" s="5">
        <f>L22+B35*B36/B40+B36/(B40*B40)</f>
        <v>35807.130408400946</v>
      </c>
    </row>
    <row r="25" spans="1:26" x14ac:dyDescent="0.4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1.522809181378842</v>
      </c>
    </row>
    <row r="26" spans="1:26" x14ac:dyDescent="0.4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5874.5368292283893</v>
      </c>
      <c r="K26" s="3" t="s">
        <v>47</v>
      </c>
      <c r="L26" s="5">
        <f>L22+B35*B37/B40+B37/(B40*B40)</f>
        <v>35748.282402836376</v>
      </c>
    </row>
    <row r="27" spans="1:26" x14ac:dyDescent="0.4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1.5071286775815211</v>
      </c>
    </row>
    <row r="28" spans="1:26" x14ac:dyDescent="0.4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4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0.17019908541068296</v>
      </c>
    </row>
    <row r="30" spans="1:26" x14ac:dyDescent="0.4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0.17022618617770219</v>
      </c>
    </row>
    <row r="31" spans="1:26" x14ac:dyDescent="0.4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5.5853036654248704</v>
      </c>
      <c r="E31">
        <f t="array" ref="E31">-SLOPE(IF(E$7:$E18&gt;0,LN(E$7:$E18)),IF(E$7:$E18&gt;0,D$7:$D18))</f>
        <v>8.507707309614107E-2</v>
      </c>
      <c r="F31">
        <f t="array" ref="F31">1-(1-RSQ(IF(E7:$E$18&gt;0,LN(E7:$E$18)),IF(E7:$E$18&gt;0,D7:$D$18)))*((C31-1)/(C31-2))</f>
        <v>0.8479062835154384</v>
      </c>
      <c r="G31">
        <f t="shared" si="8"/>
        <v>8.1472852242654916</v>
      </c>
      <c r="I31" s="3" t="s">
        <v>51</v>
      </c>
      <c r="J31" s="5">
        <f>IF(E37="N",E40*E41/(B40*J24),E40*E41/(B40*P21))</f>
        <v>2.5380153022980596</v>
      </c>
    </row>
    <row r="32" spans="1:26" x14ac:dyDescent="0.4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6.0133164274004836</v>
      </c>
      <c r="E32">
        <f t="array" ref="E32">-SLOPE(IF(E$6:$E18&gt;0,LN(E$6:$E18)),IF(E$6:$E18&gt;0,D$6:$D18))</f>
        <v>9.9392796068056524E-2</v>
      </c>
      <c r="F32">
        <f t="array" ref="F32">1-(1-RSQ(IF(E6:$E$18&gt;0,LN(E6:$E$18)),IF(E6:$E$18&gt;0,D6:$D$18)))*((C32-1)/(C32-2))</f>
        <v>0.70374888828123749</v>
      </c>
      <c r="G32">
        <f t="shared" si="8"/>
        <v>6.9738170972203211</v>
      </c>
      <c r="I32" s="3" t="s">
        <v>52</v>
      </c>
      <c r="J32" s="5">
        <f>IF(E37="N",E40*E41/(B40*J26),NA)</f>
        <v>2.5384194299773171</v>
      </c>
    </row>
    <row r="33" spans="1:16" x14ac:dyDescent="0.45">
      <c r="I33" s="3" t="s">
        <v>53</v>
      </c>
      <c r="J33" s="5">
        <f>J35*J29</f>
        <v>1.0372512382877577</v>
      </c>
    </row>
    <row r="34" spans="1:16" x14ac:dyDescent="0.45">
      <c r="I34" s="3" t="s">
        <v>54</v>
      </c>
      <c r="J34" s="5">
        <f>J36*J30</f>
        <v>1.0358763512318627</v>
      </c>
      <c r="M34" s="3"/>
      <c r="P34" s="3"/>
    </row>
    <row r="35" spans="1:16" x14ac:dyDescent="0.4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6.0943408466908959</v>
      </c>
      <c r="M35" s="3"/>
      <c r="P35" s="3"/>
    </row>
    <row r="36" spans="1:16" x14ac:dyDescent="0.4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6.0852937758382994</v>
      </c>
      <c r="M36" s="3"/>
      <c r="P36" s="3"/>
    </row>
    <row r="37" spans="1:16" x14ac:dyDescent="0.4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J37" s="3"/>
      <c r="L37" s="45"/>
      <c r="M37" s="3"/>
      <c r="P37" s="3"/>
    </row>
    <row r="38" spans="1:16" x14ac:dyDescent="0.4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80</v>
      </c>
      <c r="J38" s="46">
        <f>K6/J24*100</f>
        <v>35.835417433219298</v>
      </c>
      <c r="M38" s="3"/>
      <c r="P38" s="3"/>
    </row>
    <row r="39" spans="1:16" x14ac:dyDescent="0.4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81</v>
      </c>
      <c r="J39" s="46">
        <f>K6/J26*100</f>
        <v>35.841123499715195</v>
      </c>
      <c r="M39" s="3"/>
      <c r="P39" s="3"/>
    </row>
    <row r="40" spans="1:16" x14ac:dyDescent="0.4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INDEX(A22:A32,MATCH(B43,C22:C32))</f>
        <v>24</v>
      </c>
    </row>
    <row r="47" spans="1:16" x14ac:dyDescent="0.4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FF7B-63AD-40C9-B471-51C100E47C9A}">
  <dimension ref="A1:Z42"/>
  <sheetViews>
    <sheetView topLeftCell="A10" workbookViewId="0">
      <selection activeCell="E29" sqref="E29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9</v>
      </c>
      <c r="B5">
        <v>11</v>
      </c>
      <c r="C5" s="15">
        <v>0</v>
      </c>
      <c r="D5" s="8">
        <v>0.25</v>
      </c>
      <c r="E5" s="2">
        <v>1.1000000000000001</v>
      </c>
      <c r="F5" s="16" t="s">
        <v>1</v>
      </c>
      <c r="H5" s="38">
        <v>0</v>
      </c>
      <c r="I5" s="2"/>
      <c r="J5" s="37">
        <f>I5*H5</f>
        <v>0</v>
      </c>
      <c r="L5" s="16"/>
      <c r="N5" s="38">
        <v>0</v>
      </c>
      <c r="O5" s="2"/>
      <c r="P5">
        <f>O5*N5</f>
        <v>0</v>
      </c>
      <c r="R5" s="16"/>
      <c r="T5" s="38">
        <v>0</v>
      </c>
      <c r="U5" s="2"/>
      <c r="V5" s="28"/>
      <c r="X5" s="38">
        <v>0</v>
      </c>
      <c r="Y5" s="2"/>
      <c r="Z5" s="16"/>
    </row>
    <row r="6" spans="1:26" x14ac:dyDescent="0.45">
      <c r="A6" t="s">
        <v>9</v>
      </c>
      <c r="B6">
        <v>11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9</v>
      </c>
      <c r="B7">
        <v>11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9</v>
      </c>
      <c r="B8">
        <v>11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9</v>
      </c>
      <c r="B9">
        <v>11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9</v>
      </c>
      <c r="B10">
        <v>11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9</v>
      </c>
      <c r="B11">
        <v>11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9</v>
      </c>
      <c r="B12">
        <v>11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9</v>
      </c>
      <c r="B13">
        <v>11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9</v>
      </c>
      <c r="B14">
        <v>11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9</v>
      </c>
      <c r="B15">
        <v>11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9</v>
      </c>
      <c r="B16">
        <v>11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9</v>
      </c>
      <c r="B17">
        <v>11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9</v>
      </c>
      <c r="B18">
        <v>11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 t="s">
        <v>84</v>
      </c>
      <c r="K21" s="3" t="s">
        <v>44</v>
      </c>
      <c r="L21" s="5" t="s">
        <v>84</v>
      </c>
      <c r="O21" s="3" t="s">
        <v>65</v>
      </c>
      <c r="P21" s="5" t="s">
        <v>84</v>
      </c>
      <c r="Q21" s="3" t="s">
        <v>71</v>
      </c>
      <c r="R21" s="5" t="s">
        <v>84</v>
      </c>
      <c r="U21" s="3" t="s">
        <v>70</v>
      </c>
      <c r="V21" s="5" t="s">
        <v>84</v>
      </c>
      <c r="Y21" s="3" t="s">
        <v>37</v>
      </c>
      <c r="Z21" s="6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 t="s">
        <v>84</v>
      </c>
      <c r="K22" s="3" t="s">
        <v>45</v>
      </c>
      <c r="L22" s="5" t="s">
        <v>84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 t="s">
        <v>84</v>
      </c>
      <c r="K24" s="3" t="s">
        <v>46</v>
      </c>
      <c r="L24" s="5" t="s">
        <v>84</v>
      </c>
    </row>
    <row r="25" spans="1:26" ht="14.65" thickBot="1" x14ac:dyDescent="0.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 t="s">
        <v>84</v>
      </c>
      <c r="P25" s="3" t="s">
        <v>82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 t="s">
        <v>84</v>
      </c>
      <c r="K26" s="3" t="s">
        <v>47</v>
      </c>
      <c r="L26" s="5" t="s">
        <v>84</v>
      </c>
      <c r="P26" s="54" t="s">
        <v>83</v>
      </c>
      <c r="Q26" s="55"/>
      <c r="R26" s="55"/>
      <c r="S26" s="55"/>
      <c r="T26" s="55"/>
      <c r="U26" s="55"/>
      <c r="V26" s="55"/>
      <c r="W26" s="55"/>
      <c r="X26" s="55"/>
      <c r="Y26" s="55"/>
      <c r="Z26" s="56"/>
    </row>
    <row r="27" spans="1:26" x14ac:dyDescent="0.45">
      <c r="E27" s="1"/>
      <c r="I27" s="3" t="s">
        <v>43</v>
      </c>
      <c r="J27" s="5" t="s">
        <v>84</v>
      </c>
      <c r="P27" s="57"/>
      <c r="Q27" s="58"/>
      <c r="R27" s="58"/>
      <c r="S27" s="58"/>
      <c r="T27" s="58"/>
      <c r="U27" s="58"/>
      <c r="V27" s="58"/>
      <c r="W27" s="58"/>
      <c r="X27" s="58"/>
      <c r="Y27" s="58"/>
      <c r="Z27" s="59"/>
    </row>
    <row r="28" spans="1:26" ht="14.65" thickBot="1" x14ac:dyDescent="0.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60"/>
      <c r="Q28" s="61"/>
      <c r="R28" s="61"/>
      <c r="S28" s="61"/>
      <c r="T28" s="61"/>
      <c r="U28" s="61"/>
      <c r="V28" s="61"/>
      <c r="W28" s="61"/>
      <c r="X28" s="61"/>
      <c r="Y28" s="61"/>
      <c r="Z28" s="62"/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 t="s">
        <v>84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 t="s">
        <v>84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 t="s">
        <v>84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 t="s">
        <v>84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 t="s">
        <v>84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 t="s">
        <v>84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 t="s">
        <v>84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 t="s">
        <v>84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mergeCells count="1">
    <mergeCell ref="P26:Z2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28FE-A719-4411-900F-3B2B1D976EC1}">
  <dimension ref="A1:Z42"/>
  <sheetViews>
    <sheetView topLeftCell="A10" workbookViewId="0">
      <selection activeCell="E29" sqref="E29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10</v>
      </c>
      <c r="B5">
        <v>12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45">
      <c r="A6" t="s">
        <v>10</v>
      </c>
      <c r="B6">
        <v>12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45">
      <c r="A7" t="s">
        <v>10</v>
      </c>
      <c r="B7">
        <v>12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10</v>
      </c>
      <c r="B8">
        <v>12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10</v>
      </c>
      <c r="B9">
        <v>12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10</v>
      </c>
      <c r="B10">
        <v>12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10</v>
      </c>
      <c r="B11">
        <v>12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10</v>
      </c>
      <c r="B12">
        <v>12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10</v>
      </c>
      <c r="B13">
        <v>12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10</v>
      </c>
      <c r="B14">
        <v>12</v>
      </c>
      <c r="C14" s="15">
        <v>12</v>
      </c>
      <c r="D14" s="8">
        <v>12.5</v>
      </c>
      <c r="E14" s="2">
        <v>3.72</v>
      </c>
      <c r="F14" s="16" t="s">
        <v>1</v>
      </c>
      <c r="H14" s="38">
        <v>12.5</v>
      </c>
      <c r="I14" s="2">
        <v>3.72</v>
      </c>
      <c r="J14">
        <f t="shared" si="0"/>
        <v>46.5</v>
      </c>
      <c r="K14">
        <f t="shared" si="2"/>
        <v>9.7625000000000011</v>
      </c>
      <c r="L14" s="16">
        <f t="shared" si="3"/>
        <v>109.25</v>
      </c>
      <c r="N14" s="38">
        <v>12.5</v>
      </c>
      <c r="O14" s="2">
        <v>3.72</v>
      </c>
      <c r="P14">
        <f t="shared" si="1"/>
        <v>46.5</v>
      </c>
      <c r="Q14">
        <f t="shared" si="4"/>
        <v>9.7625000000000011</v>
      </c>
      <c r="R14" s="16">
        <f t="shared" si="5"/>
        <v>109.25</v>
      </c>
      <c r="T14" s="38">
        <v>12.5</v>
      </c>
      <c r="U14" s="11">
        <v>3.72</v>
      </c>
      <c r="V14" s="28">
        <f t="shared" si="6"/>
        <v>9.7625000000000011</v>
      </c>
      <c r="X14" s="38">
        <v>12</v>
      </c>
      <c r="Y14" s="8">
        <f>E13+((E14-E13)*(C14-D13)/(D14-D13))</f>
        <v>3.794</v>
      </c>
      <c r="Z14" s="16">
        <f t="shared" si="7"/>
        <v>7.8840000000000003</v>
      </c>
    </row>
    <row r="15" spans="1:26" x14ac:dyDescent="0.45">
      <c r="A15" t="s">
        <v>10</v>
      </c>
      <c r="B15">
        <v>12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16.994999999999997</v>
      </c>
      <c r="L15" s="16">
        <f t="shared" si="3"/>
        <v>249.64500000000001</v>
      </c>
      <c r="N15" s="20">
        <v>18</v>
      </c>
      <c r="O15" s="2">
        <v>2.46</v>
      </c>
      <c r="P15">
        <f t="shared" si="1"/>
        <v>44.28</v>
      </c>
      <c r="Q15">
        <f t="shared" si="4"/>
        <v>16.994999999999997</v>
      </c>
      <c r="R15" s="16">
        <f t="shared" si="5"/>
        <v>249.64500000000001</v>
      </c>
      <c r="T15" s="19">
        <v>18</v>
      </c>
      <c r="U15" s="11">
        <v>2.46</v>
      </c>
      <c r="V15" s="28">
        <f t="shared" si="6"/>
        <v>16.994999999999997</v>
      </c>
      <c r="X15" s="20">
        <v>18</v>
      </c>
      <c r="Y15" s="2">
        <v>2.46</v>
      </c>
      <c r="Z15" s="16">
        <f t="shared" si="7"/>
        <v>18.762</v>
      </c>
    </row>
    <row r="16" spans="1:26" x14ac:dyDescent="0.45">
      <c r="A16" t="s">
        <v>10</v>
      </c>
      <c r="B16">
        <v>12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10</v>
      </c>
      <c r="B17">
        <v>12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10</v>
      </c>
      <c r="B18">
        <v>12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87.322499999999991</v>
      </c>
      <c r="K21" s="3" t="s">
        <v>44</v>
      </c>
      <c r="L21" s="5">
        <f>SUM(L6:L18)</f>
        <v>1221.9099999999999</v>
      </c>
      <c r="O21" s="3" t="s">
        <v>65</v>
      </c>
      <c r="P21" s="5">
        <f>SUM(Q6:INDEX(Q6:Q18,MATCH(E35,N6:N18,0)))</f>
        <v>72.802499999999995</v>
      </c>
      <c r="Q21" s="3" t="s">
        <v>71</v>
      </c>
      <c r="R21" s="5">
        <f>SUM(R6:INDEX(R6:R18,MATCH(E35,N6:N18,0)))</f>
        <v>795.67</v>
      </c>
      <c r="U21" s="3" t="s">
        <v>70</v>
      </c>
      <c r="V21" s="5">
        <f>SUM(V6:INDEX(V6:V18,MATCH(E36,T6:T18,0)))</f>
        <v>61.072499999999998</v>
      </c>
      <c r="Y21" s="3" t="s">
        <v>37</v>
      </c>
      <c r="Z21" s="5">
        <f>SUM(INDEX(Z6:Z18,MATCH(E37,X6:X18,0)+1):INDEX(Z6:Z18,MATCH(E38,X6:X18,0)))</f>
        <v>32.884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87.322499999999991</v>
      </c>
      <c r="K22" s="3" t="s">
        <v>45</v>
      </c>
      <c r="L22" s="5">
        <f>SUM(L6:INDEX(L6:L18,MATCH(B28,H6:H18,0)))</f>
        <v>1221.9099999999999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2.6737180427136256</v>
      </c>
      <c r="E24">
        <f t="array" ref="E24">-SLOPE(IF(E14:$E$18&gt;0,LN(E14:$E$18)),IF(E14:$E$18&gt;0,D14:$D$18))</f>
        <v>9.9887268031700865E-2</v>
      </c>
      <c r="F24">
        <f t="array" ref="F24">1-(1-RSQ(IF(E14:$E$18&gt;0,LN(E14:$E$18)),IF(E14:$E$18&gt;0,D14:$D$18)))*((C24-1)/(C24-2))</f>
        <v>0.99421433480950405</v>
      </c>
      <c r="G24">
        <f t="shared" si="8"/>
        <v>6.9392946089982521</v>
      </c>
      <c r="I24" s="3" t="s">
        <v>38</v>
      </c>
      <c r="J24" s="5">
        <f>J22+B29/B33</f>
        <v>88.346216696915391</v>
      </c>
      <c r="K24" s="3" t="s">
        <v>46</v>
      </c>
      <c r="L24" s="5">
        <f>L22+B28*B29/B33+B29/(B33*B33)</f>
        <v>1280.5756366841513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2.5393924333001934</v>
      </c>
      <c r="E25">
        <f t="array" ref="E25">-SLOPE(IF(E$13:$E19&gt;0,LN(E$13:$E19)),IF(E$13:$E19&gt;0,D$13:$D19))</f>
        <v>9.6253239316962225E-2</v>
      </c>
      <c r="F25">
        <f t="array" ref="F25">1-(1-RSQ(IF(E13:$E$18&gt;0,LN(E13:$E$18)),IF(E13:$E$18&gt;0,D13:$D$18)))*((C25-1)/(C25-2))</f>
        <v>0.99003534676991523</v>
      </c>
      <c r="G25">
        <f t="shared" si="8"/>
        <v>7.2012867876312132</v>
      </c>
      <c r="I25" s="3" t="s">
        <v>39</v>
      </c>
      <c r="J25" s="5">
        <f>(J24-J22)/J24*100</f>
        <v>1.1587555587438567</v>
      </c>
      <c r="P25" s="3"/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2.4204075796085651</v>
      </c>
      <c r="E26">
        <f t="array" ref="E26">-SLOPE(IF(E$12:$E20&gt;0,LN(E$12:$E20)),IF(E$12:$E20&gt;0,D$12:$D20))</f>
        <v>9.2902022951514562E-2</v>
      </c>
      <c r="F26">
        <f t="array" ref="F26">1-(1-RSQ(IF(E12:$E$18&gt;0,LN(E12:$E$18)),IF(E12:$E$18&gt;0,D12:$D$18)))*((C26-1)/(C26-2))</f>
        <v>0.98471174399058692</v>
      </c>
      <c r="G26">
        <f t="shared" si="8"/>
        <v>7.4610558364450021</v>
      </c>
      <c r="I26" s="3" t="s">
        <v>42</v>
      </c>
      <c r="J26" s="5">
        <f>J22+B30/B33</f>
        <v>88.371742380339441</v>
      </c>
      <c r="K26" s="3" t="s">
        <v>47</v>
      </c>
      <c r="L26" s="5">
        <f>L22+B28*B30/B33+B30/(B33*B33)</f>
        <v>1282.0384246550639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45">
      <c r="E27" s="1"/>
      <c r="I27" s="3" t="s">
        <v>43</v>
      </c>
      <c r="J27" s="5">
        <f>(J26-J22)/J26*100</f>
        <v>1.1873052992705064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11.319103832489468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11.315834372667927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105.34141443125937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105.31098715299387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164.07005459793854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164.16259408301923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14.494968596984217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14.507334472792811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9313-DC8A-47D5-BF5D-D5114A15377B}">
  <dimension ref="A1:Z42"/>
  <sheetViews>
    <sheetView topLeftCell="A10" workbookViewId="0">
      <selection activeCell="E29" sqref="E29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11</v>
      </c>
      <c r="B5">
        <v>13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45">
      <c r="A6" t="s">
        <v>11</v>
      </c>
      <c r="B6">
        <v>13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6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45">
      <c r="A7" t="s">
        <v>11</v>
      </c>
      <c r="B7">
        <v>13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6" si="2">(I6+I7)/2*(H7-H6)</f>
        <v>0.54499999999999993</v>
      </c>
      <c r="L7" s="16">
        <f t="shared" ref="L7:L16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6" si="6">(U6+U7)/2*(T7-T6)</f>
        <v>0.54499999999999993</v>
      </c>
      <c r="X7" s="20">
        <v>1</v>
      </c>
      <c r="Y7" s="2">
        <v>1.42</v>
      </c>
      <c r="Z7" s="16">
        <f t="shared" ref="Z7:Z16" si="7">(Y6+Y7)/2*(X7-X6)</f>
        <v>0.54499999999999993</v>
      </c>
    </row>
    <row r="8" spans="1:26" x14ac:dyDescent="0.45">
      <c r="A8" t="s">
        <v>11</v>
      </c>
      <c r="B8">
        <v>13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11</v>
      </c>
      <c r="B9">
        <v>13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11</v>
      </c>
      <c r="B10">
        <v>13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11</v>
      </c>
      <c r="B11">
        <v>13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11</v>
      </c>
      <c r="B12">
        <v>13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11</v>
      </c>
      <c r="B13">
        <v>13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11</v>
      </c>
      <c r="B14">
        <v>13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11</v>
      </c>
      <c r="B15">
        <v>13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11</v>
      </c>
      <c r="B16">
        <v>13</v>
      </c>
      <c r="C16" s="15">
        <v>24</v>
      </c>
      <c r="D16" s="8">
        <v>23.1</v>
      </c>
      <c r="E16" s="2">
        <v>1.45</v>
      </c>
      <c r="F16" s="16" t="s">
        <v>1</v>
      </c>
      <c r="H16" s="38">
        <v>23.1</v>
      </c>
      <c r="I16" s="2">
        <v>1.45</v>
      </c>
      <c r="J16">
        <f t="shared" si="0"/>
        <v>33.495000000000005</v>
      </c>
      <c r="K16">
        <f t="shared" si="2"/>
        <v>9.970500000000003</v>
      </c>
      <c r="L16" s="16">
        <f t="shared" si="3"/>
        <v>198.32625000000007</v>
      </c>
      <c r="N16" s="38">
        <v>24</v>
      </c>
      <c r="O16" s="8">
        <f>E16*EXP(-1*B33*(E35-D16))</f>
        <v>1.3507284728562157</v>
      </c>
      <c r="P16" s="37">
        <f t="shared" si="1"/>
        <v>32.417483348549176</v>
      </c>
      <c r="Q16">
        <f t="shared" si="4"/>
        <v>11.432185418568647</v>
      </c>
      <c r="R16" s="16">
        <f t="shared" si="5"/>
        <v>230.09245004564755</v>
      </c>
      <c r="T16" s="38">
        <v>23.1</v>
      </c>
      <c r="U16" s="11">
        <v>1.45</v>
      </c>
      <c r="V16" s="28">
        <f t="shared" si="6"/>
        <v>9.970500000000003</v>
      </c>
      <c r="X16" s="38">
        <v>23.1</v>
      </c>
      <c r="Y16" s="2">
        <v>1.45</v>
      </c>
      <c r="Z16" s="16">
        <f t="shared" si="7"/>
        <v>9.970500000000003</v>
      </c>
    </row>
    <row r="17" spans="1:26" x14ac:dyDescent="0.4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4.65" thickBot="1" x14ac:dyDescent="0.5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70.635500000000008</v>
      </c>
      <c r="K21" s="3" t="s">
        <v>44</v>
      </c>
      <c r="L21" s="5">
        <f>SUM(L6:L18)</f>
        <v>750.16125</v>
      </c>
      <c r="O21" s="3" t="s">
        <v>65</v>
      </c>
      <c r="P21" s="5">
        <f>SUM(Q6:INDEX(Q6:Q18,MATCH(E35,N6:N18,0)))</f>
        <v>72.097185418568642</v>
      </c>
      <c r="Q21" s="3" t="s">
        <v>71</v>
      </c>
      <c r="R21" s="5">
        <f>SUM(R6:INDEX(R6:R18,MATCH(E35,N6:N18,0)))</f>
        <v>781.92745004564745</v>
      </c>
      <c r="U21" s="3" t="s">
        <v>70</v>
      </c>
      <c r="V21" s="5">
        <f>SUM(V6:INDEX(V6:V18,MATCH(E36,T6:T18,0)))</f>
        <v>60.664999999999999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I22" s="3" t="s">
        <v>22</v>
      </c>
      <c r="J22" s="5">
        <f>SUM(K6:INDEX(K6:K18,MATCH(B28,H6:H18,0)))</f>
        <v>70.635500000000008</v>
      </c>
      <c r="K22" s="3" t="s">
        <v>45</v>
      </c>
      <c r="L22" s="5">
        <f>SUM(L6:INDEX(L6:L18,MATCH(B28,H6:H18,0)))</f>
        <v>750.16125</v>
      </c>
    </row>
    <row r="24" spans="1:26" x14ac:dyDescent="0.45">
      <c r="A24">
        <v>12</v>
      </c>
      <c r="B24">
        <f t="array" ref="B24">MAX(IF(dvcorr&gt;0,tadcorr))</f>
        <v>23.1</v>
      </c>
      <c r="C24">
        <v>3</v>
      </c>
      <c r="D24">
        <f t="array" ref="D24">INTERCEPT(IF(E14:E18&gt;0,LN(E14:E18)),IF(E14:E18&gt;0,D14:D18))</f>
        <v>2.3559477011305221</v>
      </c>
      <c r="E24">
        <f t="array" ref="E24">-SLOPE(IF(E14:$E$18&gt;0,LN(E14:$E$18)),IF(E14:$E$18&gt;0,D14:$D$18))</f>
        <v>8.441420958059806E-2</v>
      </c>
      <c r="F24">
        <f t="array" ref="F24">1-(1-RSQ(IF(E14:$E$18&gt;0,LN(E14:$E$18)),IF(E14:$E$18&gt;0,D14:$D$18)))*((C24-1)/(C24-2))</f>
        <v>0.97267491589379484</v>
      </c>
      <c r="G24">
        <f t="shared" ref="G24:G26" si="8">LN(2)/E24</f>
        <v>8.2112618717128836</v>
      </c>
      <c r="I24" s="3" t="s">
        <v>38</v>
      </c>
      <c r="J24" s="5">
        <f>J22+B29/B33</f>
        <v>89.036644961197766</v>
      </c>
      <c r="K24" s="3" t="s">
        <v>46</v>
      </c>
      <c r="L24" s="5">
        <f>L22+B28*B29/B33+B29/(B33*B33)</f>
        <v>1408.7464130057465</v>
      </c>
    </row>
    <row r="25" spans="1:26" x14ac:dyDescent="0.45">
      <c r="A25">
        <v>10</v>
      </c>
      <c r="B25">
        <f t="array" ref="B25">MAX(IF(dvcorr&gt;0,tadcorr))</f>
        <v>23.1</v>
      </c>
      <c r="C25">
        <v>4</v>
      </c>
      <c r="D25">
        <f t="array" ref="D25">INTERCEPT(IF(E13:E18&gt;0,LN(E13:E18)),IF(E13:E18&gt;0,D13:D18))</f>
        <v>2.2415596222181682</v>
      </c>
      <c r="E25">
        <f t="array" ref="E25">-SLOPE(IF(E$13:$E19&gt;0,LN(E$13:$E19)),IF(E$13:$E19&gt;0,D$13:$D19))</f>
        <v>7.8799444439875646E-2</v>
      </c>
      <c r="F25">
        <f t="array" ref="F25">1-(1-RSQ(IF(E13:$E$18&gt;0,LN(E13:$E$18)),IF(E13:$E$18&gt;0,D13:$D$18)))*((C25-1)/(C25-2))</f>
        <v>0.97595687019840682</v>
      </c>
      <c r="G25">
        <f t="shared" si="8"/>
        <v>8.7963460337441841</v>
      </c>
      <c r="I25" s="3" t="s">
        <v>39</v>
      </c>
      <c r="J25" s="5">
        <f>(J24-J22)/J24*100</f>
        <v>20.666934349578188</v>
      </c>
      <c r="P25" s="3"/>
    </row>
    <row r="26" spans="1:26" x14ac:dyDescent="0.45">
      <c r="A26">
        <v>8</v>
      </c>
      <c r="B26">
        <f t="array" ref="B26">MAX(IF(dvcorr&gt;0,tadcorr))</f>
        <v>23.1</v>
      </c>
      <c r="C26">
        <v>5</v>
      </c>
      <c r="D26">
        <f t="array" ref="D26">INTERCEPT(IF(E12:E18&gt;0,LN(E12:E18)),IF(E12:E18&gt;0,D12:D18))</f>
        <v>2.1255505180161824</v>
      </c>
      <c r="E26">
        <f t="array" ref="E26">-SLOPE(IF(E$12:$E20&gt;0,LN(E$12:$E20)),IF(E$12:$E20&gt;0,D$12:$D20))</f>
        <v>7.2754165137113011E-2</v>
      </c>
      <c r="F26">
        <f t="array" ref="F26">1-(1-RSQ(IF(E12:$E$18&gt;0,LN(E12:$E$18)),IF(E12:$E$18&gt;0,D12:$D$18)))*((C26-1)/(C26-2))</f>
        <v>0.96331340509318819</v>
      </c>
      <c r="G26">
        <f t="shared" si="8"/>
        <v>9.5272508351052512</v>
      </c>
      <c r="I26" s="3" t="s">
        <v>42</v>
      </c>
      <c r="J26" s="5">
        <f>J22+B30/B33</f>
        <v>89.974848214891892</v>
      </c>
      <c r="K26" s="3" t="s">
        <v>47</v>
      </c>
      <c r="L26" s="5">
        <f>L22+B28*B30/B33+B30/(B33*B33)</f>
        <v>1442.3251247690416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45">
      <c r="E27" s="1"/>
      <c r="I27" s="3" t="s">
        <v>43</v>
      </c>
      <c r="J27" s="5">
        <f>(J26-J22)/J26*100</f>
        <v>21.494171536363865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45">
      <c r="A28" s="3" t="s">
        <v>23</v>
      </c>
      <c r="B28" s="5">
        <f>INDEX(D5:D18,MATCH(B29,E5:E18,0))</f>
        <v>23.1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45">
      <c r="A29" s="3" t="s">
        <v>41</v>
      </c>
      <c r="B29" s="5">
        <f>LOOKUP(2,1/(E5:E18&gt;0),E5:E18)</f>
        <v>1.45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11.231330655325127</v>
      </c>
    </row>
    <row r="30" spans="1:26" x14ac:dyDescent="0.45">
      <c r="A30" s="3" t="s">
        <v>40</v>
      </c>
      <c r="B30" s="5">
        <f>EXP(B35-B33*B28)</f>
        <v>1.5239298951627811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11.114217137789939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142.53058172122883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141.04435909151795</v>
      </c>
    </row>
    <row r="33" spans="1:16" x14ac:dyDescent="0.45">
      <c r="A33" s="3" t="s">
        <v>30</v>
      </c>
      <c r="B33" s="5">
        <f>IF(O4="Y",INDEX(E24:E26,MATCH(MAX(F24:F26),F24:F26,0)),INDEX(E24:E25,MATCH(MAX(F24:F25),F24:F25,0)))</f>
        <v>7.8799444439875646E-2</v>
      </c>
      <c r="D33" s="3" t="s">
        <v>60</v>
      </c>
      <c r="E33" s="4">
        <v>1</v>
      </c>
      <c r="I33" s="3" t="s">
        <v>53</v>
      </c>
      <c r="J33" s="5">
        <f>J35*J29</f>
        <v>177.70320052901852</v>
      </c>
    </row>
    <row r="34" spans="1:16" x14ac:dyDescent="0.45">
      <c r="A34" s="3" t="s">
        <v>33</v>
      </c>
      <c r="B34" s="5">
        <f>IF(O4="Y",INDEX(G24:G26,MATCH(MAX(F24:F26),F24:F26,0)),INDEX(G24:G25,MATCH(MAX(F24:F25),F24:F25,0)))</f>
        <v>8.7963460337441841</v>
      </c>
      <c r="D34" s="3" t="s">
        <v>64</v>
      </c>
      <c r="E34" s="4">
        <v>1000</v>
      </c>
      <c r="I34" s="3" t="s">
        <v>54</v>
      </c>
      <c r="J34" s="5">
        <f>J36*J30</f>
        <v>178.16439747346959</v>
      </c>
      <c r="M34" s="3"/>
      <c r="P34" s="3"/>
    </row>
    <row r="35" spans="1:16" x14ac:dyDescent="0.45">
      <c r="A35" s="3" t="s">
        <v>72</v>
      </c>
      <c r="B35" s="5">
        <f>IF(O4="Y",INDEX(D24:D26,MATCH(MAX(F24:F26),F24:F26,0)),INDEX(D24:D25,MATCH(MAX(F24:F25),F24:F25,0)))</f>
        <v>2.2415596222181682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15.822096773970753</v>
      </c>
      <c r="M35" s="3"/>
      <c r="P35" s="3"/>
    </row>
    <row r="36" spans="1:16" x14ac:dyDescent="0.45">
      <c r="A36" s="3" t="s">
        <v>28</v>
      </c>
      <c r="B36" s="5">
        <f>IF(O4="Y",INDEX(C24:C26,MATCH(MAX(F24:F26),F24:F26,0)),INDEX(C24:C25,MATCH(MAX(F24:F25),F24:F25,0)))</f>
        <v>4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16.030314619973094</v>
      </c>
      <c r="M36" s="3"/>
      <c r="P36" s="3"/>
    </row>
    <row r="37" spans="1:16" x14ac:dyDescent="0.45">
      <c r="A37" s="3" t="s">
        <v>31</v>
      </c>
      <c r="B37" s="5">
        <f>IF(O4="Y",INDEX(F24:F26,MATCH(MAX(F24:F26),F24:F26,0)),INDEX(F24:F25,MATCH(MAX(F24:F25),F24:F25,0)))</f>
        <v>0.97595687019840682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23.1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C1C4-1D8D-4D56-BC83-208E810EA225}">
  <dimension ref="A1:Z42"/>
  <sheetViews>
    <sheetView topLeftCell="A13" workbookViewId="0">
      <selection activeCell="E29" sqref="E29"/>
    </sheetView>
  </sheetViews>
  <sheetFormatPr defaultRowHeight="14.25" x14ac:dyDescent="0.45"/>
  <cols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85</v>
      </c>
      <c r="B5">
        <v>14</v>
      </c>
      <c r="C5" s="15">
        <v>0</v>
      </c>
      <c r="D5" s="8">
        <v>-0.25</v>
      </c>
      <c r="E5" s="2">
        <v>0</v>
      </c>
      <c r="F5" s="16">
        <v>0.1</v>
      </c>
      <c r="H5" s="38">
        <v>0</v>
      </c>
      <c r="I5" s="2">
        <v>0</v>
      </c>
      <c r="J5" s="9">
        <f>I5*H5</f>
        <v>0</v>
      </c>
      <c r="L5" s="16"/>
      <c r="N5" s="38">
        <v>0</v>
      </c>
      <c r="O5" s="2">
        <v>0</v>
      </c>
      <c r="P5">
        <f>O5*N5</f>
        <v>0</v>
      </c>
      <c r="R5" s="16"/>
      <c r="T5" s="38">
        <v>0</v>
      </c>
      <c r="U5" s="2">
        <v>0</v>
      </c>
      <c r="V5" s="28"/>
      <c r="X5" s="38">
        <v>0</v>
      </c>
      <c r="Y5" s="2">
        <v>0</v>
      </c>
      <c r="Z5" s="16"/>
    </row>
    <row r="6" spans="1:26" x14ac:dyDescent="0.45">
      <c r="A6" t="s">
        <v>85</v>
      </c>
      <c r="B6">
        <v>14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85</v>
      </c>
      <c r="B7">
        <v>14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85</v>
      </c>
      <c r="B8">
        <v>14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85</v>
      </c>
      <c r="B9">
        <v>14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85</v>
      </c>
      <c r="B10">
        <v>14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85</v>
      </c>
      <c r="B11">
        <v>14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85</v>
      </c>
      <c r="B12">
        <v>14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85</v>
      </c>
      <c r="B13">
        <v>14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85</v>
      </c>
      <c r="B14">
        <v>14</v>
      </c>
      <c r="C14" s="15">
        <v>12</v>
      </c>
      <c r="D14" s="11">
        <v>12</v>
      </c>
      <c r="E14" s="2">
        <v>3.72</v>
      </c>
      <c r="F14" s="16" t="s">
        <v>1</v>
      </c>
      <c r="H14" s="19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19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19">
        <v>12</v>
      </c>
      <c r="Y14" s="11">
        <f>E13+((E14-E13)*(C14-D13)/(D14-D13))</f>
        <v>3.72</v>
      </c>
      <c r="Z14" s="16">
        <f t="shared" si="7"/>
        <v>7.8100000000000005</v>
      </c>
    </row>
    <row r="15" spans="1:26" x14ac:dyDescent="0.45">
      <c r="A15" t="s">
        <v>85</v>
      </c>
      <c r="B15">
        <v>14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85</v>
      </c>
      <c r="B16">
        <v>14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85</v>
      </c>
      <c r="B17">
        <v>14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85</v>
      </c>
      <c r="B18">
        <v>14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  <c r="P25" s="3"/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45">
      <c r="E27" s="1"/>
      <c r="I27" s="3" t="s">
        <v>43</v>
      </c>
      <c r="J27" s="5">
        <f>(J26-J22)/J26*100</f>
        <v>1.1965462944570928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11.407227957917359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11.403907399070052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106.16154296400119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0B8E-DF33-487A-B3CF-874071BDF634}">
  <dimension ref="A1:Z42"/>
  <sheetViews>
    <sheetView topLeftCell="A10" workbookViewId="0">
      <selection activeCell="E29" sqref="E29"/>
    </sheetView>
  </sheetViews>
  <sheetFormatPr defaultRowHeight="14.25" x14ac:dyDescent="0.45"/>
  <cols>
    <col min="1" max="1" width="11.73046875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87</v>
      </c>
      <c r="B5">
        <v>15</v>
      </c>
      <c r="C5" s="15">
        <v>0</v>
      </c>
      <c r="D5" s="11">
        <v>0</v>
      </c>
      <c r="E5" s="40"/>
      <c r="F5" s="16" t="s">
        <v>1</v>
      </c>
      <c r="H5" s="19">
        <v>0</v>
      </c>
      <c r="I5" s="39"/>
      <c r="J5" s="9">
        <f>I5*H5</f>
        <v>0</v>
      </c>
      <c r="L5" s="16"/>
      <c r="N5" s="19">
        <v>0</v>
      </c>
      <c r="O5" s="39"/>
      <c r="P5">
        <f>O5*N5</f>
        <v>0</v>
      </c>
      <c r="R5" s="16"/>
      <c r="T5" s="19">
        <v>0</v>
      </c>
      <c r="U5" s="39"/>
      <c r="V5" s="28"/>
      <c r="X5" s="19">
        <v>0</v>
      </c>
      <c r="Y5" s="39"/>
      <c r="Z5" s="16"/>
    </row>
    <row r="6" spans="1:26" x14ac:dyDescent="0.45">
      <c r="A6" t="s">
        <v>87</v>
      </c>
      <c r="B6">
        <v>15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87</v>
      </c>
      <c r="B7">
        <v>15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87</v>
      </c>
      <c r="B8">
        <v>15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87</v>
      </c>
      <c r="B9">
        <v>15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87</v>
      </c>
      <c r="B10">
        <v>15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87</v>
      </c>
      <c r="B11">
        <v>15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87</v>
      </c>
      <c r="B12">
        <v>15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87</v>
      </c>
      <c r="B13">
        <v>15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87</v>
      </c>
      <c r="B14">
        <v>15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87</v>
      </c>
      <c r="B15">
        <v>15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87</v>
      </c>
      <c r="B16">
        <v>15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87</v>
      </c>
      <c r="B17">
        <v>15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87</v>
      </c>
      <c r="B18">
        <v>15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 t="s">
        <v>86</v>
      </c>
      <c r="K21" s="3" t="s">
        <v>44</v>
      </c>
      <c r="L21" s="5" t="s">
        <v>86</v>
      </c>
      <c r="O21" s="3" t="s">
        <v>65</v>
      </c>
      <c r="P21" s="5" t="s">
        <v>86</v>
      </c>
      <c r="Q21" s="3" t="s">
        <v>71</v>
      </c>
      <c r="R21" s="5" t="s">
        <v>86</v>
      </c>
      <c r="U21" s="3" t="s">
        <v>70</v>
      </c>
      <c r="V21" s="5" t="s">
        <v>86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 t="s">
        <v>86</v>
      </c>
      <c r="K22" s="3" t="s">
        <v>45</v>
      </c>
      <c r="L22" s="5" t="s">
        <v>86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 t="s">
        <v>86</v>
      </c>
      <c r="K24" s="3" t="s">
        <v>46</v>
      </c>
      <c r="L24" s="5" t="s">
        <v>86</v>
      </c>
    </row>
    <row r="25" spans="1:26" ht="14.65" thickBot="1" x14ac:dyDescent="0.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 t="s">
        <v>86</v>
      </c>
      <c r="P25" s="3" t="s">
        <v>82</v>
      </c>
    </row>
    <row r="26" spans="1:26" ht="15" customHeight="1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 t="s">
        <v>86</v>
      </c>
      <c r="K26" s="3" t="s">
        <v>47</v>
      </c>
      <c r="L26" s="5" t="s">
        <v>86</v>
      </c>
      <c r="P26" s="54" t="s">
        <v>83</v>
      </c>
      <c r="Q26" s="55"/>
      <c r="R26" s="55"/>
      <c r="S26" s="55"/>
      <c r="T26" s="55"/>
      <c r="U26" s="55"/>
      <c r="V26" s="55"/>
      <c r="W26" s="55"/>
      <c r="X26" s="55"/>
      <c r="Y26" s="55"/>
      <c r="Z26" s="56"/>
    </row>
    <row r="27" spans="1:26" x14ac:dyDescent="0.45">
      <c r="E27" s="1"/>
      <c r="I27" s="3" t="s">
        <v>43</v>
      </c>
      <c r="J27" s="5" t="s">
        <v>86</v>
      </c>
      <c r="P27" s="57"/>
      <c r="Q27" s="58"/>
      <c r="R27" s="58"/>
      <c r="S27" s="58"/>
      <c r="T27" s="58"/>
      <c r="U27" s="58"/>
      <c r="V27" s="58"/>
      <c r="W27" s="58"/>
      <c r="X27" s="58"/>
      <c r="Y27" s="58"/>
      <c r="Z27" s="59"/>
    </row>
    <row r="28" spans="1:26" ht="14.65" thickBot="1" x14ac:dyDescent="0.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60"/>
      <c r="Q28" s="61"/>
      <c r="R28" s="61"/>
      <c r="S28" s="61"/>
      <c r="T28" s="61"/>
      <c r="U28" s="61"/>
      <c r="V28" s="61"/>
      <c r="W28" s="61"/>
      <c r="X28" s="61"/>
      <c r="Y28" s="61"/>
      <c r="Z28" s="62"/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 t="s">
        <v>86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 t="s">
        <v>86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 t="s">
        <v>86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 t="s">
        <v>86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 t="s">
        <v>86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 t="s">
        <v>86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 t="s">
        <v>86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 t="s">
        <v>86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mergeCells count="1">
    <mergeCell ref="P26:Z28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FBAF-C5BF-41BB-948F-0B1656E14012}">
  <dimension ref="A1:Z42"/>
  <sheetViews>
    <sheetView topLeftCell="A10" workbookViewId="0">
      <selection activeCell="E29" sqref="E29"/>
    </sheetView>
  </sheetViews>
  <sheetFormatPr defaultRowHeight="14.25" x14ac:dyDescent="0.45"/>
  <cols>
    <col min="1" max="1" width="12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88</v>
      </c>
      <c r="B5">
        <v>16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45">
      <c r="A6" t="s">
        <v>88</v>
      </c>
      <c r="B6">
        <v>16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45">
      <c r="A7" t="s">
        <v>88</v>
      </c>
      <c r="B7">
        <v>16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88</v>
      </c>
      <c r="B8">
        <v>16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88</v>
      </c>
      <c r="B9">
        <v>16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88</v>
      </c>
      <c r="B10">
        <v>16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88</v>
      </c>
      <c r="B11">
        <v>16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88</v>
      </c>
      <c r="B12">
        <v>16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88</v>
      </c>
      <c r="B13">
        <v>16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88</v>
      </c>
      <c r="B14">
        <v>16</v>
      </c>
      <c r="C14" s="15">
        <v>12</v>
      </c>
      <c r="D14" s="2">
        <v>12</v>
      </c>
      <c r="E14" s="39"/>
      <c r="F14" s="16" t="s">
        <v>1</v>
      </c>
      <c r="H14" s="20">
        <v>12</v>
      </c>
      <c r="I14" s="39"/>
      <c r="L14" s="16"/>
      <c r="N14" s="20">
        <v>12</v>
      </c>
      <c r="O14" s="39"/>
      <c r="R14" s="16"/>
      <c r="T14" s="19">
        <v>12</v>
      </c>
      <c r="U14" s="41"/>
      <c r="V14" s="28"/>
      <c r="X14" s="20">
        <v>12</v>
      </c>
      <c r="Y14" s="8">
        <f>E13+((E15-E13)*(C14-D13)/(D15-D13))</f>
        <v>3.6825000000000001</v>
      </c>
      <c r="Z14" s="16">
        <f t="shared" si="7"/>
        <v>7.7725</v>
      </c>
    </row>
    <row r="15" spans="1:26" x14ac:dyDescent="0.45">
      <c r="A15" t="s">
        <v>88</v>
      </c>
      <c r="B15">
        <v>16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>(I13+I15)/2*(H15-H13)</f>
        <v>26.2</v>
      </c>
      <c r="L15" s="16">
        <f>(J13+J15)/2*(H15-H13)</f>
        <v>340.72</v>
      </c>
      <c r="N15" s="20">
        <v>18</v>
      </c>
      <c r="O15" s="2">
        <v>2.46</v>
      </c>
      <c r="P15">
        <f t="shared" si="1"/>
        <v>44.28</v>
      </c>
      <c r="Q15">
        <f>(O13+O15)/2*(N15-N13)</f>
        <v>26.2</v>
      </c>
      <c r="R15" s="16">
        <f>(P13+P15)/2*(N15-N13)</f>
        <v>340.72</v>
      </c>
      <c r="T15" s="19">
        <v>18</v>
      </c>
      <c r="U15" s="11">
        <v>2.46</v>
      </c>
      <c r="V15">
        <f>(U13+U15)/2*(T15-T13)</f>
        <v>26.2</v>
      </c>
      <c r="X15" s="20">
        <v>18</v>
      </c>
      <c r="Y15" s="2">
        <v>2.46</v>
      </c>
      <c r="Z15" s="16">
        <f t="shared" si="7"/>
        <v>18.427500000000002</v>
      </c>
    </row>
    <row r="16" spans="1:26" x14ac:dyDescent="0.45">
      <c r="A16" t="s">
        <v>88</v>
      </c>
      <c r="B16">
        <v>16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88</v>
      </c>
      <c r="B17">
        <v>16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88</v>
      </c>
      <c r="B18">
        <v>16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86.765000000000001</v>
      </c>
      <c r="K21" s="3" t="s">
        <v>44</v>
      </c>
      <c r="L21" s="5">
        <f>SUM(L6:L18)</f>
        <v>1203.7349999999999</v>
      </c>
      <c r="O21" s="3" t="s">
        <v>65</v>
      </c>
      <c r="P21" s="5">
        <f>SUM(Q6:INDEX(Q6:Q18,MATCH(E35,N6:N18,0)))</f>
        <v>72.245000000000005</v>
      </c>
      <c r="Q21" s="3" t="s">
        <v>71</v>
      </c>
      <c r="R21" s="5">
        <f>SUM(R6:INDEX(R6:R18,MATCH(E35,N6:N18,0)))</f>
        <v>777.495</v>
      </c>
      <c r="U21" s="3" t="s">
        <v>70</v>
      </c>
      <c r="V21" s="5">
        <f>SUM(V6:INDEX(V6:V18,MATCH(E36,T6:T18,0)))</f>
        <v>60.515000000000001</v>
      </c>
      <c r="Y21" s="3" t="s">
        <v>37</v>
      </c>
      <c r="Z21" s="5">
        <f>SUM(INDEX(Z6:Z18,MATCH(E37,X6:X18,0)+1):INDEX(Z6:Z18,MATCH(E38,X6:X18,0)))</f>
        <v>32.772499999999994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86.765000000000001</v>
      </c>
      <c r="K22" s="3" t="s">
        <v>45</v>
      </c>
      <c r="L22" s="5">
        <f>SUM(L6:INDEX(L6:L18,MATCH(B28,H6:H18,0)))</f>
        <v>1203.7349999999999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2.8271339126733759</v>
      </c>
      <c r="E24">
        <f t="array" ref="E24">-SLOPE(IF(E14:$E$18&gt;0,LN(E14:$E$18)),IF(E14:$E$18&gt;0,D14:$D$18))</f>
        <v>0.10387345815715078</v>
      </c>
      <c r="F24">
        <f t="array" ref="F24">1-(1-RSQ(IF(E14:$E$18&gt;0,LN(E14:$E$18)),IF(E14:$E$18&gt;0,D14:$D$18)))*((C24-1)/(C24-2))</f>
        <v>0.99728345403375018</v>
      </c>
      <c r="G24">
        <f t="shared" si="8"/>
        <v>6.6729960940674449</v>
      </c>
      <c r="I24" s="3" t="s">
        <v>38</v>
      </c>
      <c r="J24" s="5">
        <f>J22+B29/B33</f>
        <v>87.788716696915401</v>
      </c>
      <c r="K24" s="3" t="s">
        <v>46</v>
      </c>
      <c r="L24" s="5">
        <f>L22+B28*B29/B33+B29/(B33*B33)</f>
        <v>1262.4006366841513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2.553881663607481</v>
      </c>
      <c r="E25">
        <f t="array" ref="E25">-SLOPE(IF(E$13:$E19&gt;0,LN(E$13:$E19)),IF(E$13:$E19&gt;0,D$13:$D19))</f>
        <v>9.662046636095728E-2</v>
      </c>
      <c r="F25">
        <f t="array" ref="F25">1-(1-RSQ(IF(E13:$E$18&gt;0,LN(E13:$E$18)),IF(E13:$E$18&gt;0,D13:$D$18)))*((C25-1)/(C25-2))</f>
        <v>0.98825843998905127</v>
      </c>
      <c r="G25">
        <f t="shared" si="8"/>
        <v>7.1739167348920443</v>
      </c>
      <c r="I25" s="3" t="s">
        <v>39</v>
      </c>
      <c r="J25" s="5">
        <f>(J24-J22)/J24*100</f>
        <v>1.1661142062820133</v>
      </c>
      <c r="P25" s="3"/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2.3988361530586633</v>
      </c>
      <c r="E26">
        <f t="array" ref="E26">-SLOPE(IF(E$12:$E20&gt;0,LN(E$12:$E20)),IF(E$12:$E20&gt;0,D$12:$D20))</f>
        <v>9.2382320286729908E-2</v>
      </c>
      <c r="F26">
        <f t="array" ref="F26">1-(1-RSQ(IF(E12:$E$18&gt;0,LN(E12:$E$18)),IF(E12:$E$18&gt;0,D12:$D$18)))*((C26-1)/(C26-2))</f>
        <v>0.98354173842781301</v>
      </c>
      <c r="G26">
        <f t="shared" si="8"/>
        <v>7.5030284843312298</v>
      </c>
      <c r="I26" s="3" t="s">
        <v>42</v>
      </c>
      <c r="J26" s="5">
        <f>J22+B30/B33</f>
        <v>87.814242380339451</v>
      </c>
      <c r="K26" s="3" t="s">
        <v>47</v>
      </c>
      <c r="L26" s="5">
        <f>L22+B28*B30/B33+B30/(B33*B33)</f>
        <v>1263.8634246550639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45">
      <c r="E27" s="1"/>
      <c r="I27" s="3" t="s">
        <v>43</v>
      </c>
      <c r="J27" s="5">
        <f>(J26-J22)/J26*100</f>
        <v>1.1948430595062138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11.390985511867456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11.387674401025043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106.01038238927362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105.97956748513984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163.80222770868554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163.89670715372037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14.379987362641421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14.392465167336315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C06E-F3A2-47FF-885F-071A7FCF9B53}">
  <dimension ref="A1:Z42"/>
  <sheetViews>
    <sheetView topLeftCell="A10" workbookViewId="0">
      <selection activeCell="E29" sqref="E29"/>
    </sheetView>
  </sheetViews>
  <sheetFormatPr defaultRowHeight="14.25" x14ac:dyDescent="0.45"/>
  <cols>
    <col min="1" max="1" width="11.86328125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89</v>
      </c>
      <c r="B5">
        <v>17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11">
        <v>1.1000000000000001</v>
      </c>
      <c r="P5">
        <f>O5*N5</f>
        <v>0</v>
      </c>
      <c r="R5" s="16"/>
      <c r="T5" s="19">
        <v>0</v>
      </c>
      <c r="U5" s="11">
        <v>1.1000000000000001</v>
      </c>
      <c r="V5" s="28"/>
      <c r="X5" s="19">
        <v>0</v>
      </c>
      <c r="Y5" s="11">
        <v>1.1000000000000001</v>
      </c>
      <c r="Z5" s="16"/>
    </row>
    <row r="6" spans="1:26" x14ac:dyDescent="0.45">
      <c r="A6" t="s">
        <v>89</v>
      </c>
      <c r="B6">
        <v>17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5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45">
      <c r="A7" t="s">
        <v>89</v>
      </c>
      <c r="B7">
        <v>17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5" si="2">(I6+I7)/2*(H7-H6)</f>
        <v>0.54499999999999993</v>
      </c>
      <c r="L7" s="16">
        <f t="shared" ref="L7:L15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5" si="6">(U6+U7)/2*(T7-T6)</f>
        <v>0.54499999999999993</v>
      </c>
      <c r="X7" s="20">
        <v>1</v>
      </c>
      <c r="Y7" s="2">
        <v>1.42</v>
      </c>
      <c r="Z7" s="16">
        <f t="shared" ref="Z7:Z15" si="7">(Y6+Y7)/2*(X7-X6)</f>
        <v>0.54499999999999993</v>
      </c>
    </row>
    <row r="8" spans="1:26" x14ac:dyDescent="0.45">
      <c r="A8" t="s">
        <v>89</v>
      </c>
      <c r="B8">
        <v>17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89</v>
      </c>
      <c r="B9">
        <v>17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89</v>
      </c>
      <c r="B10">
        <v>17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89</v>
      </c>
      <c r="B11">
        <v>17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89</v>
      </c>
      <c r="B12">
        <v>17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89</v>
      </c>
      <c r="B13">
        <v>17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89</v>
      </c>
      <c r="B14">
        <v>17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89</v>
      </c>
      <c r="B15">
        <v>17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89</v>
      </c>
      <c r="B16">
        <v>17</v>
      </c>
      <c r="C16" s="15">
        <v>24</v>
      </c>
      <c r="D16" s="2">
        <v>24</v>
      </c>
      <c r="E16" s="39"/>
      <c r="F16" s="16" t="s">
        <v>1</v>
      </c>
      <c r="H16" s="20">
        <v>24</v>
      </c>
      <c r="I16" s="39"/>
      <c r="L16" s="16"/>
      <c r="N16" s="20">
        <v>24</v>
      </c>
      <c r="O16" s="8">
        <f>E15*EXP(-1*B33*(D16-D15))</f>
        <v>1.6676670096327975</v>
      </c>
      <c r="P16">
        <f t="shared" si="1"/>
        <v>40.024008231187139</v>
      </c>
      <c r="Q16">
        <f t="shared" si="4"/>
        <v>12.383001028898391</v>
      </c>
      <c r="R16" s="16">
        <f t="shared" si="5"/>
        <v>252.91202469356142</v>
      </c>
      <c r="T16" s="19">
        <v>24</v>
      </c>
      <c r="U16" s="41"/>
      <c r="V16" s="28"/>
      <c r="X16" s="20">
        <v>24</v>
      </c>
      <c r="Y16" s="39"/>
      <c r="Z16" s="16"/>
    </row>
    <row r="17" spans="1:26" x14ac:dyDescent="0.4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4.65" thickBot="1" x14ac:dyDescent="0.5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60.664999999999999</v>
      </c>
      <c r="K21" s="3" t="s">
        <v>44</v>
      </c>
      <c r="L21" s="5">
        <f>SUM(L6:L18)</f>
        <v>551.83499999999992</v>
      </c>
      <c r="O21" s="3" t="s">
        <v>65</v>
      </c>
      <c r="P21" s="5">
        <f>SUM(Q6:INDEX(Q6:Q18,MATCH(E35,N6:N18,0)))</f>
        <v>73.048001028898398</v>
      </c>
      <c r="Q21" s="3" t="s">
        <v>71</v>
      </c>
      <c r="R21" s="5">
        <f>SUM(R6:INDEX(R6:R18,MATCH(E35,N6:N18,0)))</f>
        <v>804.74702469356134</v>
      </c>
      <c r="U21" s="3" t="s">
        <v>70</v>
      </c>
      <c r="V21" s="5">
        <f>SUM(V6:INDEX(V6:V18,MATCH(E36,T6:T18,0)))</f>
        <v>60.664999999999999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I22" s="3" t="s">
        <v>22</v>
      </c>
      <c r="J22" s="5">
        <f>SUM(K6:INDEX(K6:K18,MATCH(B28,H6:H18,0)))</f>
        <v>60.664999999999999</v>
      </c>
      <c r="K22" s="3" t="s">
        <v>45</v>
      </c>
      <c r="L22" s="5">
        <f>SUM(L6:INDEX(L6:L18,MATCH(B28,H6:H18,0)))</f>
        <v>551.83499999999992</v>
      </c>
    </row>
    <row r="24" spans="1:26" x14ac:dyDescent="0.45">
      <c r="I24" s="3" t="s">
        <v>38</v>
      </c>
      <c r="J24" s="5">
        <f>J22+B29/B33</f>
        <v>98.6342422973037</v>
      </c>
      <c r="K24" s="3" t="s">
        <v>46</v>
      </c>
      <c r="L24" s="5">
        <f>L22+B28*B29/B33+B29/(B33*B33)</f>
        <v>1821.3233778682779</v>
      </c>
    </row>
    <row r="25" spans="1:26" x14ac:dyDescent="0.45">
      <c r="A25">
        <v>10</v>
      </c>
      <c r="B25">
        <f t="array" ref="B25">MAX(IF(dvcorr&gt;0,tadcorr))</f>
        <v>18</v>
      </c>
      <c r="C25">
        <v>3</v>
      </c>
      <c r="D25">
        <f t="array" ref="D25">INTERCEPT(IF(E13:E18&gt;0,LN(E13:E18)),IF(E13:E18&gt;0,D13:D18))</f>
        <v>2.0713337748725671</v>
      </c>
      <c r="E25">
        <f t="array" ref="E25">-SLOPE(IF(E$13:$E19&gt;0,LN(E$13:$E19)),IF(E$13:$E19&gt;0,D$13:$D19))</f>
        <v>6.4789283408341586E-2</v>
      </c>
      <c r="F25">
        <f t="array" ref="F25">1-(1-RSQ(IF(E13:$E$18&gt;0,LN(E13:$E$18)),IF(E13:$E$18&gt;0,D13:$D$18)))*((C25-1)/(C25-2))</f>
        <v>0.99122855522629361</v>
      </c>
      <c r="G25">
        <f t="shared" ref="G25:G26" si="8">LN(2)/E25</f>
        <v>10.698485059501413</v>
      </c>
      <c r="I25" s="3" t="s">
        <v>39</v>
      </c>
      <c r="J25" s="5">
        <f>(J24-J22)/J24*100</f>
        <v>38.494990596527998</v>
      </c>
    </row>
    <row r="26" spans="1:26" x14ac:dyDescent="0.45">
      <c r="A26">
        <v>8</v>
      </c>
      <c r="B26">
        <f t="array" ref="B26">MAX(IF(dvcorr&gt;0,tadcorr))</f>
        <v>18</v>
      </c>
      <c r="C26">
        <v>4</v>
      </c>
      <c r="D26">
        <f t="array" ref="D26">INTERCEPT(IF(E12:E18&gt;0,LN(E12:E18)),IF(E12:E18&gt;0,D12:D18))</f>
        <v>1.9693862852941555</v>
      </c>
      <c r="E26">
        <f t="array" ref="E26">-SLOPE(IF(E$12:$E20&gt;0,LN(E$12:$E20)),IF(E$12:$E20&gt;0,D$12:$D20))</f>
        <v>5.8212026016186018E-2</v>
      </c>
      <c r="F26">
        <f t="array" ref="F26">1-(1-RSQ(IF(E12:$E$18&gt;0,LN(E12:$E$18)),IF(E12:$E$18&gt;0,D12:$D$18)))*((C26-1)/(C26-2))</f>
        <v>0.96466758484792103</v>
      </c>
      <c r="G26">
        <f t="shared" si="8"/>
        <v>11.907284937432237</v>
      </c>
      <c r="I26" s="3" t="s">
        <v>42</v>
      </c>
      <c r="J26" s="5">
        <f>J22+B30/B33</f>
        <v>98.823240702140794</v>
      </c>
      <c r="K26" s="3" t="s">
        <v>47</v>
      </c>
      <c r="L26" s="5">
        <f>L22+B28*B30/B33+B30/(B33*B33)</f>
        <v>1827.6424736378922</v>
      </c>
    </row>
    <row r="27" spans="1:26" x14ac:dyDescent="0.45">
      <c r="E27" s="1"/>
      <c r="I27" s="3" t="s">
        <v>43</v>
      </c>
      <c r="J27" s="5">
        <f>(J26-J22)/J26*100</f>
        <v>38.612618277872542</v>
      </c>
    </row>
    <row r="28" spans="1:26" x14ac:dyDescent="0.45">
      <c r="A28" s="3" t="s">
        <v>23</v>
      </c>
      <c r="B28" s="5">
        <f>INDEX(D5:D18,MATCH(B29,E5:E18,0))</f>
        <v>18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2.46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10.138466892519904</v>
      </c>
    </row>
    <row r="30" spans="1:26" x14ac:dyDescent="0.45">
      <c r="A30" s="3" t="s">
        <v>40</v>
      </c>
      <c r="B30" s="5">
        <f>EXP(B35-B33*B28)</f>
        <v>2.4722450712147155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10.119077181591932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156.48370161190243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156.18442818413865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6.4789283408341586E-2</v>
      </c>
      <c r="D33" s="3" t="s">
        <v>60</v>
      </c>
      <c r="E33" s="4">
        <v>1</v>
      </c>
      <c r="I33" s="3" t="s">
        <v>53</v>
      </c>
      <c r="J33" s="5">
        <f>J35*J29</f>
        <v>187.21111793439337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10.698485059501413</v>
      </c>
      <c r="D34" s="3" t="s">
        <v>64</v>
      </c>
      <c r="E34" s="4">
        <v>1000</v>
      </c>
      <c r="I34" s="3" t="s">
        <v>54</v>
      </c>
      <c r="J34" s="5">
        <f>J36*J30</f>
        <v>187.14277248648042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2.0713337748725671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18.465426767090054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18.494055251097429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0.99122855522629361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18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D320-9A6C-4E56-BAC5-738C8C84AA44}">
  <dimension ref="A1:Z42"/>
  <sheetViews>
    <sheetView workbookViewId="0">
      <selection activeCell="J33" sqref="J33"/>
    </sheetView>
  </sheetViews>
  <sheetFormatPr defaultRowHeight="14.25" x14ac:dyDescent="0.45"/>
  <cols>
    <col min="1" max="1" width="11.73046875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90</v>
      </c>
      <c r="B5">
        <v>18</v>
      </c>
      <c r="C5" s="15">
        <v>0</v>
      </c>
      <c r="D5" s="11">
        <v>0</v>
      </c>
      <c r="E5" s="40"/>
      <c r="F5" s="16" t="s">
        <v>1</v>
      </c>
      <c r="H5" s="19">
        <v>0</v>
      </c>
      <c r="I5" s="8">
        <v>1.45</v>
      </c>
      <c r="J5" s="9">
        <f>I5*H5</f>
        <v>0</v>
      </c>
      <c r="L5" s="16"/>
      <c r="N5" s="19">
        <v>0</v>
      </c>
      <c r="O5" s="8">
        <v>1.45</v>
      </c>
      <c r="P5">
        <f>O5*N5</f>
        <v>0</v>
      </c>
      <c r="R5" s="16"/>
      <c r="T5" s="19">
        <v>0</v>
      </c>
      <c r="U5" s="8">
        <v>1.45</v>
      </c>
      <c r="V5" s="28"/>
      <c r="X5" s="19">
        <v>0</v>
      </c>
      <c r="Y5" s="8">
        <v>1.45</v>
      </c>
      <c r="Z5" s="16"/>
    </row>
    <row r="6" spans="1:26" x14ac:dyDescent="0.45">
      <c r="A6" t="s">
        <v>90</v>
      </c>
      <c r="B6">
        <v>18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0.55249999999999999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0.55249999999999999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0.55249999999999999</v>
      </c>
      <c r="X6" s="20">
        <v>0.5</v>
      </c>
      <c r="Y6" s="2">
        <v>0.76</v>
      </c>
      <c r="Z6" s="16">
        <f>(Y5+Y6)/2*(X6-X5)</f>
        <v>0.55249999999999999</v>
      </c>
    </row>
    <row r="7" spans="1:26" x14ac:dyDescent="0.45">
      <c r="A7" t="s">
        <v>90</v>
      </c>
      <c r="B7">
        <v>18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90</v>
      </c>
      <c r="B8">
        <v>18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90</v>
      </c>
      <c r="B9">
        <v>18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90</v>
      </c>
      <c r="B10">
        <v>18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90</v>
      </c>
      <c r="B11">
        <v>18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90</v>
      </c>
      <c r="B12">
        <v>18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90</v>
      </c>
      <c r="B13">
        <v>18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90</v>
      </c>
      <c r="B14">
        <v>18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90</v>
      </c>
      <c r="B15">
        <v>18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90</v>
      </c>
      <c r="B16">
        <v>18</v>
      </c>
      <c r="C16" s="15">
        <v>24</v>
      </c>
      <c r="D16" s="2">
        <v>24</v>
      </c>
      <c r="E16" s="8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90</v>
      </c>
      <c r="B17">
        <v>18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90</v>
      </c>
      <c r="B18">
        <v>18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87.002499999999998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72.482500000000002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60.752499999999998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87.002499999999998</v>
      </c>
      <c r="K22" s="3" t="s">
        <v>45</v>
      </c>
      <c r="L22" s="5">
        <f>SUM(L6:INDEX(L6:L18,MATCH(B28,H6:H18,0)))</f>
        <v>1215.3149999999998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88.026216696915398</v>
      </c>
      <c r="K24" s="3" t="s">
        <v>46</v>
      </c>
      <c r="L24" s="5">
        <f>L22+B28*B29/B33+B29/(B33*B33)</f>
        <v>1273.9806366841512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1.1629679603750065</v>
      </c>
      <c r="P25" s="3"/>
    </row>
    <row r="26" spans="1:26" ht="15" customHeight="1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88.051742380339448</v>
      </c>
      <c r="K26" s="3" t="s">
        <v>47</v>
      </c>
      <c r="L26" s="5">
        <f>L22+B28*B30/B33+B30/(B33*B33)</f>
        <v>1275.4434246550638</v>
      </c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x14ac:dyDescent="0.45">
      <c r="E27" s="1"/>
      <c r="I27" s="3" t="s">
        <v>43</v>
      </c>
      <c r="J27" s="5">
        <f>(J26-J22)/J26*100</f>
        <v>1.191620235982666</v>
      </c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13.796433621908736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35</v>
      </c>
      <c r="I30" s="3" t="s">
        <v>50</v>
      </c>
      <c r="J30" s="5">
        <f>IF(E30="N",E33*E34/J26,E33*E34/P21)</f>
        <v>13.796433621908736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128.39672233302673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IF(E30="N",E33*E34/(B33*J24),E33*E34/(B33*P21))</f>
        <v>128.39672233302673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221.20055731700177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221.317163691345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16.03316939572958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16.041621317257913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3A8F-1F15-4979-A2FF-1EA540B7EF80}">
  <dimension ref="A1:Z42"/>
  <sheetViews>
    <sheetView workbookViewId="0">
      <selection activeCell="J33" sqref="J33"/>
    </sheetView>
  </sheetViews>
  <sheetFormatPr defaultRowHeight="14.25" x14ac:dyDescent="0.45"/>
  <cols>
    <col min="1" max="1" width="12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91</v>
      </c>
      <c r="B5">
        <v>19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45">
      <c r="A6" t="s">
        <v>91</v>
      </c>
      <c r="B6">
        <v>19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45">
      <c r="A7" t="s">
        <v>91</v>
      </c>
      <c r="B7">
        <v>19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91</v>
      </c>
      <c r="B8">
        <v>19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91</v>
      </c>
      <c r="B9">
        <v>19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91</v>
      </c>
      <c r="B10">
        <v>19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91</v>
      </c>
      <c r="B11">
        <v>19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91</v>
      </c>
      <c r="B12">
        <v>19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91</v>
      </c>
      <c r="B13">
        <v>19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91</v>
      </c>
      <c r="B14">
        <v>19</v>
      </c>
      <c r="C14" s="15">
        <v>12</v>
      </c>
      <c r="D14" s="2">
        <v>12</v>
      </c>
      <c r="E14" s="39"/>
      <c r="F14" s="16" t="s">
        <v>1</v>
      </c>
      <c r="H14" s="20">
        <v>12</v>
      </c>
      <c r="I14" s="39"/>
      <c r="L14" s="16"/>
      <c r="N14" s="20">
        <v>12</v>
      </c>
      <c r="O14" s="39"/>
      <c r="R14" s="16"/>
      <c r="T14" s="19">
        <v>12</v>
      </c>
      <c r="U14" s="41"/>
      <c r="V14" s="28"/>
      <c r="X14" s="20">
        <v>12</v>
      </c>
      <c r="Y14" s="8">
        <f>E13+((E15-E13)*(C14-D13)/(D15-D13))</f>
        <v>3.6825000000000001</v>
      </c>
      <c r="Z14" s="16">
        <f t="shared" si="7"/>
        <v>7.7725</v>
      </c>
    </row>
    <row r="15" spans="1:26" x14ac:dyDescent="0.45">
      <c r="A15" t="s">
        <v>91</v>
      </c>
      <c r="B15">
        <v>19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>(I13+I15)/2*(H15-H13)</f>
        <v>26.2</v>
      </c>
      <c r="L15" s="16">
        <f>(J13+J15)/2*(H15-H13)</f>
        <v>340.72</v>
      </c>
      <c r="N15" s="20">
        <v>18</v>
      </c>
      <c r="O15" s="2">
        <v>2.46</v>
      </c>
      <c r="P15">
        <f t="shared" si="1"/>
        <v>44.28</v>
      </c>
      <c r="Q15">
        <f>(O13+O15)/2*(N15-N13)</f>
        <v>26.2</v>
      </c>
      <c r="R15" s="16">
        <f>(P13+P15)/2*(N15-N13)</f>
        <v>340.72</v>
      </c>
      <c r="T15" s="19">
        <v>18</v>
      </c>
      <c r="U15" s="11">
        <v>2.46</v>
      </c>
      <c r="V15">
        <f>(U13+U15)/2*(T15-T13)</f>
        <v>26.2</v>
      </c>
      <c r="X15" s="20">
        <v>18</v>
      </c>
      <c r="Y15" s="2">
        <v>2.46</v>
      </c>
      <c r="Z15" s="16">
        <f t="shared" si="7"/>
        <v>18.427500000000002</v>
      </c>
    </row>
    <row r="16" spans="1:26" x14ac:dyDescent="0.45">
      <c r="A16" t="s">
        <v>91</v>
      </c>
      <c r="B16">
        <v>19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91</v>
      </c>
      <c r="B17">
        <v>19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91</v>
      </c>
      <c r="B18">
        <v>19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86.765000000000001</v>
      </c>
      <c r="K21" s="3" t="s">
        <v>44</v>
      </c>
      <c r="L21" s="5">
        <f>SUM(L6:L18)</f>
        <v>1203.7349999999999</v>
      </c>
      <c r="O21" s="3" t="s">
        <v>65</v>
      </c>
      <c r="P21" s="5">
        <f>SUM(Q6:INDEX(Q6:Q18,MATCH(E35,N6:N18,0)))</f>
        <v>72.245000000000005</v>
      </c>
      <c r="Q21" s="3" t="s">
        <v>71</v>
      </c>
      <c r="R21" s="5">
        <f>SUM(R6:INDEX(R6:R18,MATCH(E35,N6:N18,0)))</f>
        <v>777.495</v>
      </c>
      <c r="U21" s="3" t="s">
        <v>70</v>
      </c>
      <c r="V21" s="5">
        <f>SUM(V6:INDEX(V6:V18,MATCH(E36,T6:T18,0)))</f>
        <v>60.515000000000001</v>
      </c>
      <c r="Y21" s="3" t="s">
        <v>37</v>
      </c>
      <c r="Z21" s="5">
        <f>SUM(INDEX(Z6:Z18,MATCH(E37,X6:X18,0)+1):INDEX(Z6:Z18,MATCH(E38,X6:X18,0)))</f>
        <v>32.772499999999994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86.765000000000001</v>
      </c>
      <c r="K22" s="3" t="s">
        <v>45</v>
      </c>
      <c r="L22" s="5">
        <f>SUM(L6:INDEX(L6:L18,MATCH(B28,H6:H18,0)))</f>
        <v>1203.7349999999999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2.8271339126733759</v>
      </c>
      <c r="E24">
        <f t="array" ref="E24">-SLOPE(IF(E14:$E$18&gt;0,LN(E14:$E$18)),IF(E14:$E$18&gt;0,D14:$D$18))</f>
        <v>0.10387345815715078</v>
      </c>
      <c r="F24">
        <f t="array" ref="F24">1-(1-RSQ(IF(E14:$E$18&gt;0,LN(E14:$E$18)),IF(E14:$E$18&gt;0,D14:$D$18)))*((C24-1)/(C24-2))</f>
        <v>0.99728345403375018</v>
      </c>
      <c r="G24">
        <f t="shared" si="8"/>
        <v>6.6729960940674449</v>
      </c>
      <c r="I24" s="3" t="s">
        <v>38</v>
      </c>
      <c r="J24" s="5">
        <f>J22+B29/B33</f>
        <v>87.788716696915401</v>
      </c>
      <c r="K24" s="3" t="s">
        <v>46</v>
      </c>
      <c r="L24" s="5">
        <f>L22+B28*B29/B33+B29/(B33*B33)</f>
        <v>1262.4006366841513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2.553881663607481</v>
      </c>
      <c r="E25">
        <f t="array" ref="E25">-SLOPE(IF(E$13:$E19&gt;0,LN(E$13:$E19)),IF(E$13:$E19&gt;0,D$13:$D19))</f>
        <v>9.662046636095728E-2</v>
      </c>
      <c r="F25">
        <f t="array" ref="F25">1-(1-RSQ(IF(E13:$E$18&gt;0,LN(E13:$E$18)),IF(E13:$E$18&gt;0,D13:$D$18)))*((C25-1)/(C25-2))</f>
        <v>0.98825843998905127</v>
      </c>
      <c r="G25">
        <f t="shared" si="8"/>
        <v>7.1739167348920443</v>
      </c>
      <c r="I25" s="3" t="s">
        <v>39</v>
      </c>
      <c r="J25" s="5">
        <f>(J24-J22)/J24*100</f>
        <v>1.1661142062820133</v>
      </c>
      <c r="P25" s="3"/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2.3988361530586633</v>
      </c>
      <c r="E26">
        <f t="array" ref="E26">-SLOPE(IF(E$12:$E20&gt;0,LN(E$12:$E20)),IF(E$12:$E20&gt;0,D$12:$D20))</f>
        <v>9.2382320286729908E-2</v>
      </c>
      <c r="F26">
        <f t="array" ref="F26">1-(1-RSQ(IF(E12:$E$18&gt;0,LN(E12:$E$18)),IF(E12:$E$18&gt;0,D12:$D$18)))*((C26-1)/(C26-2))</f>
        <v>0.98354173842781301</v>
      </c>
      <c r="G26">
        <f t="shared" si="8"/>
        <v>7.5030284843312298</v>
      </c>
      <c r="I26" s="3" t="s">
        <v>42</v>
      </c>
      <c r="J26" s="5">
        <f>J22+B30/B33</f>
        <v>87.814242380339451</v>
      </c>
      <c r="K26" s="3" t="s">
        <v>47</v>
      </c>
      <c r="L26" s="5">
        <f>L22+B28*B30/B33+B30/(B33*B33)</f>
        <v>1263.8634246550639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45">
      <c r="E27" s="1"/>
      <c r="I27" s="3" t="s">
        <v>43</v>
      </c>
      <c r="J27" s="5">
        <f>(J26-J22)/J26*100</f>
        <v>1.1948430595062138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13.84178835905599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48" t="s">
        <v>35</v>
      </c>
      <c r="I30" s="3" t="s">
        <v>50</v>
      </c>
      <c r="J30" s="5">
        <f>IF(E30="N",E33*E34/J26,E33*E34/P21)</f>
        <v>13.84178835905599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128.81881689395266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IF(E30="N",E33*E34/(B33*J24),E33*E34/(B33*P21))</f>
        <v>128.81881689395266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220.4386369186532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220.55601122253893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15.925589324188101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15.934069030772326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4E18-0B54-4627-93F7-1E5021B341DE}">
  <dimension ref="A1:Z42"/>
  <sheetViews>
    <sheetView topLeftCell="A19" workbookViewId="0">
      <selection activeCell="E16" sqref="E16"/>
    </sheetView>
  </sheetViews>
  <sheetFormatPr defaultRowHeight="14.25" x14ac:dyDescent="0.45"/>
  <cols>
    <col min="1" max="1" width="11.86328125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92</v>
      </c>
      <c r="B5">
        <v>20</v>
      </c>
      <c r="C5" s="15">
        <v>0</v>
      </c>
      <c r="D5" s="11">
        <v>0</v>
      </c>
      <c r="E5" s="8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11">
        <v>1.1000000000000001</v>
      </c>
      <c r="P5">
        <f>O5*N5</f>
        <v>0</v>
      </c>
      <c r="R5" s="16"/>
      <c r="T5" s="19">
        <v>0</v>
      </c>
      <c r="U5" s="11">
        <v>1.1000000000000001</v>
      </c>
      <c r="V5" s="28"/>
      <c r="X5" s="19">
        <v>0</v>
      </c>
      <c r="Y5" s="11">
        <v>1.1000000000000001</v>
      </c>
      <c r="Z5" s="16"/>
    </row>
    <row r="6" spans="1:26" x14ac:dyDescent="0.45">
      <c r="A6" t="s">
        <v>92</v>
      </c>
      <c r="B6">
        <v>20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5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45">
      <c r="A7" t="s">
        <v>92</v>
      </c>
      <c r="B7">
        <v>20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5" si="2">(I6+I7)/2*(H7-H6)</f>
        <v>0.54499999999999993</v>
      </c>
      <c r="L7" s="16">
        <f t="shared" ref="L7:L15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5" si="6">(U6+U7)/2*(T7-T6)</f>
        <v>0.54499999999999993</v>
      </c>
      <c r="X7" s="20">
        <v>1</v>
      </c>
      <c r="Y7" s="2">
        <v>1.42</v>
      </c>
      <c r="Z7" s="16">
        <f t="shared" ref="Z7:Z15" si="7">(Y6+Y7)/2*(X7-X6)</f>
        <v>0.54499999999999993</v>
      </c>
    </row>
    <row r="8" spans="1:26" x14ac:dyDescent="0.45">
      <c r="A8" t="s">
        <v>92</v>
      </c>
      <c r="B8">
        <v>20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92</v>
      </c>
      <c r="B9">
        <v>20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92</v>
      </c>
      <c r="B10">
        <v>20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92</v>
      </c>
      <c r="B11">
        <v>20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92</v>
      </c>
      <c r="B12">
        <v>20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92</v>
      </c>
      <c r="B13">
        <v>20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92</v>
      </c>
      <c r="B14">
        <v>20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45">
      <c r="A15" t="s">
        <v>92</v>
      </c>
      <c r="B15">
        <v>20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45">
      <c r="A16" t="s">
        <v>92</v>
      </c>
      <c r="B16">
        <v>20</v>
      </c>
      <c r="C16" s="15">
        <v>24</v>
      </c>
      <c r="D16" s="2">
        <v>24</v>
      </c>
      <c r="E16" s="39"/>
      <c r="F16" s="16" t="s">
        <v>1</v>
      </c>
      <c r="H16" s="20">
        <v>24</v>
      </c>
      <c r="I16" s="8"/>
      <c r="L16" s="16"/>
      <c r="N16" s="20">
        <v>24</v>
      </c>
      <c r="O16" s="8">
        <v>1.1000000000000001</v>
      </c>
      <c r="P16">
        <f t="shared" si="1"/>
        <v>26.400000000000002</v>
      </c>
      <c r="Q16">
        <f t="shared" si="4"/>
        <v>10.68</v>
      </c>
      <c r="R16" s="16">
        <f t="shared" si="5"/>
        <v>212.04000000000002</v>
      </c>
      <c r="T16" s="19">
        <v>24</v>
      </c>
      <c r="U16" s="8">
        <v>1.1000000000000001</v>
      </c>
      <c r="V16" s="28"/>
      <c r="X16" s="20">
        <v>24</v>
      </c>
      <c r="Y16" s="2">
        <v>1.1000000000000001</v>
      </c>
      <c r="Z16" s="16"/>
    </row>
    <row r="17" spans="1:26" x14ac:dyDescent="0.4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4.65" thickBot="1" x14ac:dyDescent="0.5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60.664999999999999</v>
      </c>
      <c r="K21" s="3" t="s">
        <v>44</v>
      </c>
      <c r="L21" s="5">
        <f>SUM(L6:L18)</f>
        <v>551.83499999999992</v>
      </c>
      <c r="O21" s="3" t="s">
        <v>65</v>
      </c>
      <c r="P21" s="5">
        <f>SUM(Q6:INDEX(Q6:Q18,MATCH(E35,N6:N18,0)))</f>
        <v>71.344999999999999</v>
      </c>
      <c r="Q21" s="3" t="s">
        <v>71</v>
      </c>
      <c r="R21" s="5">
        <f>SUM(R6:INDEX(R6:R18,MATCH(E35,N6:N18,0)))</f>
        <v>763.875</v>
      </c>
      <c r="U21" s="3" t="s">
        <v>70</v>
      </c>
      <c r="V21" s="5">
        <f>SUM(V6:INDEX(V6:V18,MATCH(E36,T6:T18,0)))</f>
        <v>60.664999999999999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45">
      <c r="I22" s="3" t="s">
        <v>22</v>
      </c>
      <c r="J22" s="5">
        <f>SUM(K6:INDEX(K6:K18,MATCH(B28,H6:H18,0)))</f>
        <v>60.664999999999999</v>
      </c>
      <c r="K22" s="3" t="s">
        <v>45</v>
      </c>
      <c r="L22" s="5">
        <f>SUM(L6:INDEX(L6:L18,MATCH(B28,H6:H18,0)))</f>
        <v>551.83499999999992</v>
      </c>
    </row>
    <row r="24" spans="1:26" x14ac:dyDescent="0.45">
      <c r="I24" s="3" t="s">
        <v>38</v>
      </c>
      <c r="J24" s="5">
        <f>J22+B29/B33</f>
        <v>98.6342422973037</v>
      </c>
      <c r="K24" s="3" t="s">
        <v>46</v>
      </c>
      <c r="L24" s="5">
        <f>L22+B28*B29/B33+B29/(B33*B33)</f>
        <v>1821.3233778682779</v>
      </c>
    </row>
    <row r="25" spans="1:26" x14ac:dyDescent="0.45">
      <c r="A25">
        <v>10</v>
      </c>
      <c r="B25">
        <f t="array" ref="B25">MAX(IF(dvcorr&gt;0,tadcorr))</f>
        <v>18</v>
      </c>
      <c r="C25">
        <v>3</v>
      </c>
      <c r="D25">
        <f t="array" ref="D25">INTERCEPT(IF(E13:E18&gt;0,LN(E13:E18)),IF(E13:E18&gt;0,D13:D18))</f>
        <v>2.0713337748725671</v>
      </c>
      <c r="E25">
        <f t="array" ref="E25">-SLOPE(IF(E$13:$E19&gt;0,LN(E$13:$E19)),IF(E$13:$E19&gt;0,D$13:$D19))</f>
        <v>6.4789283408341586E-2</v>
      </c>
      <c r="F25">
        <f t="array" ref="F25">1-(1-RSQ(IF(E13:$E$18&gt;0,LN(E13:$E$18)),IF(E13:$E$18&gt;0,D13:$D$18)))*((C25-1)/(C25-2))</f>
        <v>0.99122855522629361</v>
      </c>
      <c r="G25">
        <f t="shared" ref="G25:G26" si="8">LN(2)/E25</f>
        <v>10.698485059501413</v>
      </c>
      <c r="I25" s="3" t="s">
        <v>39</v>
      </c>
      <c r="J25" s="5">
        <f>(J24-J22)/J24*100</f>
        <v>38.494990596527998</v>
      </c>
    </row>
    <row r="26" spans="1:26" x14ac:dyDescent="0.45">
      <c r="A26">
        <v>8</v>
      </c>
      <c r="B26">
        <f t="array" ref="B26">MAX(IF(dvcorr&gt;0,tadcorr))</f>
        <v>18</v>
      </c>
      <c r="C26">
        <v>4</v>
      </c>
      <c r="D26">
        <f t="array" ref="D26">INTERCEPT(IF(E12:E18&gt;0,LN(E12:E18)),IF(E12:E18&gt;0,D12:D18))</f>
        <v>1.9693862852941555</v>
      </c>
      <c r="E26">
        <f t="array" ref="E26">-SLOPE(IF(E$12:$E20&gt;0,LN(E$12:$E20)),IF(E$12:$E20&gt;0,D$12:$D20))</f>
        <v>5.8212026016186018E-2</v>
      </c>
      <c r="F26">
        <f t="array" ref="F26">1-(1-RSQ(IF(E12:$E$18&gt;0,LN(E12:$E$18)),IF(E12:$E$18&gt;0,D12:$D$18)))*((C26-1)/(C26-2))</f>
        <v>0.96466758484792103</v>
      </c>
      <c r="G26">
        <f t="shared" si="8"/>
        <v>11.907284937432237</v>
      </c>
      <c r="I26" s="3" t="s">
        <v>42</v>
      </c>
      <c r="J26" s="5">
        <f>J22+B30/B33</f>
        <v>98.823240702140794</v>
      </c>
      <c r="K26" s="3" t="s">
        <v>47</v>
      </c>
      <c r="L26" s="5">
        <f>L22+B28*B30/B33+B30/(B33*B33)</f>
        <v>1827.6424736378922</v>
      </c>
    </row>
    <row r="27" spans="1:26" x14ac:dyDescent="0.45">
      <c r="E27" s="1"/>
      <c r="I27" s="3" t="s">
        <v>43</v>
      </c>
      <c r="J27" s="5">
        <f>(J26-J22)/J26*100</f>
        <v>38.612618277872542</v>
      </c>
    </row>
    <row r="28" spans="1:26" x14ac:dyDescent="0.45">
      <c r="A28" s="3" t="s">
        <v>23</v>
      </c>
      <c r="B28" s="5">
        <f>INDEX(D5:D18,MATCH(B29,E5:E18,0))</f>
        <v>18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2.46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14.016399187048847</v>
      </c>
    </row>
    <row r="30" spans="1:26" x14ac:dyDescent="0.45">
      <c r="A30" s="3" t="s">
        <v>40</v>
      </c>
      <c r="B30" s="5">
        <f>EXP(B35-B33*B28)</f>
        <v>2.4722450712147155</v>
      </c>
      <c r="D30" s="3" t="s">
        <v>57</v>
      </c>
      <c r="E30" s="7" t="s">
        <v>35</v>
      </c>
      <c r="I30" s="3" t="s">
        <v>50</v>
      </c>
      <c r="J30" s="5">
        <f>IF(E30="N",E33*E34/J26,E33*E34/P21)</f>
        <v>14.016399187048847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216.33823449950742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IF(E30="N",E33*E34/(B33*J24),E33*E34/(B33*P21))</f>
        <v>216.33823449950742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6.4789283408341586E-2</v>
      </c>
      <c r="D33" s="3" t="s">
        <v>60</v>
      </c>
      <c r="E33" s="4">
        <v>1</v>
      </c>
      <c r="I33" s="3" t="s">
        <v>53</v>
      </c>
      <c r="J33" s="5">
        <f>J35*J29</f>
        <v>278.73996571916041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10.698485059501413</v>
      </c>
      <c r="D34" s="3" t="s">
        <v>64</v>
      </c>
      <c r="E34" s="4">
        <v>1000</v>
      </c>
      <c r="I34" s="3" t="s">
        <v>54</v>
      </c>
      <c r="J34" s="5">
        <f>J36*J30</f>
        <v>279.63109824575497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2.0713337748725671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19.886702854233498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19.950280704343388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0.99122855522629361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18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6643-A295-4C05-8C8F-66DA3031D2A2}">
  <dimension ref="A1:Z42"/>
  <sheetViews>
    <sheetView workbookViewId="0"/>
  </sheetViews>
  <sheetFormatPr defaultRowHeight="14.25" x14ac:dyDescent="0.45"/>
  <cols>
    <col min="1" max="1" width="10.3984375" bestFit="1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158</v>
      </c>
      <c r="B5">
        <v>21</v>
      </c>
      <c r="C5" s="15">
        <v>0</v>
      </c>
      <c r="D5" s="11">
        <v>0</v>
      </c>
      <c r="E5" s="8">
        <v>0</v>
      </c>
      <c r="F5" s="16">
        <v>0.1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45">
      <c r="A6" t="s">
        <v>158</v>
      </c>
      <c r="B6">
        <v>21</v>
      </c>
      <c r="C6" s="15">
        <v>0.5</v>
      </c>
      <c r="D6" s="2">
        <v>0.5</v>
      </c>
      <c r="E6" s="8">
        <v>0</v>
      </c>
      <c r="F6" s="16">
        <v>0.1</v>
      </c>
      <c r="H6" s="20">
        <v>0.5</v>
      </c>
      <c r="I6" s="8">
        <v>0</v>
      </c>
      <c r="J6">
        <f t="shared" ref="J6:J18" si="0">I6*H6</f>
        <v>0</v>
      </c>
      <c r="K6">
        <f>(I5+I6)/2*(H6-H5)</f>
        <v>0</v>
      </c>
      <c r="L6" s="16">
        <f>(J5+J6)/2*(H6-H5)</f>
        <v>0</v>
      </c>
      <c r="N6" s="20">
        <v>0.5</v>
      </c>
      <c r="O6" s="8">
        <v>0</v>
      </c>
      <c r="P6">
        <f t="shared" ref="P6:P18" si="1">O6*N6</f>
        <v>0</v>
      </c>
      <c r="Q6">
        <f>(O5+O6)/2*(N6-N5)</f>
        <v>0</v>
      </c>
      <c r="R6" s="16">
        <f>(P5+P6)/2*(N6-N5)</f>
        <v>0</v>
      </c>
      <c r="T6" s="19">
        <v>0.5</v>
      </c>
      <c r="U6" s="8">
        <v>0</v>
      </c>
      <c r="V6" s="28">
        <f>(U5+U6)/2*(T6-T5)</f>
        <v>0</v>
      </c>
      <c r="X6" s="20">
        <v>0.5</v>
      </c>
      <c r="Y6" s="8">
        <v>0</v>
      </c>
      <c r="Z6" s="16">
        <f>(Y5+Y6)/2*(X6-X5)</f>
        <v>0</v>
      </c>
    </row>
    <row r="7" spans="1:26" x14ac:dyDescent="0.45">
      <c r="A7" t="s">
        <v>158</v>
      </c>
      <c r="B7">
        <v>21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0.35499999999999998</v>
      </c>
      <c r="L7" s="16">
        <f t="shared" ref="L7:L18" si="3">(J6+J7)/2*(H7-H6)</f>
        <v>0.35499999999999998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0.35499999999999998</v>
      </c>
      <c r="R7" s="16">
        <f t="shared" ref="R7:R18" si="5">(P6+P7)/2*(N7-N6)</f>
        <v>0.35499999999999998</v>
      </c>
      <c r="T7" s="19">
        <v>1</v>
      </c>
      <c r="U7" s="2">
        <v>1.42</v>
      </c>
      <c r="V7" s="28">
        <f t="shared" ref="V7:V18" si="6">(U6+U7)/2*(T7-T6)</f>
        <v>0.35499999999999998</v>
      </c>
      <c r="X7" s="20">
        <v>1</v>
      </c>
      <c r="Y7" s="2">
        <v>1.42</v>
      </c>
      <c r="Z7" s="16">
        <f t="shared" ref="Z7:Z18" si="7">(Y6+Y7)/2*(X7-X6)</f>
        <v>0.35499999999999998</v>
      </c>
    </row>
    <row r="8" spans="1:26" x14ac:dyDescent="0.45">
      <c r="A8" t="s">
        <v>158</v>
      </c>
      <c r="B8">
        <v>21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158</v>
      </c>
      <c r="B9">
        <v>21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158</v>
      </c>
      <c r="B10">
        <v>21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158</v>
      </c>
      <c r="B11">
        <v>21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158</v>
      </c>
      <c r="B12">
        <v>21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158</v>
      </c>
      <c r="B13">
        <v>21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158</v>
      </c>
      <c r="B14">
        <v>21</v>
      </c>
      <c r="C14" s="15">
        <v>12</v>
      </c>
      <c r="D14" s="2">
        <v>12</v>
      </c>
      <c r="E14" s="39"/>
      <c r="F14" s="16">
        <v>0.1</v>
      </c>
      <c r="H14" s="20">
        <v>12</v>
      </c>
      <c r="I14" s="39"/>
      <c r="J14">
        <f t="shared" si="0"/>
        <v>0</v>
      </c>
      <c r="K14">
        <f t="shared" si="2"/>
        <v>4.09</v>
      </c>
      <c r="L14" s="16">
        <f t="shared" si="3"/>
        <v>40.9</v>
      </c>
      <c r="N14" s="20">
        <v>12</v>
      </c>
      <c r="O14" s="39"/>
      <c r="P14">
        <f t="shared" si="1"/>
        <v>0</v>
      </c>
      <c r="Q14">
        <f t="shared" si="4"/>
        <v>4.09</v>
      </c>
      <c r="R14" s="16">
        <f t="shared" si="5"/>
        <v>40.9</v>
      </c>
      <c r="T14" s="19">
        <v>12</v>
      </c>
      <c r="U14" s="39"/>
      <c r="V14" s="28">
        <f t="shared" si="6"/>
        <v>4.09</v>
      </c>
      <c r="X14" s="20">
        <v>12</v>
      </c>
      <c r="Y14" s="39"/>
      <c r="Z14" s="16">
        <f t="shared" si="7"/>
        <v>4.09</v>
      </c>
    </row>
    <row r="15" spans="1:26" x14ac:dyDescent="0.45">
      <c r="A15" t="s">
        <v>158</v>
      </c>
      <c r="B15">
        <v>21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7.38</v>
      </c>
      <c r="L15" s="16">
        <f t="shared" si="3"/>
        <v>132.84</v>
      </c>
      <c r="N15" s="20">
        <v>18</v>
      </c>
      <c r="O15" s="2">
        <v>2.46</v>
      </c>
      <c r="P15">
        <f t="shared" si="1"/>
        <v>44.28</v>
      </c>
      <c r="Q15">
        <f t="shared" si="4"/>
        <v>7.38</v>
      </c>
      <c r="R15" s="16">
        <f t="shared" si="5"/>
        <v>132.84</v>
      </c>
      <c r="T15" s="19">
        <v>18</v>
      </c>
      <c r="U15" s="2">
        <v>2.46</v>
      </c>
      <c r="V15" s="28">
        <f t="shared" si="6"/>
        <v>7.38</v>
      </c>
      <c r="X15" s="20">
        <v>18</v>
      </c>
      <c r="Y15" s="2">
        <v>2.46</v>
      </c>
      <c r="Z15" s="16">
        <f t="shared" si="7"/>
        <v>7.38</v>
      </c>
    </row>
    <row r="16" spans="1:26" x14ac:dyDescent="0.45">
      <c r="A16" t="s">
        <v>158</v>
      </c>
      <c r="B16">
        <v>21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2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158</v>
      </c>
      <c r="B17">
        <v>21</v>
      </c>
      <c r="C17" s="15">
        <v>36</v>
      </c>
      <c r="D17" s="2">
        <v>36</v>
      </c>
      <c r="E17" s="39"/>
      <c r="F17" s="16">
        <v>0.1</v>
      </c>
      <c r="H17" s="20">
        <v>36</v>
      </c>
      <c r="I17" s="39"/>
      <c r="J17">
        <f t="shared" si="0"/>
        <v>0</v>
      </c>
      <c r="K17">
        <f t="shared" si="2"/>
        <v>8.6999999999999993</v>
      </c>
      <c r="L17" s="16">
        <f t="shared" si="3"/>
        <v>208.79999999999998</v>
      </c>
      <c r="N17" s="20">
        <v>36</v>
      </c>
      <c r="O17" s="39"/>
      <c r="P17">
        <f t="shared" si="1"/>
        <v>0</v>
      </c>
      <c r="Q17">
        <f t="shared" si="4"/>
        <v>8.6999999999999993</v>
      </c>
      <c r="R17" s="16">
        <f t="shared" si="5"/>
        <v>208.79999999999998</v>
      </c>
      <c r="T17" s="19">
        <v>36</v>
      </c>
      <c r="U17" s="39"/>
      <c r="V17" s="28">
        <f t="shared" si="6"/>
        <v>8.6999999999999993</v>
      </c>
      <c r="X17" s="20">
        <v>36</v>
      </c>
      <c r="Y17" s="39"/>
      <c r="Z17" s="16">
        <f t="shared" si="7"/>
        <v>8.6999999999999993</v>
      </c>
    </row>
    <row r="18" spans="1:26" ht="14.65" thickBot="1" x14ac:dyDescent="0.5">
      <c r="A18" t="s">
        <v>158</v>
      </c>
      <c r="B18">
        <v>21</v>
      </c>
      <c r="C18" s="36">
        <v>48</v>
      </c>
      <c r="D18" s="22">
        <v>48</v>
      </c>
      <c r="E18" s="52"/>
      <c r="F18" s="23">
        <v>0.1</v>
      </c>
      <c r="H18" s="21">
        <v>48</v>
      </c>
      <c r="I18" s="52"/>
      <c r="J18" s="35">
        <f t="shared" si="0"/>
        <v>0</v>
      </c>
      <c r="K18" s="35">
        <f t="shared" si="2"/>
        <v>0</v>
      </c>
      <c r="L18" s="23">
        <f t="shared" si="3"/>
        <v>0</v>
      </c>
      <c r="N18" s="21">
        <v>48</v>
      </c>
      <c r="O18" s="52"/>
      <c r="P18" s="35">
        <f t="shared" si="1"/>
        <v>0</v>
      </c>
      <c r="Q18" s="35">
        <f t="shared" si="4"/>
        <v>0</v>
      </c>
      <c r="R18" s="23">
        <f t="shared" si="5"/>
        <v>0</v>
      </c>
      <c r="T18" s="31">
        <v>48</v>
      </c>
      <c r="U18" s="52"/>
      <c r="V18" s="33">
        <f t="shared" si="6"/>
        <v>0</v>
      </c>
      <c r="X18" s="21">
        <v>48</v>
      </c>
      <c r="Y18" s="52"/>
      <c r="Z18" s="23">
        <f t="shared" si="7"/>
        <v>0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65.56</v>
      </c>
      <c r="K21" s="3" t="s">
        <v>44</v>
      </c>
      <c r="L21" s="5">
        <f>SUM(L6:L18)</f>
        <v>819.125</v>
      </c>
      <c r="O21" s="3" t="s">
        <v>65</v>
      </c>
      <c r="P21" s="5">
        <f>SUM(Q6:INDEX(Q6:Q18,MATCH(E35,N6:N18,0)))</f>
        <v>56.86</v>
      </c>
      <c r="Q21" s="3" t="s">
        <v>71</v>
      </c>
      <c r="R21" s="5">
        <f>SUM(R6:INDEX(R6:R18,MATCH(E35,N6:N18,0)))</f>
        <v>610.32500000000005</v>
      </c>
      <c r="U21" s="3" t="s">
        <v>70</v>
      </c>
      <c r="V21" s="5">
        <f>SUM(V6:INDEX(V6:V18,MATCH(E36,T6:T18,0)))</f>
        <v>45.13</v>
      </c>
      <c r="Y21" s="3" t="s">
        <v>37</v>
      </c>
      <c r="Z21" s="5">
        <f>SUM(INDEX(Z6:Z18,MATCH(E37,X6:X18,0)+1):INDEX(Z6:Z18,MATCH(E38,X6:X18,0)))</f>
        <v>29.089999999999996</v>
      </c>
    </row>
    <row r="22" spans="1:26" x14ac:dyDescent="0.45">
      <c r="A22">
        <v>10</v>
      </c>
      <c r="B22">
        <v>24</v>
      </c>
      <c r="C22">
        <v>3</v>
      </c>
      <c r="D22" cm="1">
        <f t="array" ref="D22">INTERCEPT(IF(E13:E16&gt;0,LN(E13:E16)),IF(E13:E16&gt;0,D13:D16))</f>
        <v>2.1674464527954007</v>
      </c>
      <c r="E22" cm="1">
        <f t="array" ref="E22">-SLOPE(IF(E13:$E$16&gt;0,LN(E13:$E$16)),IF(E13:$E$16&gt;0,D13:$D$16))</f>
        <v>7.3501336191437255E-2</v>
      </c>
      <c r="F22" cm="1">
        <f t="array" ref="F22">1-(1-RSQ(IF(E13:$E$16&gt;0,LN(E13:$E$16)),IF(E13:$E$16&gt;0,D13:$D$16)))*((C22-1)/(C22-2))</f>
        <v>0.9825491644640727</v>
      </c>
      <c r="G22">
        <f>LN(2)/E22</f>
        <v>9.4304024454006505</v>
      </c>
      <c r="I22" s="3" t="s">
        <v>22</v>
      </c>
      <c r="J22" s="5">
        <f>SUM(K6:INDEX(K6:K18,MATCH(B28,H6:H18,0)))</f>
        <v>56.86</v>
      </c>
      <c r="K22" s="3" t="s">
        <v>45</v>
      </c>
      <c r="L22" s="5">
        <f>SUM(L6:INDEX(L6:L18,MATCH(B28,H6:H18,0)))</f>
        <v>610.32500000000005</v>
      </c>
    </row>
    <row r="23" spans="1:26" x14ac:dyDescent="0.45">
      <c r="A23">
        <v>8</v>
      </c>
      <c r="B23">
        <v>24</v>
      </c>
      <c r="C23">
        <v>4</v>
      </c>
      <c r="D23" cm="1">
        <f t="array" ref="D23">INTERCEPT(IF(E12:E16&gt;0,LN(E12:E16)),IF(E12:E16&gt;0,D12:D16))</f>
        <v>2.0619544562365961</v>
      </c>
      <c r="E23" cm="1">
        <f t="array" ref="E23">-SLOPE(IF(E12:$E$16&gt;0,LN(E12:$E$16)),IF(E12:$E$16&gt;0,D12:$D$16))</f>
        <v>6.8443500739987714E-2</v>
      </c>
      <c r="F23" cm="1">
        <f t="array" ref="F23">1-(1-RSQ(IF(E12:$E$16&gt;0,LN(E12:$E$16)),IF(E12:$E$16&gt;0,D12:$D$16)))*((C23-1)/(C23-2))</f>
        <v>0.97877320674884027</v>
      </c>
      <c r="G23">
        <f t="shared" ref="G23" si="8">LN(2)/E23</f>
        <v>10.127289999282256</v>
      </c>
    </row>
    <row r="24" spans="1:26" x14ac:dyDescent="0.45">
      <c r="I24" s="3" t="s">
        <v>38</v>
      </c>
      <c r="J24" s="5">
        <f>J22+B29/B33</f>
        <v>76.587532520271679</v>
      </c>
      <c r="K24" s="3" t="s">
        <v>46</v>
      </c>
      <c r="L24" s="5">
        <f>L22+B28*B29/B33+B29/(B33*B33)</f>
        <v>1352.1827041681593</v>
      </c>
    </row>
    <row r="25" spans="1:26" x14ac:dyDescent="0.45">
      <c r="I25" s="3" t="s">
        <v>39</v>
      </c>
      <c r="J25" s="5">
        <f>(J24-J22)/J24*100</f>
        <v>25.758151321887894</v>
      </c>
    </row>
    <row r="26" spans="1:26" x14ac:dyDescent="0.45">
      <c r="I26" s="3" t="s">
        <v>42</v>
      </c>
      <c r="J26" s="5">
        <f>J22+B30/B33</f>
        <v>77.225984397708828</v>
      </c>
      <c r="K26" s="3" t="s">
        <v>47</v>
      </c>
      <c r="L26" s="5">
        <f>L22+B28*B30/B33+B30/(B33*B33)</f>
        <v>1376.1918114161474</v>
      </c>
    </row>
    <row r="27" spans="1:26" x14ac:dyDescent="0.45">
      <c r="E27" s="1"/>
      <c r="I27" s="3" t="s">
        <v>43</v>
      </c>
      <c r="J27" s="5">
        <f>(J26-J22)/J26*100</f>
        <v>26.371932396258398</v>
      </c>
    </row>
    <row r="28" spans="1:26" x14ac:dyDescent="0.45">
      <c r="A28" s="3" t="s">
        <v>23</v>
      </c>
      <c r="B28" s="5">
        <f>INDEX(D5:D18,MATCH(B29,E5:E18,0))</f>
        <v>24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13.056955448137902</v>
      </c>
    </row>
    <row r="30" spans="1:26" x14ac:dyDescent="0.45">
      <c r="A30" s="3" t="s">
        <v>40</v>
      </c>
      <c r="B30" s="5">
        <f>EXP(B35-B33*B28)</f>
        <v>1.4969270660855623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12.949009427320014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177.64242290957165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176.17379626397249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7.3501336191437255E-2</v>
      </c>
      <c r="D33" s="3" t="s">
        <v>60</v>
      </c>
      <c r="E33" s="4">
        <v>1</v>
      </c>
      <c r="I33" s="3" t="s">
        <v>53</v>
      </c>
      <c r="J33" s="5">
        <f>J35*J29</f>
        <v>230.52563184997697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9.4304024454006505</v>
      </c>
      <c r="D34" s="3" t="s">
        <v>64</v>
      </c>
      <c r="E34" s="4">
        <v>1000</v>
      </c>
      <c r="I34" s="3" t="s">
        <v>54</v>
      </c>
      <c r="J34" s="5">
        <f>J36*J30</f>
        <v>230.75550125790303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2.1674464527954007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17.655389326066288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17.820320739828301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0.9825491644640727</v>
      </c>
      <c r="D37" s="3" t="s">
        <v>68</v>
      </c>
      <c r="E37" s="4">
        <v>4</v>
      </c>
      <c r="I37" s="3" t="s">
        <v>166</v>
      </c>
      <c r="J37" s="5">
        <f>IF(E39="0",L22/J22,(L22/J22)-(E39/2))</f>
        <v>10.733819908547311</v>
      </c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D39" s="3" t="s">
        <v>168</v>
      </c>
      <c r="E39" s="4">
        <v>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24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A8A7-2672-4A69-AB8C-B25E21D441A3}">
  <dimension ref="A1:Z42"/>
  <sheetViews>
    <sheetView workbookViewId="0">
      <selection activeCell="A2" sqref="A2"/>
    </sheetView>
  </sheetViews>
  <sheetFormatPr defaultRowHeight="14.25" x14ac:dyDescent="0.45"/>
  <cols>
    <col min="1" max="1" width="10.3984375" bestFit="1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159</v>
      </c>
      <c r="B5">
        <v>22</v>
      </c>
      <c r="C5" s="15">
        <v>0</v>
      </c>
      <c r="D5" s="11">
        <v>0</v>
      </c>
      <c r="E5" s="8">
        <v>0</v>
      </c>
      <c r="F5" s="16">
        <v>0.1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45">
      <c r="A6" t="s">
        <v>159</v>
      </c>
      <c r="B6">
        <v>22</v>
      </c>
      <c r="C6" s="15">
        <v>0.5</v>
      </c>
      <c r="D6" s="2">
        <v>0.5</v>
      </c>
      <c r="E6" s="8">
        <v>0</v>
      </c>
      <c r="F6" s="16">
        <v>0.1</v>
      </c>
      <c r="H6" s="20">
        <v>0.5</v>
      </c>
      <c r="I6" s="8">
        <v>0</v>
      </c>
      <c r="J6">
        <f t="shared" ref="J6:J18" si="0">I6*H6</f>
        <v>0</v>
      </c>
      <c r="K6">
        <f>(I5+I6)/2*(H6-H5)</f>
        <v>0</v>
      </c>
      <c r="L6" s="16">
        <f>(J5+J6)/2*(H6-H5)</f>
        <v>0</v>
      </c>
      <c r="N6" s="20">
        <v>0.5</v>
      </c>
      <c r="O6" s="8">
        <v>0</v>
      </c>
      <c r="P6">
        <f t="shared" ref="P6:P18" si="1">O6*N6</f>
        <v>0</v>
      </c>
      <c r="Q6">
        <f>(O5+O6)/2*(N6-N5)</f>
        <v>0</v>
      </c>
      <c r="R6" s="16">
        <f>(P5+P6)/2*(N6-N5)</f>
        <v>0</v>
      </c>
      <c r="T6" s="19">
        <v>0.5</v>
      </c>
      <c r="U6" s="8">
        <v>0</v>
      </c>
      <c r="V6" s="28">
        <f>(U5+U6)/2*(T6-T5)</f>
        <v>0</v>
      </c>
      <c r="X6" s="20">
        <v>0.5</v>
      </c>
      <c r="Y6" s="8">
        <v>0</v>
      </c>
      <c r="Z6" s="16">
        <f>(Y5+Y6)/2*(X6-X5)</f>
        <v>0</v>
      </c>
    </row>
    <row r="7" spans="1:26" x14ac:dyDescent="0.45">
      <c r="A7" t="s">
        <v>159</v>
      </c>
      <c r="B7">
        <v>22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0.35499999999999998</v>
      </c>
      <c r="L7" s="16">
        <f t="shared" ref="L7:L18" si="3">(J6+J7)/2*(H7-H6)</f>
        <v>0.35499999999999998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0.35499999999999998</v>
      </c>
      <c r="R7" s="16">
        <f t="shared" ref="R7:R18" si="5">(P6+P7)/2*(N7-N6)</f>
        <v>0.35499999999999998</v>
      </c>
      <c r="T7" s="19">
        <v>1</v>
      </c>
      <c r="U7" s="2">
        <v>1.42</v>
      </c>
      <c r="V7" s="28">
        <f t="shared" ref="V7:V18" si="6">(U6+U7)/2*(T7-T6)</f>
        <v>0.35499999999999998</v>
      </c>
      <c r="X7" s="20">
        <v>1</v>
      </c>
      <c r="Y7" s="2">
        <v>1.42</v>
      </c>
      <c r="Z7" s="16">
        <f t="shared" ref="Z7:Z18" si="7">(Y6+Y7)/2*(X7-X6)</f>
        <v>0.35499999999999998</v>
      </c>
    </row>
    <row r="8" spans="1:26" x14ac:dyDescent="0.45">
      <c r="A8" t="s">
        <v>159</v>
      </c>
      <c r="B8">
        <v>22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159</v>
      </c>
      <c r="B9">
        <v>22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159</v>
      </c>
      <c r="B10">
        <v>22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159</v>
      </c>
      <c r="B11">
        <v>22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159</v>
      </c>
      <c r="B12">
        <v>22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159</v>
      </c>
      <c r="B13">
        <v>22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159</v>
      </c>
      <c r="B14">
        <v>22</v>
      </c>
      <c r="C14" s="15">
        <v>12</v>
      </c>
      <c r="D14" s="2">
        <v>12</v>
      </c>
      <c r="E14" s="8">
        <v>0</v>
      </c>
      <c r="F14" s="16">
        <v>0.1</v>
      </c>
      <c r="H14" s="20">
        <v>12</v>
      </c>
      <c r="I14" s="8">
        <v>0</v>
      </c>
      <c r="J14">
        <f t="shared" si="0"/>
        <v>0</v>
      </c>
      <c r="K14">
        <f t="shared" si="2"/>
        <v>4.09</v>
      </c>
      <c r="L14" s="16">
        <f t="shared" si="3"/>
        <v>40.9</v>
      </c>
      <c r="N14" s="20">
        <v>12</v>
      </c>
      <c r="O14" s="8">
        <v>0</v>
      </c>
      <c r="P14">
        <f t="shared" si="1"/>
        <v>0</v>
      </c>
      <c r="Q14">
        <f t="shared" si="4"/>
        <v>4.09</v>
      </c>
      <c r="R14" s="16">
        <f t="shared" si="5"/>
        <v>40.9</v>
      </c>
      <c r="T14" s="19">
        <v>12</v>
      </c>
      <c r="U14" s="8">
        <v>0</v>
      </c>
      <c r="V14" s="28">
        <f t="shared" si="6"/>
        <v>4.09</v>
      </c>
      <c r="X14" s="20">
        <v>12</v>
      </c>
      <c r="Y14" s="8">
        <v>0</v>
      </c>
      <c r="Z14" s="16">
        <f t="shared" si="7"/>
        <v>4.09</v>
      </c>
    </row>
    <row r="15" spans="1:26" x14ac:dyDescent="0.45">
      <c r="A15" t="s">
        <v>159</v>
      </c>
      <c r="B15">
        <v>22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7.38</v>
      </c>
      <c r="L15" s="16">
        <f t="shared" si="3"/>
        <v>132.84</v>
      </c>
      <c r="N15" s="20">
        <v>18</v>
      </c>
      <c r="O15" s="2">
        <v>2.46</v>
      </c>
      <c r="P15">
        <f t="shared" si="1"/>
        <v>44.28</v>
      </c>
      <c r="Q15">
        <f t="shared" si="4"/>
        <v>7.38</v>
      </c>
      <c r="R15" s="16">
        <f t="shared" si="5"/>
        <v>132.84</v>
      </c>
      <c r="T15" s="19">
        <v>18</v>
      </c>
      <c r="U15" s="2">
        <v>2.46</v>
      </c>
      <c r="V15" s="28">
        <f t="shared" si="6"/>
        <v>7.38</v>
      </c>
      <c r="X15" s="20">
        <v>18</v>
      </c>
      <c r="Y15" s="2">
        <v>2.46</v>
      </c>
      <c r="Z15" s="16">
        <f t="shared" si="7"/>
        <v>7.38</v>
      </c>
    </row>
    <row r="16" spans="1:26" x14ac:dyDescent="0.45">
      <c r="A16" t="s">
        <v>159</v>
      </c>
      <c r="B16">
        <v>22</v>
      </c>
      <c r="C16" s="15">
        <v>24</v>
      </c>
      <c r="D16" s="2">
        <v>24</v>
      </c>
      <c r="E16" s="11">
        <v>1.45</v>
      </c>
      <c r="F16" s="16" t="s">
        <v>1</v>
      </c>
      <c r="H16" s="20">
        <v>24</v>
      </c>
      <c r="I16" s="11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11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11">
        <v>1.45</v>
      </c>
      <c r="Z16" s="16">
        <f t="shared" si="7"/>
        <v>11.73</v>
      </c>
    </row>
    <row r="17" spans="1:26" x14ac:dyDescent="0.45">
      <c r="A17" t="s">
        <v>159</v>
      </c>
      <c r="B17">
        <v>22</v>
      </c>
      <c r="C17" s="15">
        <v>36</v>
      </c>
      <c r="D17" s="2">
        <v>36</v>
      </c>
      <c r="E17" s="8">
        <v>0</v>
      </c>
      <c r="F17" s="16">
        <v>0.1</v>
      </c>
      <c r="H17" s="20">
        <v>36</v>
      </c>
      <c r="I17" s="8">
        <v>0</v>
      </c>
      <c r="J17">
        <f t="shared" si="0"/>
        <v>0</v>
      </c>
      <c r="K17">
        <f t="shared" si="2"/>
        <v>8.6999999999999993</v>
      </c>
      <c r="L17" s="16">
        <f t="shared" si="3"/>
        <v>208.79999999999998</v>
      </c>
      <c r="N17" s="20">
        <v>36</v>
      </c>
      <c r="O17" s="8">
        <v>0</v>
      </c>
      <c r="P17">
        <f t="shared" si="1"/>
        <v>0</v>
      </c>
      <c r="Q17">
        <f t="shared" si="4"/>
        <v>8.6999999999999993</v>
      </c>
      <c r="R17" s="16">
        <f t="shared" si="5"/>
        <v>208.79999999999998</v>
      </c>
      <c r="T17" s="19">
        <v>36</v>
      </c>
      <c r="U17" s="8">
        <v>0</v>
      </c>
      <c r="V17" s="28">
        <f t="shared" si="6"/>
        <v>8.6999999999999993</v>
      </c>
      <c r="X17" s="20">
        <v>36</v>
      </c>
      <c r="Y17" s="8">
        <v>0</v>
      </c>
      <c r="Z17" s="16">
        <f t="shared" si="7"/>
        <v>8.6999999999999993</v>
      </c>
    </row>
    <row r="18" spans="1:26" ht="14.65" thickBot="1" x14ac:dyDescent="0.5">
      <c r="A18" t="s">
        <v>159</v>
      </c>
      <c r="B18">
        <v>22</v>
      </c>
      <c r="C18" s="36">
        <v>48</v>
      </c>
      <c r="D18" s="22">
        <v>48</v>
      </c>
      <c r="E18" s="51">
        <v>0</v>
      </c>
      <c r="F18" s="23">
        <v>0.1</v>
      </c>
      <c r="H18" s="21">
        <v>48</v>
      </c>
      <c r="I18" s="51">
        <v>0</v>
      </c>
      <c r="J18" s="35">
        <f t="shared" si="0"/>
        <v>0</v>
      </c>
      <c r="K18" s="35">
        <f t="shared" si="2"/>
        <v>0</v>
      </c>
      <c r="L18" s="23">
        <f t="shared" si="3"/>
        <v>0</v>
      </c>
      <c r="N18" s="21">
        <v>48</v>
      </c>
      <c r="O18" s="51">
        <v>0</v>
      </c>
      <c r="P18" s="35">
        <f t="shared" si="1"/>
        <v>0</v>
      </c>
      <c r="Q18" s="35">
        <f t="shared" si="4"/>
        <v>0</v>
      </c>
      <c r="R18" s="23">
        <f t="shared" si="5"/>
        <v>0</v>
      </c>
      <c r="T18" s="31">
        <v>48</v>
      </c>
      <c r="U18" s="51">
        <v>0</v>
      </c>
      <c r="V18" s="33">
        <f t="shared" si="6"/>
        <v>0</v>
      </c>
      <c r="X18" s="21">
        <v>48</v>
      </c>
      <c r="Y18" s="51">
        <v>0</v>
      </c>
      <c r="Z18" s="23">
        <f t="shared" si="7"/>
        <v>0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65.56</v>
      </c>
      <c r="K21" s="3" t="s">
        <v>44</v>
      </c>
      <c r="L21" s="5">
        <f>SUM(L6:L18)</f>
        <v>819.125</v>
      </c>
      <c r="O21" s="3" t="s">
        <v>65</v>
      </c>
      <c r="P21" s="5">
        <f>SUM(Q6:INDEX(Q6:Q18,MATCH(E35,N6:N18,0)))</f>
        <v>56.86</v>
      </c>
      <c r="Q21" s="3" t="s">
        <v>71</v>
      </c>
      <c r="R21" s="5">
        <f>SUM(R6:INDEX(R6:R18,MATCH(E35,N6:N18,0)))</f>
        <v>610.32500000000005</v>
      </c>
      <c r="U21" s="3" t="s">
        <v>70</v>
      </c>
      <c r="V21" s="5">
        <f>SUM(V6:INDEX(V6:V18,MATCH(E36,T6:T18,0)))</f>
        <v>45.13</v>
      </c>
      <c r="Y21" s="3" t="s">
        <v>37</v>
      </c>
      <c r="Z21" s="5">
        <f>SUM(INDEX(Z6:Z18,MATCH(E37,X6:X18,0)+1):INDEX(Z6:Z18,MATCH(E38,X6:X18,0)))</f>
        <v>29.089999999999996</v>
      </c>
    </row>
    <row r="22" spans="1:26" x14ac:dyDescent="0.45">
      <c r="A22">
        <v>10</v>
      </c>
      <c r="B22">
        <v>24</v>
      </c>
      <c r="C22">
        <v>3</v>
      </c>
      <c r="D22" cm="1">
        <f t="array" ref="D22">INTERCEPT(IF(E13:E16&gt;0,LN(E13:E16)),IF(E13:E16&gt;0,D13:D16))</f>
        <v>2.1674464527954007</v>
      </c>
      <c r="E22" cm="1">
        <f t="array" ref="E22">-SLOPE(IF(E13:$E$16&gt;0,LN(E13:$E$16)),IF(E13:$E$16&gt;0,D13:$D$16))</f>
        <v>7.3501336191437255E-2</v>
      </c>
      <c r="F22" cm="1">
        <f t="array" ref="F22">1-(1-RSQ(IF(E13:$E$16&gt;0,LN(E13:$E$16)),IF(E13:$E$16&gt;0,D13:$D$16)))*((C22-1)/(C22-2))</f>
        <v>0.9825491644640727</v>
      </c>
      <c r="G22">
        <f>LN(2)/E22</f>
        <v>9.4304024454006505</v>
      </c>
      <c r="I22" s="3" t="s">
        <v>22</v>
      </c>
      <c r="J22" s="5">
        <f>SUM(K6:INDEX(K6:K18,MATCH(B28,H6:H18,0)))</f>
        <v>56.86</v>
      </c>
      <c r="K22" s="3" t="s">
        <v>45</v>
      </c>
      <c r="L22" s="5">
        <f>SUM(L6:INDEX(L6:L18,MATCH(B28,H6:H18,0)))</f>
        <v>610.32500000000005</v>
      </c>
    </row>
    <row r="23" spans="1:26" x14ac:dyDescent="0.45">
      <c r="A23">
        <v>8</v>
      </c>
      <c r="B23">
        <v>24</v>
      </c>
      <c r="C23">
        <v>4</v>
      </c>
      <c r="D23" cm="1">
        <f t="array" ref="D23">INTERCEPT(IF(E12:E16&gt;0,LN(E12:E16)),IF(E12:E16&gt;0,D12:D16))</f>
        <v>2.0619544562365961</v>
      </c>
      <c r="E23" cm="1">
        <f t="array" ref="E23">-SLOPE(IF(E12:$E$16&gt;0,LN(E12:$E$16)),IF(E12:$E$16&gt;0,D12:$D$16))</f>
        <v>6.8443500739987714E-2</v>
      </c>
      <c r="F23" cm="1">
        <f t="array" ref="F23">1-(1-RSQ(IF(E12:$E$16&gt;0,LN(E12:$E$16)),IF(E12:$E$16&gt;0,D12:$D$16)))*((C23-1)/(C23-2))</f>
        <v>0.97877320674884027</v>
      </c>
      <c r="G23">
        <f t="shared" ref="G23" si="8">LN(2)/E23</f>
        <v>10.127289999282256</v>
      </c>
    </row>
    <row r="24" spans="1:26" x14ac:dyDescent="0.45">
      <c r="I24" s="3" t="s">
        <v>38</v>
      </c>
      <c r="J24" s="5">
        <f>J22+B29/B33</f>
        <v>76.587532520271679</v>
      </c>
      <c r="K24" s="3" t="s">
        <v>46</v>
      </c>
      <c r="L24" s="5">
        <f>L22+B28*B29/B33+B29/(B33*B33)</f>
        <v>1352.1827041681593</v>
      </c>
    </row>
    <row r="25" spans="1:26" x14ac:dyDescent="0.45">
      <c r="I25" s="3" t="s">
        <v>39</v>
      </c>
      <c r="J25" s="5">
        <f>(J24-J22)/J24*100</f>
        <v>25.758151321887894</v>
      </c>
    </row>
    <row r="26" spans="1:26" x14ac:dyDescent="0.45">
      <c r="I26" s="3" t="s">
        <v>42</v>
      </c>
      <c r="J26" s="5">
        <f>J22+B30/B33</f>
        <v>77.225984397708828</v>
      </c>
      <c r="K26" s="3" t="s">
        <v>47</v>
      </c>
      <c r="L26" s="5">
        <f>L22+B28*B30/B33+B30/(B33*B33)</f>
        <v>1376.1918114161474</v>
      </c>
    </row>
    <row r="27" spans="1:26" x14ac:dyDescent="0.45">
      <c r="E27" s="1"/>
      <c r="I27" s="3" t="s">
        <v>43</v>
      </c>
      <c r="J27" s="5">
        <f>(J26-J22)/J26*100</f>
        <v>26.371932396258398</v>
      </c>
    </row>
    <row r="28" spans="1:26" x14ac:dyDescent="0.45">
      <c r="A28" s="3" t="s">
        <v>23</v>
      </c>
      <c r="B28" s="5">
        <f>INDEX(D5:D18,MATCH(B29,E5:E18,0))</f>
        <v>24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13.056955448137902</v>
      </c>
    </row>
    <row r="30" spans="1:26" x14ac:dyDescent="0.45">
      <c r="A30" s="3" t="s">
        <v>40</v>
      </c>
      <c r="B30" s="5">
        <f>EXP(B35-B33*B28)</f>
        <v>1.4969270660855623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12.949009427320014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177.64242290957165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176.17379626397249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7.3501336191437255E-2</v>
      </c>
      <c r="D33" s="3" t="s">
        <v>60</v>
      </c>
      <c r="E33" s="4">
        <v>1</v>
      </c>
      <c r="I33" s="3" t="s">
        <v>53</v>
      </c>
      <c r="J33" s="5">
        <f>J35*J29</f>
        <v>230.52563184997697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9.4304024454006505</v>
      </c>
      <c r="D34" s="3" t="s">
        <v>64</v>
      </c>
      <c r="E34" s="4">
        <v>1000</v>
      </c>
      <c r="I34" s="3" t="s">
        <v>54</v>
      </c>
      <c r="J34" s="5">
        <f>J36*J30</f>
        <v>230.75550125790303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2.1674464527954007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17.655389326066288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17.820320739828301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0.9825491644640727</v>
      </c>
      <c r="D37" s="3" t="s">
        <v>68</v>
      </c>
      <c r="E37" s="4">
        <v>4</v>
      </c>
      <c r="I37" s="3" t="s">
        <v>166</v>
      </c>
      <c r="J37" s="5">
        <f>IF(E30="N",L22/J22,(R21+E37*(J22-P21))/P21)</f>
        <v>10.733819908547311</v>
      </c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24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1C29-2B56-4198-90FB-8114622764B7}">
  <dimension ref="A1:Z42"/>
  <sheetViews>
    <sheetView workbookViewId="0">
      <selection activeCell="A2" sqref="A2"/>
    </sheetView>
  </sheetViews>
  <sheetFormatPr defaultRowHeight="14.25" x14ac:dyDescent="0.45"/>
  <cols>
    <col min="1" max="1" width="10.3984375" bestFit="1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160</v>
      </c>
      <c r="B5">
        <v>23</v>
      </c>
      <c r="C5" s="15">
        <v>0</v>
      </c>
      <c r="D5" s="11">
        <v>0</v>
      </c>
      <c r="E5" s="8">
        <v>0</v>
      </c>
      <c r="F5" s="16">
        <v>0.1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45">
      <c r="A6" t="s">
        <v>160</v>
      </c>
      <c r="B6">
        <v>23</v>
      </c>
      <c r="C6" s="15">
        <v>0.5</v>
      </c>
      <c r="D6" s="2">
        <v>0.5</v>
      </c>
      <c r="E6" s="8">
        <v>0</v>
      </c>
      <c r="F6" s="16">
        <v>0.1</v>
      </c>
      <c r="H6" s="20">
        <v>0.5</v>
      </c>
      <c r="I6" s="8">
        <v>0</v>
      </c>
      <c r="J6">
        <f t="shared" ref="J6:J18" si="0">I6*H6</f>
        <v>0</v>
      </c>
      <c r="K6">
        <f>(I5+I6)/2*(H6-H5)</f>
        <v>0</v>
      </c>
      <c r="L6" s="16">
        <f>(J5+J6)/2*(H6-H5)</f>
        <v>0</v>
      </c>
      <c r="N6" s="20">
        <v>0.5</v>
      </c>
      <c r="O6" s="8">
        <v>0</v>
      </c>
      <c r="P6">
        <f t="shared" ref="P6:P18" si="1">O6*N6</f>
        <v>0</v>
      </c>
      <c r="Q6">
        <f>(O5+O6)/2*(N6-N5)</f>
        <v>0</v>
      </c>
      <c r="R6" s="16">
        <f>(P5+P6)/2*(N6-N5)</f>
        <v>0</v>
      </c>
      <c r="T6" s="19">
        <v>0.5</v>
      </c>
      <c r="U6" s="8">
        <v>0</v>
      </c>
      <c r="V6" s="28">
        <f>(U5+U6)/2*(T6-T5)</f>
        <v>0</v>
      </c>
      <c r="X6" s="20">
        <v>0.5</v>
      </c>
      <c r="Y6" s="8">
        <v>0</v>
      </c>
      <c r="Z6" s="16">
        <f>(Y5+Y6)/2*(X6-X5)</f>
        <v>0</v>
      </c>
    </row>
    <row r="7" spans="1:26" x14ac:dyDescent="0.45">
      <c r="A7" t="s">
        <v>160</v>
      </c>
      <c r="B7">
        <v>23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0.35499999999999998</v>
      </c>
      <c r="L7" s="16">
        <f t="shared" ref="L7:L18" si="3">(J6+J7)/2*(H7-H6)</f>
        <v>0.35499999999999998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0.35499999999999998</v>
      </c>
      <c r="R7" s="16">
        <f t="shared" ref="R7:R18" si="5">(P6+P7)/2*(N7-N6)</f>
        <v>0.35499999999999998</v>
      </c>
      <c r="T7" s="19">
        <v>1</v>
      </c>
      <c r="U7" s="2">
        <v>1.42</v>
      </c>
      <c r="V7" s="28">
        <f t="shared" ref="V7:V18" si="6">(U6+U7)/2*(T7-T6)</f>
        <v>0.35499999999999998</v>
      </c>
      <c r="X7" s="20">
        <v>1</v>
      </c>
      <c r="Y7" s="2">
        <v>1.42</v>
      </c>
      <c r="Z7" s="16">
        <f t="shared" ref="Z7:Z18" si="7">(Y6+Y7)/2*(X7-X6)</f>
        <v>0.35499999999999998</v>
      </c>
    </row>
    <row r="8" spans="1:26" x14ac:dyDescent="0.45">
      <c r="A8" t="s">
        <v>160</v>
      </c>
      <c r="B8">
        <v>23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160</v>
      </c>
      <c r="B9">
        <v>23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160</v>
      </c>
      <c r="B10">
        <v>23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160</v>
      </c>
      <c r="B11">
        <v>23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160</v>
      </c>
      <c r="B12">
        <v>23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160</v>
      </c>
      <c r="B13">
        <v>23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160</v>
      </c>
      <c r="B14">
        <v>23</v>
      </c>
      <c r="C14" s="15">
        <v>12</v>
      </c>
      <c r="D14" s="2">
        <v>12</v>
      </c>
      <c r="E14" s="8">
        <f>F14/2</f>
        <v>0.05</v>
      </c>
      <c r="F14" s="16">
        <v>0.1</v>
      </c>
      <c r="H14" s="20">
        <v>12</v>
      </c>
      <c r="I14" s="8">
        <v>0.05</v>
      </c>
      <c r="J14">
        <f t="shared" si="0"/>
        <v>0.60000000000000009</v>
      </c>
      <c r="K14">
        <f t="shared" si="2"/>
        <v>4.1399999999999997</v>
      </c>
      <c r="L14" s="16">
        <f t="shared" si="3"/>
        <v>41.5</v>
      </c>
      <c r="N14" s="20">
        <v>12</v>
      </c>
      <c r="O14" s="8">
        <v>0.05</v>
      </c>
      <c r="P14">
        <f t="shared" si="1"/>
        <v>0.60000000000000009</v>
      </c>
      <c r="Q14">
        <f t="shared" si="4"/>
        <v>4.1399999999999997</v>
      </c>
      <c r="R14" s="16">
        <f t="shared" si="5"/>
        <v>41.5</v>
      </c>
      <c r="T14" s="19">
        <v>12</v>
      </c>
      <c r="U14" s="8">
        <v>0.05</v>
      </c>
      <c r="V14" s="28">
        <f t="shared" si="6"/>
        <v>4.1399999999999997</v>
      </c>
      <c r="X14" s="20">
        <v>12</v>
      </c>
      <c r="Y14" s="8">
        <v>0.05</v>
      </c>
      <c r="Z14" s="16">
        <f t="shared" si="7"/>
        <v>4.1399999999999997</v>
      </c>
    </row>
    <row r="15" spans="1:26" x14ac:dyDescent="0.45">
      <c r="A15" t="s">
        <v>160</v>
      </c>
      <c r="B15">
        <v>23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7.5299999999999994</v>
      </c>
      <c r="L15" s="16">
        <f t="shared" si="3"/>
        <v>134.64000000000001</v>
      </c>
      <c r="N15" s="20">
        <v>18</v>
      </c>
      <c r="O15" s="2">
        <v>2.46</v>
      </c>
      <c r="P15">
        <f t="shared" si="1"/>
        <v>44.28</v>
      </c>
      <c r="Q15">
        <f t="shared" si="4"/>
        <v>7.5299999999999994</v>
      </c>
      <c r="R15" s="16">
        <f t="shared" si="5"/>
        <v>134.64000000000001</v>
      </c>
      <c r="T15" s="19">
        <v>18</v>
      </c>
      <c r="U15" s="2">
        <v>2.46</v>
      </c>
      <c r="V15" s="28">
        <f t="shared" si="6"/>
        <v>7.5299999999999994</v>
      </c>
      <c r="X15" s="20">
        <v>18</v>
      </c>
      <c r="Y15" s="2">
        <v>2.46</v>
      </c>
      <c r="Z15" s="16">
        <f t="shared" si="7"/>
        <v>7.5299999999999994</v>
      </c>
    </row>
    <row r="16" spans="1:26" x14ac:dyDescent="0.45">
      <c r="A16" t="s">
        <v>160</v>
      </c>
      <c r="B16">
        <v>23</v>
      </c>
      <c r="C16" s="15">
        <v>24</v>
      </c>
      <c r="D16" s="2">
        <v>24</v>
      </c>
      <c r="E16" s="11">
        <v>1.45</v>
      </c>
      <c r="F16" s="16" t="s">
        <v>1</v>
      </c>
      <c r="H16" s="20">
        <v>24</v>
      </c>
      <c r="I16" s="11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11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11">
        <v>1.45</v>
      </c>
      <c r="Z16" s="16">
        <f t="shared" si="7"/>
        <v>11.73</v>
      </c>
    </row>
    <row r="17" spans="1:26" x14ac:dyDescent="0.45">
      <c r="A17" t="s">
        <v>160</v>
      </c>
      <c r="B17">
        <v>23</v>
      </c>
      <c r="C17" s="15">
        <v>36</v>
      </c>
      <c r="D17" s="2">
        <v>36</v>
      </c>
      <c r="E17" s="40"/>
      <c r="F17" s="16">
        <v>0.1</v>
      </c>
      <c r="H17" s="20">
        <v>36</v>
      </c>
      <c r="I17" s="40"/>
      <c r="J17">
        <f t="shared" si="0"/>
        <v>0</v>
      </c>
      <c r="K17">
        <f t="shared" si="2"/>
        <v>8.6999999999999993</v>
      </c>
      <c r="L17" s="16">
        <f t="shared" si="3"/>
        <v>208.79999999999998</v>
      </c>
      <c r="N17" s="20">
        <v>36</v>
      </c>
      <c r="O17" s="40"/>
      <c r="P17">
        <f t="shared" si="1"/>
        <v>0</v>
      </c>
      <c r="Q17">
        <f t="shared" si="4"/>
        <v>8.6999999999999993</v>
      </c>
      <c r="R17" s="16">
        <f t="shared" si="5"/>
        <v>208.79999999999998</v>
      </c>
      <c r="T17" s="19">
        <v>36</v>
      </c>
      <c r="U17" s="40"/>
      <c r="V17" s="28">
        <f t="shared" si="6"/>
        <v>8.6999999999999993</v>
      </c>
      <c r="X17" s="20">
        <v>36</v>
      </c>
      <c r="Y17" s="40"/>
      <c r="Z17" s="16">
        <f t="shared" si="7"/>
        <v>8.6999999999999993</v>
      </c>
    </row>
    <row r="18" spans="1:26" ht="14.65" thickBot="1" x14ac:dyDescent="0.5">
      <c r="A18" t="s">
        <v>160</v>
      </c>
      <c r="B18">
        <v>23</v>
      </c>
      <c r="C18" s="36">
        <v>48</v>
      </c>
      <c r="D18" s="22">
        <v>48</v>
      </c>
      <c r="E18" s="52"/>
      <c r="F18" s="23">
        <v>0.1</v>
      </c>
      <c r="H18" s="21">
        <v>48</v>
      </c>
      <c r="I18" s="52"/>
      <c r="J18" s="35">
        <f t="shared" si="0"/>
        <v>0</v>
      </c>
      <c r="K18" s="35">
        <f t="shared" si="2"/>
        <v>0</v>
      </c>
      <c r="L18" s="23">
        <f t="shared" si="3"/>
        <v>0</v>
      </c>
      <c r="N18" s="21">
        <v>48</v>
      </c>
      <c r="O18" s="52"/>
      <c r="P18" s="35">
        <f t="shared" si="1"/>
        <v>0</v>
      </c>
      <c r="Q18" s="35">
        <f t="shared" si="4"/>
        <v>0</v>
      </c>
      <c r="R18" s="23">
        <f t="shared" si="5"/>
        <v>0</v>
      </c>
      <c r="T18" s="31">
        <v>48</v>
      </c>
      <c r="U18" s="52"/>
      <c r="V18" s="33">
        <f t="shared" si="6"/>
        <v>0</v>
      </c>
      <c r="X18" s="21">
        <v>48</v>
      </c>
      <c r="Y18" s="52"/>
      <c r="Z18" s="23">
        <f t="shared" si="7"/>
        <v>0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65.760000000000005</v>
      </c>
      <c r="K21" s="3" t="s">
        <v>44</v>
      </c>
      <c r="L21" s="5">
        <f>SUM(L6:L18)</f>
        <v>821.52499999999998</v>
      </c>
      <c r="O21" s="3" t="s">
        <v>65</v>
      </c>
      <c r="P21" s="5">
        <f>SUM(Q6:INDEX(Q6:Q18,MATCH(E35,N6:N18,0)))</f>
        <v>57.06</v>
      </c>
      <c r="Q21" s="3" t="s">
        <v>71</v>
      </c>
      <c r="R21" s="5">
        <f>SUM(R6:INDEX(R6:R18,MATCH(E35,N6:N18,0)))</f>
        <v>612.72500000000002</v>
      </c>
      <c r="U21" s="3" t="s">
        <v>70</v>
      </c>
      <c r="V21" s="5">
        <f>SUM(V6:INDEX(V6:V18,MATCH(E36,T6:T18,0)))</f>
        <v>45.33</v>
      </c>
      <c r="Y21" s="3" t="s">
        <v>37</v>
      </c>
      <c r="Z21" s="5">
        <f>SUM(INDEX(Z6:Z18,MATCH(E37,X6:X18,0)+1):INDEX(Z6:Z18,MATCH(E38,X6:X18,0)))</f>
        <v>29.139999999999997</v>
      </c>
    </row>
    <row r="22" spans="1:26" x14ac:dyDescent="0.45">
      <c r="A22">
        <v>10</v>
      </c>
      <c r="B22">
        <v>24</v>
      </c>
      <c r="C22">
        <v>3</v>
      </c>
      <c r="D22" cm="1">
        <f t="array" ref="D22">INTERCEPT(IF(E13:E16&gt;F5/2,LN(E13:E16)),IF(E13:E16&gt;F5/2,D13:D16))</f>
        <v>2.1674464527954007</v>
      </c>
      <c r="E22" cm="1">
        <f t="array" ref="E22">-SLOPE(IF(E13:$E$16&gt;F5/2,LN(E13:$E$16)),IF(E13:$E$16&gt;F5/2,D13:$D$16))</f>
        <v>7.3501336191437255E-2</v>
      </c>
      <c r="F22" cm="1">
        <f t="array" ref="F22">1-(1-RSQ(IF(E13:$E$16&gt;F5/2,LN(E13:$E$16)),IF(E13:$E$16&gt;F5/2,D13:$D$16)))*((C22-1)/(C22-2))</f>
        <v>0.9825491644640727</v>
      </c>
      <c r="G22">
        <f>LN(2)/E22</f>
        <v>9.4304024454006505</v>
      </c>
      <c r="I22" s="3" t="s">
        <v>22</v>
      </c>
      <c r="J22" s="5">
        <f>SUM(K6:INDEX(K6:K18,MATCH(B28,H6:H18,0)))</f>
        <v>57.06</v>
      </c>
      <c r="K22" s="3" t="s">
        <v>45</v>
      </c>
      <c r="L22" s="5">
        <f>SUM(L6:INDEX(L6:L18,MATCH(B28,H6:H18,0)))</f>
        <v>612.72500000000002</v>
      </c>
    </row>
    <row r="23" spans="1:26" x14ac:dyDescent="0.45">
      <c r="A23">
        <v>8</v>
      </c>
      <c r="B23">
        <v>24</v>
      </c>
      <c r="C23">
        <v>4</v>
      </c>
      <c r="D23" cm="1">
        <f t="array" ref="D23">INTERCEPT(IF(E12:E16&gt;F5/2,LN(E12:E16)),IF(E12:E16&gt;F5/2,D12:D16))</f>
        <v>2.0619544562365961</v>
      </c>
      <c r="E23" cm="1">
        <f t="array" ref="E23">-SLOPE(IF(E12:$E$16&gt;F5/2,LN(E12:$E$16)),IF(E12:$E$16&gt;F5/2,D12:$D$16))</f>
        <v>6.8443500739987714E-2</v>
      </c>
      <c r="F23" cm="1">
        <f t="array" ref="F23">1-(1-RSQ(IF(E12:$E$16&gt;F5/2,LN(E12:$E$16)),IF(E12:$E$16&gt;F5/2,D12:$D$16)))*((C23-1)/(C23-2))</f>
        <v>0.97877320674884027</v>
      </c>
      <c r="G23">
        <f t="shared" ref="G23" si="8">LN(2)/E23</f>
        <v>10.127289999282256</v>
      </c>
    </row>
    <row r="24" spans="1:26" x14ac:dyDescent="0.45">
      <c r="I24" s="3" t="s">
        <v>38</v>
      </c>
      <c r="J24" s="5">
        <f>J22+B29/B33</f>
        <v>76.787532520271682</v>
      </c>
      <c r="K24" s="3" t="s">
        <v>46</v>
      </c>
      <c r="L24" s="5">
        <f>L22+B28*B29/B33+B29/(B33*B33)</f>
        <v>1354.5827041681594</v>
      </c>
    </row>
    <row r="25" spans="1:26" x14ac:dyDescent="0.45">
      <c r="I25" s="3" t="s">
        <v>39</v>
      </c>
      <c r="J25" s="5">
        <f>(J24-J22)/J24*100</f>
        <v>25.691061911728536</v>
      </c>
    </row>
    <row r="26" spans="1:26" x14ac:dyDescent="0.45">
      <c r="I26" s="3" t="s">
        <v>42</v>
      </c>
      <c r="J26" s="5">
        <f>J22+B30/B33</f>
        <v>77.425984397708831</v>
      </c>
      <c r="K26" s="3" t="s">
        <v>47</v>
      </c>
      <c r="L26" s="5">
        <f>L22+B28*B30/B33+B30/(B33*B33)</f>
        <v>1378.5918114161475</v>
      </c>
    </row>
    <row r="27" spans="1:26" x14ac:dyDescent="0.45">
      <c r="E27" s="1"/>
      <c r="I27" s="3" t="s">
        <v>43</v>
      </c>
      <c r="J27" s="5">
        <f>(J26-J22)/J26*100</f>
        <v>26.30381073761523</v>
      </c>
    </row>
    <row r="28" spans="1:26" x14ac:dyDescent="0.45">
      <c r="A28" s="3" t="s">
        <v>23</v>
      </c>
      <c r="B28" s="5">
        <f>INDEX(D5:D18,MATCH(B29,E5:E18,0))</f>
        <v>24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13.022947439234397</v>
      </c>
    </row>
    <row r="30" spans="1:26" x14ac:dyDescent="0.45">
      <c r="A30" s="3" t="s">
        <v>40</v>
      </c>
      <c r="B30" s="5">
        <f>EXP(B35-B33*B28)</f>
        <v>1.4969270660855623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12.915560683909002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177.17973732226571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175.71871959266011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7.3501336191437255E-2</v>
      </c>
      <c r="D33" s="3" t="s">
        <v>60</v>
      </c>
      <c r="E33" s="4">
        <v>1</v>
      </c>
      <c r="I33" s="3" t="s">
        <v>53</v>
      </c>
      <c r="J33" s="5">
        <f>J35*J29</f>
        <v>229.73337961889649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9.4304024454006505</v>
      </c>
      <c r="D34" s="3" t="s">
        <v>64</v>
      </c>
      <c r="E34" s="4">
        <v>1000</v>
      </c>
      <c r="I34" s="3" t="s">
        <v>54</v>
      </c>
      <c r="J34" s="5">
        <f>J36*J30</f>
        <v>229.96525439348727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2.1674464527954007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17.640659358477933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17.805286198685288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0.9825491644640727</v>
      </c>
      <c r="D37" s="3" t="s">
        <v>68</v>
      </c>
      <c r="E37" s="4">
        <v>4</v>
      </c>
      <c r="I37" s="3" t="s">
        <v>166</v>
      </c>
      <c r="J37" s="5">
        <f>IF(E30="N",L22/J22,(R21+E37*(J22-P21))/P21)</f>
        <v>10.738257974062391</v>
      </c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24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F540-299C-4451-94A1-2B18E43DD3B3}">
  <dimension ref="A1:Z42"/>
  <sheetViews>
    <sheetView workbookViewId="0">
      <selection activeCell="A2" sqref="A2"/>
    </sheetView>
  </sheetViews>
  <sheetFormatPr defaultRowHeight="14.25" x14ac:dyDescent="0.45"/>
  <cols>
    <col min="1" max="1" width="10.3984375" bestFit="1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161</v>
      </c>
      <c r="B5">
        <v>24</v>
      </c>
      <c r="C5" s="15">
        <v>0</v>
      </c>
      <c r="D5" s="11">
        <v>0</v>
      </c>
      <c r="E5" s="8">
        <v>0</v>
      </c>
      <c r="F5" s="16">
        <v>0.1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45">
      <c r="A6" t="s">
        <v>161</v>
      </c>
      <c r="B6">
        <v>24</v>
      </c>
      <c r="C6" s="15">
        <v>0.5</v>
      </c>
      <c r="D6" s="2">
        <v>0.5</v>
      </c>
      <c r="E6" s="8">
        <v>0</v>
      </c>
      <c r="F6" s="16">
        <v>0.1</v>
      </c>
      <c r="H6" s="20">
        <v>0.5</v>
      </c>
      <c r="I6" s="8">
        <v>0</v>
      </c>
      <c r="J6">
        <f t="shared" ref="J6:J18" si="0">I6*H6</f>
        <v>0</v>
      </c>
      <c r="K6">
        <f>(I5+I6)/2*(H6-H5)</f>
        <v>0</v>
      </c>
      <c r="L6" s="16">
        <f>(J5+J6)/2*(H6-H5)</f>
        <v>0</v>
      </c>
      <c r="N6" s="20">
        <v>0.5</v>
      </c>
      <c r="O6" s="8">
        <v>0</v>
      </c>
      <c r="P6">
        <f t="shared" ref="P6:P18" si="1">O6*N6</f>
        <v>0</v>
      </c>
      <c r="Q6">
        <f>(O5+O6)/2*(N6-N5)</f>
        <v>0</v>
      </c>
      <c r="R6" s="16">
        <f>(P5+P6)/2*(N6-N5)</f>
        <v>0</v>
      </c>
      <c r="T6" s="19">
        <v>0.5</v>
      </c>
      <c r="U6" s="8">
        <v>0</v>
      </c>
      <c r="V6" s="28">
        <f>(U5+U6)/2*(T6-T5)</f>
        <v>0</v>
      </c>
      <c r="X6" s="20">
        <v>0.5</v>
      </c>
      <c r="Y6" s="8">
        <v>0</v>
      </c>
      <c r="Z6" s="16">
        <f>(Y5+Y6)/2*(X6-X5)</f>
        <v>0</v>
      </c>
    </row>
    <row r="7" spans="1:26" x14ac:dyDescent="0.45">
      <c r="A7" t="s">
        <v>161</v>
      </c>
      <c r="B7">
        <v>24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0.35499999999999998</v>
      </c>
      <c r="L7" s="16">
        <f t="shared" ref="L7:L18" si="3">(J6+J7)/2*(H7-H6)</f>
        <v>0.35499999999999998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0.35499999999999998</v>
      </c>
      <c r="R7" s="16">
        <f t="shared" ref="R7:R18" si="5">(P6+P7)/2*(N7-N6)</f>
        <v>0.35499999999999998</v>
      </c>
      <c r="T7" s="19">
        <v>1</v>
      </c>
      <c r="U7" s="2">
        <v>1.42</v>
      </c>
      <c r="V7" s="28">
        <f t="shared" ref="V7:V18" si="6">(U6+U7)/2*(T7-T6)</f>
        <v>0.35499999999999998</v>
      </c>
      <c r="X7" s="20">
        <v>1</v>
      </c>
      <c r="Y7" s="2">
        <v>1.42</v>
      </c>
      <c r="Z7" s="16">
        <f t="shared" ref="Z7:Z18" si="7">(Y6+Y7)/2*(X7-X6)</f>
        <v>0.35499999999999998</v>
      </c>
    </row>
    <row r="8" spans="1:26" x14ac:dyDescent="0.45">
      <c r="A8" t="s">
        <v>161</v>
      </c>
      <c r="B8">
        <v>24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161</v>
      </c>
      <c r="B9">
        <v>24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161</v>
      </c>
      <c r="B10">
        <v>24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161</v>
      </c>
      <c r="B11">
        <v>24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161</v>
      </c>
      <c r="B12">
        <v>24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161</v>
      </c>
      <c r="B13">
        <v>24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161</v>
      </c>
      <c r="B14">
        <v>24</v>
      </c>
      <c r="C14" s="15">
        <v>12</v>
      </c>
      <c r="D14" s="2">
        <v>12</v>
      </c>
      <c r="E14" s="8">
        <f>F14/2</f>
        <v>0.05</v>
      </c>
      <c r="F14" s="16">
        <v>0.1</v>
      </c>
      <c r="H14" s="20">
        <v>12</v>
      </c>
      <c r="I14" s="37">
        <v>0.05</v>
      </c>
      <c r="J14">
        <f t="shared" si="0"/>
        <v>0.60000000000000009</v>
      </c>
      <c r="K14">
        <f t="shared" si="2"/>
        <v>4.1399999999999997</v>
      </c>
      <c r="L14" s="16">
        <f t="shared" si="3"/>
        <v>41.5</v>
      </c>
      <c r="N14" s="20">
        <v>12</v>
      </c>
      <c r="O14" s="37">
        <v>0.05</v>
      </c>
      <c r="P14">
        <f t="shared" si="1"/>
        <v>0.60000000000000009</v>
      </c>
      <c r="Q14">
        <f t="shared" si="4"/>
        <v>4.1399999999999997</v>
      </c>
      <c r="R14" s="16">
        <f t="shared" si="5"/>
        <v>41.5</v>
      </c>
      <c r="T14" s="19">
        <v>12</v>
      </c>
      <c r="U14" s="37">
        <v>0.05</v>
      </c>
      <c r="V14" s="28">
        <f t="shared" si="6"/>
        <v>4.1399999999999997</v>
      </c>
      <c r="X14" s="20">
        <v>12</v>
      </c>
      <c r="Y14" s="37">
        <v>0.05</v>
      </c>
      <c r="Z14" s="16">
        <f t="shared" si="7"/>
        <v>4.1399999999999997</v>
      </c>
    </row>
    <row r="15" spans="1:26" x14ac:dyDescent="0.45">
      <c r="A15" t="s">
        <v>161</v>
      </c>
      <c r="B15">
        <v>24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7.5299999999999994</v>
      </c>
      <c r="L15" s="16">
        <f t="shared" si="3"/>
        <v>134.64000000000001</v>
      </c>
      <c r="N15" s="20">
        <v>18</v>
      </c>
      <c r="O15" s="2">
        <v>2.46</v>
      </c>
      <c r="P15">
        <f t="shared" si="1"/>
        <v>44.28</v>
      </c>
      <c r="Q15">
        <f t="shared" si="4"/>
        <v>7.5299999999999994</v>
      </c>
      <c r="R15" s="16">
        <f t="shared" si="5"/>
        <v>134.64000000000001</v>
      </c>
      <c r="T15" s="19">
        <v>18</v>
      </c>
      <c r="U15" s="2">
        <v>2.46</v>
      </c>
      <c r="V15" s="28">
        <f t="shared" si="6"/>
        <v>7.5299999999999994</v>
      </c>
      <c r="X15" s="20">
        <v>18</v>
      </c>
      <c r="Y15" s="2">
        <v>2.46</v>
      </c>
      <c r="Z15" s="16">
        <f t="shared" si="7"/>
        <v>7.5299999999999994</v>
      </c>
    </row>
    <row r="16" spans="1:26" x14ac:dyDescent="0.45">
      <c r="A16" t="s">
        <v>161</v>
      </c>
      <c r="B16">
        <v>24</v>
      </c>
      <c r="C16" s="15">
        <v>24</v>
      </c>
      <c r="D16" s="2">
        <v>24</v>
      </c>
      <c r="E16" s="11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2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161</v>
      </c>
      <c r="B17">
        <v>24</v>
      </c>
      <c r="C17" s="15">
        <v>36</v>
      </c>
      <c r="D17" s="2">
        <v>36</v>
      </c>
      <c r="E17" s="8">
        <v>0</v>
      </c>
      <c r="F17" s="16">
        <v>0.1</v>
      </c>
      <c r="H17" s="20">
        <v>36</v>
      </c>
      <c r="I17" s="8">
        <v>0</v>
      </c>
      <c r="J17">
        <f t="shared" si="0"/>
        <v>0</v>
      </c>
      <c r="K17">
        <f t="shared" si="2"/>
        <v>8.6999999999999993</v>
      </c>
      <c r="L17" s="16">
        <f t="shared" si="3"/>
        <v>208.79999999999998</v>
      </c>
      <c r="N17" s="20">
        <v>36</v>
      </c>
      <c r="O17" s="8">
        <v>0</v>
      </c>
      <c r="P17">
        <f t="shared" si="1"/>
        <v>0</v>
      </c>
      <c r="Q17">
        <f t="shared" si="4"/>
        <v>8.6999999999999993</v>
      </c>
      <c r="R17" s="16">
        <f t="shared" si="5"/>
        <v>208.79999999999998</v>
      </c>
      <c r="T17" s="19">
        <v>36</v>
      </c>
      <c r="U17" s="8">
        <v>0</v>
      </c>
      <c r="V17" s="28">
        <f t="shared" si="6"/>
        <v>8.6999999999999993</v>
      </c>
      <c r="X17" s="20">
        <v>36</v>
      </c>
      <c r="Y17" s="8">
        <v>0</v>
      </c>
      <c r="Z17" s="16">
        <f t="shared" si="7"/>
        <v>8.6999999999999993</v>
      </c>
    </row>
    <row r="18" spans="1:26" ht="14.65" thickBot="1" x14ac:dyDescent="0.5">
      <c r="A18" t="s">
        <v>161</v>
      </c>
      <c r="B18">
        <v>24</v>
      </c>
      <c r="C18" s="36">
        <v>48</v>
      </c>
      <c r="D18" s="22">
        <v>48</v>
      </c>
      <c r="E18" s="51">
        <v>0</v>
      </c>
      <c r="F18" s="23">
        <v>0.1</v>
      </c>
      <c r="H18" s="21">
        <v>48</v>
      </c>
      <c r="I18" s="51">
        <v>0</v>
      </c>
      <c r="J18" s="35">
        <f t="shared" si="0"/>
        <v>0</v>
      </c>
      <c r="K18" s="35">
        <f t="shared" si="2"/>
        <v>0</v>
      </c>
      <c r="L18" s="23">
        <f t="shared" si="3"/>
        <v>0</v>
      </c>
      <c r="N18" s="21">
        <v>48</v>
      </c>
      <c r="O18" s="51">
        <v>0</v>
      </c>
      <c r="P18" s="35">
        <f t="shared" si="1"/>
        <v>0</v>
      </c>
      <c r="Q18" s="35">
        <f t="shared" si="4"/>
        <v>0</v>
      </c>
      <c r="R18" s="23">
        <f t="shared" si="5"/>
        <v>0</v>
      </c>
      <c r="T18" s="31">
        <v>48</v>
      </c>
      <c r="U18" s="51">
        <v>0</v>
      </c>
      <c r="V18" s="33">
        <f t="shared" si="6"/>
        <v>0</v>
      </c>
      <c r="X18" s="21">
        <v>48</v>
      </c>
      <c r="Y18" s="51">
        <v>0</v>
      </c>
      <c r="Z18" s="23">
        <f t="shared" si="7"/>
        <v>0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65.760000000000005</v>
      </c>
      <c r="K21" s="3" t="s">
        <v>44</v>
      </c>
      <c r="L21" s="5">
        <f>SUM(L6:L18)</f>
        <v>821.52499999999998</v>
      </c>
      <c r="O21" s="3" t="s">
        <v>65</v>
      </c>
      <c r="P21" s="5">
        <f>SUM(Q6:INDEX(Q6:Q18,MATCH(E35,N6:N18,0)))</f>
        <v>57.06</v>
      </c>
      <c r="Q21" s="3" t="s">
        <v>71</v>
      </c>
      <c r="R21" s="5">
        <f>SUM(R6:INDEX(R6:R18,MATCH(E35,N6:N18,0)))</f>
        <v>612.72500000000002</v>
      </c>
      <c r="U21" s="3" t="s">
        <v>70</v>
      </c>
      <c r="V21" s="5">
        <f>SUM(V6:INDEX(V6:V18,MATCH(E36,T6:T18,0)))</f>
        <v>45.33</v>
      </c>
      <c r="Y21" s="3" t="s">
        <v>37</v>
      </c>
      <c r="Z21" s="5">
        <f>SUM(INDEX(Z6:Z18,MATCH(E37,X6:X18,0)+1):INDEX(Z6:Z18,MATCH(E38,X6:X18,0)))</f>
        <v>29.139999999999997</v>
      </c>
    </row>
    <row r="22" spans="1:26" x14ac:dyDescent="0.45">
      <c r="A22">
        <v>10</v>
      </c>
      <c r="B22">
        <v>24</v>
      </c>
      <c r="C22">
        <v>3</v>
      </c>
      <c r="D22" cm="1">
        <f t="array" ref="D22">INTERCEPT(IF(E13:E16&gt;F5/2,LN(E13:E16)),IF(E13:E16&gt;F5/2,D13:D16))</f>
        <v>2.1674464527954007</v>
      </c>
      <c r="E22" cm="1">
        <f t="array" ref="E22">-SLOPE(IF(E13:$E$16&gt;F5/2,LN(E13:$E$16)),IF(E13:$E$16&gt;F5/2,D13:$D$16))</f>
        <v>7.3501336191437255E-2</v>
      </c>
      <c r="F22" cm="1">
        <f t="array" ref="F22">1-(1-RSQ(IF(E13:$E$16&gt;F5/2,LN(E13:$E$16)),IF(E13:$E$16&gt;F5/2,D13:$D$16)))*((C22-1)/(C22-2))</f>
        <v>0.9825491644640727</v>
      </c>
      <c r="G22">
        <f>LN(2)/E22</f>
        <v>9.4304024454006505</v>
      </c>
      <c r="I22" s="3" t="s">
        <v>22</v>
      </c>
      <c r="J22" s="5">
        <f>SUM(K6:INDEX(K6:K18,MATCH(B28,H6:H18,0)))</f>
        <v>57.06</v>
      </c>
      <c r="K22" s="3" t="s">
        <v>45</v>
      </c>
      <c r="L22" s="5">
        <f>SUM(L6:INDEX(L6:L18,MATCH(B28,H6:H18,0)))</f>
        <v>612.72500000000002</v>
      </c>
    </row>
    <row r="23" spans="1:26" x14ac:dyDescent="0.45">
      <c r="A23">
        <v>8</v>
      </c>
      <c r="B23">
        <v>24</v>
      </c>
      <c r="C23">
        <v>4</v>
      </c>
      <c r="D23" cm="1">
        <f t="array" ref="D23">INTERCEPT(IF(E12:E16&gt;F5/2,LN(E12:E16)),IF(E12:E16&gt;F5/2,D12:D16))</f>
        <v>2.0619544562365961</v>
      </c>
      <c r="E23" cm="1">
        <f t="array" ref="E23">-SLOPE(IF(E12:$E$16&gt;F5/2,LN(E12:$E$16)),IF(E12:$E$16&gt;F5/2,D12:$D$16))</f>
        <v>6.8443500739987714E-2</v>
      </c>
      <c r="F23" cm="1">
        <f t="array" ref="F23">1-(1-RSQ(IF(E12:$E$16&gt;F5/2,LN(E12:$E$16)),IF(E12:$E$16&gt;F5/2,D12:$D$16)))*((C23-1)/(C23-2))</f>
        <v>0.97877320674884027</v>
      </c>
      <c r="G23">
        <f t="shared" ref="G23" si="8">LN(2)/E23</f>
        <v>10.127289999282256</v>
      </c>
    </row>
    <row r="24" spans="1:26" x14ac:dyDescent="0.45">
      <c r="I24" s="3" t="s">
        <v>38</v>
      </c>
      <c r="J24" s="5">
        <f>J22+B29/B33</f>
        <v>76.787532520271682</v>
      </c>
      <c r="K24" s="3" t="s">
        <v>46</v>
      </c>
      <c r="L24" s="5">
        <f>L22+B28*B29/B33+B29/(B33*B33)</f>
        <v>1354.5827041681594</v>
      </c>
    </row>
    <row r="25" spans="1:26" x14ac:dyDescent="0.45">
      <c r="I25" s="3" t="s">
        <v>39</v>
      </c>
      <c r="J25" s="5">
        <f>(J24-J22)/J24*100</f>
        <v>25.691061911728536</v>
      </c>
    </row>
    <row r="26" spans="1:26" x14ac:dyDescent="0.45">
      <c r="I26" s="3" t="s">
        <v>42</v>
      </c>
      <c r="J26" s="5">
        <f>J22+B30/B33</f>
        <v>77.425984397708831</v>
      </c>
      <c r="K26" s="3" t="s">
        <v>47</v>
      </c>
      <c r="L26" s="5">
        <f>L22+B28*B30/B33+B30/(B33*B33)</f>
        <v>1378.5918114161475</v>
      </c>
    </row>
    <row r="27" spans="1:26" x14ac:dyDescent="0.45">
      <c r="E27" s="1"/>
      <c r="I27" s="3" t="s">
        <v>43</v>
      </c>
      <c r="J27" s="5">
        <f>(J26-J22)/J26*100</f>
        <v>26.30381073761523</v>
      </c>
    </row>
    <row r="28" spans="1:26" x14ac:dyDescent="0.45">
      <c r="A28" s="3" t="s">
        <v>23</v>
      </c>
      <c r="B28" s="5">
        <f>INDEX(D5:D18,MATCH(B29,E5:E18,0))</f>
        <v>24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13.022947439234397</v>
      </c>
    </row>
    <row r="30" spans="1:26" x14ac:dyDescent="0.45">
      <c r="A30" s="3" t="s">
        <v>40</v>
      </c>
      <c r="B30" s="5">
        <f>EXP(B35-B33*B28)</f>
        <v>1.4969270660855623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12.915560683909002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177.17973732226571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175.71871959266011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7.3501336191437255E-2</v>
      </c>
      <c r="D33" s="3" t="s">
        <v>60</v>
      </c>
      <c r="E33" s="4">
        <v>1</v>
      </c>
      <c r="I33" s="3" t="s">
        <v>53</v>
      </c>
      <c r="J33" s="5">
        <f>J35*J29</f>
        <v>229.73337961889649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9.4304024454006505</v>
      </c>
      <c r="D34" s="3" t="s">
        <v>64</v>
      </c>
      <c r="E34" s="4">
        <v>1000</v>
      </c>
      <c r="I34" s="3" t="s">
        <v>54</v>
      </c>
      <c r="J34" s="5">
        <f>J36*J30</f>
        <v>229.96525439348727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2.1674464527954007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17.640659358477933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17.805286198685288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0.9825491644640727</v>
      </c>
      <c r="D37" s="3" t="s">
        <v>68</v>
      </c>
      <c r="E37" s="4">
        <v>4</v>
      </c>
      <c r="I37" s="3" t="s">
        <v>166</v>
      </c>
      <c r="J37" s="5">
        <f>IF(E30="N",L22/J22,(R21+E37*(J22-P21))/P21)</f>
        <v>10.738257974062391</v>
      </c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24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102A-4E88-4EC5-9700-2ED21E0AC29C}">
  <dimension ref="A1:Z47"/>
  <sheetViews>
    <sheetView workbookViewId="0">
      <selection activeCell="A2" sqref="A2"/>
    </sheetView>
  </sheetViews>
  <sheetFormatPr defaultRowHeight="14.25" x14ac:dyDescent="0.45"/>
  <cols>
    <col min="1" max="1" width="9.73046875" customWidth="1"/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6.8632812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162</v>
      </c>
      <c r="B5">
        <v>25</v>
      </c>
      <c r="C5" s="15">
        <v>0</v>
      </c>
      <c r="D5">
        <v>0</v>
      </c>
      <c r="E5" s="8">
        <v>0</v>
      </c>
      <c r="F5" s="16">
        <v>0.1</v>
      </c>
      <c r="H5" s="15">
        <v>0</v>
      </c>
      <c r="I5" s="8">
        <f>EXP(LN($E$7)+(0-$D$7)/($D$8-$D$7)*(LN($E$8)-LN($E$7)))</f>
        <v>8829.1347922385248</v>
      </c>
      <c r="L5" s="16"/>
      <c r="N5" s="15">
        <v>0</v>
      </c>
      <c r="O5" s="8">
        <v>0</v>
      </c>
      <c r="P5">
        <f t="shared" ref="P5:P18" si="0">O5*N5</f>
        <v>0</v>
      </c>
      <c r="R5" s="16"/>
      <c r="T5" s="15">
        <v>0</v>
      </c>
      <c r="U5" s="8">
        <v>0</v>
      </c>
      <c r="V5" s="28"/>
      <c r="X5" s="15">
        <v>0</v>
      </c>
      <c r="Y5" s="8">
        <v>0</v>
      </c>
      <c r="Z5" s="16"/>
    </row>
    <row r="6" spans="1:26" x14ac:dyDescent="0.45">
      <c r="A6" t="s">
        <v>162</v>
      </c>
      <c r="B6">
        <v>25</v>
      </c>
      <c r="C6" s="15">
        <v>0.5</v>
      </c>
      <c r="D6">
        <v>0.5</v>
      </c>
      <c r="E6" s="8">
        <v>0</v>
      </c>
      <c r="F6" s="16">
        <v>0.1</v>
      </c>
      <c r="H6" s="15">
        <v>0.5</v>
      </c>
      <c r="I6" s="8">
        <v>0</v>
      </c>
      <c r="J6">
        <f t="shared" ref="J6:J18" si="1">I6*H6</f>
        <v>0</v>
      </c>
      <c r="K6">
        <f>(I5+I6)/2*(H6-H5)</f>
        <v>2207.2836980596312</v>
      </c>
      <c r="L6" s="16">
        <f>(J5+J6)/2*(H6-H5)</f>
        <v>0</v>
      </c>
      <c r="N6" s="15">
        <v>0.5</v>
      </c>
      <c r="O6" s="8">
        <v>0</v>
      </c>
      <c r="P6">
        <f t="shared" si="0"/>
        <v>0</v>
      </c>
      <c r="Q6">
        <f>(O5+O6)/2*(N6-N5)</f>
        <v>0</v>
      </c>
      <c r="R6" s="16">
        <f>(P5+P6)/2*(N6-N5)</f>
        <v>0</v>
      </c>
      <c r="T6" s="15">
        <v>0.5</v>
      </c>
      <c r="U6" s="8">
        <v>0</v>
      </c>
      <c r="V6" s="16">
        <f>(U5+U6)/2*(T6-T5)</f>
        <v>0</v>
      </c>
      <c r="X6" s="15">
        <v>0.5</v>
      </c>
      <c r="Y6" s="8">
        <v>0</v>
      </c>
      <c r="Z6" s="16">
        <f>(Y5+Y6)/2*(X6-X5)</f>
        <v>0</v>
      </c>
    </row>
    <row r="7" spans="1:26" x14ac:dyDescent="0.45">
      <c r="A7" t="s">
        <v>162</v>
      </c>
      <c r="B7">
        <v>25</v>
      </c>
      <c r="C7" s="15">
        <v>1</v>
      </c>
      <c r="D7">
        <v>1</v>
      </c>
      <c r="E7" s="9">
        <v>1793</v>
      </c>
      <c r="F7" s="16" t="s">
        <v>1</v>
      </c>
      <c r="H7" s="15">
        <v>1</v>
      </c>
      <c r="I7">
        <v>1793</v>
      </c>
      <c r="J7">
        <f t="shared" si="1"/>
        <v>1793</v>
      </c>
      <c r="K7">
        <f t="shared" ref="K7:K18" si="2">(I6+I7)/2*(H7-H6)</f>
        <v>448.25</v>
      </c>
      <c r="L7" s="16">
        <f t="shared" ref="L7:L18" si="3">(J6+J7)/2*(H7-H6)</f>
        <v>448.25</v>
      </c>
      <c r="N7" s="15">
        <v>1</v>
      </c>
      <c r="O7">
        <v>1793</v>
      </c>
      <c r="P7">
        <f t="shared" si="0"/>
        <v>1793</v>
      </c>
      <c r="Q7">
        <f t="shared" ref="Q7:Q18" si="4">(O6+O7)/2*(N7-N6)</f>
        <v>448.25</v>
      </c>
      <c r="R7" s="16">
        <f t="shared" ref="R7:R18" si="5">(P6+P7)/2*(N7-N6)</f>
        <v>448.25</v>
      </c>
      <c r="T7" s="15">
        <v>1</v>
      </c>
      <c r="U7">
        <v>1793</v>
      </c>
      <c r="V7" s="16">
        <f t="shared" ref="V7:V18" si="6">(U6+U7)/2*(T7-T6)</f>
        <v>448.25</v>
      </c>
      <c r="X7" s="15">
        <v>1</v>
      </c>
      <c r="Y7">
        <v>1793</v>
      </c>
      <c r="Z7" s="16">
        <f t="shared" ref="Z7:Z18" si="7">(Y6+Y7)/2*(X7-X6)</f>
        <v>448.25</v>
      </c>
    </row>
    <row r="8" spans="1:26" x14ac:dyDescent="0.45">
      <c r="A8" t="s">
        <v>162</v>
      </c>
      <c r="B8">
        <v>25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1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0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45">
      <c r="A9" t="s">
        <v>162</v>
      </c>
      <c r="B9">
        <v>25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1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0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162</v>
      </c>
      <c r="B10">
        <v>25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1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0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162</v>
      </c>
      <c r="B11">
        <v>25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1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0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162</v>
      </c>
      <c r="B12">
        <v>25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1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0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162</v>
      </c>
      <c r="B13">
        <v>25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1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0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162</v>
      </c>
      <c r="B14">
        <v>25</v>
      </c>
      <c r="C14" s="15">
        <v>12</v>
      </c>
      <c r="D14">
        <v>12</v>
      </c>
      <c r="E14" s="44"/>
      <c r="F14" s="16">
        <v>0.1</v>
      </c>
      <c r="H14" s="15">
        <v>12</v>
      </c>
      <c r="I14" s="44"/>
      <c r="J14">
        <f t="shared" si="1"/>
        <v>0</v>
      </c>
      <c r="K14">
        <f t="shared" si="2"/>
        <v>176</v>
      </c>
      <c r="L14" s="16">
        <f t="shared" si="3"/>
        <v>1408</v>
      </c>
      <c r="N14" s="15">
        <v>12</v>
      </c>
      <c r="O14" s="44"/>
      <c r="P14">
        <f t="shared" si="0"/>
        <v>0</v>
      </c>
      <c r="Q14">
        <f t="shared" si="4"/>
        <v>176</v>
      </c>
      <c r="R14" s="16">
        <f t="shared" si="5"/>
        <v>1408</v>
      </c>
      <c r="T14" s="15">
        <v>12</v>
      </c>
      <c r="U14" s="44"/>
      <c r="V14" s="16">
        <f t="shared" si="6"/>
        <v>176</v>
      </c>
      <c r="X14" s="15">
        <v>12</v>
      </c>
      <c r="Y14" s="44"/>
      <c r="Z14" s="16">
        <f t="shared" si="7"/>
        <v>176</v>
      </c>
    </row>
    <row r="15" spans="1:26" x14ac:dyDescent="0.45">
      <c r="A15" t="s">
        <v>162</v>
      </c>
      <c r="B15">
        <v>25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1"/>
        <v>918</v>
      </c>
      <c r="K15">
        <f t="shared" si="2"/>
        <v>153</v>
      </c>
      <c r="L15" s="16">
        <f t="shared" si="3"/>
        <v>2754</v>
      </c>
      <c r="N15" s="15">
        <v>18</v>
      </c>
      <c r="O15">
        <v>51</v>
      </c>
      <c r="P15">
        <f t="shared" si="0"/>
        <v>918</v>
      </c>
      <c r="Q15">
        <f t="shared" si="4"/>
        <v>153</v>
      </c>
      <c r="R15" s="16">
        <f t="shared" si="5"/>
        <v>2754</v>
      </c>
      <c r="T15" s="15">
        <v>18</v>
      </c>
      <c r="U15">
        <v>51</v>
      </c>
      <c r="V15" s="16">
        <f t="shared" si="6"/>
        <v>153</v>
      </c>
      <c r="X15" s="15">
        <v>18</v>
      </c>
      <c r="Y15">
        <v>51</v>
      </c>
      <c r="Z15" s="16">
        <f t="shared" si="7"/>
        <v>153</v>
      </c>
    </row>
    <row r="16" spans="1:26" x14ac:dyDescent="0.45">
      <c r="A16" t="s">
        <v>162</v>
      </c>
      <c r="B16">
        <v>25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1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0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45">
      <c r="A17" t="s">
        <v>162</v>
      </c>
      <c r="B17">
        <v>25</v>
      </c>
      <c r="C17" s="15">
        <v>36</v>
      </c>
      <c r="D17">
        <v>36</v>
      </c>
      <c r="E17" s="44"/>
      <c r="F17" s="16">
        <v>0.1</v>
      </c>
      <c r="H17" s="15">
        <v>36</v>
      </c>
      <c r="I17" s="44"/>
      <c r="J17">
        <f t="shared" si="1"/>
        <v>0</v>
      </c>
      <c r="K17">
        <f t="shared" si="2"/>
        <v>180</v>
      </c>
      <c r="L17" s="16">
        <f t="shared" si="3"/>
        <v>4320</v>
      </c>
      <c r="N17" s="15">
        <v>36</v>
      </c>
      <c r="O17" s="44"/>
      <c r="P17">
        <f t="shared" si="0"/>
        <v>0</v>
      </c>
      <c r="Q17">
        <f t="shared" si="4"/>
        <v>180</v>
      </c>
      <c r="R17" s="16">
        <f t="shared" si="5"/>
        <v>4320</v>
      </c>
      <c r="T17" s="15">
        <v>36</v>
      </c>
      <c r="U17" s="44"/>
      <c r="V17" s="16">
        <f t="shared" si="6"/>
        <v>180</v>
      </c>
      <c r="X17" s="15">
        <v>36</v>
      </c>
      <c r="Y17" s="44"/>
      <c r="Z17" s="16">
        <f t="shared" si="7"/>
        <v>180</v>
      </c>
    </row>
    <row r="18" spans="1:26" ht="14.65" thickBot="1" x14ac:dyDescent="0.5">
      <c r="A18" t="s">
        <v>162</v>
      </c>
      <c r="B18">
        <v>25</v>
      </c>
      <c r="C18" s="36">
        <v>48</v>
      </c>
      <c r="D18" s="35">
        <v>48</v>
      </c>
      <c r="E18" s="53"/>
      <c r="F18" s="23">
        <v>0.1</v>
      </c>
      <c r="H18" s="36">
        <v>48</v>
      </c>
      <c r="I18" s="53"/>
      <c r="J18" s="35">
        <f t="shared" si="1"/>
        <v>0</v>
      </c>
      <c r="K18" s="35">
        <f t="shared" si="2"/>
        <v>0</v>
      </c>
      <c r="L18" s="23">
        <f t="shared" si="3"/>
        <v>0</v>
      </c>
      <c r="N18" s="36">
        <v>48</v>
      </c>
      <c r="O18" s="53"/>
      <c r="P18" s="35">
        <f t="shared" si="0"/>
        <v>0</v>
      </c>
      <c r="Q18" s="35">
        <f t="shared" si="4"/>
        <v>0</v>
      </c>
      <c r="R18" s="23">
        <f t="shared" si="5"/>
        <v>0</v>
      </c>
      <c r="T18" s="36">
        <v>48</v>
      </c>
      <c r="U18" s="53"/>
      <c r="V18" s="23">
        <f t="shared" si="6"/>
        <v>0</v>
      </c>
      <c r="X18" s="36">
        <v>48</v>
      </c>
      <c r="Y18" s="53"/>
      <c r="Z18" s="23">
        <f t="shared" si="7"/>
        <v>0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5204.5336980596312</v>
      </c>
      <c r="K21" s="3" t="s">
        <v>44</v>
      </c>
      <c r="L21" s="5">
        <f>SUM(L6:L18)</f>
        <v>18658</v>
      </c>
      <c r="O21" s="3" t="s">
        <v>65</v>
      </c>
      <c r="P21" s="5">
        <f>SUM(Q6:INDEX(Q6:Q18,MATCH(E42,N6:N18,0)))</f>
        <v>2817.25</v>
      </c>
      <c r="Q21" s="3" t="s">
        <v>71</v>
      </c>
      <c r="R21" s="5">
        <f>SUM(R6:INDEX(R6:R18,MATCH(E42,N6:N18,0)))</f>
        <v>14338</v>
      </c>
      <c r="U21" s="3" t="s">
        <v>70</v>
      </c>
      <c r="V21" s="5">
        <f>SUM(V6:INDEX(V6:V18,MATCH(E43,T6:T18,0)))</f>
        <v>2574.25</v>
      </c>
      <c r="Y21" s="3" t="s">
        <v>37</v>
      </c>
      <c r="Z21" s="5">
        <f>SUM(INDEX(Z6:Z18,MATCH(E44,X6:X18,0)+1):INDEX(Z6:Z18,MATCH(E45,X6:X18,0)))</f>
        <v>588</v>
      </c>
    </row>
    <row r="22" spans="1:26" x14ac:dyDescent="0.45">
      <c r="A22">
        <v>8</v>
      </c>
      <c r="B22">
        <v>24</v>
      </c>
      <c r="C22">
        <v>3</v>
      </c>
      <c r="D22" cm="1">
        <f t="array" ref="D22">INTERCEPT(IF(E13:E16&gt;0,LN(E13:E16)),IF(E13:E16&gt;0,D13:D16))</f>
        <v>5.0361536270096865</v>
      </c>
      <c r="E22" cm="1">
        <f t="array" ref="E22">-SLOPE(IF(E$13:$E$16&gt;0,LN(E$13:$E$16)),IF(E$13:$E$16&gt;0,D$13:$D$16))</f>
        <v>6.5962021043287397E-2</v>
      </c>
      <c r="F22" cm="1">
        <f t="array" ref="F22">1-(1-RSQ(IF(E13:$E$16&gt;0,LN(E13:$E$16)),IF(E13:$E$16&gt;0,D13:$D$16)))*((C22-1)/(C22-2))</f>
        <v>0.96357698144553661</v>
      </c>
      <c r="G22">
        <f t="shared" ref="G22:G29" si="8">LN(2)/E22</f>
        <v>10.508276878070024</v>
      </c>
      <c r="I22" s="3" t="s">
        <v>22</v>
      </c>
      <c r="J22" s="5">
        <f>SUM(K6:INDEX(K6:K18,MATCH(B35,H6:H18,0)))</f>
        <v>5024.5336980596312</v>
      </c>
      <c r="K22" s="3" t="s">
        <v>45</v>
      </c>
      <c r="L22" s="5">
        <f>SUM(L6:INDEX(L6:L18,MATCH(B35,H6:H18,0)))</f>
        <v>14338</v>
      </c>
    </row>
    <row r="23" spans="1:26" x14ac:dyDescent="0.45">
      <c r="A23">
        <v>6</v>
      </c>
      <c r="B23">
        <v>24</v>
      </c>
      <c r="C23">
        <v>4</v>
      </c>
      <c r="D23" cm="1">
        <f t="array" ref="D23">INTERCEPT(IF(E12:E16&gt;0,LN(E12:E16)),IF(E12:E16&gt;0,D12:D16))</f>
        <v>5.01674009307985</v>
      </c>
      <c r="E23" s="42" cm="1">
        <f t="array" ref="E23">-SLOPE(IF(E$12:$E16&gt;0,LN(E$12:$E16)),IF(E$12:$E16&gt;0,D$12:$D16))</f>
        <v>6.5026429046668804E-2</v>
      </c>
      <c r="F23" cm="1">
        <f t="array" ref="F23">1-(1-RSQ(IF(E12:$E$16&gt;0,LN(E12:$E$16)),IF(E12:$E$16&gt;0,D12:$D$16)))*((C23-1)/(C23-2))</f>
        <v>0.98241353472139781</v>
      </c>
      <c r="G23">
        <f t="shared" si="8"/>
        <v>10.659468630246952</v>
      </c>
    </row>
    <row r="24" spans="1:26" x14ac:dyDescent="0.45">
      <c r="A24">
        <v>4</v>
      </c>
      <c r="B24">
        <v>24</v>
      </c>
      <c r="C24">
        <v>5</v>
      </c>
      <c r="D24" cm="1">
        <f t="array" ref="D24">INTERCEPT(IF(E11:E16&gt;0,LN(E11:E16)),IF(E11:E16&gt;0,D11:D16))</f>
        <v>5.0415860756770821</v>
      </c>
      <c r="E24" s="43" cm="1">
        <f t="array" ref="E24">-SLOPE(IF(E$11:$E16&gt;0,LN(E$11:$E16)),IF(E$11:$E16&gt;0,D$11:$D16))</f>
        <v>6.6307149799103446E-2</v>
      </c>
      <c r="F24" cm="1">
        <f t="array" ref="F24">1-(1-RSQ(IF(E11:$E$16&gt;0,LN(E11:$E$16)),IF(E11:$E$16&gt;0,D11:$D$16)))*((C24-1)/(C24-2))</f>
        <v>0.98767084702281538</v>
      </c>
      <c r="G24">
        <f t="shared" si="8"/>
        <v>10.453581290404335</v>
      </c>
      <c r="I24" s="3" t="s">
        <v>38</v>
      </c>
      <c r="J24" s="5">
        <f>J22+B36/B40</f>
        <v>5476.9735946755109</v>
      </c>
      <c r="K24" s="3" t="s">
        <v>46</v>
      </c>
      <c r="L24" s="5">
        <f>L22+B35*B36/B40+B36/(B40*B40)</f>
        <v>32019.952853774033</v>
      </c>
    </row>
    <row r="25" spans="1:26" x14ac:dyDescent="0.45">
      <c r="A25">
        <v>3</v>
      </c>
      <c r="B25">
        <v>24</v>
      </c>
      <c r="C25">
        <v>6</v>
      </c>
      <c r="D25" cm="1">
        <f t="array" ref="D25">INTERCEPT(IF(E10:E16&gt;0,LN(E10:E16)),IF(E10:E16&gt;0,D10:D16))</f>
        <v>5.1494110455125863</v>
      </c>
      <c r="E25" cm="1">
        <f t="array" ref="E25">-SLOPE(IF(E$10:$E16&gt;0,LN(E$10:$E16)),IF(E$10:$E16&gt;0,D$10:$D16))</f>
        <v>7.2111125448143756E-2</v>
      </c>
      <c r="F25" cm="1">
        <f t="array" ref="F25">1-(1-RSQ(IF(E10:$E$16&gt;0,LN(E10:$E$16)),IF(E10:$E$16&gt;0,D10:$D$16)))*((C25-1)/(C25-2))</f>
        <v>0.95792381096010715</v>
      </c>
      <c r="G25">
        <f t="shared" si="8"/>
        <v>9.6122086051534215</v>
      </c>
      <c r="I25" s="3" t="s">
        <v>39</v>
      </c>
      <c r="J25" s="5">
        <f>(J24-J22)/J24*100</f>
        <v>8.26076461379553</v>
      </c>
    </row>
    <row r="26" spans="1:26" x14ac:dyDescent="0.45">
      <c r="A26">
        <v>2</v>
      </c>
      <c r="B26">
        <v>24</v>
      </c>
      <c r="C26">
        <v>7</v>
      </c>
      <c r="D26" cm="1">
        <f t="array" ref="D26">INTERCEPT(IF(E9:E16&gt;0,LN(E9:E16)),IF(E9:E16&gt;0,D9:D16))</f>
        <v>5.4508985360998015</v>
      </c>
      <c r="E26" cm="1">
        <f t="array" ref="E26">-SLOPE(IF(E$9:$E16&gt;0,LN(E$9:$E16)),IF(E$9:$E16&gt;0,D$9:$D16))</f>
        <v>8.9214420242301654E-2</v>
      </c>
      <c r="F26" cm="1">
        <f t="array" ref="F26">1-(1-RSQ(IF(E9:$E$16&gt;0,LN(E9:$E$16)),IF(E9:$E$16&gt;0,D9:$D$16)))*((C26-1)/(C26-2))</f>
        <v>0.77152524017700685</v>
      </c>
      <c r="G26">
        <f t="shared" si="8"/>
        <v>7.7694522777527908</v>
      </c>
      <c r="I26" s="3" t="s">
        <v>42</v>
      </c>
      <c r="J26" s="5">
        <f>J22+B37/B40</f>
        <v>5499.7034097520636</v>
      </c>
      <c r="K26" s="3" t="s">
        <v>47</v>
      </c>
      <c r="L26" s="5">
        <f>L22+B35*B37/B40+B37/(B40*B40)</f>
        <v>32908.26425505575</v>
      </c>
    </row>
    <row r="27" spans="1:26" x14ac:dyDescent="0.45">
      <c r="A27">
        <v>1.5</v>
      </c>
      <c r="B27">
        <v>24</v>
      </c>
      <c r="C27">
        <v>8</v>
      </c>
      <c r="D27" cm="1">
        <f t="array" ref="D27">INTERCEPT(IF(E8:E16&gt;0,LN(E8:E16)),IF(E8:E16&gt;0,D8:D16))</f>
        <v>5.7861156792828696</v>
      </c>
      <c r="E27" cm="1">
        <f t="array" ref="E27">-SLOPE(IF(E$8:$E16&gt;0,LN(E$8:$E16)),IF(E$8:$E16&gt;0,D$8:$D16))</f>
        <v>0.10882723216229868</v>
      </c>
      <c r="F27" cm="1">
        <f t="array" ref="F27">1-(1-RSQ(IF(E8:$E$16&gt;0,LN(E8:$E$16)),IF(E8:$E$16&gt;0,D8:$D$16)))*((C27-1)/(C27-2))</f>
        <v>0.66605067048229505</v>
      </c>
      <c r="G27">
        <f t="shared" si="8"/>
        <v>6.3692438628433132</v>
      </c>
      <c r="I27" s="3" t="s">
        <v>43</v>
      </c>
      <c r="J27" s="5">
        <f>(J26-J22)/J26*100</f>
        <v>8.6399152152434695</v>
      </c>
    </row>
    <row r="28" spans="1:26" x14ac:dyDescent="0.45">
      <c r="A28">
        <v>1</v>
      </c>
      <c r="B28">
        <v>24</v>
      </c>
      <c r="C28">
        <v>9</v>
      </c>
      <c r="D28" cm="1">
        <f t="array" ref="D28">INTERCEPT(IF(E7:E16&gt;0,LN(E7:E16)),IF(E7:E16&gt;0,D7:D16))</f>
        <v>6.1558666174537588</v>
      </c>
      <c r="E28" cm="1">
        <f t="array" ref="E28">-SLOPE(IF(E$7:$E16&gt;0,LN(E$7:$E16)),IF(E$7:$E16&gt;0,D$7:$D16))</f>
        <v>0.13124799389642353</v>
      </c>
      <c r="F28" cm="1">
        <f t="array" ref="F28">1-(1-RSQ(IF(E7:$E$16&gt;0,LN(E7:$E$16)),IF(E7:$E$16&gt;0,D7:$D$16)))*((C28-1)/(C28-2))</f>
        <v>0.59706427152864505</v>
      </c>
      <c r="G28">
        <f t="shared" si="8"/>
        <v>5.2812020967494071</v>
      </c>
    </row>
    <row r="29" spans="1:26" x14ac:dyDescent="0.45">
      <c r="A29">
        <v>0.5</v>
      </c>
      <c r="B29">
        <v>24</v>
      </c>
      <c r="C29">
        <v>10</v>
      </c>
      <c r="D29" cm="1">
        <f t="array" ref="D29">INTERCEPT(IF(E6:E16&gt;0,LN(E6:E16)),IF(E6:E16&gt;0,D6:D16))</f>
        <v>6.1558666174537588</v>
      </c>
      <c r="E29" cm="1">
        <f t="array" ref="E29">-SLOPE(IF(E$6:$E16&gt;0,LN(E$6:$E16)),IF(E$6:$E16&gt;0,D$6:$D16))</f>
        <v>0.13124799389642353</v>
      </c>
      <c r="F29" cm="1">
        <f t="array" ref="F29">1-(1-RSQ(IF(E6:$E$16&gt;0,LN(E6:$E$16)),IF(E6:$E$16&gt;0,D6:$D$16)))*((C29-1)/(C29-2))</f>
        <v>0.60336014228600998</v>
      </c>
      <c r="G29">
        <f t="shared" si="8"/>
        <v>5.2812020967494071</v>
      </c>
      <c r="I29" s="3" t="s">
        <v>49</v>
      </c>
      <c r="J29" s="5">
        <f>IF(E37="N",E40*E41/J24,E40*E41/P21)</f>
        <v>0.18258258556735768</v>
      </c>
    </row>
    <row r="30" spans="1:26" x14ac:dyDescent="0.45">
      <c r="I30" s="3" t="s">
        <v>50</v>
      </c>
      <c r="J30" s="5">
        <f>IF(E37="N",E40*E41/J26,E40*E41/P21)</f>
        <v>0.18182798698322566</v>
      </c>
    </row>
    <row r="31" spans="1:26" x14ac:dyDescent="0.45">
      <c r="I31" s="3" t="s">
        <v>51</v>
      </c>
      <c r="J31" s="5">
        <f>IF(E37="N",E40*E41/(B40*J24),E40*E41/(B40*P21))</f>
        <v>2.7535882045985094</v>
      </c>
    </row>
    <row r="32" spans="1:26" x14ac:dyDescent="0.45">
      <c r="I32" s="3" t="s">
        <v>52</v>
      </c>
      <c r="J32" s="5">
        <f>IF(E37="N",E40*E41/(B40*J26),NA)</f>
        <v>2.7422078544188033</v>
      </c>
    </row>
    <row r="33" spans="1:16" x14ac:dyDescent="0.45">
      <c r="I33" s="3" t="s">
        <v>53</v>
      </c>
      <c r="J33" s="5">
        <f>J35*J29</f>
        <v>1.0674299740043436</v>
      </c>
    </row>
    <row r="34" spans="1:16" x14ac:dyDescent="0.45">
      <c r="I34" s="3" t="s">
        <v>54</v>
      </c>
      <c r="J34" s="5">
        <f>J36*J30</f>
        <v>1.0879938423585973</v>
      </c>
      <c r="M34" s="3"/>
      <c r="P34" s="3"/>
    </row>
    <row r="35" spans="1:16" x14ac:dyDescent="0.45">
      <c r="A35" s="3" t="s">
        <v>23</v>
      </c>
      <c r="B35" s="5">
        <f>INDEX(D5:D18,MATCH(B36,E5:E18,0))</f>
        <v>24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5.846285781786956</v>
      </c>
      <c r="M35" s="3"/>
      <c r="P35" s="3"/>
    </row>
    <row r="36" spans="1:16" x14ac:dyDescent="0.45">
      <c r="A36" s="3" t="s">
        <v>41</v>
      </c>
      <c r="B36" s="5">
        <f>LOOKUP(2,1/(E5:E18&gt;0),E5:E18)</f>
        <v>30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5.9836434446088269</v>
      </c>
      <c r="M36" s="3"/>
      <c r="P36" s="3"/>
    </row>
    <row r="37" spans="1:16" x14ac:dyDescent="0.45">
      <c r="A37" s="3" t="s">
        <v>40</v>
      </c>
      <c r="B37" s="5">
        <f>EXP(B42-B40*B35)</f>
        <v>31.507149253186896</v>
      </c>
      <c r="D37" s="3" t="s">
        <v>57</v>
      </c>
      <c r="E37" s="7" t="s">
        <v>36</v>
      </c>
      <c r="I37" s="3" t="s">
        <v>166</v>
      </c>
      <c r="J37" s="5">
        <f>IF(E37="N",L22/J22,(R21+E42*(J22-P21))/P21)</f>
        <v>2.8535981369847381</v>
      </c>
      <c r="L37" s="45"/>
      <c r="M37" s="3"/>
      <c r="P37" s="3"/>
    </row>
    <row r="38" spans="1:16" x14ac:dyDescent="0.4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80</v>
      </c>
      <c r="J38" s="46">
        <f>K7/J24*100</f>
        <v>8.1842643980568077</v>
      </c>
      <c r="M38" s="3"/>
      <c r="P38" s="3"/>
    </row>
    <row r="39" spans="1:16" x14ac:dyDescent="0.45">
      <c r="A39" s="3" t="s">
        <v>24</v>
      </c>
      <c r="B39" s="6">
        <f>MAX(E5:E18)</f>
        <v>1793</v>
      </c>
      <c r="D39" s="3" t="s">
        <v>59</v>
      </c>
      <c r="E39" s="4">
        <v>1</v>
      </c>
      <c r="I39" s="3" t="s">
        <v>81</v>
      </c>
      <c r="J39" s="46">
        <f>K7/J26*100</f>
        <v>8.1504395165230914</v>
      </c>
      <c r="M39" s="3"/>
      <c r="P39" s="3"/>
    </row>
    <row r="40" spans="1:16" x14ac:dyDescent="0.45">
      <c r="A40" s="3" t="s">
        <v>30</v>
      </c>
      <c r="B40" s="5">
        <f t="array" ref="B40">IF(O4="Y",INDEX(E22:E29,MATCH(MAX(F22:F29),F22:F29,0)),INDEX(E22:E29,MATCH(MAX(F22:F29),F22:F29,0)))</f>
        <v>6.6307149799103446E-2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IF(O4="Y",INDEX(G22:G29,MATCH(MAX(F22:F29),F22:F29,0)),INDEX(G22:G29,MATCH(MAX(F22:F29),F22:F29,0)))</f>
        <v>10.453581290404335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IF(O4="Y",INDEX(D22:D29,MATCH(MAX(F22:F29),F22:F29,0)),INDEX(D22:D29,MATCH(MAX(F22:F29),F22:F29,0)))</f>
        <v>5.0415860756770821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IF(O4="Y",INDEX(C22:C29,MATCH(MAX(F22:F29),F22:F29,0)),INDEX(C22:C29,MATCH(MAX(F22:F29),F22:F29,0)))</f>
        <v>5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IF(O4="Y",INDEX(F22:F29,MATCH(MAX(F22:F29),F22:F29,0)),INDEX(F22:F29,MATCH(MAX(F22:F29),F22:F29,0)))</f>
        <v>0.98767084702281538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INDEX(A22:A29,MATCH(B43,C22:C29))</f>
        <v>4</v>
      </c>
    </row>
    <row r="47" spans="1:16" x14ac:dyDescent="0.45">
      <c r="A47" s="3" t="s">
        <v>154</v>
      </c>
      <c r="B47" s="5">
        <f>INDEX(B22:B29,MATCH(B43,C22:C29))</f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CBED-1B5B-4B80-9BB6-D11117F5B724}">
  <dimension ref="A1:Z47"/>
  <sheetViews>
    <sheetView workbookViewId="0">
      <selection activeCell="A2" sqref="A2"/>
    </sheetView>
  </sheetViews>
  <sheetFormatPr defaultRowHeight="14.25" x14ac:dyDescent="0.45"/>
  <cols>
    <col min="1" max="1" width="9.73046875" customWidth="1"/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6.8632812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163</v>
      </c>
      <c r="B5">
        <v>26</v>
      </c>
      <c r="C5" s="15">
        <v>0</v>
      </c>
      <c r="D5">
        <v>0</v>
      </c>
      <c r="E5" s="8">
        <v>0</v>
      </c>
      <c r="F5" s="16">
        <v>0.1</v>
      </c>
      <c r="H5" s="15">
        <v>0</v>
      </c>
      <c r="I5" s="8">
        <f>EXP(LN($E$7)+(0-$D$7)/($D$8-$D$7)*(LN($E$8)-LN($E$7)))</f>
        <v>8829.1347922385248</v>
      </c>
      <c r="L5" s="16"/>
      <c r="N5" s="15">
        <v>0</v>
      </c>
      <c r="O5" s="8">
        <v>0</v>
      </c>
      <c r="P5">
        <f t="shared" ref="P5:P18" si="0">O5*N5</f>
        <v>0</v>
      </c>
      <c r="R5" s="16"/>
      <c r="T5" s="15">
        <v>0</v>
      </c>
      <c r="U5" s="8">
        <v>0</v>
      </c>
      <c r="V5" s="28"/>
      <c r="X5" s="15">
        <v>0</v>
      </c>
      <c r="Y5" s="8">
        <v>0</v>
      </c>
      <c r="Z5" s="16"/>
    </row>
    <row r="6" spans="1:26" x14ac:dyDescent="0.45">
      <c r="A6" t="s">
        <v>163</v>
      </c>
      <c r="B6">
        <v>26</v>
      </c>
      <c r="C6" s="15">
        <v>0.5</v>
      </c>
      <c r="D6">
        <v>0.5</v>
      </c>
      <c r="E6" s="8">
        <v>0</v>
      </c>
      <c r="F6" s="16">
        <v>0.1</v>
      </c>
      <c r="H6" s="15">
        <v>0.5</v>
      </c>
      <c r="I6" s="8">
        <v>0</v>
      </c>
      <c r="J6">
        <f t="shared" ref="J6:J18" si="1">I6*H6</f>
        <v>0</v>
      </c>
      <c r="K6">
        <f>(I5+I6)/2*(H6-H5)</f>
        <v>2207.2836980596312</v>
      </c>
      <c r="L6" s="16">
        <f>(J5+J6)/2*(H6-H5)</f>
        <v>0</v>
      </c>
      <c r="N6" s="15">
        <v>0.5</v>
      </c>
      <c r="O6" s="8">
        <v>0</v>
      </c>
      <c r="P6">
        <f t="shared" si="0"/>
        <v>0</v>
      </c>
      <c r="Q6">
        <f>(O5+O6)/2*(N6-N5)</f>
        <v>0</v>
      </c>
      <c r="R6" s="16">
        <f>(P5+P6)/2*(N6-N5)</f>
        <v>0</v>
      </c>
      <c r="T6" s="15">
        <v>0.5</v>
      </c>
      <c r="U6" s="8">
        <v>0</v>
      </c>
      <c r="V6" s="16">
        <f>(U5+U6)/2*(T6-T5)</f>
        <v>0</v>
      </c>
      <c r="X6" s="15">
        <v>0.5</v>
      </c>
      <c r="Y6" s="8">
        <v>0</v>
      </c>
      <c r="Z6" s="16">
        <f>(Y5+Y6)/2*(X6-X5)</f>
        <v>0</v>
      </c>
    </row>
    <row r="7" spans="1:26" x14ac:dyDescent="0.45">
      <c r="A7" t="s">
        <v>163</v>
      </c>
      <c r="B7">
        <v>26</v>
      </c>
      <c r="C7" s="15">
        <v>1</v>
      </c>
      <c r="D7">
        <v>1</v>
      </c>
      <c r="E7" s="9">
        <v>1793</v>
      </c>
      <c r="F7" s="16" t="s">
        <v>1</v>
      </c>
      <c r="H7" s="15">
        <v>1</v>
      </c>
      <c r="I7">
        <v>1793</v>
      </c>
      <c r="J7">
        <f t="shared" si="1"/>
        <v>1793</v>
      </c>
      <c r="K7">
        <f t="shared" ref="K7:K18" si="2">(I6+I7)/2*(H7-H6)</f>
        <v>448.25</v>
      </c>
      <c r="L7" s="16">
        <f t="shared" ref="L7:L18" si="3">(J6+J7)/2*(H7-H6)</f>
        <v>448.25</v>
      </c>
      <c r="N7" s="15">
        <v>1</v>
      </c>
      <c r="O7">
        <v>1793</v>
      </c>
      <c r="P7">
        <f t="shared" si="0"/>
        <v>1793</v>
      </c>
      <c r="Q7">
        <f t="shared" ref="Q7:Q18" si="4">(O6+O7)/2*(N7-N6)</f>
        <v>448.25</v>
      </c>
      <c r="R7" s="16">
        <f t="shared" ref="R7:R18" si="5">(P6+P7)/2*(N7-N6)</f>
        <v>448.25</v>
      </c>
      <c r="T7" s="15">
        <v>1</v>
      </c>
      <c r="U7">
        <v>1793</v>
      </c>
      <c r="V7" s="16">
        <f t="shared" ref="V7:V18" si="6">(U6+U7)/2*(T7-T6)</f>
        <v>448.25</v>
      </c>
      <c r="X7" s="15">
        <v>1</v>
      </c>
      <c r="Y7">
        <v>1793</v>
      </c>
      <c r="Z7" s="16">
        <f t="shared" ref="Z7:Z18" si="7">(Y6+Y7)/2*(X7-X6)</f>
        <v>448.25</v>
      </c>
    </row>
    <row r="8" spans="1:26" x14ac:dyDescent="0.45">
      <c r="A8" t="s">
        <v>163</v>
      </c>
      <c r="B8">
        <v>26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1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0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45">
      <c r="A9" t="s">
        <v>163</v>
      </c>
      <c r="B9">
        <v>26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1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0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163</v>
      </c>
      <c r="B10">
        <v>26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1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0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163</v>
      </c>
      <c r="B11">
        <v>26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1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0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163</v>
      </c>
      <c r="B12">
        <v>26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1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0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163</v>
      </c>
      <c r="B13">
        <v>26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1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0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163</v>
      </c>
      <c r="B14">
        <v>26</v>
      </c>
      <c r="C14" s="15">
        <v>12</v>
      </c>
      <c r="D14">
        <v>12</v>
      </c>
      <c r="E14" s="8">
        <v>0</v>
      </c>
      <c r="F14" s="16">
        <v>0.1</v>
      </c>
      <c r="H14" s="15">
        <v>12</v>
      </c>
      <c r="I14" s="8">
        <v>0</v>
      </c>
      <c r="J14">
        <f t="shared" si="1"/>
        <v>0</v>
      </c>
      <c r="K14">
        <f t="shared" si="2"/>
        <v>176</v>
      </c>
      <c r="L14" s="16">
        <f t="shared" si="3"/>
        <v>1408</v>
      </c>
      <c r="N14" s="15">
        <v>12</v>
      </c>
      <c r="O14" s="8">
        <v>0</v>
      </c>
      <c r="P14">
        <f t="shared" si="0"/>
        <v>0</v>
      </c>
      <c r="Q14">
        <f t="shared" si="4"/>
        <v>176</v>
      </c>
      <c r="R14" s="16">
        <f t="shared" si="5"/>
        <v>1408</v>
      </c>
      <c r="T14" s="15">
        <v>12</v>
      </c>
      <c r="U14" s="8">
        <v>0</v>
      </c>
      <c r="V14" s="16">
        <f t="shared" si="6"/>
        <v>176</v>
      </c>
      <c r="X14" s="15">
        <v>12</v>
      </c>
      <c r="Y14" s="8">
        <v>0</v>
      </c>
      <c r="Z14" s="16">
        <f t="shared" si="7"/>
        <v>176</v>
      </c>
    </row>
    <row r="15" spans="1:26" x14ac:dyDescent="0.45">
      <c r="A15" t="s">
        <v>163</v>
      </c>
      <c r="B15">
        <v>26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1"/>
        <v>918</v>
      </c>
      <c r="K15">
        <f t="shared" si="2"/>
        <v>153</v>
      </c>
      <c r="L15" s="16">
        <f t="shared" si="3"/>
        <v>2754</v>
      </c>
      <c r="N15" s="15">
        <v>18</v>
      </c>
      <c r="O15">
        <v>51</v>
      </c>
      <c r="P15">
        <f t="shared" si="0"/>
        <v>918</v>
      </c>
      <c r="Q15">
        <f t="shared" si="4"/>
        <v>153</v>
      </c>
      <c r="R15" s="16">
        <f t="shared" si="5"/>
        <v>2754</v>
      </c>
      <c r="T15" s="15">
        <v>18</v>
      </c>
      <c r="U15">
        <v>51</v>
      </c>
      <c r="V15" s="16">
        <f t="shared" si="6"/>
        <v>153</v>
      </c>
      <c r="X15" s="15">
        <v>18</v>
      </c>
      <c r="Y15">
        <v>51</v>
      </c>
      <c r="Z15" s="16">
        <f t="shared" si="7"/>
        <v>153</v>
      </c>
    </row>
    <row r="16" spans="1:26" x14ac:dyDescent="0.45">
      <c r="A16" t="s">
        <v>163</v>
      </c>
      <c r="B16">
        <v>26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1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0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45">
      <c r="A17" t="s">
        <v>163</v>
      </c>
      <c r="B17">
        <v>26</v>
      </c>
      <c r="C17" s="15">
        <v>36</v>
      </c>
      <c r="D17">
        <v>36</v>
      </c>
      <c r="E17" s="8">
        <v>0</v>
      </c>
      <c r="F17" s="16">
        <v>0.1</v>
      </c>
      <c r="H17" s="15">
        <v>36</v>
      </c>
      <c r="I17" s="8">
        <v>0</v>
      </c>
      <c r="J17">
        <f t="shared" si="1"/>
        <v>0</v>
      </c>
      <c r="K17">
        <f t="shared" si="2"/>
        <v>180</v>
      </c>
      <c r="L17" s="16">
        <f t="shared" si="3"/>
        <v>4320</v>
      </c>
      <c r="N17" s="15">
        <v>36</v>
      </c>
      <c r="O17" s="8">
        <v>0</v>
      </c>
      <c r="P17">
        <f t="shared" si="0"/>
        <v>0</v>
      </c>
      <c r="Q17">
        <f t="shared" si="4"/>
        <v>180</v>
      </c>
      <c r="R17" s="16">
        <f t="shared" si="5"/>
        <v>4320</v>
      </c>
      <c r="T17" s="15">
        <v>36</v>
      </c>
      <c r="U17" s="8">
        <v>0</v>
      </c>
      <c r="V17" s="16">
        <f t="shared" si="6"/>
        <v>180</v>
      </c>
      <c r="X17" s="15">
        <v>36</v>
      </c>
      <c r="Y17" s="8">
        <v>0</v>
      </c>
      <c r="Z17" s="16">
        <f t="shared" si="7"/>
        <v>180</v>
      </c>
    </row>
    <row r="18" spans="1:26" ht="14.65" thickBot="1" x14ac:dyDescent="0.5">
      <c r="A18" t="s">
        <v>163</v>
      </c>
      <c r="B18">
        <v>26</v>
      </c>
      <c r="C18" s="36">
        <v>48</v>
      </c>
      <c r="D18" s="35">
        <v>48</v>
      </c>
      <c r="E18" s="51">
        <v>0</v>
      </c>
      <c r="F18" s="23">
        <v>0.1</v>
      </c>
      <c r="H18" s="36">
        <v>48</v>
      </c>
      <c r="I18" s="51">
        <v>0</v>
      </c>
      <c r="J18" s="35">
        <f t="shared" si="1"/>
        <v>0</v>
      </c>
      <c r="K18" s="35">
        <f t="shared" si="2"/>
        <v>0</v>
      </c>
      <c r="L18" s="23">
        <f t="shared" si="3"/>
        <v>0</v>
      </c>
      <c r="N18" s="36">
        <v>48</v>
      </c>
      <c r="O18" s="51">
        <v>0</v>
      </c>
      <c r="P18" s="35">
        <f t="shared" si="0"/>
        <v>0</v>
      </c>
      <c r="Q18" s="35">
        <f t="shared" si="4"/>
        <v>0</v>
      </c>
      <c r="R18" s="23">
        <f t="shared" si="5"/>
        <v>0</v>
      </c>
      <c r="T18" s="36">
        <v>48</v>
      </c>
      <c r="U18" s="51">
        <v>0</v>
      </c>
      <c r="V18" s="23">
        <f t="shared" si="6"/>
        <v>0</v>
      </c>
      <c r="X18" s="36">
        <v>48</v>
      </c>
      <c r="Y18" s="51">
        <v>0</v>
      </c>
      <c r="Z18" s="23">
        <f t="shared" si="7"/>
        <v>0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5204.5336980596312</v>
      </c>
      <c r="K21" s="3" t="s">
        <v>44</v>
      </c>
      <c r="L21" s="5">
        <f>SUM(L6:L18)</f>
        <v>18658</v>
      </c>
      <c r="O21" s="3" t="s">
        <v>65</v>
      </c>
      <c r="P21" s="5">
        <f>SUM(Q6:INDEX(Q6:Q18,MATCH(E42,N6:N18,0)))</f>
        <v>2817.25</v>
      </c>
      <c r="Q21" s="3" t="s">
        <v>71</v>
      </c>
      <c r="R21" s="5">
        <f>SUM(R6:INDEX(R6:R18,MATCH(E42,N6:N18,0)))</f>
        <v>14338</v>
      </c>
      <c r="U21" s="3" t="s">
        <v>70</v>
      </c>
      <c r="V21" s="5">
        <f>SUM(V6:INDEX(V6:V18,MATCH(E43,T6:T18,0)))</f>
        <v>2574.25</v>
      </c>
      <c r="Y21" s="3" t="s">
        <v>37</v>
      </c>
      <c r="Z21" s="5">
        <f>SUM(INDEX(Z6:Z18,MATCH(E44,X6:X18,0)+1):INDEX(Z6:Z18,MATCH(E45,X6:X18,0)))</f>
        <v>588</v>
      </c>
    </row>
    <row r="22" spans="1:26" x14ac:dyDescent="0.45">
      <c r="A22">
        <v>8</v>
      </c>
      <c r="B22">
        <v>24</v>
      </c>
      <c r="C22">
        <v>3</v>
      </c>
      <c r="D22" cm="1">
        <f t="array" ref="D22">INTERCEPT(IF(E13:E16&gt;0,LN(E13:E16)),IF(E13:E16&gt;0,D13:D16))</f>
        <v>5.0361536270096865</v>
      </c>
      <c r="E22" cm="1">
        <f t="array" ref="E22">-SLOPE(IF(E$13:$E$16&gt;0,LN(E$13:$E$16)),IF(E$13:$E$16&gt;0,D$13:$D$16))</f>
        <v>6.5962021043287397E-2</v>
      </c>
      <c r="F22" cm="1">
        <f t="array" ref="F22">1-(1-RSQ(IF(E13:$E$16&gt;0,LN(E13:$E$16)),IF(E13:$E$16&gt;0,D13:$D$16)))*((C22-1)/(C22-2))</f>
        <v>0.96357698144553661</v>
      </c>
      <c r="G22">
        <f t="shared" ref="G22:G29" si="8">LN(2)/E22</f>
        <v>10.508276878070024</v>
      </c>
      <c r="I22" s="3" t="s">
        <v>22</v>
      </c>
      <c r="J22" s="5">
        <f>SUM(K6:INDEX(K6:K18,MATCH(B35,H6:H18,0)))</f>
        <v>5024.5336980596312</v>
      </c>
      <c r="K22" s="3" t="s">
        <v>45</v>
      </c>
      <c r="L22" s="5">
        <f>SUM(L6:INDEX(L6:L18,MATCH(B35,H6:H18,0)))</f>
        <v>14338</v>
      </c>
    </row>
    <row r="23" spans="1:26" x14ac:dyDescent="0.45">
      <c r="A23">
        <v>6</v>
      </c>
      <c r="B23">
        <v>24</v>
      </c>
      <c r="C23">
        <v>4</v>
      </c>
      <c r="D23" cm="1">
        <f t="array" ref="D23">INTERCEPT(IF(E12:E16&gt;0,LN(E12:E16)),IF(E12:E16&gt;0,D12:D16))</f>
        <v>5.01674009307985</v>
      </c>
      <c r="E23" s="42" cm="1">
        <f t="array" ref="E23">-SLOPE(IF(E$12:$E16&gt;0,LN(E$12:$E16)),IF(E$12:$E16&gt;0,D$12:$D16))</f>
        <v>6.5026429046668804E-2</v>
      </c>
      <c r="F23" cm="1">
        <f t="array" ref="F23">1-(1-RSQ(IF(E12:$E$16&gt;0,LN(E12:$E$16)),IF(E12:$E$16&gt;0,D12:$D$16)))*((C23-1)/(C23-2))</f>
        <v>0.98241353472139781</v>
      </c>
      <c r="G23">
        <f t="shared" si="8"/>
        <v>10.659468630246952</v>
      </c>
    </row>
    <row r="24" spans="1:26" x14ac:dyDescent="0.45">
      <c r="A24">
        <v>4</v>
      </c>
      <c r="B24">
        <v>24</v>
      </c>
      <c r="C24">
        <v>5</v>
      </c>
      <c r="D24" cm="1">
        <f t="array" ref="D24">INTERCEPT(IF(E11:E16&gt;0,LN(E11:E16)),IF(E11:E16&gt;0,D11:D16))</f>
        <v>5.0415860756770821</v>
      </c>
      <c r="E24" s="43" cm="1">
        <f t="array" ref="E24">-SLOPE(IF(E$11:$E16&gt;0,LN(E$11:$E16)),IF(E$11:$E16&gt;0,D$11:$D16))</f>
        <v>6.6307149799103446E-2</v>
      </c>
      <c r="F24" cm="1">
        <f t="array" ref="F24">1-(1-RSQ(IF(E11:$E$16&gt;0,LN(E11:$E$16)),IF(E11:$E$16&gt;0,D11:$D$16)))*((C24-1)/(C24-2))</f>
        <v>0.98767084702281538</v>
      </c>
      <c r="G24">
        <f t="shared" si="8"/>
        <v>10.453581290404335</v>
      </c>
      <c r="I24" s="3" t="s">
        <v>38</v>
      </c>
      <c r="J24" s="5">
        <f>J22+B36/B40</f>
        <v>5476.9735946755109</v>
      </c>
      <c r="K24" s="3" t="s">
        <v>46</v>
      </c>
      <c r="L24" s="5">
        <f>L22+B35*B36/B40+B36/(B40*B40)</f>
        <v>32019.952853774033</v>
      </c>
    </row>
    <row r="25" spans="1:26" x14ac:dyDescent="0.45">
      <c r="A25">
        <v>3</v>
      </c>
      <c r="B25">
        <v>24</v>
      </c>
      <c r="C25">
        <v>6</v>
      </c>
      <c r="D25" cm="1">
        <f t="array" ref="D25">INTERCEPT(IF(E10:E16&gt;0,LN(E10:E16)),IF(E10:E16&gt;0,D10:D16))</f>
        <v>5.1494110455125863</v>
      </c>
      <c r="E25" cm="1">
        <f t="array" ref="E25">-SLOPE(IF(E$10:$E16&gt;0,LN(E$10:$E16)),IF(E$10:$E16&gt;0,D$10:$D16))</f>
        <v>7.2111125448143756E-2</v>
      </c>
      <c r="F25" cm="1">
        <f t="array" ref="F25">1-(1-RSQ(IF(E10:$E$16&gt;0,LN(E10:$E$16)),IF(E10:$E$16&gt;0,D10:$D$16)))*((C25-1)/(C25-2))</f>
        <v>0.95792381096010715</v>
      </c>
      <c r="G25">
        <f t="shared" si="8"/>
        <v>9.6122086051534215</v>
      </c>
      <c r="I25" s="3" t="s">
        <v>39</v>
      </c>
      <c r="J25" s="5">
        <f>(J24-J22)/J24*100</f>
        <v>8.26076461379553</v>
      </c>
    </row>
    <row r="26" spans="1:26" x14ac:dyDescent="0.45">
      <c r="A26">
        <v>2</v>
      </c>
      <c r="B26">
        <v>24</v>
      </c>
      <c r="C26">
        <v>7</v>
      </c>
      <c r="D26" cm="1">
        <f t="array" ref="D26">INTERCEPT(IF(E9:E16&gt;0,LN(E9:E16)),IF(E9:E16&gt;0,D9:D16))</f>
        <v>5.4508985360998015</v>
      </c>
      <c r="E26" cm="1">
        <f t="array" ref="E26">-SLOPE(IF(E$9:$E16&gt;0,LN(E$9:$E16)),IF(E$9:$E16&gt;0,D$9:$D16))</f>
        <v>8.9214420242301654E-2</v>
      </c>
      <c r="F26" cm="1">
        <f t="array" ref="F26">1-(1-RSQ(IF(E9:$E$16&gt;0,LN(E9:$E$16)),IF(E9:$E$16&gt;0,D9:$D$16)))*((C26-1)/(C26-2))</f>
        <v>0.77152524017700685</v>
      </c>
      <c r="G26">
        <f t="shared" si="8"/>
        <v>7.7694522777527908</v>
      </c>
      <c r="I26" s="3" t="s">
        <v>42</v>
      </c>
      <c r="J26" s="5">
        <f>J22+B37/B40</f>
        <v>5499.7034097520636</v>
      </c>
      <c r="K26" s="3" t="s">
        <v>47</v>
      </c>
      <c r="L26" s="5">
        <f>L22+B35*B37/B40+B37/(B40*B40)</f>
        <v>32908.26425505575</v>
      </c>
    </row>
    <row r="27" spans="1:26" x14ac:dyDescent="0.45">
      <c r="A27">
        <v>1.5</v>
      </c>
      <c r="B27">
        <v>24</v>
      </c>
      <c r="C27">
        <v>8</v>
      </c>
      <c r="D27" cm="1">
        <f t="array" ref="D27">INTERCEPT(IF(E8:E16&gt;0,LN(E8:E16)),IF(E8:E16&gt;0,D8:D16))</f>
        <v>5.7861156792828696</v>
      </c>
      <c r="E27" cm="1">
        <f t="array" ref="E27">-SLOPE(IF(E$8:$E16&gt;0,LN(E$8:$E16)),IF(E$8:$E16&gt;0,D$8:$D16))</f>
        <v>0.10882723216229868</v>
      </c>
      <c r="F27" cm="1">
        <f t="array" ref="F27">1-(1-RSQ(IF(E8:$E$16&gt;0,LN(E8:$E$16)),IF(E8:$E$16&gt;0,D8:$D$16)))*((C27-1)/(C27-2))</f>
        <v>0.66605067048229505</v>
      </c>
      <c r="G27">
        <f t="shared" si="8"/>
        <v>6.3692438628433132</v>
      </c>
      <c r="I27" s="3" t="s">
        <v>43</v>
      </c>
      <c r="J27" s="5">
        <f>(J26-J22)/J26*100</f>
        <v>8.6399152152434695</v>
      </c>
    </row>
    <row r="28" spans="1:26" x14ac:dyDescent="0.45">
      <c r="A28">
        <v>1</v>
      </c>
      <c r="B28">
        <v>24</v>
      </c>
      <c r="C28">
        <v>9</v>
      </c>
      <c r="D28" cm="1">
        <f t="array" ref="D28">INTERCEPT(IF(E7:E16&gt;0,LN(E7:E16)),IF(E7:E16&gt;0,D7:D16))</f>
        <v>6.1558666174537588</v>
      </c>
      <c r="E28" cm="1">
        <f t="array" ref="E28">-SLOPE(IF(E$7:$E16&gt;0,LN(E$7:$E16)),IF(E$7:$E16&gt;0,D$7:$D16))</f>
        <v>0.13124799389642353</v>
      </c>
      <c r="F28" cm="1">
        <f t="array" ref="F28">1-(1-RSQ(IF(E7:$E$16&gt;0,LN(E7:$E$16)),IF(E7:$E$16&gt;0,D7:$D$16)))*((C28-1)/(C28-2))</f>
        <v>0.59706427152864505</v>
      </c>
      <c r="G28">
        <f t="shared" si="8"/>
        <v>5.2812020967494071</v>
      </c>
    </row>
    <row r="29" spans="1:26" x14ac:dyDescent="0.45">
      <c r="A29">
        <v>0.5</v>
      </c>
      <c r="B29">
        <v>24</v>
      </c>
      <c r="C29">
        <v>10</v>
      </c>
      <c r="D29" cm="1">
        <f t="array" ref="D29">INTERCEPT(IF(E6:E16&gt;0,LN(E6:E16)),IF(E6:E16&gt;0,D6:D16))</f>
        <v>6.1558666174537588</v>
      </c>
      <c r="E29" cm="1">
        <f t="array" ref="E29">-SLOPE(IF(E$6:$E16&gt;0,LN(E$6:$E16)),IF(E$6:$E16&gt;0,D$6:$D16))</f>
        <v>0.13124799389642353</v>
      </c>
      <c r="F29" cm="1">
        <f t="array" ref="F29">1-(1-RSQ(IF(E6:$E$16&gt;0,LN(E6:$E$16)),IF(E6:$E$16&gt;0,D6:$D$16)))*((C29-1)/(C29-2))</f>
        <v>0.60336014228600998</v>
      </c>
      <c r="G29">
        <f t="shared" si="8"/>
        <v>5.2812020967494071</v>
      </c>
      <c r="I29" s="3" t="s">
        <v>49</v>
      </c>
      <c r="J29" s="5">
        <f>IF(E37="N",E40*E41/J24,E40*E41/P21)</f>
        <v>0.18258258556735768</v>
      </c>
    </row>
    <row r="30" spans="1:26" x14ac:dyDescent="0.45">
      <c r="I30" s="3" t="s">
        <v>50</v>
      </c>
      <c r="J30" s="5">
        <f>IF(E37="N",E40*E41/J26,E40*E41/P21)</f>
        <v>0.18182798698322566</v>
      </c>
    </row>
    <row r="31" spans="1:26" x14ac:dyDescent="0.45">
      <c r="I31" s="3" t="s">
        <v>51</v>
      </c>
      <c r="J31" s="5">
        <f>IF(E37="N",E40*E41/(B40*J24),E40*E41/(B40*P21))</f>
        <v>2.7535882045985094</v>
      </c>
    </row>
    <row r="32" spans="1:26" x14ac:dyDescent="0.45">
      <c r="I32" s="3" t="s">
        <v>52</v>
      </c>
      <c r="J32" s="5">
        <f>IF(E37="N",E40*E41/(B40*J26),NA)</f>
        <v>2.7422078544188033</v>
      </c>
    </row>
    <row r="33" spans="1:16" x14ac:dyDescent="0.45">
      <c r="I33" s="3" t="s">
        <v>53</v>
      </c>
      <c r="J33" s="5">
        <f>J35*J29</f>
        <v>1.0674299740043436</v>
      </c>
    </row>
    <row r="34" spans="1:16" x14ac:dyDescent="0.45">
      <c r="I34" s="3" t="s">
        <v>54</v>
      </c>
      <c r="J34" s="5">
        <f>J36*J30</f>
        <v>1.0879938423585973</v>
      </c>
      <c r="M34" s="3"/>
      <c r="P34" s="3"/>
    </row>
    <row r="35" spans="1:16" x14ac:dyDescent="0.45">
      <c r="A35" s="3" t="s">
        <v>23</v>
      </c>
      <c r="B35" s="5">
        <f>INDEX(D5:D18,MATCH(B36,E5:E18,0))</f>
        <v>24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5.846285781786956</v>
      </c>
      <c r="M35" s="3"/>
      <c r="P35" s="3"/>
    </row>
    <row r="36" spans="1:16" x14ac:dyDescent="0.45">
      <c r="A36" s="3" t="s">
        <v>41</v>
      </c>
      <c r="B36" s="5">
        <f>LOOKUP(2,1/(E5:E18&gt;0),E5:E18)</f>
        <v>30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5.9836434446088269</v>
      </c>
      <c r="M36" s="3"/>
      <c r="P36" s="3"/>
    </row>
    <row r="37" spans="1:16" x14ac:dyDescent="0.45">
      <c r="A37" s="3" t="s">
        <v>40</v>
      </c>
      <c r="B37" s="5">
        <f>EXP(B42-B40*B35)</f>
        <v>31.507149253186896</v>
      </c>
      <c r="D37" s="3" t="s">
        <v>57</v>
      </c>
      <c r="E37" s="7" t="s">
        <v>36</v>
      </c>
      <c r="I37" s="3" t="s">
        <v>166</v>
      </c>
      <c r="J37" s="5">
        <f>IF(E37="N",L22/J22,(R21+E42*(J22-P21))/P21)</f>
        <v>2.8535981369847381</v>
      </c>
      <c r="L37" s="45"/>
      <c r="M37" s="3"/>
      <c r="P37" s="3"/>
    </row>
    <row r="38" spans="1:16" x14ac:dyDescent="0.4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80</v>
      </c>
      <c r="J38" s="46">
        <f>K7/J24*100</f>
        <v>8.1842643980568077</v>
      </c>
      <c r="M38" s="3"/>
      <c r="P38" s="3"/>
    </row>
    <row r="39" spans="1:16" x14ac:dyDescent="0.45">
      <c r="A39" s="3" t="s">
        <v>24</v>
      </c>
      <c r="B39" s="6">
        <f>MAX(E5:E18)</f>
        <v>1793</v>
      </c>
      <c r="D39" s="3" t="s">
        <v>59</v>
      </c>
      <c r="E39" s="4">
        <v>1</v>
      </c>
      <c r="I39" s="3" t="s">
        <v>81</v>
      </c>
      <c r="J39" s="46">
        <f>K7/J26*100</f>
        <v>8.1504395165230914</v>
      </c>
      <c r="M39" s="3"/>
      <c r="P39" s="3"/>
    </row>
    <row r="40" spans="1:16" x14ac:dyDescent="0.45">
      <c r="A40" s="3" t="s">
        <v>30</v>
      </c>
      <c r="B40" s="5">
        <f t="array" ref="B40">IF(O4="Y",INDEX(E22:E29,MATCH(MAX(F22:F29),F22:F29,0)),INDEX(E22:E29,MATCH(MAX(F22:F29),F22:F29,0)))</f>
        <v>6.6307149799103446E-2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IF(O4="Y",INDEX(G22:G29,MATCH(MAX(F22:F29),F22:F29,0)),INDEX(G22:G29,MATCH(MAX(F22:F29),F22:F29,0)))</f>
        <v>10.453581290404335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IF(O4="Y",INDEX(D22:D29,MATCH(MAX(F22:F29),F22:F29,0)),INDEX(D22:D29,MATCH(MAX(F22:F29),F22:F29,0)))</f>
        <v>5.0415860756770821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IF(O4="Y",INDEX(C22:C29,MATCH(MAX(F22:F29),F22:F29,0)),INDEX(C22:C29,MATCH(MAX(F22:F29),F22:F29,0)))</f>
        <v>5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IF(O4="Y",INDEX(F22:F29,MATCH(MAX(F22:F29),F22:F29,0)),INDEX(F22:F29,MATCH(MAX(F22:F29),F22:F29,0)))</f>
        <v>0.98767084702281538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INDEX(A22:A29,MATCH(B43,C22:C29))</f>
        <v>4</v>
      </c>
    </row>
    <row r="47" spans="1:16" x14ac:dyDescent="0.45">
      <c r="A47" s="3" t="s">
        <v>154</v>
      </c>
      <c r="B47" s="5">
        <f>INDEX(B22:B29,MATCH(B43,C22:C29))</f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DE77-4569-4AA4-A784-56AF0C9CAB74}">
  <dimension ref="A1:Z47"/>
  <sheetViews>
    <sheetView workbookViewId="0">
      <selection activeCell="A2" sqref="A2"/>
    </sheetView>
  </sheetViews>
  <sheetFormatPr defaultRowHeight="14.25" x14ac:dyDescent="0.45"/>
  <cols>
    <col min="1" max="1" width="9.73046875" customWidth="1"/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6.8632812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164</v>
      </c>
      <c r="B5">
        <v>27</v>
      </c>
      <c r="C5" s="15">
        <v>0</v>
      </c>
      <c r="D5">
        <v>0</v>
      </c>
      <c r="E5" s="8">
        <v>0</v>
      </c>
      <c r="F5" s="16">
        <v>0.1</v>
      </c>
      <c r="H5" s="15">
        <v>0</v>
      </c>
      <c r="I5" s="8">
        <f>EXP(LN($E$7)+(0-$D$7)/($D$8-$D$7)*(LN($E$8)-LN($E$7)))</f>
        <v>8829.1347922385248</v>
      </c>
      <c r="L5" s="16"/>
      <c r="N5" s="15">
        <v>0</v>
      </c>
      <c r="O5" s="8">
        <v>0</v>
      </c>
      <c r="P5">
        <f t="shared" ref="P5:P18" si="0">O5*N5</f>
        <v>0</v>
      </c>
      <c r="R5" s="16"/>
      <c r="T5" s="15">
        <v>0</v>
      </c>
      <c r="U5" s="8">
        <v>0</v>
      </c>
      <c r="V5" s="28"/>
      <c r="X5" s="15">
        <v>0</v>
      </c>
      <c r="Y5" s="8">
        <v>0</v>
      </c>
      <c r="Z5" s="16"/>
    </row>
    <row r="6" spans="1:26" x14ac:dyDescent="0.45">
      <c r="A6" t="s">
        <v>164</v>
      </c>
      <c r="B6">
        <v>27</v>
      </c>
      <c r="C6" s="15">
        <v>0.5</v>
      </c>
      <c r="D6">
        <v>0.5</v>
      </c>
      <c r="E6" s="8">
        <v>0</v>
      </c>
      <c r="F6" s="16">
        <v>0.1</v>
      </c>
      <c r="H6" s="15">
        <v>0.5</v>
      </c>
      <c r="I6" s="8">
        <v>0</v>
      </c>
      <c r="J6">
        <f t="shared" ref="J6:J18" si="1">I6*H6</f>
        <v>0</v>
      </c>
      <c r="K6">
        <f>(I5+I6)/2*(H6-H5)</f>
        <v>2207.2836980596312</v>
      </c>
      <c r="L6" s="16">
        <f>(J5+J6)/2*(H6-H5)</f>
        <v>0</v>
      </c>
      <c r="N6" s="15">
        <v>0.5</v>
      </c>
      <c r="O6" s="8">
        <v>0</v>
      </c>
      <c r="P6">
        <f t="shared" si="0"/>
        <v>0</v>
      </c>
      <c r="Q6">
        <f>(O5+O6)/2*(N6-N5)</f>
        <v>0</v>
      </c>
      <c r="R6" s="16">
        <f>(P5+P6)/2*(N6-N5)</f>
        <v>0</v>
      </c>
      <c r="T6" s="15">
        <v>0.5</v>
      </c>
      <c r="U6" s="8">
        <v>0</v>
      </c>
      <c r="V6" s="16">
        <f>(U5+U6)/2*(T6-T5)</f>
        <v>0</v>
      </c>
      <c r="X6" s="15">
        <v>0.5</v>
      </c>
      <c r="Y6" s="8">
        <v>0</v>
      </c>
      <c r="Z6" s="16">
        <f>(Y5+Y6)/2*(X6-X5)</f>
        <v>0</v>
      </c>
    </row>
    <row r="7" spans="1:26" x14ac:dyDescent="0.45">
      <c r="A7" t="s">
        <v>164</v>
      </c>
      <c r="B7">
        <v>27</v>
      </c>
      <c r="C7" s="15">
        <v>1</v>
      </c>
      <c r="D7">
        <v>1</v>
      </c>
      <c r="E7" s="9">
        <v>1793</v>
      </c>
      <c r="F7" s="16" t="s">
        <v>1</v>
      </c>
      <c r="H7" s="15">
        <v>1</v>
      </c>
      <c r="I7">
        <v>1793</v>
      </c>
      <c r="J7">
        <f t="shared" si="1"/>
        <v>1793</v>
      </c>
      <c r="K7">
        <f t="shared" ref="K7:K18" si="2">(I6+I7)/2*(H7-H6)</f>
        <v>448.25</v>
      </c>
      <c r="L7" s="16">
        <f t="shared" ref="L7:L18" si="3">(J6+J7)/2*(H7-H6)</f>
        <v>448.25</v>
      </c>
      <c r="N7" s="15">
        <v>1</v>
      </c>
      <c r="O7">
        <v>1793</v>
      </c>
      <c r="P7">
        <f t="shared" si="0"/>
        <v>1793</v>
      </c>
      <c r="Q7">
        <f t="shared" ref="Q7:Q18" si="4">(O6+O7)/2*(N7-N6)</f>
        <v>448.25</v>
      </c>
      <c r="R7" s="16">
        <f t="shared" ref="R7:R18" si="5">(P6+P7)/2*(N7-N6)</f>
        <v>448.25</v>
      </c>
      <c r="T7" s="15">
        <v>1</v>
      </c>
      <c r="U7">
        <v>1793</v>
      </c>
      <c r="V7" s="16">
        <f t="shared" ref="V7:V18" si="6">(U6+U7)/2*(T7-T6)</f>
        <v>448.25</v>
      </c>
      <c r="X7" s="15">
        <v>1</v>
      </c>
      <c r="Y7">
        <v>1793</v>
      </c>
      <c r="Z7" s="16">
        <f t="shared" ref="Z7:Z18" si="7">(Y6+Y7)/2*(X7-X6)</f>
        <v>448.25</v>
      </c>
    </row>
    <row r="8" spans="1:26" x14ac:dyDescent="0.45">
      <c r="A8" t="s">
        <v>164</v>
      </c>
      <c r="B8">
        <v>27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1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0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45">
      <c r="A9" t="s">
        <v>164</v>
      </c>
      <c r="B9">
        <v>27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1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0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164</v>
      </c>
      <c r="B10">
        <v>27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1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0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164</v>
      </c>
      <c r="B11">
        <v>27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1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0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164</v>
      </c>
      <c r="B12">
        <v>27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1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0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164</v>
      </c>
      <c r="B13">
        <v>27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1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0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164</v>
      </c>
      <c r="B14">
        <v>27</v>
      </c>
      <c r="C14" s="15">
        <v>12</v>
      </c>
      <c r="D14">
        <v>12</v>
      </c>
      <c r="E14" s="8">
        <f>F14/2</f>
        <v>0.05</v>
      </c>
      <c r="F14" s="16">
        <v>0.1</v>
      </c>
      <c r="H14" s="15">
        <v>12</v>
      </c>
      <c r="I14" s="8">
        <v>0.05</v>
      </c>
      <c r="J14">
        <f t="shared" si="1"/>
        <v>0.60000000000000009</v>
      </c>
      <c r="K14">
        <f t="shared" si="2"/>
        <v>176.1</v>
      </c>
      <c r="L14" s="16">
        <f t="shared" si="3"/>
        <v>1409.2</v>
      </c>
      <c r="N14" s="15">
        <v>12</v>
      </c>
      <c r="O14" s="8">
        <v>0.05</v>
      </c>
      <c r="P14">
        <f t="shared" si="0"/>
        <v>0.60000000000000009</v>
      </c>
      <c r="Q14">
        <f t="shared" si="4"/>
        <v>176.1</v>
      </c>
      <c r="R14" s="16">
        <f t="shared" si="5"/>
        <v>1409.2</v>
      </c>
      <c r="T14" s="15">
        <v>12</v>
      </c>
      <c r="U14" s="8">
        <v>0.05</v>
      </c>
      <c r="V14" s="16">
        <f t="shared" si="6"/>
        <v>176.1</v>
      </c>
      <c r="X14" s="15">
        <v>12</v>
      </c>
      <c r="Y14" s="8">
        <v>0.05</v>
      </c>
      <c r="Z14" s="16">
        <f t="shared" si="7"/>
        <v>176.1</v>
      </c>
    </row>
    <row r="15" spans="1:26" x14ac:dyDescent="0.45">
      <c r="A15" t="s">
        <v>164</v>
      </c>
      <c r="B15">
        <v>27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1"/>
        <v>918</v>
      </c>
      <c r="K15">
        <f t="shared" si="2"/>
        <v>153.14999999999998</v>
      </c>
      <c r="L15" s="16">
        <f t="shared" si="3"/>
        <v>2755.8</v>
      </c>
      <c r="N15" s="15">
        <v>18</v>
      </c>
      <c r="O15">
        <v>51</v>
      </c>
      <c r="P15">
        <f t="shared" si="0"/>
        <v>918</v>
      </c>
      <c r="Q15">
        <f t="shared" si="4"/>
        <v>153.14999999999998</v>
      </c>
      <c r="R15" s="16">
        <f t="shared" si="5"/>
        <v>2755.8</v>
      </c>
      <c r="T15" s="15">
        <v>18</v>
      </c>
      <c r="U15">
        <v>51</v>
      </c>
      <c r="V15" s="16">
        <f t="shared" si="6"/>
        <v>153.14999999999998</v>
      </c>
      <c r="X15" s="15">
        <v>18</v>
      </c>
      <c r="Y15">
        <v>51</v>
      </c>
      <c r="Z15" s="16">
        <f t="shared" si="7"/>
        <v>153.14999999999998</v>
      </c>
    </row>
    <row r="16" spans="1:26" x14ac:dyDescent="0.45">
      <c r="A16" t="s">
        <v>164</v>
      </c>
      <c r="B16">
        <v>27</v>
      </c>
      <c r="C16" s="15">
        <v>24</v>
      </c>
      <c r="D16">
        <v>24</v>
      </c>
      <c r="E16" s="63">
        <v>30</v>
      </c>
      <c r="F16" s="16" t="s">
        <v>1</v>
      </c>
      <c r="H16" s="15">
        <v>24</v>
      </c>
      <c r="I16" s="63">
        <v>30</v>
      </c>
      <c r="J16">
        <f t="shared" si="1"/>
        <v>720</v>
      </c>
      <c r="K16">
        <f t="shared" si="2"/>
        <v>243</v>
      </c>
      <c r="L16" s="16">
        <f t="shared" si="3"/>
        <v>4914</v>
      </c>
      <c r="N16" s="15">
        <v>24</v>
      </c>
      <c r="O16" s="63">
        <v>30</v>
      </c>
      <c r="P16">
        <f t="shared" si="0"/>
        <v>720</v>
      </c>
      <c r="Q16">
        <f t="shared" si="4"/>
        <v>243</v>
      </c>
      <c r="R16" s="16">
        <f t="shared" si="5"/>
        <v>4914</v>
      </c>
      <c r="T16" s="15">
        <v>24</v>
      </c>
      <c r="U16" s="63">
        <v>30</v>
      </c>
      <c r="V16" s="16">
        <f t="shared" si="6"/>
        <v>243</v>
      </c>
      <c r="X16" s="15">
        <v>24</v>
      </c>
      <c r="Y16" s="63">
        <v>30</v>
      </c>
      <c r="Z16" s="16">
        <f t="shared" si="7"/>
        <v>243</v>
      </c>
    </row>
    <row r="17" spans="1:26" x14ac:dyDescent="0.45">
      <c r="A17" t="s">
        <v>164</v>
      </c>
      <c r="B17">
        <v>27</v>
      </c>
      <c r="C17" s="15">
        <v>36</v>
      </c>
      <c r="D17">
        <v>36</v>
      </c>
      <c r="E17" s="40"/>
      <c r="F17" s="16">
        <v>0.1</v>
      </c>
      <c r="H17" s="15">
        <v>36</v>
      </c>
      <c r="I17" s="40"/>
      <c r="J17">
        <f t="shared" si="1"/>
        <v>0</v>
      </c>
      <c r="K17">
        <f t="shared" si="2"/>
        <v>180</v>
      </c>
      <c r="L17" s="16">
        <f t="shared" si="3"/>
        <v>4320</v>
      </c>
      <c r="N17" s="15">
        <v>36</v>
      </c>
      <c r="O17" s="40"/>
      <c r="P17">
        <f t="shared" si="0"/>
        <v>0</v>
      </c>
      <c r="Q17">
        <f t="shared" si="4"/>
        <v>180</v>
      </c>
      <c r="R17" s="16">
        <f t="shared" si="5"/>
        <v>4320</v>
      </c>
      <c r="T17" s="15">
        <v>36</v>
      </c>
      <c r="U17" s="40"/>
      <c r="V17" s="16">
        <f t="shared" si="6"/>
        <v>180</v>
      </c>
      <c r="X17" s="15">
        <v>36</v>
      </c>
      <c r="Y17" s="40"/>
      <c r="Z17" s="16">
        <f t="shared" si="7"/>
        <v>180</v>
      </c>
    </row>
    <row r="18" spans="1:26" ht="14.65" thickBot="1" x14ac:dyDescent="0.5">
      <c r="A18" t="s">
        <v>164</v>
      </c>
      <c r="B18">
        <v>27</v>
      </c>
      <c r="C18" s="36">
        <v>48</v>
      </c>
      <c r="D18" s="35">
        <v>48</v>
      </c>
      <c r="E18" s="52"/>
      <c r="F18" s="23">
        <v>0.1</v>
      </c>
      <c r="H18" s="36">
        <v>48</v>
      </c>
      <c r="I18" s="52"/>
      <c r="J18" s="35">
        <f t="shared" si="1"/>
        <v>0</v>
      </c>
      <c r="K18" s="35">
        <f t="shared" si="2"/>
        <v>0</v>
      </c>
      <c r="L18" s="23">
        <f t="shared" si="3"/>
        <v>0</v>
      </c>
      <c r="N18" s="36">
        <v>48</v>
      </c>
      <c r="O18" s="52"/>
      <c r="P18" s="35">
        <f t="shared" si="0"/>
        <v>0</v>
      </c>
      <c r="Q18" s="35">
        <f t="shared" si="4"/>
        <v>0</v>
      </c>
      <c r="R18" s="23">
        <f t="shared" si="5"/>
        <v>0</v>
      </c>
      <c r="T18" s="36">
        <v>48</v>
      </c>
      <c r="U18" s="52"/>
      <c r="V18" s="23">
        <f t="shared" si="6"/>
        <v>0</v>
      </c>
      <c r="X18" s="36">
        <v>48</v>
      </c>
      <c r="Y18" s="52"/>
      <c r="Z18" s="23">
        <f t="shared" si="7"/>
        <v>0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5204.7836980596312</v>
      </c>
      <c r="K21" s="3" t="s">
        <v>44</v>
      </c>
      <c r="L21" s="5">
        <f>SUM(L6:L18)</f>
        <v>18661</v>
      </c>
      <c r="O21" s="3" t="s">
        <v>65</v>
      </c>
      <c r="P21" s="5">
        <f>SUM(Q6:INDEX(Q6:Q18,MATCH(E42,N6:N18,0)))</f>
        <v>2817.5</v>
      </c>
      <c r="Q21" s="3" t="s">
        <v>71</v>
      </c>
      <c r="R21" s="5">
        <f>SUM(R6:INDEX(R6:R18,MATCH(E42,N6:N18,0)))</f>
        <v>14341</v>
      </c>
      <c r="U21" s="3" t="s">
        <v>70</v>
      </c>
      <c r="V21" s="5">
        <f>SUM(V6:INDEX(V6:V18,MATCH(E43,T6:T18,0)))</f>
        <v>2574.5</v>
      </c>
      <c r="Y21" s="3" t="s">
        <v>37</v>
      </c>
      <c r="Z21" s="5">
        <f>SUM(INDEX(Z6:Z18,MATCH(E44,X6:X18,0)+1):INDEX(Z6:Z18,MATCH(E45,X6:X18,0)))</f>
        <v>588.1</v>
      </c>
    </row>
    <row r="22" spans="1:26" x14ac:dyDescent="0.45">
      <c r="A22">
        <v>8</v>
      </c>
      <c r="B22">
        <v>24</v>
      </c>
      <c r="C22">
        <v>3</v>
      </c>
      <c r="D22" cm="1">
        <f t="array" ref="D22">INTERCEPT(IF(E13:E16&gt;F5/2,LN(E13:E16)),IF(E13:E16&gt;F5/2,D13:D16))</f>
        <v>5.0361536270096865</v>
      </c>
      <c r="E22" cm="1">
        <f t="array" ref="E22">-SLOPE(IF(E$13:$E$16&gt;F5/2,LN(E$13:$E$16)),IF(E$13:$E$16&gt;F5/2,D$13:$D$16))</f>
        <v>6.5962021043287397E-2</v>
      </c>
      <c r="F22" cm="1">
        <f t="array" ref="F22">1-(1-RSQ(IF(E13:$E$16&gt;F5/2,LN(E13:$E$16)),IF(E13:$E$16&gt;F5/2,D13:$D$16)))*((C22-1)/(C22-2))</f>
        <v>0.96357698144553661</v>
      </c>
      <c r="G22">
        <f t="shared" ref="G22:G29" si="8">LN(2)/E22</f>
        <v>10.508276878070024</v>
      </c>
      <c r="I22" s="3" t="s">
        <v>22</v>
      </c>
      <c r="J22" s="5">
        <f>SUM(K6:INDEX(K6:K18,MATCH(B35,H6:H18,0)))</f>
        <v>5024.7836980596312</v>
      </c>
      <c r="K22" s="3" t="s">
        <v>45</v>
      </c>
      <c r="L22" s="5">
        <f>SUM(L6:INDEX(L6:L18,MATCH(B35,H6:H18,0)))</f>
        <v>14341</v>
      </c>
    </row>
    <row r="23" spans="1:26" x14ac:dyDescent="0.45">
      <c r="A23">
        <v>6</v>
      </c>
      <c r="B23">
        <v>24</v>
      </c>
      <c r="C23">
        <v>4</v>
      </c>
      <c r="D23" cm="1">
        <f t="array" ref="D23">INTERCEPT(IF(E12:E16&gt;F5/2,LN(E12:E16)),IF(E12:E16&gt;F5/2,D12:D16))</f>
        <v>5.01674009307985</v>
      </c>
      <c r="E23" s="42" cm="1">
        <f t="array" ref="E23">-SLOPE(IF(E$12:$E16&gt;F5/2,LN(E$12:$E16)),IF(E$12:$E16&gt;F5/2,D$12:$D16))</f>
        <v>6.5026429046668804E-2</v>
      </c>
      <c r="F23" cm="1">
        <f t="array" ref="F23">1-(1-RSQ(IF(E12:$E$16&gt;F5/2,LN(E12:$E$16)),IF(E12:$E$16&gt;F5/2,D12:$D$16)))*((C23-1)/(C23-2))</f>
        <v>0.98241353472139781</v>
      </c>
      <c r="G23">
        <f t="shared" si="8"/>
        <v>10.659468630246952</v>
      </c>
    </row>
    <row r="24" spans="1:26" x14ac:dyDescent="0.45">
      <c r="A24">
        <v>4</v>
      </c>
      <c r="B24">
        <v>24</v>
      </c>
      <c r="C24">
        <v>5</v>
      </c>
      <c r="D24" cm="1">
        <f t="array" ref="D24">INTERCEPT(IF(E11:E16&gt;F5/2,LN(E11:E16)),IF(E11:E16&gt;F5/2,D11:D16))</f>
        <v>5.0415860756770821</v>
      </c>
      <c r="E24" s="43" cm="1">
        <f t="array" ref="E24">-SLOPE(IF(E$11:$E16&gt;F5/2,LN(E$11:$E16)),IF(E$11:$E16&gt;F5/2,D$11:$D16))</f>
        <v>6.6307149799103446E-2</v>
      </c>
      <c r="F24" cm="1">
        <f t="array" ref="F24">1-(1-RSQ(IF(E11:$E$16&gt;F5/2,LN(E11:$E$16)),IF(E11:$E$16&gt;F5/2,D11:$D$16)))*((C24-1)/(C24-2))</f>
        <v>0.98767084702281538</v>
      </c>
      <c r="G24">
        <f t="shared" si="8"/>
        <v>10.453581290404335</v>
      </c>
      <c r="I24" s="3" t="s">
        <v>38</v>
      </c>
      <c r="J24" s="5">
        <f>J22+B36/B40</f>
        <v>5477.2235946755109</v>
      </c>
      <c r="K24" s="3" t="s">
        <v>46</v>
      </c>
      <c r="L24" s="5">
        <f>L22+B35*B36/B40+B36/(B40*B40)</f>
        <v>32022.952853774033</v>
      </c>
    </row>
    <row r="25" spans="1:26" x14ac:dyDescent="0.45">
      <c r="A25">
        <v>3</v>
      </c>
      <c r="B25">
        <v>24</v>
      </c>
      <c r="C25">
        <v>6</v>
      </c>
      <c r="D25" cm="1">
        <f t="array" ref="D25">INTERCEPT(IF(E10:E16&gt;F5/2,LN(E10:E16)),IF(E10:E16&gt;F5/2,D10:D16))</f>
        <v>5.1494110455125863</v>
      </c>
      <c r="E25" cm="1">
        <f t="array" ref="E25">-SLOPE(IF(E$10:$E16&gt;F5/2,LN(E$10:$E16)),IF(E$10:$E16&gt;F5/2,D$10:$D16))</f>
        <v>7.2111125448143756E-2</v>
      </c>
      <c r="F25" cm="1">
        <f t="array" ref="F25">1-(1-RSQ(IF(E10:$E$16&gt;F5/2,LN(E10:$E$16)),IF(E10:$E$16&gt;F5/2,D10:$D$16)))*((C25-1)/(C25-2))</f>
        <v>0.95792381096010715</v>
      </c>
      <c r="G25">
        <f t="shared" si="8"/>
        <v>9.6122086051534215</v>
      </c>
      <c r="I25" s="3" t="s">
        <v>39</v>
      </c>
      <c r="J25" s="5">
        <f>(J24-J22)/J24*100</f>
        <v>8.2603875630657679</v>
      </c>
    </row>
    <row r="26" spans="1:26" x14ac:dyDescent="0.45">
      <c r="A26">
        <v>2</v>
      </c>
      <c r="B26">
        <v>24</v>
      </c>
      <c r="C26">
        <v>7</v>
      </c>
      <c r="D26" cm="1">
        <f t="array" ref="D26">INTERCEPT(IF(E9:E16&gt;F5/2,LN(E9:E16)),IF(E9:E16&gt;F5/2,D9:D16))</f>
        <v>5.4508985360998015</v>
      </c>
      <c r="E26" cm="1">
        <f t="array" ref="E26">-SLOPE(IF(E$9:$E16&gt;F5/2,LN(E$9:$E16)),IF(E$9:$E16&gt;F5/2,D$9:$D16))</f>
        <v>8.9214420242301654E-2</v>
      </c>
      <c r="F26" cm="1">
        <f t="array" ref="F26">1-(1-RSQ(IF(E9:$E$16&gt;F5/2,LN(E9:$E$16)),IF(E9:$E$16&gt;F5/2,D9:$D$16)))*((C26-1)/(C26-2))</f>
        <v>0.77152524017700685</v>
      </c>
      <c r="G26">
        <f t="shared" si="8"/>
        <v>7.7694522777527908</v>
      </c>
      <c r="I26" s="3" t="s">
        <v>42</v>
      </c>
      <c r="J26" s="5">
        <f>J22+B37/B40</f>
        <v>5499.9534097520636</v>
      </c>
      <c r="K26" s="3" t="s">
        <v>47</v>
      </c>
      <c r="L26" s="5">
        <f>L22+B35*B37/B40+B37/(B40*B40)</f>
        <v>32911.26425505575</v>
      </c>
    </row>
    <row r="27" spans="1:26" x14ac:dyDescent="0.45">
      <c r="A27">
        <v>1.5</v>
      </c>
      <c r="B27">
        <v>24</v>
      </c>
      <c r="C27">
        <v>8</v>
      </c>
      <c r="D27" cm="1">
        <f t="array" ref="D27">INTERCEPT(IF(E8:E16&gt;F5/2,LN(E8:E16)),IF(E8:E16&gt;F5/2,D8:D16))</f>
        <v>5.7861156792828696</v>
      </c>
      <c r="E27" cm="1">
        <f t="array" ref="E27">-SLOPE(IF(E$8:$E16&gt;F5/2,LN(E$8:$E16)),IF(E$8:$E16&gt;F5/2,D$8:$D16))</f>
        <v>0.10882723216229868</v>
      </c>
      <c r="F27" cm="1">
        <f t="array" ref="F27">1-(1-RSQ(IF(E8:$E$16&gt;F5/2,LN(E8:$E$16)),IF(E8:$E$16&gt;F5/2,D8:$D$16)))*((C27-1)/(C27-2))</f>
        <v>0.66605067048229505</v>
      </c>
      <c r="G27">
        <f t="shared" si="8"/>
        <v>6.3692438628433132</v>
      </c>
      <c r="I27" s="3" t="s">
        <v>43</v>
      </c>
      <c r="J27" s="5">
        <f>(J26-J22)/J26*100</f>
        <v>8.6395224884978248</v>
      </c>
    </row>
    <row r="28" spans="1:26" x14ac:dyDescent="0.45">
      <c r="A28">
        <v>1</v>
      </c>
      <c r="B28">
        <v>24</v>
      </c>
      <c r="C28">
        <v>9</v>
      </c>
      <c r="D28" cm="1">
        <f t="array" ref="D28">INTERCEPT(IF(E7:E16&gt;F5/2,LN(E7:E16)),IF(E7:E16&gt;F5/2,D7:D16))</f>
        <v>6.1558666174537588</v>
      </c>
      <c r="E28" cm="1">
        <f t="array" ref="E28">-SLOPE(IF(E$7:$E16&gt;F5/2,LN(E$7:$E16)),IF(E$7:$E16&gt;F5/2,D$7:$D16))</f>
        <v>0.13124799389642353</v>
      </c>
      <c r="F28" cm="1">
        <f t="array" ref="F28">1-(1-RSQ(IF(E7:$E$16&gt;F5/2,LN(E7:$E$16)),IF(E7:$E$16&gt;F5/2,D7:$D$16)))*((C28-1)/(C28-2))</f>
        <v>0.59706427152864505</v>
      </c>
      <c r="G28">
        <f t="shared" si="8"/>
        <v>5.2812020967494071</v>
      </c>
    </row>
    <row r="29" spans="1:26" x14ac:dyDescent="0.45">
      <c r="A29">
        <v>0.5</v>
      </c>
      <c r="B29">
        <v>24</v>
      </c>
      <c r="C29">
        <v>10</v>
      </c>
      <c r="D29" cm="1">
        <f t="array" ref="D29">INTERCEPT(IF(E6:E16&gt;F5/2,LN(E6:E16)),IF(E6:E16&gt;F5/2,D6:D16))</f>
        <v>6.1558666174537588</v>
      </c>
      <c r="E29" cm="1">
        <f t="array" ref="E29">-SLOPE(IF(E$6:$E16&gt;F5/2,LN(E$6:$E16)),IF(E$6:$E16&gt;F5/2,D$6:$D16))</f>
        <v>0.13124799389642353</v>
      </c>
      <c r="F29" cm="1">
        <f t="array" ref="F29">1-(1-RSQ(IF(E6:$E$16&gt;F5/2,LN(E6:$E$16)),IF(E6:$E$16&gt;F5/2,D6:$D$16)))*((C29-1)/(C29-2))</f>
        <v>0.60336014228600998</v>
      </c>
      <c r="G29">
        <f t="shared" si="8"/>
        <v>5.2812020967494071</v>
      </c>
      <c r="I29" s="3" t="s">
        <v>49</v>
      </c>
      <c r="J29" s="5">
        <f>IF(E37="N",E40*E41/J24,E40*E41/P21)</f>
        <v>0.18257425184761758</v>
      </c>
    </row>
    <row r="30" spans="1:26" x14ac:dyDescent="0.45">
      <c r="I30" s="3" t="s">
        <v>50</v>
      </c>
      <c r="J30" s="5">
        <f>IF(E37="N",E40*E41/J26,E40*E41/P21)</f>
        <v>0.18181972200471416</v>
      </c>
    </row>
    <row r="31" spans="1:26" x14ac:dyDescent="0.45">
      <c r="I31" s="3" t="s">
        <v>51</v>
      </c>
      <c r="J31" s="5">
        <f>IF(E37="N",E40*E41/(B40*J24),E40*E41/(B40*P21))</f>
        <v>2.7534625210219219</v>
      </c>
    </row>
    <row r="32" spans="1:26" x14ac:dyDescent="0.45">
      <c r="I32" s="3" t="s">
        <v>52</v>
      </c>
      <c r="J32" s="5">
        <f>IF(E37="N",E40*E41/(B40*J26),NA)</f>
        <v>2.742083207551361</v>
      </c>
    </row>
    <row r="33" spans="1:16" x14ac:dyDescent="0.45">
      <c r="I33" s="3" t="s">
        <v>53</v>
      </c>
      <c r="J33" s="5">
        <f>J35*J29</f>
        <v>1.0674325336860189</v>
      </c>
    </row>
    <row r="34" spans="1:16" x14ac:dyDescent="0.45">
      <c r="I34" s="3" t="s">
        <v>54</v>
      </c>
      <c r="J34" s="5">
        <f>J36*J30</f>
        <v>1.0879941104715061</v>
      </c>
      <c r="M34" s="3"/>
      <c r="P34" s="3"/>
    </row>
    <row r="35" spans="1:16" x14ac:dyDescent="0.45">
      <c r="A35" s="3" t="s">
        <v>23</v>
      </c>
      <c r="B35" s="5">
        <f>INDEX(D5:D18,MATCH(B36,E5:E18,0))</f>
        <v>24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5.8465666592293246</v>
      </c>
      <c r="M35" s="3"/>
      <c r="P35" s="3"/>
    </row>
    <row r="36" spans="1:16" x14ac:dyDescent="0.45">
      <c r="A36" s="3" t="s">
        <v>41</v>
      </c>
      <c r="B36" s="5">
        <f>LOOKUP(2,1/(E5:E18&gt;0),E5:E18)</f>
        <v>30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5.9839169176779228</v>
      </c>
      <c r="M36" s="3"/>
      <c r="P36" s="3"/>
    </row>
    <row r="37" spans="1:16" x14ac:dyDescent="0.45">
      <c r="A37" s="3" t="s">
        <v>40</v>
      </c>
      <c r="B37" s="5">
        <f>EXP(B42-B40*B35)</f>
        <v>31.507149253186896</v>
      </c>
      <c r="D37" s="3" t="s">
        <v>57</v>
      </c>
      <c r="E37" s="7" t="s">
        <v>36</v>
      </c>
      <c r="I37" s="3" t="s">
        <v>166</v>
      </c>
      <c r="J37" s="5">
        <f>IF(E37="N",L22/J22,(R21+E42*(J22-P21))/P21)</f>
        <v>2.854053201441868</v>
      </c>
      <c r="L37" s="45"/>
      <c r="M37" s="3"/>
      <c r="P37" s="3"/>
    </row>
    <row r="38" spans="1:16" x14ac:dyDescent="0.4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80</v>
      </c>
      <c r="J38" s="46">
        <f>K7/J24*100</f>
        <v>8.1838908390694574</v>
      </c>
      <c r="M38" s="3"/>
      <c r="P38" s="3"/>
    </row>
    <row r="39" spans="1:16" x14ac:dyDescent="0.45">
      <c r="A39" s="3" t="s">
        <v>24</v>
      </c>
      <c r="B39" s="6">
        <f>MAX(E5:E18)</f>
        <v>1793</v>
      </c>
      <c r="D39" s="3" t="s">
        <v>59</v>
      </c>
      <c r="E39" s="4">
        <v>1</v>
      </c>
      <c r="I39" s="3" t="s">
        <v>81</v>
      </c>
      <c r="J39" s="46">
        <f>K7/J26*100</f>
        <v>8.1500690388613126</v>
      </c>
      <c r="M39" s="3"/>
      <c r="P39" s="3"/>
    </row>
    <row r="40" spans="1:16" x14ac:dyDescent="0.45">
      <c r="A40" s="3" t="s">
        <v>30</v>
      </c>
      <c r="B40" s="5">
        <f t="array" ref="B40">IF(O4="Y",INDEX(E22:E29,MATCH(MAX(F22:F29),F22:F29,0)),INDEX(E22:E29,MATCH(MAX(F22:F29),F22:F29,0)))</f>
        <v>6.6307149799103446E-2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IF(O4="Y",INDEX(G22:G29,MATCH(MAX(F22:F29),F22:F29,0)),INDEX(G22:G29,MATCH(MAX(F22:F29),F22:F29,0)))</f>
        <v>10.453581290404335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IF(O4="Y",INDEX(D22:D29,MATCH(MAX(F22:F29),F22:F29,0)),INDEX(D22:D29,MATCH(MAX(F22:F29),F22:F29,0)))</f>
        <v>5.0415860756770821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IF(O4="Y",INDEX(C22:C29,MATCH(MAX(F22:F29),F22:F29,0)),INDEX(C22:C29,MATCH(MAX(F22:F29),F22:F29,0)))</f>
        <v>5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IF(O4="Y",INDEX(F22:F29,MATCH(MAX(F22:F29),F22:F29,0)),INDEX(F22:F29,MATCH(MAX(F22:F29),F22:F29,0)))</f>
        <v>0.98767084702281538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INDEX(A22:A29,MATCH(B43,C22:C29))</f>
        <v>4</v>
      </c>
    </row>
    <row r="47" spans="1:16" x14ac:dyDescent="0.45">
      <c r="A47" s="3" t="s">
        <v>154</v>
      </c>
      <c r="B47" s="5">
        <f>INDEX(B22:B29,MATCH(B43,C22:C29))</f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E0E2-BD99-4AE4-A734-AA496B543E8F}">
  <dimension ref="A1:Z47"/>
  <sheetViews>
    <sheetView workbookViewId="0">
      <selection activeCell="A2" sqref="A2"/>
    </sheetView>
  </sheetViews>
  <sheetFormatPr defaultRowHeight="14.25" x14ac:dyDescent="0.45"/>
  <cols>
    <col min="1" max="1" width="9.73046875" customWidth="1"/>
    <col min="2" max="2" width="9" customWidth="1"/>
    <col min="3" max="3" width="6.73046875" customWidth="1"/>
    <col min="4" max="4" width="15.1328125" customWidth="1"/>
    <col min="5" max="5" width="13.3984375" bestFit="1" customWidth="1"/>
    <col min="6" max="6" width="12" bestFit="1" customWidth="1"/>
    <col min="7" max="7" width="8.1328125" customWidth="1"/>
    <col min="8" max="8" width="7.73046875" customWidth="1"/>
    <col min="9" max="9" width="16.8632812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165</v>
      </c>
      <c r="B5">
        <v>28</v>
      </c>
      <c r="C5" s="15">
        <v>0</v>
      </c>
      <c r="D5">
        <v>0</v>
      </c>
      <c r="E5" s="8">
        <v>0</v>
      </c>
      <c r="F5" s="16">
        <v>0.1</v>
      </c>
      <c r="H5" s="15">
        <v>0</v>
      </c>
      <c r="I5" s="8">
        <f>EXP(LN($E$7)+(0-$D$7)/($D$8-$D$7)*(LN($E$8)-LN($E$7)))</f>
        <v>8829.1347922385248</v>
      </c>
      <c r="L5" s="16"/>
      <c r="N5" s="15">
        <v>0</v>
      </c>
      <c r="O5" s="8">
        <v>0</v>
      </c>
      <c r="P5">
        <f t="shared" ref="P5:P18" si="0">O5*N5</f>
        <v>0</v>
      </c>
      <c r="R5" s="16"/>
      <c r="T5" s="15">
        <v>0</v>
      </c>
      <c r="U5" s="8">
        <v>0</v>
      </c>
      <c r="V5" s="28"/>
      <c r="X5" s="15">
        <v>0</v>
      </c>
      <c r="Y5" s="8">
        <v>0</v>
      </c>
      <c r="Z5" s="16"/>
    </row>
    <row r="6" spans="1:26" x14ac:dyDescent="0.45">
      <c r="A6" t="s">
        <v>165</v>
      </c>
      <c r="B6">
        <v>28</v>
      </c>
      <c r="C6" s="15">
        <v>0.5</v>
      </c>
      <c r="D6">
        <v>0.5</v>
      </c>
      <c r="E6" s="8">
        <v>0</v>
      </c>
      <c r="F6" s="16">
        <v>0.1</v>
      </c>
      <c r="H6" s="15">
        <v>0.5</v>
      </c>
      <c r="I6" s="8">
        <v>0</v>
      </c>
      <c r="J6">
        <f t="shared" ref="J6:J18" si="1">I6*H6</f>
        <v>0</v>
      </c>
      <c r="K6">
        <f>(I5+I6)/2*(H6-H5)</f>
        <v>2207.2836980596312</v>
      </c>
      <c r="L6" s="16">
        <f>(J5+J6)/2*(H6-H5)</f>
        <v>0</v>
      </c>
      <c r="N6" s="15">
        <v>0.5</v>
      </c>
      <c r="O6" s="8">
        <v>0</v>
      </c>
      <c r="P6">
        <f t="shared" si="0"/>
        <v>0</v>
      </c>
      <c r="Q6">
        <f>(O5+O6)/2*(N6-N5)</f>
        <v>0</v>
      </c>
      <c r="R6" s="16">
        <f>(P5+P6)/2*(N6-N5)</f>
        <v>0</v>
      </c>
      <c r="T6" s="15">
        <v>0.5</v>
      </c>
      <c r="U6" s="8">
        <v>0</v>
      </c>
      <c r="V6" s="16">
        <f>(U5+U6)/2*(T6-T5)</f>
        <v>0</v>
      </c>
      <c r="X6" s="15">
        <v>0.5</v>
      </c>
      <c r="Y6" s="8">
        <v>0</v>
      </c>
      <c r="Z6" s="16">
        <f>(Y5+Y6)/2*(X6-X5)</f>
        <v>0</v>
      </c>
    </row>
    <row r="7" spans="1:26" x14ac:dyDescent="0.45">
      <c r="A7" t="s">
        <v>165</v>
      </c>
      <c r="B7">
        <v>28</v>
      </c>
      <c r="C7" s="15">
        <v>1</v>
      </c>
      <c r="D7">
        <v>1</v>
      </c>
      <c r="E7" s="9">
        <v>1793</v>
      </c>
      <c r="F7" s="16" t="s">
        <v>1</v>
      </c>
      <c r="H7" s="15">
        <v>1</v>
      </c>
      <c r="I7">
        <v>1793</v>
      </c>
      <c r="J7">
        <f t="shared" si="1"/>
        <v>1793</v>
      </c>
      <c r="K7">
        <f t="shared" ref="K7:K18" si="2">(I6+I7)/2*(H7-H6)</f>
        <v>448.25</v>
      </c>
      <c r="L7" s="16">
        <f t="shared" ref="L7:L18" si="3">(J6+J7)/2*(H7-H6)</f>
        <v>448.25</v>
      </c>
      <c r="N7" s="15">
        <v>1</v>
      </c>
      <c r="O7">
        <v>1793</v>
      </c>
      <c r="P7">
        <f t="shared" si="0"/>
        <v>1793</v>
      </c>
      <c r="Q7">
        <f t="shared" ref="Q7:Q18" si="4">(O6+O7)/2*(N7-N6)</f>
        <v>448.25</v>
      </c>
      <c r="R7" s="16">
        <f t="shared" ref="R7:R18" si="5">(P6+P7)/2*(N7-N6)</f>
        <v>448.25</v>
      </c>
      <c r="T7" s="15">
        <v>1</v>
      </c>
      <c r="U7">
        <v>1793</v>
      </c>
      <c r="V7" s="16">
        <f t="shared" ref="V7:V18" si="6">(U6+U7)/2*(T7-T6)</f>
        <v>448.25</v>
      </c>
      <c r="X7" s="15">
        <v>1</v>
      </c>
      <c r="Y7">
        <v>1793</v>
      </c>
      <c r="Z7" s="16">
        <f t="shared" ref="Z7:Z18" si="7">(Y6+Y7)/2*(X7-X6)</f>
        <v>448.25</v>
      </c>
    </row>
    <row r="8" spans="1:26" x14ac:dyDescent="0.45">
      <c r="A8" t="s">
        <v>165</v>
      </c>
      <c r="B8">
        <v>28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1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0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45">
      <c r="A9" t="s">
        <v>165</v>
      </c>
      <c r="B9">
        <v>28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1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0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45">
      <c r="A10" t="s">
        <v>165</v>
      </c>
      <c r="B10">
        <v>28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1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0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45">
      <c r="A11" t="s">
        <v>165</v>
      </c>
      <c r="B11">
        <v>28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1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0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45">
      <c r="A12" t="s">
        <v>165</v>
      </c>
      <c r="B12">
        <v>28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1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0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45">
      <c r="A13" t="s">
        <v>165</v>
      </c>
      <c r="B13">
        <v>28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1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0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45">
      <c r="A14" t="s">
        <v>165</v>
      </c>
      <c r="B14">
        <v>28</v>
      </c>
      <c r="C14" s="15">
        <v>12</v>
      </c>
      <c r="D14">
        <v>12</v>
      </c>
      <c r="E14" s="8">
        <f>F14/2</f>
        <v>0.05</v>
      </c>
      <c r="F14" s="16">
        <v>0.1</v>
      </c>
      <c r="H14" s="15">
        <v>12</v>
      </c>
      <c r="I14" s="8">
        <v>0.05</v>
      </c>
      <c r="J14">
        <f t="shared" si="1"/>
        <v>0.60000000000000009</v>
      </c>
      <c r="K14">
        <f t="shared" si="2"/>
        <v>176.1</v>
      </c>
      <c r="L14" s="16">
        <f t="shared" si="3"/>
        <v>1409.2</v>
      </c>
      <c r="N14" s="15">
        <v>12</v>
      </c>
      <c r="O14" s="8">
        <v>0.05</v>
      </c>
      <c r="P14">
        <f t="shared" si="0"/>
        <v>0.60000000000000009</v>
      </c>
      <c r="Q14">
        <f t="shared" si="4"/>
        <v>176.1</v>
      </c>
      <c r="R14" s="16">
        <f t="shared" si="5"/>
        <v>1409.2</v>
      </c>
      <c r="T14" s="15">
        <v>12</v>
      </c>
      <c r="U14" s="8">
        <v>0.05</v>
      </c>
      <c r="V14" s="16">
        <f t="shared" si="6"/>
        <v>176.1</v>
      </c>
      <c r="X14" s="15">
        <v>12</v>
      </c>
      <c r="Y14" s="8">
        <v>0.05</v>
      </c>
      <c r="Z14" s="16">
        <f t="shared" si="7"/>
        <v>176.1</v>
      </c>
    </row>
    <row r="15" spans="1:26" x14ac:dyDescent="0.45">
      <c r="A15" t="s">
        <v>165</v>
      </c>
      <c r="B15">
        <v>28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1"/>
        <v>918</v>
      </c>
      <c r="K15">
        <f t="shared" si="2"/>
        <v>153.14999999999998</v>
      </c>
      <c r="L15" s="16">
        <f t="shared" si="3"/>
        <v>2755.8</v>
      </c>
      <c r="N15" s="15">
        <v>18</v>
      </c>
      <c r="O15">
        <v>51</v>
      </c>
      <c r="P15">
        <f t="shared" si="0"/>
        <v>918</v>
      </c>
      <c r="Q15">
        <f t="shared" si="4"/>
        <v>153.14999999999998</v>
      </c>
      <c r="R15" s="16">
        <f t="shared" si="5"/>
        <v>2755.8</v>
      </c>
      <c r="T15" s="15">
        <v>18</v>
      </c>
      <c r="U15">
        <v>51</v>
      </c>
      <c r="V15" s="16">
        <f t="shared" si="6"/>
        <v>153.14999999999998</v>
      </c>
      <c r="X15" s="15">
        <v>18</v>
      </c>
      <c r="Y15">
        <v>51</v>
      </c>
      <c r="Z15" s="16">
        <f t="shared" si="7"/>
        <v>153.14999999999998</v>
      </c>
    </row>
    <row r="16" spans="1:26" x14ac:dyDescent="0.45">
      <c r="A16" t="s">
        <v>165</v>
      </c>
      <c r="B16">
        <v>28</v>
      </c>
      <c r="C16" s="15">
        <v>24</v>
      </c>
      <c r="D16">
        <v>24</v>
      </c>
      <c r="E16" s="63">
        <v>30</v>
      </c>
      <c r="F16" s="16" t="s">
        <v>1</v>
      </c>
      <c r="H16" s="15">
        <v>24</v>
      </c>
      <c r="I16" s="63">
        <v>30</v>
      </c>
      <c r="J16">
        <f t="shared" si="1"/>
        <v>720</v>
      </c>
      <c r="K16">
        <f t="shared" si="2"/>
        <v>243</v>
      </c>
      <c r="L16" s="16">
        <f t="shared" si="3"/>
        <v>4914</v>
      </c>
      <c r="N16" s="15">
        <v>24</v>
      </c>
      <c r="O16" s="63">
        <v>30</v>
      </c>
      <c r="P16">
        <f t="shared" si="0"/>
        <v>720</v>
      </c>
      <c r="Q16">
        <f t="shared" si="4"/>
        <v>243</v>
      </c>
      <c r="R16" s="16">
        <f t="shared" si="5"/>
        <v>4914</v>
      </c>
      <c r="T16" s="15">
        <v>24</v>
      </c>
      <c r="U16" s="63">
        <v>30</v>
      </c>
      <c r="V16" s="16">
        <f t="shared" si="6"/>
        <v>243</v>
      </c>
      <c r="X16" s="15">
        <v>24</v>
      </c>
      <c r="Y16" s="63">
        <v>30</v>
      </c>
      <c r="Z16" s="16">
        <f t="shared" si="7"/>
        <v>243</v>
      </c>
    </row>
    <row r="17" spans="1:26" x14ac:dyDescent="0.45">
      <c r="A17" t="s">
        <v>165</v>
      </c>
      <c r="B17">
        <v>28</v>
      </c>
      <c r="C17" s="15">
        <v>36</v>
      </c>
      <c r="D17">
        <v>36</v>
      </c>
      <c r="E17" s="8">
        <v>0</v>
      </c>
      <c r="F17" s="16">
        <v>0.1</v>
      </c>
      <c r="H17" s="15">
        <v>36</v>
      </c>
      <c r="I17" s="8">
        <v>0</v>
      </c>
      <c r="J17">
        <f t="shared" si="1"/>
        <v>0</v>
      </c>
      <c r="K17">
        <f t="shared" si="2"/>
        <v>180</v>
      </c>
      <c r="L17" s="16">
        <f t="shared" si="3"/>
        <v>4320</v>
      </c>
      <c r="N17" s="15">
        <v>36</v>
      </c>
      <c r="O17" s="8">
        <v>0</v>
      </c>
      <c r="P17">
        <f t="shared" si="0"/>
        <v>0</v>
      </c>
      <c r="Q17">
        <f t="shared" si="4"/>
        <v>180</v>
      </c>
      <c r="R17" s="16">
        <f t="shared" si="5"/>
        <v>4320</v>
      </c>
      <c r="T17" s="15">
        <v>36</v>
      </c>
      <c r="U17" s="8">
        <v>0</v>
      </c>
      <c r="V17" s="16">
        <f t="shared" si="6"/>
        <v>180</v>
      </c>
      <c r="X17" s="15">
        <v>36</v>
      </c>
      <c r="Y17" s="8">
        <v>0</v>
      </c>
      <c r="Z17" s="16">
        <f t="shared" si="7"/>
        <v>180</v>
      </c>
    </row>
    <row r="18" spans="1:26" ht="14.65" thickBot="1" x14ac:dyDescent="0.5">
      <c r="A18" t="s">
        <v>165</v>
      </c>
      <c r="B18">
        <v>28</v>
      </c>
      <c r="C18" s="36">
        <v>48</v>
      </c>
      <c r="D18" s="35">
        <v>48</v>
      </c>
      <c r="E18" s="51">
        <v>0</v>
      </c>
      <c r="F18" s="23">
        <v>0.1</v>
      </c>
      <c r="H18" s="36">
        <v>48</v>
      </c>
      <c r="I18" s="51">
        <v>0</v>
      </c>
      <c r="J18" s="35">
        <f t="shared" si="1"/>
        <v>0</v>
      </c>
      <c r="K18" s="35">
        <f t="shared" si="2"/>
        <v>0</v>
      </c>
      <c r="L18" s="23">
        <f t="shared" si="3"/>
        <v>0</v>
      </c>
      <c r="N18" s="36">
        <v>48</v>
      </c>
      <c r="O18" s="51">
        <v>0</v>
      </c>
      <c r="P18" s="35">
        <f t="shared" si="0"/>
        <v>0</v>
      </c>
      <c r="Q18" s="35">
        <f t="shared" si="4"/>
        <v>0</v>
      </c>
      <c r="R18" s="23">
        <f t="shared" si="5"/>
        <v>0</v>
      </c>
      <c r="T18" s="36">
        <v>48</v>
      </c>
      <c r="U18" s="51">
        <v>0</v>
      </c>
      <c r="V18" s="23">
        <f t="shared" si="6"/>
        <v>0</v>
      </c>
      <c r="X18" s="36">
        <v>48</v>
      </c>
      <c r="Y18" s="51">
        <v>0</v>
      </c>
      <c r="Z18" s="23">
        <f t="shared" si="7"/>
        <v>0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5204.7836980596312</v>
      </c>
      <c r="K21" s="3" t="s">
        <v>44</v>
      </c>
      <c r="L21" s="5">
        <f>SUM(L6:L18)</f>
        <v>18661</v>
      </c>
      <c r="O21" s="3" t="s">
        <v>65</v>
      </c>
      <c r="P21" s="5">
        <f>SUM(Q6:INDEX(Q6:Q18,MATCH(E42,N6:N18,0)))</f>
        <v>2817.5</v>
      </c>
      <c r="Q21" s="3" t="s">
        <v>71</v>
      </c>
      <c r="R21" s="5">
        <f>SUM(R6:INDEX(R6:R18,MATCH(E42,N6:N18,0)))</f>
        <v>14341</v>
      </c>
      <c r="U21" s="3" t="s">
        <v>70</v>
      </c>
      <c r="V21" s="5">
        <f>SUM(V6:INDEX(V6:V18,MATCH(E43,T6:T18,0)))</f>
        <v>2574.5</v>
      </c>
      <c r="Y21" s="3" t="s">
        <v>37</v>
      </c>
      <c r="Z21" s="5">
        <f>SUM(INDEX(Z6:Z18,MATCH(E44,X6:X18,0)+1):INDEX(Z6:Z18,MATCH(E45,X6:X18,0)))</f>
        <v>588.1</v>
      </c>
    </row>
    <row r="22" spans="1:26" x14ac:dyDescent="0.45">
      <c r="A22">
        <v>8</v>
      </c>
      <c r="B22">
        <v>24</v>
      </c>
      <c r="C22">
        <v>3</v>
      </c>
      <c r="D22" cm="1">
        <f t="array" ref="D22">INTERCEPT(IF(E13:E16&gt;F5/2,LN(E13:E16)),IF(E13:E16&gt;F5/2,D13:D16))</f>
        <v>5.0361536270096865</v>
      </c>
      <c r="E22" cm="1">
        <f t="array" ref="E22">-SLOPE(IF(E$13:$E$16&gt;F5/2,LN(E$13:$E$16)),IF(E$13:$E$16&gt;F5/2,D$13:$D$16))</f>
        <v>6.5962021043287397E-2</v>
      </c>
      <c r="F22" cm="1">
        <f t="array" ref="F22">1-(1-RSQ(IF(E13:$E$16&gt;F5/2,LN(E13:$E$16)),IF(E13:$E$16&gt;F5/2,D13:$D$16)))*((C22-1)/(C22-2))</f>
        <v>0.96357698144553661</v>
      </c>
      <c r="G22">
        <f t="shared" ref="G22:G29" si="8">LN(2)/E22</f>
        <v>10.508276878070024</v>
      </c>
      <c r="I22" s="3" t="s">
        <v>22</v>
      </c>
      <c r="J22" s="5">
        <f>SUM(K6:INDEX(K6:K18,MATCH(B35,H6:H18,0)))</f>
        <v>5024.7836980596312</v>
      </c>
      <c r="K22" s="3" t="s">
        <v>45</v>
      </c>
      <c r="L22" s="5">
        <f>SUM(L6:INDEX(L6:L18,MATCH(B35,H6:H18,0)))</f>
        <v>14341</v>
      </c>
    </row>
    <row r="23" spans="1:26" x14ac:dyDescent="0.45">
      <c r="A23">
        <v>6</v>
      </c>
      <c r="B23">
        <v>24</v>
      </c>
      <c r="C23">
        <v>4</v>
      </c>
      <c r="D23" cm="1">
        <f t="array" ref="D23">INTERCEPT(IF(E12:E16&gt;F5/2,LN(E12:E16)),IF(E12:E16&gt;F5/2,D12:D16))</f>
        <v>5.01674009307985</v>
      </c>
      <c r="E23" s="42" cm="1">
        <f t="array" ref="E23">-SLOPE(IF(E$12:$E16&gt;F5/2,LN(E$12:$E16)),IF(E$12:$E16&gt;F5/2,D$12:$D16))</f>
        <v>6.5026429046668804E-2</v>
      </c>
      <c r="F23" cm="1">
        <f t="array" ref="F23">1-(1-RSQ(IF(E12:$E$16&gt;F5/2,LN(E12:$E$16)),IF(E12:$E$16&gt;F5/2,D12:$D$16)))*((C23-1)/(C23-2))</f>
        <v>0.98241353472139781</v>
      </c>
      <c r="G23">
        <f t="shared" si="8"/>
        <v>10.659468630246952</v>
      </c>
    </row>
    <row r="24" spans="1:26" x14ac:dyDescent="0.45">
      <c r="A24">
        <v>4</v>
      </c>
      <c r="B24">
        <v>24</v>
      </c>
      <c r="C24">
        <v>5</v>
      </c>
      <c r="D24" cm="1">
        <f t="array" ref="D24">INTERCEPT(IF(E11:E16&gt;F5/2,LN(E11:E16)),IF(E11:E16&gt;F5/2,D11:D16))</f>
        <v>5.0415860756770821</v>
      </c>
      <c r="E24" s="43" cm="1">
        <f t="array" ref="E24">-SLOPE(IF(E$11:$E16&gt;F5/2,LN(E$11:$E16)),IF(E$11:$E16&gt;F5/2,D$11:$D16))</f>
        <v>6.6307149799103446E-2</v>
      </c>
      <c r="F24" cm="1">
        <f t="array" ref="F24">1-(1-RSQ(IF(E11:$E$16&gt;F5/2,LN(E11:$E$16)),IF(E11:$E$16&gt;F5/2,D11:$D$16)))*((C24-1)/(C24-2))</f>
        <v>0.98767084702281538</v>
      </c>
      <c r="G24">
        <f t="shared" si="8"/>
        <v>10.453581290404335</v>
      </c>
      <c r="I24" s="3" t="s">
        <v>38</v>
      </c>
      <c r="J24" s="5">
        <f>J22+B36/B40</f>
        <v>5477.2235946755109</v>
      </c>
      <c r="K24" s="3" t="s">
        <v>46</v>
      </c>
      <c r="L24" s="5">
        <f>L22+B35*B36/B40+B36/(B40*B40)</f>
        <v>32022.952853774033</v>
      </c>
    </row>
    <row r="25" spans="1:26" x14ac:dyDescent="0.45">
      <c r="A25">
        <v>3</v>
      </c>
      <c r="B25">
        <v>24</v>
      </c>
      <c r="C25">
        <v>6</v>
      </c>
      <c r="D25" cm="1">
        <f t="array" ref="D25">INTERCEPT(IF(E10:E16&gt;F5/2,LN(E10:E16)),IF(E10:E16&gt;F5/2,D10:D16))</f>
        <v>5.1494110455125863</v>
      </c>
      <c r="E25" cm="1">
        <f t="array" ref="E25">-SLOPE(IF(E$10:$E16&gt;F5/2,LN(E$10:$E16)),IF(E$10:$E16&gt;F5/2,D$10:$D16))</f>
        <v>7.2111125448143756E-2</v>
      </c>
      <c r="F25" cm="1">
        <f t="array" ref="F25">1-(1-RSQ(IF(E10:$E$16&gt;F5/2,LN(E10:$E$16)),IF(E10:$E$16&gt;F5/2,D10:$D$16)))*((C25-1)/(C25-2))</f>
        <v>0.95792381096010715</v>
      </c>
      <c r="G25">
        <f t="shared" si="8"/>
        <v>9.6122086051534215</v>
      </c>
      <c r="I25" s="3" t="s">
        <v>39</v>
      </c>
      <c r="J25" s="5">
        <f>(J24-J22)/J24*100</f>
        <v>8.2603875630657679</v>
      </c>
    </row>
    <row r="26" spans="1:26" x14ac:dyDescent="0.45">
      <c r="A26">
        <v>2</v>
      </c>
      <c r="B26">
        <v>24</v>
      </c>
      <c r="C26">
        <v>7</v>
      </c>
      <c r="D26" cm="1">
        <f t="array" ref="D26">INTERCEPT(IF(E9:E16&gt;F5/2,LN(E9:E16)),IF(E9:E16&gt;F5/2,D9:D16))</f>
        <v>5.4508985360998015</v>
      </c>
      <c r="E26" cm="1">
        <f t="array" ref="E26">-SLOPE(IF(E$9:$E16&gt;F5/2,LN(E$9:$E16)),IF(E$9:$E16&gt;F5/2,D$9:$D16))</f>
        <v>8.9214420242301654E-2</v>
      </c>
      <c r="F26" cm="1">
        <f t="array" ref="F26">1-(1-RSQ(IF(E9:$E$16&gt;F5/2,LN(E9:$E$16)),IF(E9:$E$16&gt;F5/2,D9:$D$16)))*((C26-1)/(C26-2))</f>
        <v>0.77152524017700685</v>
      </c>
      <c r="G26">
        <f t="shared" si="8"/>
        <v>7.7694522777527908</v>
      </c>
      <c r="I26" s="3" t="s">
        <v>42</v>
      </c>
      <c r="J26" s="5">
        <f>J22+B37/B40</f>
        <v>5499.9534097520636</v>
      </c>
      <c r="K26" s="3" t="s">
        <v>47</v>
      </c>
      <c r="L26" s="5">
        <f>L22+B35*B37/B40+B37/(B40*B40)</f>
        <v>32911.26425505575</v>
      </c>
    </row>
    <row r="27" spans="1:26" x14ac:dyDescent="0.45">
      <c r="A27">
        <v>1.5</v>
      </c>
      <c r="B27">
        <v>24</v>
      </c>
      <c r="C27">
        <v>8</v>
      </c>
      <c r="D27" cm="1">
        <f t="array" ref="D27">INTERCEPT(IF(E8:E16&gt;F5/2,LN(E8:E16)),IF(E8:E16&gt;F5/2,D8:D16))</f>
        <v>5.7861156792828696</v>
      </c>
      <c r="E27" cm="1">
        <f t="array" ref="E27">-SLOPE(IF(E$8:$E16&gt;F5/2,LN(E$8:$E16)),IF(E$8:$E16&gt;F5/2,D$8:$D16))</f>
        <v>0.10882723216229868</v>
      </c>
      <c r="F27" cm="1">
        <f t="array" ref="F27">1-(1-RSQ(IF(E8:$E$16&gt;F5/2,LN(E8:$E$16)),IF(E8:$E$16&gt;F5/2,D8:$D$16)))*((C27-1)/(C27-2))</f>
        <v>0.66605067048229505</v>
      </c>
      <c r="G27">
        <f t="shared" si="8"/>
        <v>6.3692438628433132</v>
      </c>
      <c r="I27" s="3" t="s">
        <v>43</v>
      </c>
      <c r="J27" s="5">
        <f>(J26-J22)/J26*100</f>
        <v>8.6395224884978248</v>
      </c>
    </row>
    <row r="28" spans="1:26" x14ac:dyDescent="0.45">
      <c r="A28">
        <v>1</v>
      </c>
      <c r="B28">
        <v>24</v>
      </c>
      <c r="C28">
        <v>9</v>
      </c>
      <c r="D28" cm="1">
        <f t="array" ref="D28">INTERCEPT(IF(E7:E16&gt;F5/2,LN(E7:E16)),IF(E7:E16&gt;F5/2,D7:D16))</f>
        <v>6.1558666174537588</v>
      </c>
      <c r="E28" cm="1">
        <f t="array" ref="E28">-SLOPE(IF(E$7:$E16&gt;F5/2,LN(E$7:$E16)),IF(E$7:$E16&gt;F5/2,D$7:$D16))</f>
        <v>0.13124799389642353</v>
      </c>
      <c r="F28" cm="1">
        <f t="array" ref="F28">1-(1-RSQ(IF(E7:$E$16&gt;F5/2,LN(E7:$E$16)),IF(E7:$E$16&gt;F5/2,D7:$D$16)))*((C28-1)/(C28-2))</f>
        <v>0.59706427152864505</v>
      </c>
      <c r="G28">
        <f t="shared" si="8"/>
        <v>5.2812020967494071</v>
      </c>
    </row>
    <row r="29" spans="1:26" x14ac:dyDescent="0.45">
      <c r="A29">
        <v>0.5</v>
      </c>
      <c r="B29">
        <v>24</v>
      </c>
      <c r="C29">
        <v>10</v>
      </c>
      <c r="D29" cm="1">
        <f t="array" ref="D29">INTERCEPT(IF(E6:E16&gt;F5/2,LN(E6:E16)),IF(E6:E16&gt;F5/2,D6:D16))</f>
        <v>6.1558666174537588</v>
      </c>
      <c r="E29" cm="1">
        <f t="array" ref="E29">-SLOPE(IF(E$6:$E16&gt;F5/2,LN(E$6:$E16)),IF(E$6:$E16&gt;F5/2,D$6:$D16))</f>
        <v>0.13124799389642353</v>
      </c>
      <c r="F29" cm="1">
        <f t="array" ref="F29">1-(1-RSQ(IF(E6:$E$16&gt;F5/2,LN(E6:$E$16)),IF(E6:$E$16&gt;F5/2,D6:$D$16)))*((C29-1)/(C29-2))</f>
        <v>0.60336014228600998</v>
      </c>
      <c r="G29">
        <f t="shared" si="8"/>
        <v>5.2812020967494071</v>
      </c>
      <c r="I29" s="3" t="s">
        <v>49</v>
      </c>
      <c r="J29" s="5">
        <f>IF(E37="N",E40*E41/J24,E40*E41/P21)</f>
        <v>0.18257425184761758</v>
      </c>
    </row>
    <row r="30" spans="1:26" x14ac:dyDescent="0.45">
      <c r="I30" s="3" t="s">
        <v>50</v>
      </c>
      <c r="J30" s="5">
        <f>IF(E37="N",E40*E41/J26,E40*E41/P21)</f>
        <v>0.18181972200471416</v>
      </c>
    </row>
    <row r="31" spans="1:26" x14ac:dyDescent="0.45">
      <c r="I31" s="3" t="s">
        <v>51</v>
      </c>
      <c r="J31" s="5">
        <f>IF(E37="N",E40*E41/(B40*J24),E40*E41/(B40*P21))</f>
        <v>2.7534625210219219</v>
      </c>
    </row>
    <row r="32" spans="1:26" x14ac:dyDescent="0.45">
      <c r="I32" s="3" t="s">
        <v>52</v>
      </c>
      <c r="J32" s="5">
        <f>IF(E37="N",E40*E41/(B40*J26),NA)</f>
        <v>2.742083207551361</v>
      </c>
    </row>
    <row r="33" spans="1:16" x14ac:dyDescent="0.45">
      <c r="I33" s="3" t="s">
        <v>53</v>
      </c>
      <c r="J33" s="5">
        <f>J35*J29</f>
        <v>1.0674325336860189</v>
      </c>
    </row>
    <row r="34" spans="1:16" x14ac:dyDescent="0.45">
      <c r="I34" s="3" t="s">
        <v>54</v>
      </c>
      <c r="J34" s="5">
        <f>J36*J30</f>
        <v>1.0879941104715061</v>
      </c>
      <c r="M34" s="3"/>
      <c r="P34" s="3"/>
    </row>
    <row r="35" spans="1:16" x14ac:dyDescent="0.45">
      <c r="A35" s="3" t="s">
        <v>23</v>
      </c>
      <c r="B35" s="5">
        <f>INDEX(D5:D18,MATCH(B36,E5:E18,0))</f>
        <v>24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5.8465666592293246</v>
      </c>
      <c r="M35" s="3"/>
      <c r="P35" s="3"/>
    </row>
    <row r="36" spans="1:16" x14ac:dyDescent="0.45">
      <c r="A36" s="3" t="s">
        <v>41</v>
      </c>
      <c r="B36" s="5">
        <f>LOOKUP(2,1/(E5:E18&gt;0),E5:E18)</f>
        <v>30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5.9839169176779228</v>
      </c>
      <c r="M36" s="3"/>
      <c r="P36" s="3"/>
    </row>
    <row r="37" spans="1:16" x14ac:dyDescent="0.45">
      <c r="A37" s="3" t="s">
        <v>40</v>
      </c>
      <c r="B37" s="5">
        <f>EXP(B42-B40*B35)</f>
        <v>31.507149253186896</v>
      </c>
      <c r="D37" s="3" t="s">
        <v>57</v>
      </c>
      <c r="E37" s="7" t="s">
        <v>36</v>
      </c>
      <c r="I37" s="3" t="s">
        <v>166</v>
      </c>
      <c r="J37" s="5">
        <f>IF(E37="N",L22/J22,(R21+E42*(J22-P21))/P21)</f>
        <v>2.854053201441868</v>
      </c>
      <c r="L37" s="45"/>
      <c r="M37" s="3"/>
      <c r="P37" s="3"/>
    </row>
    <row r="38" spans="1:16" x14ac:dyDescent="0.4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80</v>
      </c>
      <c r="J38" s="46">
        <f>K7/J24*100</f>
        <v>8.1838908390694574</v>
      </c>
      <c r="M38" s="3"/>
      <c r="P38" s="3"/>
    </row>
    <row r="39" spans="1:16" x14ac:dyDescent="0.45">
      <c r="A39" s="3" t="s">
        <v>24</v>
      </c>
      <c r="B39" s="6">
        <f>MAX(E5:E18)</f>
        <v>1793</v>
      </c>
      <c r="D39" s="3" t="s">
        <v>59</v>
      </c>
      <c r="E39" s="4">
        <v>1</v>
      </c>
      <c r="I39" s="3" t="s">
        <v>81</v>
      </c>
      <c r="J39" s="46">
        <f>K7/J26*100</f>
        <v>8.1500690388613126</v>
      </c>
      <c r="M39" s="3"/>
      <c r="P39" s="3"/>
    </row>
    <row r="40" spans="1:16" x14ac:dyDescent="0.45">
      <c r="A40" s="3" t="s">
        <v>30</v>
      </c>
      <c r="B40" s="5">
        <f t="array" ref="B40">IF(O4="Y",INDEX(E22:E29,MATCH(MAX(F22:F29),F22:F29,0)),INDEX(E22:E29,MATCH(MAX(F22:F29),F22:F29,0)))</f>
        <v>6.6307149799103446E-2</v>
      </c>
      <c r="D40" s="3" t="s">
        <v>60</v>
      </c>
      <c r="E40" s="4">
        <v>1</v>
      </c>
      <c r="J40" s="3"/>
      <c r="M40" s="3"/>
      <c r="P40" s="3"/>
    </row>
    <row r="41" spans="1:16" x14ac:dyDescent="0.45">
      <c r="A41" s="3" t="s">
        <v>33</v>
      </c>
      <c r="B41" s="5">
        <f>IF(O4="Y",INDEX(G22:G29,MATCH(MAX(F22:F29),F22:F29,0)),INDEX(G22:G29,MATCH(MAX(F22:F29),F22:F29,0)))</f>
        <v>10.453581290404335</v>
      </c>
      <c r="D41" s="3" t="s">
        <v>64</v>
      </c>
      <c r="E41" s="4">
        <v>1000</v>
      </c>
      <c r="J41" s="3"/>
      <c r="M41" s="3"/>
      <c r="P41" s="3"/>
    </row>
    <row r="42" spans="1:16" x14ac:dyDescent="0.45">
      <c r="A42" s="3" t="s">
        <v>72</v>
      </c>
      <c r="B42" s="5">
        <f t="array" ref="B42">IF(O4="Y",INDEX(D22:D29,MATCH(MAX(F22:F29),F22:F29,0)),INDEX(D22:D29,MATCH(MAX(F22:F29),F22:F29,0)))</f>
        <v>5.0415860756770821</v>
      </c>
      <c r="D42" s="3" t="s">
        <v>66</v>
      </c>
      <c r="E42" s="4">
        <v>24</v>
      </c>
      <c r="J42" s="3"/>
      <c r="M42" s="3"/>
    </row>
    <row r="43" spans="1:16" x14ac:dyDescent="0.45">
      <c r="A43" s="3" t="s">
        <v>28</v>
      </c>
      <c r="B43" s="5">
        <f>IF(O4="Y",INDEX(C22:C29,MATCH(MAX(F22:F29),F22:F29,0)),INDEX(C22:C29,MATCH(MAX(F22:F29),F22:F29,0)))</f>
        <v>5</v>
      </c>
      <c r="D43" s="3" t="s">
        <v>67</v>
      </c>
      <c r="E43" s="4">
        <v>18</v>
      </c>
    </row>
    <row r="44" spans="1:16" x14ac:dyDescent="0.45">
      <c r="A44" s="3" t="s">
        <v>31</v>
      </c>
      <c r="B44" s="5">
        <f>IF(O4="Y",INDEX(F22:F29,MATCH(MAX(F22:F29),F22:F29,0)),INDEX(F22:F29,MATCH(MAX(F22:F29),F22:F29,0)))</f>
        <v>0.98767084702281538</v>
      </c>
      <c r="D44" s="3" t="s">
        <v>68</v>
      </c>
      <c r="E44" s="4">
        <v>4</v>
      </c>
    </row>
    <row r="45" spans="1:16" x14ac:dyDescent="0.45">
      <c r="D45" s="3" t="s">
        <v>69</v>
      </c>
      <c r="E45" s="4">
        <v>12</v>
      </c>
    </row>
    <row r="46" spans="1:16" x14ac:dyDescent="0.45">
      <c r="A46" s="3" t="s">
        <v>153</v>
      </c>
      <c r="B46" s="5">
        <f>INDEX(A22:A29,MATCH(B43,C22:C29))</f>
        <v>4</v>
      </c>
    </row>
    <row r="47" spans="1:16" x14ac:dyDescent="0.45">
      <c r="A47" s="3" t="s">
        <v>154</v>
      </c>
      <c r="B47" s="5">
        <f>INDEX(B22:B29,MATCH(B43,C22:C29))</f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E507-370F-4F03-BC9E-4FB6C0F5CE94}">
  <dimension ref="A1:Z42"/>
  <sheetViews>
    <sheetView workbookViewId="0">
      <selection activeCell="D26" sqref="D26"/>
    </sheetView>
  </sheetViews>
  <sheetFormatPr defaultRowHeight="14.25" x14ac:dyDescent="0.45"/>
  <cols>
    <col min="1" max="1" width="8.86328125" bestFit="1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167</v>
      </c>
      <c r="B5">
        <v>29</v>
      </c>
      <c r="C5" s="15">
        <v>0</v>
      </c>
      <c r="D5" s="11">
        <v>0</v>
      </c>
      <c r="E5" s="11">
        <v>0</v>
      </c>
      <c r="F5" s="16">
        <v>0.1</v>
      </c>
      <c r="H5" s="19">
        <v>0</v>
      </c>
      <c r="I5" s="11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167</v>
      </c>
      <c r="B6">
        <v>29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2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167</v>
      </c>
      <c r="B7">
        <v>29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2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167</v>
      </c>
      <c r="B8">
        <v>29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167</v>
      </c>
      <c r="B9">
        <v>29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167</v>
      </c>
      <c r="B10">
        <v>29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167</v>
      </c>
      <c r="B11">
        <v>29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167</v>
      </c>
      <c r="B12">
        <v>29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167</v>
      </c>
      <c r="B13">
        <v>29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45">
      <c r="A14" t="s">
        <v>167</v>
      </c>
      <c r="B14">
        <v>29</v>
      </c>
      <c r="C14" s="15">
        <v>12</v>
      </c>
      <c r="D14" s="2">
        <v>12</v>
      </c>
      <c r="E14" s="8">
        <v>10.72</v>
      </c>
      <c r="F14" s="16" t="s">
        <v>1</v>
      </c>
      <c r="H14" s="20">
        <v>12</v>
      </c>
      <c r="I14" s="8">
        <v>10.72</v>
      </c>
      <c r="J14">
        <f t="shared" si="0"/>
        <v>128.64000000000001</v>
      </c>
      <c r="K14">
        <f t="shared" si="2"/>
        <v>14.81</v>
      </c>
      <c r="L14" s="16">
        <f t="shared" si="3"/>
        <v>169.54000000000002</v>
      </c>
      <c r="N14" s="20">
        <v>12</v>
      </c>
      <c r="O14" s="8">
        <v>10.72</v>
      </c>
      <c r="P14">
        <f t="shared" si="1"/>
        <v>128.64000000000001</v>
      </c>
      <c r="Q14">
        <f t="shared" si="4"/>
        <v>14.81</v>
      </c>
      <c r="R14" s="16">
        <f t="shared" si="5"/>
        <v>169.54000000000002</v>
      </c>
      <c r="T14" s="19">
        <v>12</v>
      </c>
      <c r="U14" s="8">
        <v>10.72</v>
      </c>
      <c r="V14" s="28">
        <f t="shared" si="6"/>
        <v>14.81</v>
      </c>
      <c r="X14" s="20">
        <v>12</v>
      </c>
      <c r="Y14" s="8">
        <v>10.72</v>
      </c>
      <c r="Z14" s="16">
        <f t="shared" si="7"/>
        <v>14.81</v>
      </c>
    </row>
    <row r="15" spans="1:26" x14ac:dyDescent="0.45">
      <c r="A15" t="s">
        <v>167</v>
      </c>
      <c r="B15">
        <v>29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39.54</v>
      </c>
      <c r="L15" s="16">
        <f t="shared" si="3"/>
        <v>518.76</v>
      </c>
      <c r="N15" s="20">
        <v>18</v>
      </c>
      <c r="O15" s="2">
        <v>2.46</v>
      </c>
      <c r="P15">
        <f t="shared" si="1"/>
        <v>44.28</v>
      </c>
      <c r="Q15">
        <f t="shared" si="4"/>
        <v>39.54</v>
      </c>
      <c r="R15" s="16">
        <f t="shared" si="5"/>
        <v>518.76</v>
      </c>
      <c r="T15" s="19">
        <v>18</v>
      </c>
      <c r="U15" s="2">
        <v>2.46</v>
      </c>
      <c r="V15" s="28">
        <f t="shared" si="6"/>
        <v>39.54</v>
      </c>
      <c r="X15" s="20">
        <v>18</v>
      </c>
      <c r="Y15" s="2">
        <v>2.46</v>
      </c>
      <c r="Z15" s="16">
        <f t="shared" si="7"/>
        <v>39.54</v>
      </c>
    </row>
    <row r="16" spans="1:26" x14ac:dyDescent="0.45">
      <c r="A16" t="s">
        <v>167</v>
      </c>
      <c r="B16">
        <v>29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2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45">
      <c r="A17" t="s">
        <v>167</v>
      </c>
      <c r="B17">
        <v>29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2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4.65" thickBot="1" x14ac:dyDescent="0.5">
      <c r="A18" t="s">
        <v>167</v>
      </c>
      <c r="B18">
        <v>29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2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114.63999999999999</v>
      </c>
      <c r="K21" s="3" t="s">
        <v>44</v>
      </c>
      <c r="L21" s="5">
        <f>SUM(L6:L18)</f>
        <v>1551.3150000000001</v>
      </c>
      <c r="O21" s="3" t="s">
        <v>65</v>
      </c>
      <c r="P21" s="5">
        <f>SUM(Q6:INDEX(Q6:Q18,MATCH(E35,N6:N18,0)))</f>
        <v>100.11999999999999</v>
      </c>
      <c r="Q21" s="3" t="s">
        <v>71</v>
      </c>
      <c r="R21" s="5">
        <f>SUM(R6:INDEX(R6:R18,MATCH(E35,N6:N18,0)))</f>
        <v>1125.075</v>
      </c>
      <c r="U21" s="3" t="s">
        <v>70</v>
      </c>
      <c r="V21" s="5">
        <f>SUM(V6:INDEX(V6:V18,MATCH(E36,T6:T18,0)))</f>
        <v>88.389999999999986</v>
      </c>
      <c r="Y21" s="3" t="s">
        <v>37</v>
      </c>
      <c r="Z21" s="5">
        <f>SUM(INDEX(Z6:Z18,MATCH(E37,X6:X18,0)+1):INDEX(Z6:Z18,MATCH(E38,X6:X18,0)))</f>
        <v>39.809999999999995</v>
      </c>
    </row>
    <row r="22" spans="1:26" x14ac:dyDescent="0.45">
      <c r="A22">
        <v>24</v>
      </c>
      <c r="B22">
        <v>48</v>
      </c>
      <c r="C22">
        <v>3</v>
      </c>
      <c r="D22" cm="1">
        <f t="array" ref="D22">INTERCEPT(IF(E16:E18&gt;0,LN(E16:E18)),IF(E16:E18&gt;0,D16:D18))</f>
        <v>2.9750305620827162</v>
      </c>
      <c r="E22" cm="1">
        <f t="array" ref="E22">-SLOPE(IF(E16:$E$18&gt;0,LN(E16:$E$18)),IF(E16:$E$18&gt;0,D16:$D$18))</f>
        <v>0.10745160290092515</v>
      </c>
      <c r="F22" cm="1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114.63999999999999</v>
      </c>
      <c r="K22" s="3" t="s">
        <v>45</v>
      </c>
      <c r="L22" s="5">
        <f>SUM(L6:INDEX(L6:L18,MATCH(B28,H6:H18,0)))</f>
        <v>1551.3150000000001</v>
      </c>
    </row>
    <row r="23" spans="1:26" x14ac:dyDescent="0.45">
      <c r="A23">
        <v>18</v>
      </c>
      <c r="B23">
        <v>48</v>
      </c>
      <c r="C23">
        <v>4</v>
      </c>
      <c r="D23" cm="1">
        <f t="array" ref="D23">INTERCEPT(IF(E15:E18&gt;0,LN(E15:E18)),IF(E15:E18&gt;0,D15:D18))</f>
        <v>2.8271339126733759</v>
      </c>
      <c r="E23" cm="1">
        <f t="array" ref="E23">-SLOPE(IF(E15:$E$18&gt;0,LN(E15:$E$18)),IF(E15:$E$18&gt;0,D15:$D$18))</f>
        <v>0.10387345815715078</v>
      </c>
      <c r="F23" cm="1">
        <f t="array" ref="F23">1-(1-RSQ(IF(E15:$E$18&gt;0,LN(E15:$E$18)),IF(E15:$E$18&gt;0,D15:$D$18)))*((C23-1)/(C23-2))</f>
        <v>0.996943885787969</v>
      </c>
      <c r="G23">
        <f t="shared" ref="G23" si="8">LN(2)/E23</f>
        <v>6.6729960940674449</v>
      </c>
    </row>
    <row r="24" spans="1:26" x14ac:dyDescent="0.45">
      <c r="A24">
        <v>10</v>
      </c>
      <c r="B24">
        <v>48</v>
      </c>
      <c r="C24">
        <v>5</v>
      </c>
      <c r="D24" cm="1">
        <f t="array" ref="D24">INTERCEPT(IF(OR(E13,E15,E16,E17,E18)&gt;0,LN(CHOOSE({1,2,3,4,5},E13,E15,E16,E17,E18))),IF(OR(E13,E15,E16,E17,E18)&gt;0,CHOOSE({1,2,3,4,5},D13,D15,D16,D17,D18)))</f>
        <v>2.553881663607481</v>
      </c>
      <c r="E24" cm="1">
        <f t="array" ref="E24">-SLOPE(IF(OR(E13,E15,E16,E17,E18)&gt;0,LN(CHOOSE({1,2,3,4,5},E13,E15,E16,E17,E18))),IF(OR(E13,E15,E16,E17,E18)&gt;0,CHOOSE({1,2,3,4,5},D13,D15,D16,D17,D18)))</f>
        <v>9.662046636095728E-2</v>
      </c>
      <c r="F24" cm="1">
        <f t="array" ref="F24">1-(1-RSQ(IF(OR(E13,E15,E16,E17,E18)&gt;0,LN(CHOOSE({1,2,3,4,5},E13,E15,E16,E17,E18))),IF(OR(E13,E15,E16,E17,E18)&gt;0,CHOOSE({1,2,3,4,5},D13,D15,D16,D17,D18))))*((C24-1)/(C24-2))</f>
        <v>0.98747566932165476</v>
      </c>
      <c r="G24">
        <f>LN(2)/E24</f>
        <v>7.1739167348920443</v>
      </c>
      <c r="I24" s="3" t="s">
        <v>38</v>
      </c>
      <c r="J24" s="5">
        <f>J22+B29/B33</f>
        <v>115.66371669691539</v>
      </c>
      <c r="K24" s="3" t="s">
        <v>46</v>
      </c>
      <c r="L24" s="5">
        <f>L22+B28*B29/B33+B29/(B33*B33)</f>
        <v>1609.9806366841515</v>
      </c>
    </row>
    <row r="25" spans="1:26" x14ac:dyDescent="0.45">
      <c r="A25">
        <v>8</v>
      </c>
      <c r="B25">
        <v>48</v>
      </c>
      <c r="C25">
        <v>6</v>
      </c>
      <c r="D25" cm="1">
        <f t="array" ref="D25">INTERCEPT(IF(OR(E12,E13,E15,E16,E17,E18)&gt;0,LN(CHOOSE({1,2,3,4,5,6},E12,E13,E15,E16,E17,E18))),IF(OR(E12,E13,E15,E16,E17,E18)&gt;0,CHOOSE({1,2,3,4,5,6},D12,D13,D15,D16,D17,D18)))</f>
        <v>2.3988361530586633</v>
      </c>
      <c r="E25" cm="1">
        <f t="array" ref="E25">-SLOPE(IF(OR(E12,E13,E15,E16,E17,E18)&gt;0,LN(CHOOSE({1,2,3,4,5,6},E12,E13,E15,E16,E17,E18))),IF(OR(E12,E13,E15,E16,E17,E18)&gt;0,CHOOSE({1,2,3,4,5,6},D12,D13,D15,D16,D17,D18)))</f>
        <v>9.2382320286729908E-2</v>
      </c>
      <c r="F25" cm="1">
        <f t="array" ref="F25">1-(1-RSQ(IF(OR(E12,E13,E15,E16,E17,E18)&gt;0,LN(CHOOSE({1,2,3,4,5,6},E12,E13,E15,E16,E17,E18))),IF(OR(E12,E13,E15,E16,E17,E18)&gt;0,CHOOSE({1,2,3,4,5,6},D12,D13,D15,D16,D17,D18))))*((C25-1)/(C25-2))</f>
        <v>0.9828559775289718</v>
      </c>
      <c r="G25">
        <f>LN(2)/E25</f>
        <v>7.5030284843312298</v>
      </c>
      <c r="I25" s="3" t="s">
        <v>39</v>
      </c>
      <c r="J25" s="5">
        <f>(J24-J22)/J24*100</f>
        <v>0.88508023617980602</v>
      </c>
    </row>
    <row r="26" spans="1:26" x14ac:dyDescent="0.45">
      <c r="I26" s="3" t="s">
        <v>42</v>
      </c>
      <c r="J26" s="5">
        <f>J22+B30/B33</f>
        <v>115.68924238033944</v>
      </c>
      <c r="K26" s="3" t="s">
        <v>47</v>
      </c>
      <c r="L26" s="5">
        <f>L22+B28*B30/B33+B30/(B33*B33)</f>
        <v>1611.4434246550641</v>
      </c>
    </row>
    <row r="27" spans="1:26" x14ac:dyDescent="0.45">
      <c r="E27" s="1"/>
      <c r="I27" s="3" t="s">
        <v>43</v>
      </c>
      <c r="J27" s="5">
        <f>(J26-J22)/J26*100</f>
        <v>0.90694895977446677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8.645753643040841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8.6438460432855493</v>
      </c>
    </row>
    <row r="31" spans="1:26" x14ac:dyDescent="0.45">
      <c r="A31" s="3" t="s">
        <v>25</v>
      </c>
      <c r="B31" s="5">
        <f>INDEX(D5:D18,MATCH(B32,E5:E18,0))</f>
        <v>12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80.461839652709386</v>
      </c>
    </row>
    <row r="32" spans="1:26" x14ac:dyDescent="0.45">
      <c r="A32" s="3" t="s">
        <v>24</v>
      </c>
      <c r="B32" s="6">
        <f>MAX(E5:E18)</f>
        <v>10.72</v>
      </c>
      <c r="D32" s="3" t="s">
        <v>59</v>
      </c>
      <c r="E32" s="4">
        <v>1</v>
      </c>
      <c r="I32" s="3" t="s">
        <v>52</v>
      </c>
      <c r="J32" s="5">
        <f>IF(E30="N",E33*E34/(B33*J26),NA)</f>
        <v>80.44408654615917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120.34453286082612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120.4007268401849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13.919495954837217</v>
      </c>
      <c r="M35" s="3"/>
      <c r="P35" s="3"/>
    </row>
    <row r="36" spans="1:16" x14ac:dyDescent="0.45">
      <c r="A36" s="3" t="s">
        <v>28</v>
      </c>
      <c r="B36" s="5">
        <f>IF(O4="Y",INDEX(C22:C25,MATCH(MAX(F22:F26),F22:F26,0)),INDEX(C22:C24,MATCH(MAX(F22:F25),F22:F25,0)))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13.929068870183192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IF(E30="N",L22/J22,(R21+E37*(J22-P21))/P21)</f>
        <v>13.532056873691559</v>
      </c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INDEX(A22:A25,MATCH(B34,G22:G26))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INDEX(B22:B25,MATCH(B34,G22:G26))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EC04-6EED-4D63-B9A1-0152EC5DFBB7}">
  <dimension ref="A1:Z42"/>
  <sheetViews>
    <sheetView workbookViewId="0"/>
  </sheetViews>
  <sheetFormatPr defaultRowHeight="14.25" x14ac:dyDescent="0.45"/>
  <cols>
    <col min="1" max="1" width="11.1328125" bestFit="1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174</v>
      </c>
      <c r="B5">
        <v>30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174</v>
      </c>
      <c r="B6">
        <v>30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174</v>
      </c>
      <c r="B7">
        <v>30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174</v>
      </c>
      <c r="B8">
        <v>30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174</v>
      </c>
      <c r="B9">
        <v>30</v>
      </c>
      <c r="C9" s="15">
        <v>3</v>
      </c>
      <c r="D9" s="2">
        <v>3</v>
      </c>
      <c r="E9" s="68">
        <v>1.94</v>
      </c>
      <c r="F9" s="16" t="s">
        <v>1</v>
      </c>
      <c r="H9" s="20">
        <v>3</v>
      </c>
      <c r="I9" s="68">
        <v>1.94</v>
      </c>
      <c r="J9">
        <f t="shared" si="0"/>
        <v>5.82</v>
      </c>
      <c r="K9" s="68">
        <f>(I8-I9)/(LN(I8)-LN(I9))*(H9-H8)</f>
        <v>2.1989604144916055</v>
      </c>
      <c r="L9" s="70">
        <f>(H9-H8)*(((H9*I9)-(H8*I8))/LN(I9/I8))-(((H9-H8)^2)*(I9-I8)/LN(I9/I8)^2)</f>
        <v>5.4524462000709448</v>
      </c>
      <c r="N9" s="20">
        <v>3</v>
      </c>
      <c r="O9" s="68">
        <v>1.94</v>
      </c>
      <c r="P9">
        <f t="shared" si="1"/>
        <v>5.82</v>
      </c>
      <c r="Q9" s="68">
        <f>(O8-O9)/(LN(O8)-LN(O9))*(N9-N8)</f>
        <v>2.1989604144916055</v>
      </c>
      <c r="R9" s="70">
        <f>(N9-N8)*(((N9*O9)-(N8*O8))/LN(O9/O8))-(((N9-N8)^2)*(O9-O8)/LN(O9/O8)^2)</f>
        <v>5.4524462000709448</v>
      </c>
      <c r="T9" s="19">
        <v>3</v>
      </c>
      <c r="U9" s="68">
        <v>1.94</v>
      </c>
      <c r="V9" s="73">
        <f>(U8-U9)/(LN(U8)-LN(U9))*(T9-T8)</f>
        <v>2.1989604144916055</v>
      </c>
      <c r="X9" s="20">
        <v>3</v>
      </c>
      <c r="Y9" s="68">
        <v>1.94</v>
      </c>
      <c r="Z9" s="73">
        <f>(Y8-Y9)/(LN(Y8)-LN(Y9))*(X9-X8)</f>
        <v>2.1989604144916055</v>
      </c>
    </row>
    <row r="10" spans="1:26" x14ac:dyDescent="0.45">
      <c r="A10" t="s">
        <v>174</v>
      </c>
      <c r="B10">
        <v>30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2.8449999999999998</v>
      </c>
      <c r="L10" s="16">
        <f t="shared" si="3"/>
        <v>10.41</v>
      </c>
      <c r="N10" s="20">
        <v>4</v>
      </c>
      <c r="O10" s="2">
        <v>3.75</v>
      </c>
      <c r="P10">
        <f t="shared" si="1"/>
        <v>15</v>
      </c>
      <c r="Q10">
        <f t="shared" si="4"/>
        <v>2.8449999999999998</v>
      </c>
      <c r="R10" s="16">
        <f t="shared" ref="R10:R18" si="8">(P9+P10)/2*(N10-N9)</f>
        <v>10.41</v>
      </c>
      <c r="T10" s="19">
        <v>4</v>
      </c>
      <c r="U10" s="11">
        <v>3.75</v>
      </c>
      <c r="V10" s="28">
        <f t="shared" si="6"/>
        <v>2.8449999999999998</v>
      </c>
      <c r="X10" s="20">
        <v>4</v>
      </c>
      <c r="Y10" s="2">
        <v>3.75</v>
      </c>
      <c r="Z10" s="16">
        <f t="shared" si="7"/>
        <v>2.8449999999999998</v>
      </c>
    </row>
    <row r="11" spans="1:26" x14ac:dyDescent="0.45">
      <c r="A11" t="s">
        <v>174</v>
      </c>
      <c r="B11">
        <v>30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8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174</v>
      </c>
      <c r="B12">
        <v>30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8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174</v>
      </c>
      <c r="B13">
        <v>30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 s="68">
        <f>(I12-I13)/(LN(I12)-LN(I13))*(H13-H12)</f>
        <v>8.3980790136351384</v>
      </c>
      <c r="L13" s="70">
        <f>(H13-H12)*(((H13*I13)-(H12*I12))/LN(I13/I12))-(((H13-H12)^2)*(I13-I12)/LN(I13/I12)^2)</f>
        <v>75.509381144187302</v>
      </c>
      <c r="N13" s="20">
        <v>10</v>
      </c>
      <c r="O13" s="2">
        <v>4.09</v>
      </c>
      <c r="P13">
        <f t="shared" si="1"/>
        <v>40.9</v>
      </c>
      <c r="Q13" s="68">
        <f>(O12-O13)/(LN(O12)-LN(O13))*(N13-N12)</f>
        <v>8.3980790136351384</v>
      </c>
      <c r="R13" s="70">
        <f>(N13-N12)*(((N13*O13)-(N12*O12))/LN(O13/O12))-(((N13-N12)^2)*(O13-O12)/LN(O13/O12)^2)</f>
        <v>75.509381144187302</v>
      </c>
      <c r="T13" s="19">
        <v>10</v>
      </c>
      <c r="U13" s="11">
        <v>4.09</v>
      </c>
      <c r="V13" s="70">
        <f>(U12-U13)/(LN(U12)-LN(U13))*(T13-T12)</f>
        <v>8.3980790136351384</v>
      </c>
      <c r="X13" s="20">
        <v>10</v>
      </c>
      <c r="Y13" s="2">
        <v>4.09</v>
      </c>
      <c r="Z13" s="70">
        <f>(Y12-Y13)/(LN(Y12)-LN(Y13))*(X13-X12)</f>
        <v>8.3980790136351384</v>
      </c>
    </row>
    <row r="14" spans="1:26" x14ac:dyDescent="0.45">
      <c r="A14" t="s">
        <v>174</v>
      </c>
      <c r="B14">
        <v>30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 s="68">
        <f t="shared" ref="K14:K18" si="9">(I13-I14)/(LN(I13)-LN(I14))*(H14-H13)</f>
        <v>7.804153562431007</v>
      </c>
      <c r="L14" s="70">
        <f t="shared" ref="L14:L18" si="10">(H14-H13)*(((H14*I14)-(H13*I13))/LN(I14/I13))-(((H14-H13)^2)*(I14-I13)/LN(I14/I13)^2)</f>
        <v>85.722374331115176</v>
      </c>
      <c r="N14" s="20">
        <v>12</v>
      </c>
      <c r="O14" s="2">
        <v>3.72</v>
      </c>
      <c r="P14">
        <f t="shared" si="1"/>
        <v>44.64</v>
      </c>
      <c r="Q14" s="68">
        <f t="shared" ref="Q14:Q18" si="11">(O13-O14)/(LN(O13)-LN(O14))*(N14-N13)</f>
        <v>7.804153562431007</v>
      </c>
      <c r="R14" s="70">
        <f t="shared" ref="R14:R18" si="12">(N14-N13)*(((N14*O14)-(N13*O13))/LN(O14/O13))-(((N14-N13)^2)*(O14-O13)/LN(O14/O13)^2)</f>
        <v>85.722374331115176</v>
      </c>
      <c r="T14" s="19">
        <v>12</v>
      </c>
      <c r="U14" s="11">
        <v>3.72</v>
      </c>
      <c r="V14" s="70">
        <f t="shared" ref="V14:V18" si="13">(U13-U14)/(LN(U13)-LN(U14))*(T14-T13)</f>
        <v>7.804153562431007</v>
      </c>
      <c r="X14" s="20">
        <v>12</v>
      </c>
      <c r="Y14" s="2">
        <v>3.72</v>
      </c>
      <c r="Z14" s="70">
        <f t="shared" ref="Z14:Z18" si="14">(Y13-Y14)/(LN(Y13)-LN(Y14))*(X14-X13)</f>
        <v>7.804153562431007</v>
      </c>
    </row>
    <row r="15" spans="1:26" x14ac:dyDescent="0.45">
      <c r="A15" t="s">
        <v>174</v>
      </c>
      <c r="B15">
        <v>30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 s="68">
        <f t="shared" si="9"/>
        <v>18.280195425760251</v>
      </c>
      <c r="L15" s="70">
        <f t="shared" si="10"/>
        <v>270.43366282322205</v>
      </c>
      <c r="N15" s="20">
        <v>18</v>
      </c>
      <c r="O15" s="2">
        <v>2.46</v>
      </c>
      <c r="P15">
        <f t="shared" si="1"/>
        <v>44.28</v>
      </c>
      <c r="Q15" s="68">
        <f t="shared" si="11"/>
        <v>18.280195425760251</v>
      </c>
      <c r="R15" s="70">
        <f t="shared" si="12"/>
        <v>270.43366282322205</v>
      </c>
      <c r="T15" s="19">
        <v>18</v>
      </c>
      <c r="U15" s="11">
        <v>2.46</v>
      </c>
      <c r="V15" s="70">
        <f t="shared" si="13"/>
        <v>18.280195425760251</v>
      </c>
      <c r="X15" s="20">
        <v>18</v>
      </c>
      <c r="Y15" s="2">
        <v>2.46</v>
      </c>
      <c r="Z15" s="70">
        <f t="shared" si="14"/>
        <v>18.280195425760251</v>
      </c>
    </row>
    <row r="16" spans="1:26" x14ac:dyDescent="0.45">
      <c r="A16" t="s">
        <v>174</v>
      </c>
      <c r="B16">
        <v>30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 s="68">
        <f t="shared" si="9"/>
        <v>11.464293030320515</v>
      </c>
      <c r="L16" s="70">
        <f t="shared" si="10"/>
        <v>237.73417090345959</v>
      </c>
      <c r="N16" s="20">
        <v>24</v>
      </c>
      <c r="O16" s="2">
        <v>1.45</v>
      </c>
      <c r="P16">
        <f t="shared" si="1"/>
        <v>34.799999999999997</v>
      </c>
      <c r="Q16" s="68">
        <f t="shared" si="11"/>
        <v>11.464293030320515</v>
      </c>
      <c r="R16" s="70">
        <f t="shared" si="12"/>
        <v>237.73417090345959</v>
      </c>
      <c r="T16" s="19">
        <v>24</v>
      </c>
      <c r="U16" s="11">
        <v>1.45</v>
      </c>
      <c r="V16" s="70">
        <f t="shared" si="13"/>
        <v>11.464293030320515</v>
      </c>
      <c r="X16" s="20">
        <v>24</v>
      </c>
      <c r="Y16" s="2">
        <v>1.45</v>
      </c>
      <c r="Z16" s="70">
        <f t="shared" si="14"/>
        <v>11.464293030320515</v>
      </c>
    </row>
    <row r="17" spans="1:26" x14ac:dyDescent="0.45">
      <c r="A17" t="s">
        <v>174</v>
      </c>
      <c r="B17">
        <v>30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 s="68">
        <f t="shared" si="9"/>
        <v>10.069651493688289</v>
      </c>
      <c r="L17" s="70">
        <f t="shared" si="10"/>
        <v>290.14073339450636</v>
      </c>
      <c r="N17" s="20">
        <v>36</v>
      </c>
      <c r="O17" s="2">
        <v>0.43</v>
      </c>
      <c r="P17">
        <f t="shared" si="1"/>
        <v>15.48</v>
      </c>
      <c r="Q17" s="68">
        <f t="shared" si="11"/>
        <v>10.069651493688289</v>
      </c>
      <c r="R17" s="70">
        <f t="shared" si="12"/>
        <v>290.14073339450636</v>
      </c>
      <c r="T17" s="19">
        <v>36</v>
      </c>
      <c r="U17" s="11">
        <v>0.43</v>
      </c>
      <c r="V17" s="70">
        <f t="shared" si="13"/>
        <v>10.069651493688289</v>
      </c>
      <c r="X17" s="20">
        <v>36</v>
      </c>
      <c r="Y17" s="2">
        <v>0.43</v>
      </c>
      <c r="Z17" s="70">
        <f t="shared" si="14"/>
        <v>10.069651493688289</v>
      </c>
    </row>
    <row r="18" spans="1:26" ht="14.65" thickBot="1" x14ac:dyDescent="0.5">
      <c r="A18" t="s">
        <v>174</v>
      </c>
      <c r="B18">
        <v>30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69">
        <f t="shared" si="9"/>
        <v>2.8166847789120717</v>
      </c>
      <c r="L18" s="71">
        <f t="shared" si="10"/>
        <v>114.57468090205647</v>
      </c>
      <c r="N18" s="21">
        <v>48</v>
      </c>
      <c r="O18" s="22">
        <v>0.11</v>
      </c>
      <c r="P18" s="35">
        <f t="shared" si="1"/>
        <v>5.28</v>
      </c>
      <c r="Q18" s="69">
        <f t="shared" si="11"/>
        <v>2.8166847789120717</v>
      </c>
      <c r="R18" s="71">
        <f t="shared" si="12"/>
        <v>114.57468090205647</v>
      </c>
      <c r="T18" s="31">
        <v>48</v>
      </c>
      <c r="U18" s="32">
        <v>0.11</v>
      </c>
      <c r="V18" s="71">
        <f t="shared" si="13"/>
        <v>2.8166847789120717</v>
      </c>
      <c r="X18" s="21">
        <v>48</v>
      </c>
      <c r="Y18" s="22">
        <v>0.11</v>
      </c>
      <c r="Z18" s="71">
        <f t="shared" si="14"/>
        <v>2.8166847789120717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83.162017719238875</v>
      </c>
      <c r="K21" s="3" t="s">
        <v>44</v>
      </c>
      <c r="L21" s="5">
        <f>SUM(L6:L18)</f>
        <v>1194.432449698618</v>
      </c>
      <c r="O21" s="3" t="s">
        <v>65</v>
      </c>
      <c r="P21" s="5">
        <f>SUM(Q6:INDEX(Q6:Q18,MATCH(E35,N6:N18,0)))</f>
        <v>70.275681446638515</v>
      </c>
      <c r="Q21" s="3" t="s">
        <v>71</v>
      </c>
      <c r="R21" s="5">
        <f>SUM(R6:INDEX(R6:R18,MATCH(E35,N6:N18,0)))</f>
        <v>789.7170354020551</v>
      </c>
      <c r="U21" s="3" t="s">
        <v>70</v>
      </c>
      <c r="V21" s="5">
        <f>SUM(V6:INDEX(V6:V18,MATCH(E36,T6:T18,0)))</f>
        <v>58.811388416317996</v>
      </c>
      <c r="Y21" s="3" t="s">
        <v>37</v>
      </c>
      <c r="Z21" s="5">
        <f>SUM(INDEX(Z6:Z18,MATCH(E37,X6:X18,0)+1):INDEX(Z6:Z18,MATCH(E38,X6:X18,0)))</f>
        <v>32.802232576066139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83.162017719238875</v>
      </c>
      <c r="K22" s="3" t="s">
        <v>45</v>
      </c>
      <c r="L22" s="5">
        <f>SUM(L6:INDEX(L6:L18,MATCH(B28,H6:H18,0)))</f>
        <v>1194.432449698618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15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15"/>
        <v>7.0094363590115014</v>
      </c>
      <c r="I24" s="3" t="s">
        <v>38</v>
      </c>
      <c r="J24" s="5">
        <f>J22+B29/B33</f>
        <v>84.185734416154276</v>
      </c>
      <c r="K24" s="3" t="s">
        <v>46</v>
      </c>
      <c r="L24" s="5">
        <f>L22+B28*B29/B33+B29/(B33*B33)</f>
        <v>1253.0980863827695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15"/>
        <v>7.2440236306896715</v>
      </c>
      <c r="I25" s="3" t="s">
        <v>39</v>
      </c>
      <c r="J25" s="5">
        <f>(J24-J22)/J24*100</f>
        <v>1.2160215789707014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15"/>
        <v>7.4883282307365056</v>
      </c>
      <c r="I26" s="3" t="s">
        <v>42</v>
      </c>
      <c r="J26" s="5">
        <f>J22+B30/B33</f>
        <v>84.211260099578325</v>
      </c>
      <c r="K26" s="3" t="s">
        <v>47</v>
      </c>
      <c r="L26" s="5">
        <f>L22+B28*B30/B33+B30/(B33*B33)</f>
        <v>1254.560874353682</v>
      </c>
    </row>
    <row r="27" spans="1:26" x14ac:dyDescent="0.45">
      <c r="E27" s="1"/>
      <c r="I27" s="3" t="s">
        <v>43</v>
      </c>
      <c r="J27" s="5">
        <f>(J26-J22)/J26*100</f>
        <v>1.2459644697143109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11.878497074774126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11.87489652592204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110.54741627006342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110.51390770662761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176.81050188292394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176.90960271588256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14.884921953502781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14.897780568420256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592B-1451-46EC-8C92-3527080B742E}">
  <dimension ref="A1:Z42"/>
  <sheetViews>
    <sheetView workbookViewId="0"/>
  </sheetViews>
  <sheetFormatPr defaultRowHeight="14.25" x14ac:dyDescent="0.45"/>
  <cols>
    <col min="1" max="1" width="11.1328125" bestFit="1" customWidth="1"/>
    <col min="2" max="2" width="9" customWidth="1"/>
    <col min="3" max="3" width="6.73046875" customWidth="1"/>
    <col min="4" max="4" width="15.1328125" customWidth="1"/>
    <col min="5" max="6" width="12" bestFit="1" customWidth="1"/>
    <col min="7" max="7" width="8.1328125" customWidth="1"/>
    <col min="8" max="8" width="7.73046875" customWidth="1"/>
    <col min="9" max="9" width="13.3984375" customWidth="1"/>
    <col min="10" max="10" width="13.1328125" customWidth="1"/>
    <col min="11" max="11" width="14.3984375" customWidth="1"/>
    <col min="12" max="12" width="9.86328125" customWidth="1"/>
    <col min="13" max="13" width="5.1328125" customWidth="1"/>
    <col min="14" max="14" width="13.73046875" customWidth="1"/>
    <col min="19" max="19" width="4.86328125" customWidth="1"/>
    <col min="23" max="23" width="3.59765625" customWidth="1"/>
  </cols>
  <sheetData>
    <row r="1" spans="1:26" x14ac:dyDescent="0.4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4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4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4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45">
      <c r="A5" t="s">
        <v>175</v>
      </c>
      <c r="B5">
        <v>31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45">
      <c r="A6" t="s">
        <v>175</v>
      </c>
      <c r="B6">
        <v>31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45">
      <c r="A7" t="s">
        <v>175</v>
      </c>
      <c r="B7">
        <v>31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45">
      <c r="A8" t="s">
        <v>175</v>
      </c>
      <c r="B8">
        <v>31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45">
      <c r="A9" t="s">
        <v>175</v>
      </c>
      <c r="B9">
        <v>31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45">
      <c r="A10" t="s">
        <v>175</v>
      </c>
      <c r="B10">
        <v>31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45">
      <c r="A11" t="s">
        <v>175</v>
      </c>
      <c r="B11">
        <v>31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45">
      <c r="A12" t="s">
        <v>175</v>
      </c>
      <c r="B12">
        <v>31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45">
      <c r="A13" t="s">
        <v>175</v>
      </c>
      <c r="B13">
        <v>31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 s="68">
        <f>(I12-I13)/(LN(I12)-LN(I13))*(H13-H12)</f>
        <v>8.3980790136351384</v>
      </c>
      <c r="L13" s="70">
        <f>(H13-H12)*(((H13*I13)-(H12*I12))/LN(I13/I12))-(((H13-H12)^2)*(I13-I12)/LN(I13/I12)^2)</f>
        <v>75.509381144187302</v>
      </c>
      <c r="N13" s="20">
        <v>10</v>
      </c>
      <c r="O13" s="2">
        <v>4.09</v>
      </c>
      <c r="P13">
        <f t="shared" si="1"/>
        <v>40.9</v>
      </c>
      <c r="Q13" s="68">
        <f>(O12-O13)/(LN(O12)-LN(O13))*(N13-N12)</f>
        <v>8.3980790136351384</v>
      </c>
      <c r="R13" s="70">
        <f>(N13-N12)*(((N13*O13)-(N12*O12))/LN(O13/O12))-(((N13-N12)^2)*(O13-O12)/LN(O13/O12)^2)</f>
        <v>75.509381144187302</v>
      </c>
      <c r="T13" s="19">
        <v>10</v>
      </c>
      <c r="U13" s="11">
        <v>4.09</v>
      </c>
      <c r="V13" s="70">
        <f>(U12-U13)/(LN(U12)-LN(U13))*(T13-T12)</f>
        <v>8.3980790136351384</v>
      </c>
      <c r="X13" s="20">
        <v>10</v>
      </c>
      <c r="Y13" s="2">
        <v>4.09</v>
      </c>
      <c r="Z13" s="70">
        <f>(Y12-Y13)/(LN(Y12)-LN(Y13))*(X13-X12)</f>
        <v>8.3980790136351384</v>
      </c>
    </row>
    <row r="14" spans="1:26" x14ac:dyDescent="0.45">
      <c r="A14" t="s">
        <v>175</v>
      </c>
      <c r="B14">
        <v>31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 s="68">
        <f t="shared" ref="K14:K18" si="8">(I13-I14)/(LN(I13)-LN(I14))*(H14-H13)</f>
        <v>7.804153562431007</v>
      </c>
      <c r="L14" s="70">
        <f t="shared" ref="L14:L18" si="9">(H14-H13)*(((H14*I14)-(H13*I13))/LN(I14/I13))-(((H14-H13)^2)*(I14-I13)/LN(I14/I13)^2)</f>
        <v>85.722374331115176</v>
      </c>
      <c r="N14" s="20">
        <v>12</v>
      </c>
      <c r="O14" s="2">
        <v>3.72</v>
      </c>
      <c r="P14">
        <f t="shared" si="1"/>
        <v>44.64</v>
      </c>
      <c r="Q14" s="68">
        <f t="shared" ref="Q14:Q18" si="10">(O13-O14)/(LN(O13)-LN(O14))*(N14-N13)</f>
        <v>7.804153562431007</v>
      </c>
      <c r="R14" s="70">
        <f t="shared" ref="R14:R18" si="11">(N14-N13)*(((N14*O14)-(N13*O13))/LN(O14/O13))-(((N14-N13)^2)*(O14-O13)/LN(O14/O13)^2)</f>
        <v>85.722374331115176</v>
      </c>
      <c r="T14" s="19">
        <v>12</v>
      </c>
      <c r="U14" s="11">
        <v>3.72</v>
      </c>
      <c r="V14" s="70">
        <f t="shared" ref="V14:V18" si="12">(U13-U14)/(LN(U13)-LN(U14))*(T14-T13)</f>
        <v>7.804153562431007</v>
      </c>
      <c r="X14" s="20">
        <v>12</v>
      </c>
      <c r="Y14" s="2">
        <v>3.72</v>
      </c>
      <c r="Z14" s="70">
        <f t="shared" ref="Z14:Z18" si="13">(Y13-Y14)/(LN(Y13)-LN(Y14))*(X14-X13)</f>
        <v>7.804153562431007</v>
      </c>
    </row>
    <row r="15" spans="1:26" x14ac:dyDescent="0.45">
      <c r="A15" t="s">
        <v>175</v>
      </c>
      <c r="B15">
        <v>31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 s="68">
        <f t="shared" si="8"/>
        <v>18.280195425760251</v>
      </c>
      <c r="L15" s="70">
        <f t="shared" si="9"/>
        <v>270.43366282322205</v>
      </c>
      <c r="N15" s="20">
        <v>18</v>
      </c>
      <c r="O15" s="2">
        <v>2.46</v>
      </c>
      <c r="P15">
        <f t="shared" si="1"/>
        <v>44.28</v>
      </c>
      <c r="Q15" s="68">
        <f t="shared" si="10"/>
        <v>18.280195425760251</v>
      </c>
      <c r="R15" s="70">
        <f t="shared" si="11"/>
        <v>270.43366282322205</v>
      </c>
      <c r="T15" s="19">
        <v>18</v>
      </c>
      <c r="U15" s="11">
        <v>2.46</v>
      </c>
      <c r="V15" s="70">
        <f t="shared" si="12"/>
        <v>18.280195425760251</v>
      </c>
      <c r="X15" s="20">
        <v>18</v>
      </c>
      <c r="Y15" s="2">
        <v>2.46</v>
      </c>
      <c r="Z15" s="70">
        <f t="shared" si="13"/>
        <v>18.280195425760251</v>
      </c>
    </row>
    <row r="16" spans="1:26" x14ac:dyDescent="0.45">
      <c r="A16" t="s">
        <v>175</v>
      </c>
      <c r="B16">
        <v>31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 s="68">
        <f t="shared" si="8"/>
        <v>11.464293030320515</v>
      </c>
      <c r="L16" s="70">
        <f t="shared" si="9"/>
        <v>237.73417090345959</v>
      </c>
      <c r="N16" s="20">
        <v>24</v>
      </c>
      <c r="O16" s="2">
        <v>1.45</v>
      </c>
      <c r="P16">
        <f t="shared" si="1"/>
        <v>34.799999999999997</v>
      </c>
      <c r="Q16" s="68">
        <f t="shared" si="10"/>
        <v>11.464293030320515</v>
      </c>
      <c r="R16" s="70">
        <f t="shared" si="11"/>
        <v>237.73417090345959</v>
      </c>
      <c r="T16" s="19">
        <v>24</v>
      </c>
      <c r="U16" s="11">
        <v>1.45</v>
      </c>
      <c r="V16" s="70">
        <f t="shared" si="12"/>
        <v>11.464293030320515</v>
      </c>
      <c r="X16" s="20">
        <v>24</v>
      </c>
      <c r="Y16" s="2">
        <v>1.45</v>
      </c>
      <c r="Z16" s="70">
        <f t="shared" si="13"/>
        <v>11.464293030320515</v>
      </c>
    </row>
    <row r="17" spans="1:26" x14ac:dyDescent="0.45">
      <c r="A17" t="s">
        <v>175</v>
      </c>
      <c r="B17">
        <v>31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 s="68">
        <f t="shared" si="8"/>
        <v>10.069651493688289</v>
      </c>
      <c r="L17" s="70">
        <f t="shared" si="9"/>
        <v>290.14073339450636</v>
      </c>
      <c r="N17" s="20">
        <v>36</v>
      </c>
      <c r="O17" s="2">
        <v>0.43</v>
      </c>
      <c r="P17">
        <f t="shared" si="1"/>
        <v>15.48</v>
      </c>
      <c r="Q17" s="68">
        <f t="shared" si="10"/>
        <v>10.069651493688289</v>
      </c>
      <c r="R17" s="70">
        <f t="shared" si="11"/>
        <v>290.14073339450636</v>
      </c>
      <c r="T17" s="19">
        <v>36</v>
      </c>
      <c r="U17" s="11">
        <v>0.43</v>
      </c>
      <c r="V17" s="70">
        <f t="shared" si="12"/>
        <v>10.069651493688289</v>
      </c>
      <c r="X17" s="20">
        <v>36</v>
      </c>
      <c r="Y17" s="2">
        <v>0.43</v>
      </c>
      <c r="Z17" s="70">
        <f t="shared" si="13"/>
        <v>10.069651493688289</v>
      </c>
    </row>
    <row r="18" spans="1:26" ht="14.65" thickBot="1" x14ac:dyDescent="0.5">
      <c r="A18" t="s">
        <v>175</v>
      </c>
      <c r="B18">
        <v>31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69">
        <f t="shared" si="8"/>
        <v>2.8166847789120717</v>
      </c>
      <c r="L18" s="71">
        <f t="shared" si="9"/>
        <v>114.57468090205647</v>
      </c>
      <c r="N18" s="21">
        <v>48</v>
      </c>
      <c r="O18" s="22">
        <v>0.11</v>
      </c>
      <c r="P18" s="35">
        <f t="shared" si="1"/>
        <v>5.28</v>
      </c>
      <c r="Q18" s="69">
        <f t="shared" si="10"/>
        <v>2.8166847789120717</v>
      </c>
      <c r="R18" s="71">
        <f t="shared" si="11"/>
        <v>114.57468090205647</v>
      </c>
      <c r="T18" s="31">
        <v>48</v>
      </c>
      <c r="U18" s="32">
        <v>0.11</v>
      </c>
      <c r="V18" s="71">
        <f t="shared" si="12"/>
        <v>2.8166847789120717</v>
      </c>
      <c r="X18" s="21">
        <v>48</v>
      </c>
      <c r="Y18" s="22">
        <v>0.11</v>
      </c>
      <c r="Z18" s="71">
        <f t="shared" si="13"/>
        <v>2.8166847789120717</v>
      </c>
    </row>
    <row r="21" spans="1:26" x14ac:dyDescent="0.4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84.473057304747272</v>
      </c>
      <c r="K21" s="3" t="s">
        <v>44</v>
      </c>
      <c r="L21" s="5">
        <f>SUM(L6:L18)</f>
        <v>1198.2700034985471</v>
      </c>
      <c r="O21" s="3" t="s">
        <v>65</v>
      </c>
      <c r="P21" s="5">
        <f>SUM(Q6:INDEX(Q6:Q18,MATCH(E35,N6:N18,0)))</f>
        <v>71.586721032146912</v>
      </c>
      <c r="Q21" s="3" t="s">
        <v>71</v>
      </c>
      <c r="R21" s="5">
        <f>SUM(R6:INDEX(R6:R18,MATCH(E35,N6:N18,0)))</f>
        <v>793.55458920198419</v>
      </c>
      <c r="U21" s="3" t="s">
        <v>70</v>
      </c>
      <c r="V21" s="5">
        <f>SUM(V6:INDEX(V6:V18,MATCH(E36,T6:T18,0)))</f>
        <v>60.122428001826393</v>
      </c>
      <c r="Y21" s="3" t="s">
        <v>37</v>
      </c>
      <c r="Z21" s="5">
        <f>SUM(INDEX(Z6:Z18,MATCH(E37,X6:X18,0)+1):INDEX(Z6:Z18,MATCH(E38,X6:X18,0)))</f>
        <v>32.802232576066139</v>
      </c>
    </row>
    <row r="22" spans="1:26" x14ac:dyDescent="0.4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84.473057304747272</v>
      </c>
      <c r="K22" s="3" t="s">
        <v>45</v>
      </c>
      <c r="L22" s="5">
        <f>SUM(L6:INDEX(L6:L18,MATCH(B28,H6:H18,0)))</f>
        <v>1198.2700034985471</v>
      </c>
    </row>
    <row r="23" spans="1:26" x14ac:dyDescent="0.4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14">LN(2)/E23</f>
        <v>6.6729960940674449</v>
      </c>
    </row>
    <row r="24" spans="1:26" x14ac:dyDescent="0.4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14"/>
        <v>7.0094363590115014</v>
      </c>
      <c r="I24" s="3" t="s">
        <v>38</v>
      </c>
      <c r="J24" s="5">
        <f>J22+B29/B33</f>
        <v>85.496774001662672</v>
      </c>
      <c r="K24" s="3" t="s">
        <v>46</v>
      </c>
      <c r="L24" s="5">
        <f>L22+B28*B29/B33+B29/(B33*B33)</f>
        <v>1256.9356401826985</v>
      </c>
    </row>
    <row r="25" spans="1:26" x14ac:dyDescent="0.4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14"/>
        <v>7.2440236306896715</v>
      </c>
      <c r="I25" s="3" t="s">
        <v>39</v>
      </c>
      <c r="J25" s="5">
        <f>(J24-J22)/J24*100</f>
        <v>1.1973746481890555</v>
      </c>
    </row>
    <row r="26" spans="1:26" x14ac:dyDescent="0.4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14"/>
        <v>7.4883282307365056</v>
      </c>
      <c r="I26" s="3" t="s">
        <v>42</v>
      </c>
      <c r="J26" s="5">
        <f>J22+B30/B33</f>
        <v>85.522299685086722</v>
      </c>
      <c r="K26" s="3" t="s">
        <v>47</v>
      </c>
      <c r="L26" s="5">
        <f>L22+B28*B30/B33+B30/(B33*B33)</f>
        <v>1258.3984281536111</v>
      </c>
    </row>
    <row r="27" spans="1:26" x14ac:dyDescent="0.45">
      <c r="E27" s="1"/>
      <c r="I27" s="3" t="s">
        <v>43</v>
      </c>
      <c r="J27" s="5">
        <f>(J26-J22)/J26*100</f>
        <v>1.2268640859787543</v>
      </c>
    </row>
    <row r="28" spans="1:26" x14ac:dyDescent="0.4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4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11.696347747349542</v>
      </c>
    </row>
    <row r="30" spans="1:26" x14ac:dyDescent="0.4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11.692856759958932</v>
      </c>
    </row>
    <row r="31" spans="1:26" x14ac:dyDescent="0.4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108.85224074445925</v>
      </c>
    </row>
    <row r="32" spans="1:26" x14ac:dyDescent="0.4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108.81975181645483</v>
      </c>
    </row>
    <row r="33" spans="1:16" x14ac:dyDescent="0.4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171.954515422165</v>
      </c>
    </row>
    <row r="34" spans="1:16" x14ac:dyDescent="0.4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172.05188145710616</v>
      </c>
      <c r="M34" s="3"/>
      <c r="P34" s="3"/>
    </row>
    <row r="35" spans="1:16" x14ac:dyDescent="0.4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14.701556343614259</v>
      </c>
      <c r="M35" s="3"/>
      <c r="P35" s="3"/>
    </row>
    <row r="36" spans="1:16" x14ac:dyDescent="0.4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14.714272567357648</v>
      </c>
      <c r="M36" s="3"/>
      <c r="P36" s="3"/>
    </row>
    <row r="37" spans="1:16" x14ac:dyDescent="0.4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J37" s="3"/>
      <c r="M37" s="3"/>
      <c r="P37" s="3"/>
    </row>
    <row r="38" spans="1:16" x14ac:dyDescent="0.45">
      <c r="D38" s="3" t="s">
        <v>69</v>
      </c>
      <c r="E38" s="4">
        <v>12</v>
      </c>
      <c r="J38" s="3"/>
      <c r="M38" s="3"/>
      <c r="P38" s="3"/>
    </row>
    <row r="39" spans="1:16" x14ac:dyDescent="0.4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4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45">
      <c r="J41" s="3"/>
      <c r="M41" s="3"/>
      <c r="P41" s="3"/>
    </row>
    <row r="42" spans="1:16" x14ac:dyDescent="0.45">
      <c r="J42" s="3"/>
      <c r="M42" s="3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M62"/>
  <sheetViews>
    <sheetView workbookViewId="0">
      <pane ySplit="1" topLeftCell="A2" activePane="bottomLeft" state="frozen"/>
      <selection activeCell="Y1" sqref="Y1"/>
      <selection pane="bottomLeft"/>
    </sheetView>
  </sheetViews>
  <sheetFormatPr defaultRowHeight="14.25" x14ac:dyDescent="0.45"/>
  <cols>
    <col min="1" max="1" width="11.59765625" bestFit="1" customWidth="1"/>
    <col min="3" max="28" width="11.73046875" bestFit="1" customWidth="1"/>
    <col min="29" max="32" width="10.3984375" bestFit="1" customWidth="1"/>
    <col min="33" max="36" width="11.73046875" bestFit="1" customWidth="1"/>
    <col min="38" max="39" width="11.1328125" bestFit="1" customWidth="1"/>
  </cols>
  <sheetData>
    <row r="1" spans="1:39" x14ac:dyDescent="0.45">
      <c r="A1" t="s">
        <v>93</v>
      </c>
      <c r="C1" t="s">
        <v>94</v>
      </c>
      <c r="D1" t="s">
        <v>96</v>
      </c>
      <c r="E1" t="s">
        <v>170</v>
      </c>
      <c r="F1" t="s">
        <v>95</v>
      </c>
      <c r="G1" t="s">
        <v>172</v>
      </c>
      <c r="H1" t="s">
        <v>171</v>
      </c>
      <c r="I1" t="s">
        <v>97</v>
      </c>
      <c r="J1" t="s">
        <v>99</v>
      </c>
      <c r="K1" t="s">
        <v>98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167</v>
      </c>
      <c r="AL1" t="s">
        <v>174</v>
      </c>
      <c r="AM1" t="s">
        <v>175</v>
      </c>
    </row>
    <row r="2" spans="1:39" x14ac:dyDescent="0.45">
      <c r="A2" t="s">
        <v>7</v>
      </c>
      <c r="C2">
        <f>START_POSD!B5</f>
        <v>-1</v>
      </c>
      <c r="D2">
        <f>START_IVSD!B5</f>
        <v>-2</v>
      </c>
      <c r="E2">
        <f>START_INFSD!$B$5</f>
        <v>-3</v>
      </c>
      <c r="F2">
        <f>START_POMD!B5</f>
        <v>-4</v>
      </c>
      <c r="G2">
        <f>START_IVMD!$B$5</f>
        <v>-5</v>
      </c>
      <c r="H2">
        <f>START_INFMD!$B$5</f>
        <v>-6</v>
      </c>
      <c r="I2">
        <f>SDT_1!B5</f>
        <v>1</v>
      </c>
      <c r="J2">
        <f>SDT_2!B5</f>
        <v>2</v>
      </c>
      <c r="K2">
        <f>SDT_3!B5</f>
        <v>3</v>
      </c>
      <c r="L2">
        <f>SDC_1!B5</f>
        <v>4</v>
      </c>
      <c r="M2">
        <f>SDC_2!B5</f>
        <v>5</v>
      </c>
      <c r="N2">
        <f>SDC_3!B5</f>
        <v>6</v>
      </c>
      <c r="O2">
        <f>SDC_4a!B5</f>
        <v>7</v>
      </c>
      <c r="P2">
        <f>SDC_4b!B5</f>
        <v>8</v>
      </c>
      <c r="Q2">
        <f>SDC_4c!B5</f>
        <v>9</v>
      </c>
      <c r="R2">
        <f>SDC_4d!B5</f>
        <v>10</v>
      </c>
      <c r="S2">
        <f>MDT_1!B5</f>
        <v>11</v>
      </c>
      <c r="T2">
        <f>MDT_2!B5</f>
        <v>12</v>
      </c>
      <c r="U2">
        <f>MDT_3!B5</f>
        <v>13</v>
      </c>
      <c r="V2">
        <f>MDT_3a!B5</f>
        <v>14</v>
      </c>
      <c r="W2">
        <f>MDC_1_noss!B5</f>
        <v>15</v>
      </c>
      <c r="X2">
        <f>MDC_2_noss!B5</f>
        <v>16</v>
      </c>
      <c r="Y2">
        <f>MDC_3_noss!B5</f>
        <v>17</v>
      </c>
      <c r="Z2">
        <f>MDC_1_ss!B5</f>
        <v>18</v>
      </c>
      <c r="AA2">
        <f>MDC_2_ss!B5</f>
        <v>19</v>
      </c>
      <c r="AB2">
        <f>MDC_3_ss!B5</f>
        <v>20</v>
      </c>
      <c r="AC2">
        <f>POSDLOQ_1!$B$5</f>
        <v>21</v>
      </c>
      <c r="AD2">
        <f>POSDLOQ_2!$B$5</f>
        <v>22</v>
      </c>
      <c r="AE2">
        <f>POSDLOQ_3!$B$5</f>
        <v>23</v>
      </c>
      <c r="AF2">
        <f>POSDLOQ_4!$B$5</f>
        <v>24</v>
      </c>
      <c r="AG2">
        <f>IVSDLOQ_1!$B$5</f>
        <v>25</v>
      </c>
      <c r="AH2">
        <f>IVSDLOQ_2!$B$5</f>
        <v>26</v>
      </c>
      <c r="AI2">
        <f>IVSDLOQ_3!$B$5</f>
        <v>27</v>
      </c>
      <c r="AJ2">
        <f>IVSDLOQ_4!$B$5</f>
        <v>28</v>
      </c>
      <c r="AK2">
        <f>POSDEXCL!$B$5</f>
        <v>29</v>
      </c>
      <c r="AL2">
        <f>POSDTRAP_2!$B$5</f>
        <v>30</v>
      </c>
      <c r="AM2">
        <f>POSDTRAP_3!$B$5</f>
        <v>31</v>
      </c>
    </row>
    <row r="3" spans="1:39" x14ac:dyDescent="0.45">
      <c r="A3" s="3" t="s">
        <v>141</v>
      </c>
      <c r="C3" t="str">
        <f>START_POSD!E28</f>
        <v>Y</v>
      </c>
      <c r="D3" t="str">
        <f>START_IVSD!E35</f>
        <v>Y</v>
      </c>
      <c r="E3" t="str">
        <f>START_INFSD!$E$28</f>
        <v>Y</v>
      </c>
      <c r="F3" t="str">
        <f>START_POMD!E28</f>
        <v>Y</v>
      </c>
      <c r="G3" t="str">
        <f>START_IVMD!$E$35</f>
        <v>Y</v>
      </c>
      <c r="H3" t="str">
        <f>START_INFMD!$E$28</f>
        <v>Y</v>
      </c>
      <c r="I3" t="str">
        <f>SDT_1!E28</f>
        <v>Y</v>
      </c>
      <c r="J3" t="str">
        <f>SDT_2!E28</f>
        <v>Y</v>
      </c>
      <c r="K3" t="str">
        <f>SDT_3!E28</f>
        <v>Y</v>
      </c>
      <c r="L3" t="str">
        <f>SDC_1!E28</f>
        <v>Y</v>
      </c>
      <c r="M3" t="str">
        <f>SDC_2!E28</f>
        <v>Y</v>
      </c>
      <c r="N3" t="str">
        <f>SDC_3!E28</f>
        <v>Y</v>
      </c>
      <c r="O3" t="str">
        <f>SDC_4a!E35</f>
        <v>Y</v>
      </c>
      <c r="P3" t="str">
        <f>SDC_4b!E35</f>
        <v>Y</v>
      </c>
      <c r="Q3" t="str">
        <f>SDC_4c!E35</f>
        <v>Y</v>
      </c>
      <c r="R3" t="str">
        <f>SDC_4d!E35</f>
        <v>Y</v>
      </c>
      <c r="S3" t="str">
        <f>MDT_1!E28</f>
        <v>Y</v>
      </c>
      <c r="T3" t="str">
        <f>MDT_2!E28</f>
        <v>Y</v>
      </c>
      <c r="U3" t="str">
        <f>MDT_3!E28</f>
        <v>Y</v>
      </c>
      <c r="V3" t="str">
        <f>MDT_3a!E28</f>
        <v>Y</v>
      </c>
      <c r="W3" t="str">
        <f>MDC_1_noss!E28</f>
        <v>Y</v>
      </c>
      <c r="X3" t="str">
        <f>MDC_2_noss!E28</f>
        <v>Y</v>
      </c>
      <c r="Y3" t="str">
        <f>MDC_3_noss!E28</f>
        <v>Y</v>
      </c>
      <c r="Z3" t="str">
        <f>MDC_1_ss!E28</f>
        <v>Y</v>
      </c>
      <c r="AA3" t="str">
        <f>MDC_2_ss!E28</f>
        <v>Y</v>
      </c>
      <c r="AB3" t="str">
        <f>MDC_3_ss!E28</f>
        <v>Y</v>
      </c>
      <c r="AC3" t="str">
        <f>POSDLOQ_1!$E$28</f>
        <v>Y</v>
      </c>
      <c r="AD3" t="str">
        <f>POSDLOQ_2!$E$28</f>
        <v>Y</v>
      </c>
      <c r="AE3" t="str">
        <f>POSDLOQ_3!$E$28</f>
        <v>Y</v>
      </c>
      <c r="AF3" t="str">
        <f>POSDLOQ_4!$E$28</f>
        <v>Y</v>
      </c>
      <c r="AG3" t="str">
        <f>IVSDLOQ_1!$E$35</f>
        <v>Y</v>
      </c>
      <c r="AH3" t="str">
        <f>IVSDLOQ_2!$E$35</f>
        <v>Y</v>
      </c>
      <c r="AI3" t="str">
        <f>IVSDLOQ_3!$E$35</f>
        <v>Y</v>
      </c>
      <c r="AJ3" t="str">
        <f>IVSDLOQ_4!$E$35</f>
        <v>Y</v>
      </c>
      <c r="AK3" t="str">
        <f>POSDEXCL!$E$28</f>
        <v>Y</v>
      </c>
      <c r="AL3" t="str">
        <f>POSDTRAP_2!$E$28</f>
        <v>Y</v>
      </c>
      <c r="AM3" t="str">
        <f>POSDTRAP_3!$E$28</f>
        <v>Y</v>
      </c>
    </row>
    <row r="4" spans="1:39" x14ac:dyDescent="0.45">
      <c r="A4" s="3" t="s">
        <v>142</v>
      </c>
      <c r="C4" t="str">
        <f>START_POSD!E29</f>
        <v>SD</v>
      </c>
      <c r="D4" t="str">
        <f>START_IVSD!E36</f>
        <v>SD</v>
      </c>
      <c r="E4" t="str">
        <f>START_INFSD!$E$29</f>
        <v>SD</v>
      </c>
      <c r="F4" t="str">
        <f>START_POMD!E29</f>
        <v>MD</v>
      </c>
      <c r="G4" t="str">
        <f>START_IVMD!$E$36</f>
        <v>MD</v>
      </c>
      <c r="H4" t="str">
        <f>START_INFMD!$E$29</f>
        <v>MD</v>
      </c>
      <c r="I4" t="str">
        <f>SDT_1!E29</f>
        <v>SD</v>
      </c>
      <c r="J4" t="str">
        <f>SDT_2!E29</f>
        <v>SD</v>
      </c>
      <c r="K4" t="str">
        <f>SDT_3!E29</f>
        <v>SD</v>
      </c>
      <c r="L4" t="str">
        <f>SDC_1!E29</f>
        <v>SD</v>
      </c>
      <c r="M4" t="str">
        <f>SDC_2!E29</f>
        <v>SD</v>
      </c>
      <c r="N4" t="str">
        <f>SDC_3!E29</f>
        <v>SD</v>
      </c>
      <c r="O4" t="str">
        <f>SDC_4a!E36</f>
        <v>SD</v>
      </c>
      <c r="P4" t="str">
        <f>SDC_4b!E36</f>
        <v>SD</v>
      </c>
      <c r="Q4" t="str">
        <f>SDC_4c!E36</f>
        <v>SD</v>
      </c>
      <c r="R4" t="str">
        <f>SDC_4d!E36</f>
        <v>SD</v>
      </c>
      <c r="S4" t="str">
        <f>MDT_1!E29</f>
        <v>MD</v>
      </c>
      <c r="T4" t="str">
        <f>MDT_2!E29</f>
        <v>MD</v>
      </c>
      <c r="U4" t="str">
        <f>MDT_3!E29</f>
        <v>MD</v>
      </c>
      <c r="V4" t="str">
        <f>MDT_3a!E29</f>
        <v>MD</v>
      </c>
      <c r="W4" t="str">
        <f>MDC_1_noss!E29</f>
        <v>MD</v>
      </c>
      <c r="X4" t="str">
        <f>MDC_2_noss!E29</f>
        <v>MD</v>
      </c>
      <c r="Y4" t="str">
        <f>MDC_3_noss!E29</f>
        <v>MD</v>
      </c>
      <c r="Z4" t="str">
        <f>MDC_1_ss!E29</f>
        <v>MD</v>
      </c>
      <c r="AA4" t="str">
        <f>MDC_2_ss!E29</f>
        <v>MD</v>
      </c>
      <c r="AB4" t="str">
        <f>+MDC_3_ss!E29</f>
        <v>MD</v>
      </c>
      <c r="AC4" t="str">
        <f>POSDLOQ_1!$E$29</f>
        <v>SD</v>
      </c>
      <c r="AD4" t="str">
        <f>POSDLOQ_2!$E$29</f>
        <v>SD</v>
      </c>
      <c r="AE4" t="str">
        <f>POSDLOQ_3!$E$29</f>
        <v>SD</v>
      </c>
      <c r="AF4" t="str">
        <f>POSDLOQ_4!$E$29</f>
        <v>SD</v>
      </c>
      <c r="AG4" t="str">
        <f>IVSDLOQ_1!$E$36</f>
        <v>SD</v>
      </c>
      <c r="AH4" t="str">
        <f>IVSDLOQ_2!$E$36</f>
        <v>SD</v>
      </c>
      <c r="AI4" t="str">
        <f>IVSDLOQ_3!$E$36</f>
        <v>SD</v>
      </c>
      <c r="AJ4" t="str">
        <f>IVSDLOQ_4!$E$36</f>
        <v>SD</v>
      </c>
      <c r="AK4" t="str">
        <f>POSDEXCL!$E$29</f>
        <v>SD</v>
      </c>
      <c r="AL4" t="str">
        <f>POSDTRAP_2!$E$29</f>
        <v>SD</v>
      </c>
      <c r="AM4" t="str">
        <f>POSDTRAP_3!$E$29</f>
        <v>SD</v>
      </c>
    </row>
    <row r="5" spans="1:39" x14ac:dyDescent="0.45">
      <c r="A5" s="3" t="s">
        <v>143</v>
      </c>
      <c r="C5" t="str">
        <f>START_POSD!E30</f>
        <v>N</v>
      </c>
      <c r="D5" t="str">
        <f>START_IVSD!E37</f>
        <v>N</v>
      </c>
      <c r="E5" t="str">
        <f>START_INFSD!$E$30</f>
        <v>N</v>
      </c>
      <c r="F5" t="str">
        <f>START_POMD!E30</f>
        <v>N</v>
      </c>
      <c r="G5" t="str">
        <f>START_IVMD!$E$37</f>
        <v>N</v>
      </c>
      <c r="H5" t="str">
        <f>START_INFMD!$E$30</f>
        <v>N</v>
      </c>
      <c r="I5" t="str">
        <f>SDT_1!E30</f>
        <v>N</v>
      </c>
      <c r="J5" t="str">
        <f>SDT_2!E30</f>
        <v>N</v>
      </c>
      <c r="K5" t="str">
        <f>SDT_3!E30</f>
        <v>N</v>
      </c>
      <c r="L5" t="str">
        <f>SDC_1!E30</f>
        <v>N</v>
      </c>
      <c r="M5" t="str">
        <f>SDC_2!E30</f>
        <v>N</v>
      </c>
      <c r="N5" t="str">
        <f>SDC_3!E30</f>
        <v>N</v>
      </c>
      <c r="O5" t="str">
        <f>SDC_4a!E37</f>
        <v>N</v>
      </c>
      <c r="P5" t="str">
        <f>SDC_4b!E37</f>
        <v>N</v>
      </c>
      <c r="Q5" t="str">
        <f>SDC_4c!E37</f>
        <v>N</v>
      </c>
      <c r="R5" t="str">
        <f>SDC_4d!E37</f>
        <v>N</v>
      </c>
      <c r="S5" t="str">
        <f>MDT_1!E30</f>
        <v>N</v>
      </c>
      <c r="T5" t="str">
        <f>MDT_2!E30</f>
        <v>N</v>
      </c>
      <c r="U5" t="str">
        <f>MDT_3!E30</f>
        <v>N</v>
      </c>
      <c r="V5" t="str">
        <f>MDT_3a!E30</f>
        <v>N</v>
      </c>
      <c r="W5" t="str">
        <f>MDC_1_noss!E30</f>
        <v>N</v>
      </c>
      <c r="X5" t="str">
        <f>MDC_2_noss!E30</f>
        <v>N</v>
      </c>
      <c r="Y5" t="str">
        <f>MDC_3_noss!E30</f>
        <v>N</v>
      </c>
      <c r="Z5" t="str">
        <f>MDC_1_ss!E30</f>
        <v>Y</v>
      </c>
      <c r="AA5" t="str">
        <f>MDC_2_ss!E30</f>
        <v>Y</v>
      </c>
      <c r="AB5" t="str">
        <f>MDC_3_ss!E30</f>
        <v>Y</v>
      </c>
      <c r="AC5" t="str">
        <f>POSDLOQ_1!$E$30</f>
        <v>N</v>
      </c>
      <c r="AD5" t="str">
        <f>POSDLOQ_2!$E$30</f>
        <v>N</v>
      </c>
      <c r="AE5" t="str">
        <f>POSDLOQ_3!$E$30</f>
        <v>N</v>
      </c>
      <c r="AF5" t="str">
        <f>POSDLOQ_4!$E$30</f>
        <v>N</v>
      </c>
      <c r="AG5" t="str">
        <f>IVSDLOQ_1!$E$37</f>
        <v>N</v>
      </c>
      <c r="AH5" t="str">
        <f>IVSDLOQ_2!$E$37</f>
        <v>N</v>
      </c>
      <c r="AI5" t="str">
        <f>IVSDLOQ_3!$E$37</f>
        <v>N</v>
      </c>
      <c r="AJ5" t="str">
        <f>IVSDLOQ_4!$E$37</f>
        <v>N</v>
      </c>
      <c r="AK5" t="str">
        <f>POSDEXCL!$E$30</f>
        <v>N</v>
      </c>
      <c r="AL5" t="str">
        <f>POSDTRAP_2!$E$30</f>
        <v>N</v>
      </c>
      <c r="AM5" t="str">
        <f>POSDTRAP_3!$E$30</f>
        <v>N</v>
      </c>
    </row>
    <row r="6" spans="1:39" x14ac:dyDescent="0.45">
      <c r="A6" s="3" t="s">
        <v>144</v>
      </c>
      <c r="C6" t="str">
        <f>START_POSD!E31</f>
        <v>PO</v>
      </c>
      <c r="D6" t="str">
        <f>START_IVSD!E38</f>
        <v>IV</v>
      </c>
      <c r="E6" t="str">
        <f>START_INFSD!$E$31</f>
        <v>INF</v>
      </c>
      <c r="F6" t="str">
        <f>START_POMD!E31</f>
        <v>PO</v>
      </c>
      <c r="G6" t="str">
        <f>START_IVMD!$E$38</f>
        <v>IV</v>
      </c>
      <c r="H6" t="str">
        <f>START_INFMD!$E$31</f>
        <v>INF</v>
      </c>
      <c r="I6" t="str">
        <f>SDT_1!E31</f>
        <v>PO</v>
      </c>
      <c r="J6" t="str">
        <f>SDT_2!E31</f>
        <v>PO</v>
      </c>
      <c r="K6" t="str">
        <f>SDT_3!E31</f>
        <v>PO</v>
      </c>
      <c r="L6" t="str">
        <f>SDC_1!E31</f>
        <v>PO</v>
      </c>
      <c r="M6" t="str">
        <f>SDC_2!E31</f>
        <v>PO</v>
      </c>
      <c r="N6" t="str">
        <f>SDC_3!E31</f>
        <v>PO</v>
      </c>
      <c r="O6" t="str">
        <f>SDC_4a!E38</f>
        <v>IV</v>
      </c>
      <c r="P6" t="str">
        <f>SDC_4b!E38</f>
        <v>IV</v>
      </c>
      <c r="Q6" t="str">
        <f>SDC_4c!E38</f>
        <v>IV</v>
      </c>
      <c r="R6" t="str">
        <f>SDC_4d!E38</f>
        <v>IV</v>
      </c>
      <c r="S6" t="str">
        <f>MDT_1!E31</f>
        <v>PO</v>
      </c>
      <c r="T6" t="str">
        <f>MDT_2!E31</f>
        <v>PO</v>
      </c>
      <c r="U6" t="str">
        <f>MDT_3!E31</f>
        <v>PO</v>
      </c>
      <c r="V6" t="str">
        <f>MDT_3a!E31</f>
        <v>PO</v>
      </c>
      <c r="W6" t="str">
        <f>MDC_1_noss!E31</f>
        <v>PO</v>
      </c>
      <c r="X6" t="str">
        <f>MDC_2_noss!E31</f>
        <v>PO</v>
      </c>
      <c r="Y6" t="str">
        <f>MDC_3_noss!E31</f>
        <v>PO</v>
      </c>
      <c r="Z6" t="str">
        <f>MDC_1_ss!E31</f>
        <v>PO</v>
      </c>
      <c r="AA6" t="str">
        <f>MDC_2_ss!E31</f>
        <v>PO</v>
      </c>
      <c r="AB6" t="str">
        <f>MDC_3_ss!E31</f>
        <v>PO</v>
      </c>
      <c r="AC6" t="str">
        <f>POSDLOQ_1!$E$31</f>
        <v>PO</v>
      </c>
      <c r="AD6" t="str">
        <f>POSDLOQ_2!$E$31</f>
        <v>PO</v>
      </c>
      <c r="AE6" t="str">
        <f>POSDLOQ_3!$E$31</f>
        <v>PO</v>
      </c>
      <c r="AF6" t="str">
        <f>POSDLOQ_4!$E$31</f>
        <v>PO</v>
      </c>
      <c r="AG6" t="str">
        <f>IVSDLOQ_1!$E$38</f>
        <v>IV</v>
      </c>
      <c r="AH6" t="str">
        <f>IVSDLOQ_2!$E$38</f>
        <v>IV</v>
      </c>
      <c r="AI6" t="str">
        <f>IVSDLOQ_3!$E$38</f>
        <v>IV</v>
      </c>
      <c r="AJ6" t="str">
        <f>IVSDLOQ_4!$E$38</f>
        <v>IV</v>
      </c>
      <c r="AK6" t="str">
        <f>POSDEXCL!$E$31</f>
        <v>PO</v>
      </c>
      <c r="AL6" t="str">
        <f>POSDTRAP_2!$E$31</f>
        <v>PO</v>
      </c>
      <c r="AM6" t="str">
        <f>POSDTRAP_3!$E$31</f>
        <v>PO</v>
      </c>
    </row>
    <row r="7" spans="1:39" x14ac:dyDescent="0.45">
      <c r="A7" s="3" t="s">
        <v>145</v>
      </c>
      <c r="C7">
        <f>START_POSD!E32</f>
        <v>1</v>
      </c>
      <c r="D7">
        <f>START_IVSD!E39</f>
        <v>1</v>
      </c>
      <c r="E7">
        <f>START_INFSD!$E$32</f>
        <v>1</v>
      </c>
      <c r="F7">
        <f>START_POMD!E32</f>
        <v>1</v>
      </c>
      <c r="G7">
        <f>START_IVMD!$E$39</f>
        <v>1</v>
      </c>
      <c r="H7">
        <f>START_INFMD!$E$32</f>
        <v>1</v>
      </c>
      <c r="I7">
        <f>SDT_1!E32</f>
        <v>1</v>
      </c>
      <c r="J7">
        <f>SDT_2!E32</f>
        <v>1</v>
      </c>
      <c r="K7">
        <f>SDT_3!E32</f>
        <v>1</v>
      </c>
      <c r="L7">
        <f>SDC_1!E32</f>
        <v>1</v>
      </c>
      <c r="M7">
        <f>SDC_2!E32</f>
        <v>1</v>
      </c>
      <c r="N7">
        <f>SDC_3!E32</f>
        <v>1</v>
      </c>
      <c r="O7">
        <f>SDC_4a!E39</f>
        <v>1</v>
      </c>
      <c r="P7">
        <f>SDC_4b!E39</f>
        <v>1</v>
      </c>
      <c r="Q7">
        <f>SDC_4c!E39</f>
        <v>1</v>
      </c>
      <c r="R7">
        <f>SDC_4d!E39</f>
        <v>1</v>
      </c>
      <c r="S7">
        <f>MDT_1!E32</f>
        <v>1</v>
      </c>
      <c r="T7">
        <f>MDT_2!E32</f>
        <v>1</v>
      </c>
      <c r="U7">
        <f>MDT_3!E32</f>
        <v>1</v>
      </c>
      <c r="V7">
        <f>MDT_3a!E32</f>
        <v>1</v>
      </c>
      <c r="W7">
        <f>MDC_1_noss!E32</f>
        <v>1</v>
      </c>
      <c r="X7">
        <f>MDC_2_noss!E32</f>
        <v>1</v>
      </c>
      <c r="Y7">
        <f>MDC_3_noss!E32</f>
        <v>1</v>
      </c>
      <c r="Z7">
        <f>MDC_1_ss!E32</f>
        <v>1</v>
      </c>
      <c r="AA7">
        <f>MDC_2_ss!E32</f>
        <v>1</v>
      </c>
      <c r="AB7">
        <f>MDC_3_ss!E32</f>
        <v>1</v>
      </c>
      <c r="AC7" s="64">
        <f>POSDLOQ_1!$E$32</f>
        <v>1</v>
      </c>
      <c r="AD7" s="64">
        <f>POSDLOQ_2!$E$32</f>
        <v>1</v>
      </c>
      <c r="AE7" s="64">
        <f>POSDLOQ_3!$E$32</f>
        <v>1</v>
      </c>
      <c r="AF7" s="64">
        <f>POSDLOQ_4!$E$32</f>
        <v>1</v>
      </c>
      <c r="AG7" s="64">
        <f>IVSDLOQ_1!$E$39</f>
        <v>1</v>
      </c>
      <c r="AH7" s="64">
        <f>IVSDLOQ_2!$E$39</f>
        <v>1</v>
      </c>
      <c r="AI7" s="64">
        <f>IVSDLOQ_3!$E$39</f>
        <v>1</v>
      </c>
      <c r="AJ7" s="64">
        <f>IVSDLOQ_4!$E$39</f>
        <v>1</v>
      </c>
      <c r="AK7" s="64">
        <f>POSDEXCL!$E$32</f>
        <v>1</v>
      </c>
      <c r="AL7" s="64">
        <f>POSDTRAP_2!$E$32</f>
        <v>1</v>
      </c>
      <c r="AM7" s="64">
        <f>POSDTRAP_3!$E$32</f>
        <v>1</v>
      </c>
    </row>
    <row r="8" spans="1:39" x14ac:dyDescent="0.45">
      <c r="A8" s="3" t="s">
        <v>146</v>
      </c>
      <c r="C8">
        <f>START_POSD!E33</f>
        <v>1</v>
      </c>
      <c r="D8">
        <f>START_IVSD!E40</f>
        <v>1</v>
      </c>
      <c r="E8">
        <f>START_INFSD!$E$33</f>
        <v>1</v>
      </c>
      <c r="F8">
        <f>START_POMD!E33</f>
        <v>1</v>
      </c>
      <c r="G8">
        <f>START_IVMD!$E$40</f>
        <v>1</v>
      </c>
      <c r="H8">
        <f>START_INFMD!$E$33</f>
        <v>1</v>
      </c>
      <c r="I8">
        <f>SDT_1!E33</f>
        <v>1</v>
      </c>
      <c r="J8">
        <f>SDT_2!E33</f>
        <v>1</v>
      </c>
      <c r="K8">
        <f>SDT_3!E33</f>
        <v>1</v>
      </c>
      <c r="L8">
        <f>SDC_1!E33</f>
        <v>1</v>
      </c>
      <c r="M8">
        <f>SDC_2!E33</f>
        <v>1</v>
      </c>
      <c r="N8">
        <f>SDC_3!E33</f>
        <v>1</v>
      </c>
      <c r="O8">
        <f>SDC_4a!E40</f>
        <v>1</v>
      </c>
      <c r="P8">
        <f>SDC_4b!E40</f>
        <v>1</v>
      </c>
      <c r="Q8">
        <f>SDC_4c!E40</f>
        <v>1</v>
      </c>
      <c r="R8">
        <f>SDC_4d!E40</f>
        <v>1</v>
      </c>
      <c r="S8">
        <f>MDT_1!E33</f>
        <v>1</v>
      </c>
      <c r="T8">
        <f>MDT_2!E33</f>
        <v>1</v>
      </c>
      <c r="U8">
        <f>MDT_3!E33</f>
        <v>1</v>
      </c>
      <c r="V8">
        <f>MDT_3a!E33</f>
        <v>1</v>
      </c>
      <c r="W8">
        <f>MDC_1_noss!E33</f>
        <v>1</v>
      </c>
      <c r="X8">
        <f>MDC_2_noss!E33</f>
        <v>1</v>
      </c>
      <c r="Y8">
        <f>MDC_3_noss!E33</f>
        <v>1</v>
      </c>
      <c r="Z8">
        <f>MDC_1_ss!E33</f>
        <v>1</v>
      </c>
      <c r="AA8">
        <f>MDC_2_ss!E33</f>
        <v>1</v>
      </c>
      <c r="AB8">
        <f>MDC_3_ss!E33</f>
        <v>1</v>
      </c>
      <c r="AC8">
        <f>POSDLOQ_1!$E$33</f>
        <v>1</v>
      </c>
      <c r="AD8">
        <f>POSDLOQ_2!$E$33</f>
        <v>1</v>
      </c>
      <c r="AE8">
        <f>POSDLOQ_3!$E$33</f>
        <v>1</v>
      </c>
      <c r="AF8">
        <f>POSDLOQ_4!$E$33</f>
        <v>1</v>
      </c>
      <c r="AG8">
        <f>IVSDLOQ_1!$E$40</f>
        <v>1</v>
      </c>
      <c r="AH8">
        <f>IVSDLOQ_2!$E$40</f>
        <v>1</v>
      </c>
      <c r="AI8">
        <f>IVSDLOQ_3!$E$40</f>
        <v>1</v>
      </c>
      <c r="AJ8">
        <f>IVSDLOQ_4!$E$40</f>
        <v>1</v>
      </c>
      <c r="AK8">
        <f>POSDEXCL!$E$33</f>
        <v>1</v>
      </c>
      <c r="AL8">
        <f>POSDTRAP_2!$E$33</f>
        <v>1</v>
      </c>
      <c r="AM8">
        <f>POSDTRAP_3!$E$33</f>
        <v>1</v>
      </c>
    </row>
    <row r="9" spans="1:39" x14ac:dyDescent="0.45">
      <c r="A9" s="3" t="s">
        <v>147</v>
      </c>
      <c r="C9">
        <f>START_POSD!E34</f>
        <v>1000</v>
      </c>
      <c r="D9">
        <f>START_IVSD!E41</f>
        <v>1000</v>
      </c>
      <c r="E9">
        <f>START_INFSD!$E$34</f>
        <v>1000</v>
      </c>
      <c r="F9">
        <f>START_POMD!E34</f>
        <v>1000</v>
      </c>
      <c r="G9">
        <f>START_IVMD!$E$41</f>
        <v>1000</v>
      </c>
      <c r="H9">
        <f>START_INFMD!$E$34</f>
        <v>1000</v>
      </c>
      <c r="I9">
        <f>SDT_1!E34</f>
        <v>1000</v>
      </c>
      <c r="J9">
        <f>SDT_2!E34</f>
        <v>1000</v>
      </c>
      <c r="K9">
        <f>SDT_3!E34</f>
        <v>1000</v>
      </c>
      <c r="L9">
        <f>SDC_1!E34</f>
        <v>1000</v>
      </c>
      <c r="M9">
        <f>SDC_2!E34</f>
        <v>1000</v>
      </c>
      <c r="N9">
        <f>SDC_3!E34</f>
        <v>1000</v>
      </c>
      <c r="O9">
        <f>SDC_4a!E41</f>
        <v>1000</v>
      </c>
      <c r="P9">
        <f>SDC_4b!E41</f>
        <v>1000</v>
      </c>
      <c r="Q9">
        <f>SDC_4c!E41</f>
        <v>1000</v>
      </c>
      <c r="R9">
        <f>SDC_4d!E41</f>
        <v>1000</v>
      </c>
      <c r="S9">
        <f>MDT_1!E34</f>
        <v>1000</v>
      </c>
      <c r="T9">
        <f>MDT_2!E34</f>
        <v>1000</v>
      </c>
      <c r="U9">
        <f>MDT_3!E34</f>
        <v>1000</v>
      </c>
      <c r="V9">
        <f>MDT_3a!E34</f>
        <v>1000</v>
      </c>
      <c r="W9">
        <f>MDC_1_noss!E34</f>
        <v>1000</v>
      </c>
      <c r="X9">
        <f>MDC_2_noss!E34</f>
        <v>1000</v>
      </c>
      <c r="Y9">
        <f>MDC_3_noss!E34</f>
        <v>1000</v>
      </c>
      <c r="Z9">
        <f>MDC_1_ss!E34</f>
        <v>1000</v>
      </c>
      <c r="AA9">
        <f>MDC_2_ss!E34</f>
        <v>1000</v>
      </c>
      <c r="AB9">
        <f>MDC_3_ss!E34</f>
        <v>1000</v>
      </c>
      <c r="AC9">
        <f>POSDLOQ_1!$E$34</f>
        <v>1000</v>
      </c>
      <c r="AD9">
        <f>POSDLOQ_2!$E$34</f>
        <v>1000</v>
      </c>
      <c r="AE9">
        <f>POSDLOQ_3!$E$34</f>
        <v>1000</v>
      </c>
      <c r="AF9">
        <f>POSDLOQ_4!$E$34</f>
        <v>1000</v>
      </c>
      <c r="AG9">
        <f>IVSDLOQ_1!$E$41</f>
        <v>1000</v>
      </c>
      <c r="AH9">
        <f>IVSDLOQ_2!$E$41</f>
        <v>1000</v>
      </c>
      <c r="AI9">
        <f>IVSDLOQ_3!$E$41</f>
        <v>1000</v>
      </c>
      <c r="AJ9">
        <f>IVSDLOQ_4!$E$41</f>
        <v>1000</v>
      </c>
      <c r="AK9">
        <f>POSDEXCL!$E$34</f>
        <v>1000</v>
      </c>
      <c r="AL9">
        <f>POSDTRAP_2!$E$34</f>
        <v>1000</v>
      </c>
      <c r="AM9">
        <f>POSDTRAP_3!$E$34</f>
        <v>1000</v>
      </c>
    </row>
    <row r="10" spans="1:39" x14ac:dyDescent="0.45">
      <c r="A10" s="3" t="s">
        <v>148</v>
      </c>
      <c r="C10">
        <f>START_POSD!E35</f>
        <v>24</v>
      </c>
      <c r="D10">
        <f>START_IVSD!E42</f>
        <v>24</v>
      </c>
      <c r="E10">
        <f>START_INFSD!$E$35</f>
        <v>24</v>
      </c>
      <c r="F10">
        <f>START_POMD!E35</f>
        <v>24</v>
      </c>
      <c r="G10">
        <f>START_IVMD!$E$42</f>
        <v>24</v>
      </c>
      <c r="H10">
        <f>START_INFMD!$E$35</f>
        <v>24</v>
      </c>
      <c r="I10">
        <f>SDT_1!E35</f>
        <v>24</v>
      </c>
      <c r="J10">
        <f>SDT_2!E35</f>
        <v>24</v>
      </c>
      <c r="K10">
        <f>SDT_3!E35</f>
        <v>24</v>
      </c>
      <c r="L10">
        <f>SDC_1!E35</f>
        <v>24</v>
      </c>
      <c r="M10">
        <f>SDC_2!E35</f>
        <v>24</v>
      </c>
      <c r="N10">
        <f>SDC_3!E35</f>
        <v>24</v>
      </c>
      <c r="O10">
        <f>SDC_4a!E42</f>
        <v>24</v>
      </c>
      <c r="P10">
        <f>SDC_4b!E42</f>
        <v>24</v>
      </c>
      <c r="Q10">
        <f>SDC_4c!E42</f>
        <v>24</v>
      </c>
      <c r="R10">
        <f>SDC_4d!E42</f>
        <v>24</v>
      </c>
      <c r="S10">
        <f>MDT_1!E35</f>
        <v>24</v>
      </c>
      <c r="T10">
        <f>MDT_2!E35</f>
        <v>24</v>
      </c>
      <c r="U10">
        <f>MDT_3!E35</f>
        <v>24</v>
      </c>
      <c r="V10">
        <f>MDT_3a!E35</f>
        <v>24</v>
      </c>
      <c r="W10">
        <f>MDC_1_noss!E35</f>
        <v>24</v>
      </c>
      <c r="X10">
        <f>MDC_2_noss!E35</f>
        <v>24</v>
      </c>
      <c r="Y10">
        <f>MDC_3_noss!E35</f>
        <v>24</v>
      </c>
      <c r="Z10">
        <f>MDC_1_ss!E35</f>
        <v>24</v>
      </c>
      <c r="AA10">
        <f>MDC_2_ss!E35</f>
        <v>24</v>
      </c>
      <c r="AB10">
        <f>MDC_3_ss!E35</f>
        <v>24</v>
      </c>
      <c r="AC10">
        <f>POSDLOQ_1!$E$35</f>
        <v>24</v>
      </c>
      <c r="AD10">
        <f>POSDLOQ_2!$E$35</f>
        <v>24</v>
      </c>
      <c r="AE10">
        <f>POSDLOQ_3!$E$35</f>
        <v>24</v>
      </c>
      <c r="AF10">
        <f>POSDLOQ_4!$E$35</f>
        <v>24</v>
      </c>
      <c r="AG10">
        <f>IVSDLOQ_1!$E$42</f>
        <v>24</v>
      </c>
      <c r="AH10">
        <f>IVSDLOQ_2!$E$42</f>
        <v>24</v>
      </c>
      <c r="AI10">
        <f>IVSDLOQ_3!$E$42</f>
        <v>24</v>
      </c>
      <c r="AJ10">
        <f>IVSDLOQ_4!$E$42</f>
        <v>24</v>
      </c>
      <c r="AK10">
        <f>POSDEXCL!$E$35</f>
        <v>24</v>
      </c>
      <c r="AL10">
        <f>POSDTRAP_2!$E$35</f>
        <v>24</v>
      </c>
      <c r="AM10">
        <f>POSDTRAP_3!$E$35</f>
        <v>24</v>
      </c>
    </row>
    <row r="11" spans="1:39" x14ac:dyDescent="0.45">
      <c r="A11" s="3" t="s">
        <v>149</v>
      </c>
      <c r="C11">
        <f>START_POSD!E36</f>
        <v>18</v>
      </c>
      <c r="D11">
        <f>START_IVSD!E43</f>
        <v>18</v>
      </c>
      <c r="E11">
        <f>START_INFSD!$E$36</f>
        <v>18</v>
      </c>
      <c r="F11">
        <f>START_POMD!E36</f>
        <v>18</v>
      </c>
      <c r="G11">
        <f>START_IVMD!$E$43</f>
        <v>18</v>
      </c>
      <c r="H11">
        <f>START_INFMD!$E$36</f>
        <v>18</v>
      </c>
      <c r="I11">
        <f>SDT_1!E36</f>
        <v>18</v>
      </c>
      <c r="J11">
        <f>SDT_2!E36</f>
        <v>18</v>
      </c>
      <c r="K11">
        <f>SDT_3!E36</f>
        <v>18</v>
      </c>
      <c r="L11">
        <f>SDC_1!E36</f>
        <v>18</v>
      </c>
      <c r="M11">
        <f>SDC_2!E36</f>
        <v>18</v>
      </c>
      <c r="N11">
        <f>SDC_3!E36</f>
        <v>18</v>
      </c>
      <c r="O11">
        <f>SDC_4a!E43</f>
        <v>18</v>
      </c>
      <c r="P11">
        <f>SDC_4b!E43</f>
        <v>18</v>
      </c>
      <c r="Q11">
        <f>SDC_4c!E43</f>
        <v>18</v>
      </c>
      <c r="R11">
        <f>SDC_4d!E43</f>
        <v>18</v>
      </c>
      <c r="S11">
        <f>MDT_1!E36</f>
        <v>18</v>
      </c>
      <c r="T11">
        <f>MDT_2!E36</f>
        <v>18</v>
      </c>
      <c r="U11">
        <f>MDT_3!E36</f>
        <v>18</v>
      </c>
      <c r="V11">
        <f>MDT_3a!E36</f>
        <v>18</v>
      </c>
      <c r="W11">
        <f>MDC_1_noss!E36</f>
        <v>18</v>
      </c>
      <c r="X11">
        <f>MDC_2_noss!E36</f>
        <v>18</v>
      </c>
      <c r="Y11">
        <f>MDC_3_noss!E36</f>
        <v>18</v>
      </c>
      <c r="Z11">
        <f>MDC_1_ss!E36</f>
        <v>18</v>
      </c>
      <c r="AA11">
        <f>MDC_2_ss!E36</f>
        <v>18</v>
      </c>
      <c r="AB11">
        <f>MDC_3_ss!E36</f>
        <v>18</v>
      </c>
      <c r="AC11">
        <f>POSDLOQ_1!$E$36</f>
        <v>18</v>
      </c>
      <c r="AD11">
        <f>POSDLOQ_2!$E$36</f>
        <v>18</v>
      </c>
      <c r="AE11">
        <f>POSDLOQ_3!$E$36</f>
        <v>18</v>
      </c>
      <c r="AF11">
        <f>POSDLOQ_4!$E$36</f>
        <v>18</v>
      </c>
      <c r="AG11">
        <f>IVSDLOQ_1!$E$43</f>
        <v>18</v>
      </c>
      <c r="AH11">
        <f>IVSDLOQ_2!$E$43</f>
        <v>18</v>
      </c>
      <c r="AI11">
        <f>IVSDLOQ_3!$E$43</f>
        <v>18</v>
      </c>
      <c r="AJ11">
        <f>IVSDLOQ_4!$E$43</f>
        <v>18</v>
      </c>
      <c r="AK11">
        <f>POSDEXCL!$E$36</f>
        <v>18</v>
      </c>
      <c r="AL11">
        <f>POSDTRAP_2!$E$36</f>
        <v>18</v>
      </c>
      <c r="AM11">
        <f>POSDTRAP_3!$E$36</f>
        <v>18</v>
      </c>
    </row>
    <row r="12" spans="1:39" x14ac:dyDescent="0.45">
      <c r="A12" s="3" t="s">
        <v>150</v>
      </c>
      <c r="C12">
        <f>START_POSD!E37</f>
        <v>4</v>
      </c>
      <c r="D12">
        <f>START_IVSD!E44</f>
        <v>4</v>
      </c>
      <c r="E12">
        <f>START_INFSD!$E$37</f>
        <v>4</v>
      </c>
      <c r="F12">
        <f>START_POMD!E37</f>
        <v>4</v>
      </c>
      <c r="G12">
        <f>START_IVMD!$E$44</f>
        <v>4</v>
      </c>
      <c r="H12">
        <f>START_INFMD!$E$37</f>
        <v>4</v>
      </c>
      <c r="I12">
        <f>SDT_1!E37</f>
        <v>4</v>
      </c>
      <c r="J12">
        <f>SDT_2!E37</f>
        <v>4</v>
      </c>
      <c r="K12">
        <f>SDT_3!E37</f>
        <v>4</v>
      </c>
      <c r="L12">
        <f>SDC_1!E37</f>
        <v>4</v>
      </c>
      <c r="M12">
        <f>SDC_2!E37</f>
        <v>4</v>
      </c>
      <c r="N12">
        <f>SDC_3!E37</f>
        <v>4</v>
      </c>
      <c r="O12">
        <f>SDC_4a!E44</f>
        <v>4</v>
      </c>
      <c r="P12">
        <f>SDC_4b!E44</f>
        <v>4</v>
      </c>
      <c r="Q12">
        <f>SDC_4c!E44</f>
        <v>4</v>
      </c>
      <c r="R12">
        <f>SDC_4d!E44</f>
        <v>4</v>
      </c>
      <c r="S12">
        <f>MDT_1!E37</f>
        <v>4</v>
      </c>
      <c r="T12">
        <f>MDT_2!E37</f>
        <v>4</v>
      </c>
      <c r="U12">
        <f>MDT_3!E37</f>
        <v>4</v>
      </c>
      <c r="V12">
        <f>MDT_3a!E37</f>
        <v>4</v>
      </c>
      <c r="W12">
        <f>MDC_1_noss!E37</f>
        <v>4</v>
      </c>
      <c r="X12">
        <f>MDC_2_noss!E37</f>
        <v>4</v>
      </c>
      <c r="Y12">
        <f>MDC_3_noss!E37</f>
        <v>4</v>
      </c>
      <c r="Z12">
        <f>MDC_1_ss!E37</f>
        <v>4</v>
      </c>
      <c r="AA12">
        <f>MDC_2_ss!E37</f>
        <v>4</v>
      </c>
      <c r="AB12">
        <f>MDC_3_ss!E37</f>
        <v>4</v>
      </c>
      <c r="AC12">
        <f>POSDLOQ_1!$E$37</f>
        <v>4</v>
      </c>
      <c r="AD12">
        <f>POSDLOQ_2!$E$37</f>
        <v>4</v>
      </c>
      <c r="AE12">
        <f>POSDLOQ_3!$E$37</f>
        <v>4</v>
      </c>
      <c r="AF12">
        <f>POSDLOQ_4!$E$37</f>
        <v>4</v>
      </c>
      <c r="AG12">
        <f>IVSDLOQ_1!$E$44</f>
        <v>4</v>
      </c>
      <c r="AH12">
        <f>IVSDLOQ_2!$E$44</f>
        <v>4</v>
      </c>
      <c r="AI12">
        <f>IVSDLOQ_3!$E$44</f>
        <v>4</v>
      </c>
      <c r="AJ12">
        <f>IVSDLOQ_4!$E$44</f>
        <v>4</v>
      </c>
      <c r="AK12">
        <f>POSDEXCL!$E$37</f>
        <v>4</v>
      </c>
      <c r="AL12">
        <f>POSDTRAP_2!$E$37</f>
        <v>4</v>
      </c>
      <c r="AM12">
        <f>POSDTRAP_3!$E$37</f>
        <v>4</v>
      </c>
    </row>
    <row r="13" spans="1:39" x14ac:dyDescent="0.45">
      <c r="A13" s="3" t="s">
        <v>151</v>
      </c>
      <c r="C13">
        <f>START_POSD!E38</f>
        <v>12</v>
      </c>
      <c r="D13">
        <f>START_IVSD!E45</f>
        <v>12</v>
      </c>
      <c r="E13">
        <f>START_INFSD!$E$38</f>
        <v>12</v>
      </c>
      <c r="F13">
        <f>START_POMD!E38</f>
        <v>12</v>
      </c>
      <c r="G13">
        <f>START_IVMD!$E$45</f>
        <v>12</v>
      </c>
      <c r="H13">
        <f>START_INFMD!$E$38</f>
        <v>12</v>
      </c>
      <c r="I13">
        <f>SDT_1!E38</f>
        <v>12</v>
      </c>
      <c r="J13">
        <f>SDT_2!E38</f>
        <v>12</v>
      </c>
      <c r="K13">
        <f>SDT_3!E38</f>
        <v>12</v>
      </c>
      <c r="L13">
        <f>SDC_1!E38</f>
        <v>12</v>
      </c>
      <c r="M13">
        <f>SDC_2!E38</f>
        <v>12</v>
      </c>
      <c r="N13">
        <f>SDC_3!E38</f>
        <v>12</v>
      </c>
      <c r="O13">
        <f>SDC_4a!E45</f>
        <v>12</v>
      </c>
      <c r="P13">
        <f>SDC_4b!E45</f>
        <v>12</v>
      </c>
      <c r="Q13">
        <f>SDC_4c!E45</f>
        <v>12</v>
      </c>
      <c r="R13">
        <f>SDC_4d!E45</f>
        <v>12</v>
      </c>
      <c r="S13">
        <f>MDT_1!E38</f>
        <v>12</v>
      </c>
      <c r="T13">
        <f>MDT_2!E38</f>
        <v>12</v>
      </c>
      <c r="U13">
        <f>MDT_3!E38</f>
        <v>12</v>
      </c>
      <c r="V13">
        <f>MDT_3a!E38</f>
        <v>12</v>
      </c>
      <c r="W13">
        <f>MDC_1_noss!E38</f>
        <v>12</v>
      </c>
      <c r="X13">
        <f>MDC_2_noss!E38</f>
        <v>12</v>
      </c>
      <c r="Y13">
        <f>MDC_3_noss!E38</f>
        <v>12</v>
      </c>
      <c r="Z13">
        <f>MDC_1_ss!E38</f>
        <v>12</v>
      </c>
      <c r="AA13">
        <f>MDC_2_ss!E38</f>
        <v>12</v>
      </c>
      <c r="AB13">
        <f>MDC_3_ss!E38</f>
        <v>12</v>
      </c>
      <c r="AC13">
        <f>POSDLOQ_1!$E$38</f>
        <v>12</v>
      </c>
      <c r="AD13">
        <f>POSDLOQ_2!$E$38</f>
        <v>12</v>
      </c>
      <c r="AE13">
        <f>POSDLOQ_3!$E$38</f>
        <v>12</v>
      </c>
      <c r="AF13">
        <f>POSDLOQ_4!$E$38</f>
        <v>12</v>
      </c>
      <c r="AG13">
        <f>IVSDLOQ_1!$E$45</f>
        <v>12</v>
      </c>
      <c r="AH13">
        <f>IVSDLOQ_2!$E$45</f>
        <v>12</v>
      </c>
      <c r="AI13">
        <f>IVSDLOQ_3!$E$45</f>
        <v>12</v>
      </c>
      <c r="AJ13">
        <f>IVSDLOQ_4!$E$45</f>
        <v>12</v>
      </c>
      <c r="AK13">
        <f>POSDEXCL!$E$38</f>
        <v>12</v>
      </c>
      <c r="AL13">
        <f>POSDTRAP_2!$E$38</f>
        <v>12</v>
      </c>
      <c r="AM13">
        <f>POSDTRAP_3!$E$38</f>
        <v>12</v>
      </c>
    </row>
    <row r="15" spans="1:39" x14ac:dyDescent="0.45">
      <c r="A15" s="3" t="s">
        <v>23</v>
      </c>
      <c r="C15">
        <f>START_POSD!B28</f>
        <v>48</v>
      </c>
      <c r="D15">
        <f>START_IVSD!B35</f>
        <v>48</v>
      </c>
      <c r="E15">
        <f>START_INFSD!$B$28</f>
        <v>48</v>
      </c>
      <c r="F15">
        <f>START_POMD!B28</f>
        <v>48</v>
      </c>
      <c r="G15">
        <f>START_IVMD!$B$35</f>
        <v>48</v>
      </c>
      <c r="H15">
        <f>START_INFMD!$B$28</f>
        <v>48</v>
      </c>
      <c r="I15">
        <f>SDT_1!B28</f>
        <v>48</v>
      </c>
      <c r="J15">
        <f>SDT_2!B28</f>
        <v>48</v>
      </c>
      <c r="K15">
        <f>SDT_3!B28</f>
        <v>23.1</v>
      </c>
      <c r="L15">
        <f>SDC_1!B28</f>
        <v>48</v>
      </c>
      <c r="M15">
        <f>SDC_2!B28</f>
        <v>48</v>
      </c>
      <c r="N15">
        <f>SDC_3!B28</f>
        <v>18</v>
      </c>
      <c r="O15">
        <f>SDC_4a!B35</f>
        <v>48</v>
      </c>
      <c r="P15">
        <f>SDC_4b!B35</f>
        <v>48</v>
      </c>
      <c r="Q15">
        <f>SDC_4c!B35</f>
        <v>48</v>
      </c>
      <c r="R15">
        <f>SDC_4d!B35</f>
        <v>48</v>
      </c>
      <c r="S15">
        <f>MDT_1!B28</f>
        <v>48</v>
      </c>
      <c r="T15">
        <f>MDT_2!B28</f>
        <v>48</v>
      </c>
      <c r="U15">
        <f>MDT_3!B28</f>
        <v>23.1</v>
      </c>
      <c r="V15">
        <f>MDT_3a!B28</f>
        <v>48</v>
      </c>
      <c r="W15">
        <f>MDC_1_noss!B28</f>
        <v>48</v>
      </c>
      <c r="X15">
        <f>MDC_2_noss!B28</f>
        <v>48</v>
      </c>
      <c r="Y15">
        <f>MDC_3_noss!B28</f>
        <v>18</v>
      </c>
      <c r="Z15">
        <f>MDC_1_ss!B28</f>
        <v>48</v>
      </c>
      <c r="AA15">
        <f>MDC_2_ss!B28</f>
        <v>48</v>
      </c>
      <c r="AB15">
        <f>MDC_3_ss!B28</f>
        <v>18</v>
      </c>
      <c r="AC15">
        <f>POSDLOQ_1!$B$28</f>
        <v>24</v>
      </c>
      <c r="AD15">
        <f>POSDLOQ_2!$B$28</f>
        <v>24</v>
      </c>
      <c r="AE15">
        <f>POSDLOQ_3!$B$28</f>
        <v>24</v>
      </c>
      <c r="AF15">
        <f>POSDLOQ_4!$B$28</f>
        <v>24</v>
      </c>
      <c r="AG15">
        <f>IVSDLOQ_1!$B$35</f>
        <v>24</v>
      </c>
      <c r="AH15">
        <f>IVSDLOQ_2!$B$35</f>
        <v>24</v>
      </c>
      <c r="AI15">
        <f>IVSDLOQ_3!$B$35</f>
        <v>24</v>
      </c>
      <c r="AJ15">
        <f>IVSDLOQ_4!$B$35</f>
        <v>24</v>
      </c>
      <c r="AK15">
        <f>POSDEXCL!$B$28</f>
        <v>48</v>
      </c>
      <c r="AL15">
        <f>POSDTRAP_2!$B$28</f>
        <v>48</v>
      </c>
      <c r="AM15">
        <f>POSDTRAP_3!$B$28</f>
        <v>48</v>
      </c>
    </row>
    <row r="16" spans="1:39" x14ac:dyDescent="0.45">
      <c r="A16" s="3" t="s">
        <v>128</v>
      </c>
      <c r="C16">
        <f>START_POSD!B29</f>
        <v>0.11</v>
      </c>
      <c r="D16">
        <f>START_IVSD!B36</f>
        <v>6</v>
      </c>
      <c r="E16">
        <f>START_INFSD!$B$29</f>
        <v>0.11</v>
      </c>
      <c r="F16">
        <f>START_POMD!B29</f>
        <v>0.11</v>
      </c>
      <c r="G16">
        <f>START_IVMD!$B$36</f>
        <v>6</v>
      </c>
      <c r="H16">
        <f>START_INFMD!$B$29</f>
        <v>0.11</v>
      </c>
      <c r="I16">
        <f>SDT_1!B29</f>
        <v>0.11</v>
      </c>
      <c r="J16">
        <f>SDT_2!B29</f>
        <v>0.11</v>
      </c>
      <c r="K16">
        <f>SDT_3!B29</f>
        <v>1.45</v>
      </c>
      <c r="L16">
        <f>SDC_1!B29</f>
        <v>0.11</v>
      </c>
      <c r="M16">
        <f>SDC_2!B29</f>
        <v>0.11</v>
      </c>
      <c r="N16">
        <f>SDC_3!B29</f>
        <v>2.46</v>
      </c>
      <c r="O16">
        <f>SDC_4a!B36</f>
        <v>6</v>
      </c>
      <c r="P16">
        <f>SDC_4b!B36</f>
        <v>6</v>
      </c>
      <c r="Q16">
        <f>SDC_4c!B36</f>
        <v>6</v>
      </c>
      <c r="R16">
        <f>SDC_4d!B36</f>
        <v>6</v>
      </c>
      <c r="S16">
        <f>MDT_1!B29</f>
        <v>0.11</v>
      </c>
      <c r="T16">
        <f>MDT_2!B29</f>
        <v>0.11</v>
      </c>
      <c r="U16">
        <f>MDT_3!B29</f>
        <v>1.45</v>
      </c>
      <c r="V16">
        <f>MDT_3a!B29</f>
        <v>0.11</v>
      </c>
      <c r="W16">
        <f>MDC_1_noss!B29</f>
        <v>0.11</v>
      </c>
      <c r="X16">
        <f>MDC_2_noss!B29</f>
        <v>0.11</v>
      </c>
      <c r="Y16">
        <f>MDC_3_noss!B29</f>
        <v>2.46</v>
      </c>
      <c r="Z16">
        <f>MDC_1_ss!B29</f>
        <v>0.11</v>
      </c>
      <c r="AA16">
        <f>MDC_2_ss!B29</f>
        <v>0.11</v>
      </c>
      <c r="AB16">
        <f>MDC_3_ss!B29</f>
        <v>2.46</v>
      </c>
      <c r="AC16">
        <f>POSDLOQ_1!$B$29</f>
        <v>1.45</v>
      </c>
      <c r="AD16">
        <f>POSDLOQ_2!$B$29</f>
        <v>1.45</v>
      </c>
      <c r="AE16">
        <f>POSDLOQ_3!$B$29</f>
        <v>1.45</v>
      </c>
      <c r="AF16">
        <f>POSDLOQ_4!$B$29</f>
        <v>1.45</v>
      </c>
      <c r="AG16">
        <f>IVSDLOQ_1!$B$36</f>
        <v>30</v>
      </c>
      <c r="AH16">
        <f>IVSDLOQ_2!$B$36</f>
        <v>30</v>
      </c>
      <c r="AI16">
        <f>IVSDLOQ_3!$B$36</f>
        <v>30</v>
      </c>
      <c r="AJ16">
        <f>IVSDLOQ_4!$B$36</f>
        <v>30</v>
      </c>
      <c r="AK16">
        <f>POSDEXCL!$B$29</f>
        <v>0.11</v>
      </c>
      <c r="AL16">
        <f>POSDTRAP_2!$B$29</f>
        <v>0.11</v>
      </c>
      <c r="AM16">
        <f>POSDTRAP_3!$B$29</f>
        <v>0.11</v>
      </c>
    </row>
    <row r="17" spans="1:39" x14ac:dyDescent="0.45">
      <c r="A17" s="3" t="s">
        <v>129</v>
      </c>
      <c r="C17">
        <f>START_POSD!B30</f>
        <v>0.11274277559905585</v>
      </c>
      <c r="D17">
        <f>START_IVSD!B37</f>
        <v>5.9372720669530601</v>
      </c>
      <c r="E17">
        <f>START_INFSD!$B$30</f>
        <v>0.11274277559905585</v>
      </c>
      <c r="F17">
        <f>START_POMD!B30</f>
        <v>0.11274277559905585</v>
      </c>
      <c r="G17">
        <f>START_IVMD!$B$37</f>
        <v>5.9372720669530601</v>
      </c>
      <c r="H17">
        <f>START_INFMD!$B$30</f>
        <v>0.11274277559905585</v>
      </c>
      <c r="I17">
        <f>SDT_1!B30</f>
        <v>0.11274277559905585</v>
      </c>
      <c r="J17">
        <f>SDT_2!B30</f>
        <v>0.11274277559905585</v>
      </c>
      <c r="K17">
        <f>SDT_3!B30</f>
        <v>1.5239298951627811</v>
      </c>
      <c r="L17">
        <f>SDC_1!B30</f>
        <v>0.11274277559905585</v>
      </c>
      <c r="M17">
        <f>SDC_2!B30</f>
        <v>0.11274277559905585</v>
      </c>
      <c r="N17">
        <f>SDC_3!B30</f>
        <v>2.4722450712147155</v>
      </c>
      <c r="O17">
        <f>SDC_4a!B37</f>
        <v>5.9372720669530601</v>
      </c>
      <c r="P17">
        <f>SDC_4b!B37</f>
        <v>5.9372720669530601</v>
      </c>
      <c r="Q17">
        <f>SDC_4c!B37</f>
        <v>5.9372720669530601</v>
      </c>
      <c r="R17">
        <f>SDC_4d!B37</f>
        <v>5.9372720669530601</v>
      </c>
      <c r="S17">
        <f>MDT_1!B30</f>
        <v>0.11274277559905585</v>
      </c>
      <c r="T17">
        <f>MDT_2!B30</f>
        <v>0.11274277559905585</v>
      </c>
      <c r="U17">
        <f>MDT_3!B30</f>
        <v>1.5239298951627811</v>
      </c>
      <c r="V17">
        <f>MDT_3a!B30</f>
        <v>0.11274277559905585</v>
      </c>
      <c r="W17">
        <f>MDC_1_noss!B30</f>
        <v>0.11274277559905585</v>
      </c>
      <c r="X17">
        <f>MDC_2_noss!B30</f>
        <v>0.11274277559905585</v>
      </c>
      <c r="Y17">
        <f>MDC_3_noss!B30</f>
        <v>2.4722450712147155</v>
      </c>
      <c r="Z17">
        <f>MDC_1_ss!B30</f>
        <v>0.11274277559905585</v>
      </c>
      <c r="AA17">
        <f>MDC_2_ss!B30</f>
        <v>0.11274277559905585</v>
      </c>
      <c r="AB17">
        <f>MDC_3_ss!B30</f>
        <v>2.4722450712147155</v>
      </c>
      <c r="AC17" s="65">
        <f>POSDLOQ_1!$B$30</f>
        <v>1.4969270660855623</v>
      </c>
      <c r="AD17" s="65">
        <f>POSDLOQ_2!$B$30</f>
        <v>1.4969270660855623</v>
      </c>
      <c r="AE17" s="65">
        <f>POSDLOQ_3!$B$30</f>
        <v>1.4969270660855623</v>
      </c>
      <c r="AF17" s="65">
        <f>POSDLOQ_4!$B$30</f>
        <v>1.4969270660855623</v>
      </c>
      <c r="AG17" s="65">
        <f>IVSDLOQ_1!$B$37</f>
        <v>31.507149253186896</v>
      </c>
      <c r="AH17" s="65">
        <f>IVSDLOQ_2!$B$37</f>
        <v>31.507149253186896</v>
      </c>
      <c r="AI17" s="65">
        <f>IVSDLOQ_3!$B$37</f>
        <v>31.507149253186896</v>
      </c>
      <c r="AJ17" s="65">
        <f>IVSDLOQ_4!$B$37</f>
        <v>31.507149253186896</v>
      </c>
      <c r="AK17" s="65">
        <f>POSDEXCL!$B$30</f>
        <v>0.11274277559905585</v>
      </c>
      <c r="AL17" s="65">
        <f>POSDTRAP_2!$B$30</f>
        <v>0.11274277559905585</v>
      </c>
      <c r="AM17" s="65">
        <f>POSDTRAP_3!$B$30</f>
        <v>0.11274277559905585</v>
      </c>
    </row>
    <row r="18" spans="1:39" x14ac:dyDescent="0.45">
      <c r="A18" s="3" t="s">
        <v>130</v>
      </c>
      <c r="C18">
        <f>START_POSD!B31</f>
        <v>8</v>
      </c>
      <c r="D18">
        <f>START_IVSD!B38</f>
        <v>0.5</v>
      </c>
      <c r="E18">
        <f>START_INFSD!$B$31</f>
        <v>8</v>
      </c>
      <c r="F18">
        <f>START_POMD!B31</f>
        <v>8</v>
      </c>
      <c r="G18">
        <f>START_IVMD!$B$38</f>
        <v>0.5</v>
      </c>
      <c r="H18">
        <f>START_INFMD!$B$31</f>
        <v>8</v>
      </c>
      <c r="I18">
        <f>SDT_1!B31</f>
        <v>8</v>
      </c>
      <c r="J18">
        <f>SDT_2!B31</f>
        <v>8</v>
      </c>
      <c r="K18">
        <f>SDT_3!B31</f>
        <v>8</v>
      </c>
      <c r="L18">
        <f>SDC_1!B31</f>
        <v>8</v>
      </c>
      <c r="M18">
        <f>SDC_2!B31</f>
        <v>8</v>
      </c>
      <c r="N18">
        <f>SDC_3!B31</f>
        <v>8</v>
      </c>
      <c r="O18">
        <f>SDC_4a!B38</f>
        <v>0.5</v>
      </c>
      <c r="P18">
        <f>SDC_4b!B38</f>
        <v>1</v>
      </c>
      <c r="Q18">
        <f>SDC_4c!B38</f>
        <v>0.5</v>
      </c>
      <c r="R18">
        <f>SDC_4d!B38</f>
        <v>0.5</v>
      </c>
      <c r="S18">
        <f>MDT_1!B31</f>
        <v>8</v>
      </c>
      <c r="T18">
        <f>MDT_2!B31</f>
        <v>8</v>
      </c>
      <c r="U18">
        <f>MDT_3!B31</f>
        <v>8</v>
      </c>
      <c r="V18">
        <f>MDT_3a!B31</f>
        <v>8</v>
      </c>
      <c r="W18">
        <f>MDC_1_noss!B31</f>
        <v>8</v>
      </c>
      <c r="X18">
        <f>MDC_2_noss!B31</f>
        <v>8</v>
      </c>
      <c r="Y18">
        <f>MDC_3_noss!B31</f>
        <v>8</v>
      </c>
      <c r="Z18">
        <f>MDC_1_ss!B31</f>
        <v>8</v>
      </c>
      <c r="AA18">
        <f>MDC_2_ss!B31</f>
        <v>8</v>
      </c>
      <c r="AB18">
        <f>MDC_3_ss!B31</f>
        <v>8</v>
      </c>
      <c r="AC18">
        <f>POSDLOQ_1!$B$31</f>
        <v>8</v>
      </c>
      <c r="AD18">
        <f>POSDLOQ_2!$B$31</f>
        <v>8</v>
      </c>
      <c r="AE18">
        <f>POSDLOQ_3!$B$31</f>
        <v>8</v>
      </c>
      <c r="AF18">
        <f>POSDLOQ_4!$B$31</f>
        <v>8</v>
      </c>
      <c r="AG18">
        <f>IVSDLOQ_1!$B$38</f>
        <v>1</v>
      </c>
      <c r="AH18">
        <f>IVSDLOQ_2!$B$38</f>
        <v>1</v>
      </c>
      <c r="AI18">
        <f>IVSDLOQ_3!$B$38</f>
        <v>1</v>
      </c>
      <c r="AJ18">
        <f>IVSDLOQ_4!$B$38</f>
        <v>1</v>
      </c>
      <c r="AK18">
        <f>POSDEXCL!$B$31</f>
        <v>12</v>
      </c>
      <c r="AL18">
        <f>POSDTRAP_2!$B$31</f>
        <v>8</v>
      </c>
      <c r="AM18">
        <f>POSDTRAP_3!$B$31</f>
        <v>8</v>
      </c>
    </row>
    <row r="19" spans="1:39" x14ac:dyDescent="0.45">
      <c r="A19" s="3" t="s">
        <v>131</v>
      </c>
      <c r="C19">
        <f>START_POSD!B32</f>
        <v>4.3099999999999996</v>
      </c>
      <c r="D19">
        <f>START_IVSD!B39</f>
        <v>4211</v>
      </c>
      <c r="E19" s="2">
        <f>START_INFSD!$B$32</f>
        <v>4.3099999999999996</v>
      </c>
      <c r="F19" s="2">
        <f>START_POMD!B32</f>
        <v>4.3099999999999996</v>
      </c>
      <c r="G19" s="2">
        <f>START_IVMD!$B$39</f>
        <v>4211</v>
      </c>
      <c r="H19" s="2">
        <f>START_INFMD!$B$32</f>
        <v>4.3099999999999996</v>
      </c>
      <c r="I19" s="2">
        <f>SDT_1!B32</f>
        <v>4.3099999999999996</v>
      </c>
      <c r="J19" s="2">
        <f>SDT_2!B32</f>
        <v>4.3099999999999996</v>
      </c>
      <c r="K19" s="2">
        <f>SDT_3!B32</f>
        <v>4.3099999999999996</v>
      </c>
      <c r="L19" s="2">
        <f>SDC_1!B32</f>
        <v>4.3099999999999996</v>
      </c>
      <c r="M19" s="2">
        <f>SDC_2!B32</f>
        <v>4.3099999999999996</v>
      </c>
      <c r="N19" s="2">
        <f>SDC_3!B32</f>
        <v>4.3099999999999996</v>
      </c>
      <c r="O19" s="2">
        <f>SDC_4a!B39</f>
        <v>4211</v>
      </c>
      <c r="P19" s="2">
        <f>SDC_4b!B39</f>
        <v>5000</v>
      </c>
      <c r="Q19" s="2">
        <f>SDC_4c!B39</f>
        <v>4211</v>
      </c>
      <c r="R19" s="2">
        <f>SDC_4d!B39</f>
        <v>4211</v>
      </c>
      <c r="S19">
        <f>MDT_1!B32</f>
        <v>4.3099999999999996</v>
      </c>
      <c r="T19">
        <f>MDT_2!B32</f>
        <v>4.3099999999999996</v>
      </c>
      <c r="U19">
        <f>MDT_3!B32</f>
        <v>4.3099999999999996</v>
      </c>
      <c r="V19">
        <f>MDT_3a!B32</f>
        <v>4.3099999999999996</v>
      </c>
      <c r="W19">
        <f>MDC_1_noss!B32</f>
        <v>4.3099999999999996</v>
      </c>
      <c r="X19">
        <f>MDC_2_noss!B32</f>
        <v>4.3099999999999996</v>
      </c>
      <c r="Y19">
        <f>MDC_3_noss!B32</f>
        <v>4.3099999999999996</v>
      </c>
      <c r="Z19">
        <f>MDC_1_ss!B32</f>
        <v>4.3099999999999996</v>
      </c>
      <c r="AA19">
        <f>MDC_2_ss!B32</f>
        <v>4.3099999999999996</v>
      </c>
      <c r="AB19">
        <f>MDC_3_ss!B32</f>
        <v>4.3099999999999996</v>
      </c>
      <c r="AC19" s="2">
        <f>POSDLOQ_1!$B$32</f>
        <v>4.3099999999999996</v>
      </c>
      <c r="AD19" s="2">
        <f>POSDLOQ_2!$B$32</f>
        <v>4.3099999999999996</v>
      </c>
      <c r="AE19" s="2">
        <f>POSDLOQ_3!$B$32</f>
        <v>4.3099999999999996</v>
      </c>
      <c r="AF19" s="2">
        <f>POSDLOQ_4!$B$32</f>
        <v>4.3099999999999996</v>
      </c>
      <c r="AG19" s="2">
        <f>IVSDLOQ_1!$B$39</f>
        <v>1793</v>
      </c>
      <c r="AH19" s="2">
        <f>IVSDLOQ_2!$B$39</f>
        <v>1793</v>
      </c>
      <c r="AI19" s="2">
        <f>IVSDLOQ_3!$B$39</f>
        <v>1793</v>
      </c>
      <c r="AJ19" s="2">
        <f>IVSDLOQ_4!$B$39</f>
        <v>1793</v>
      </c>
      <c r="AK19" s="2">
        <f>POSDEXCL!$B$32</f>
        <v>10.72</v>
      </c>
      <c r="AL19" s="2">
        <f>POSDTRAP_2!$B$32</f>
        <v>4.3099999999999996</v>
      </c>
      <c r="AM19" s="2">
        <f>POSDTRAP_3!$B$32</f>
        <v>4.3099999999999996</v>
      </c>
    </row>
    <row r="20" spans="1:39" x14ac:dyDescent="0.45">
      <c r="A20" s="3" t="s">
        <v>30</v>
      </c>
      <c r="C20">
        <f>START_POSD!B33</f>
        <v>0.10745160290092515</v>
      </c>
      <c r="D20">
        <f>START_IVSD!B40</f>
        <v>6.7059913018087516E-2</v>
      </c>
      <c r="E20">
        <f>START_INFSD!$B$33</f>
        <v>0.10745160290092515</v>
      </c>
      <c r="F20">
        <f>START_POMD!B33</f>
        <v>0.10745160290092515</v>
      </c>
      <c r="G20">
        <f>START_IVMD!$B$40</f>
        <v>6.7059913018087516E-2</v>
      </c>
      <c r="H20">
        <f>START_INFMD!$B$33</f>
        <v>0.10745160290092515</v>
      </c>
      <c r="I20">
        <f>SDT_1!B33</f>
        <v>0.10745160290092515</v>
      </c>
      <c r="J20">
        <f>SDT_2!B33</f>
        <v>0.10745160290092515</v>
      </c>
      <c r="K20">
        <f>SDT_3!B33</f>
        <v>7.8799444439875646E-2</v>
      </c>
      <c r="L20">
        <f>SDC_1!B33</f>
        <v>0.10745160290092515</v>
      </c>
      <c r="M20">
        <f>SDC_2!B33</f>
        <v>0.10745160290092515</v>
      </c>
      <c r="N20">
        <f>SDC_3!B33</f>
        <v>6.4789283408341586E-2</v>
      </c>
      <c r="O20">
        <f>SDC_4a!B40</f>
        <v>6.7059913018087516E-2</v>
      </c>
      <c r="P20">
        <f>SDC_4b!B40</f>
        <v>6.7059913018087516E-2</v>
      </c>
      <c r="Q20">
        <f>SDC_4c!B40</f>
        <v>6.7059913018087516E-2</v>
      </c>
      <c r="R20">
        <f>SDC_4d!B40</f>
        <v>6.7059913018087516E-2</v>
      </c>
      <c r="S20">
        <f>MDT_1!B33</f>
        <v>0.10745160290092515</v>
      </c>
      <c r="T20">
        <f>MDT_2!B33</f>
        <v>0.10745160290092515</v>
      </c>
      <c r="U20">
        <f>MDT_3!B33</f>
        <v>7.8799444439875646E-2</v>
      </c>
      <c r="V20">
        <f>MDT_3a!B33</f>
        <v>0.10745160290092515</v>
      </c>
      <c r="W20">
        <f>MDC_1_noss!B33</f>
        <v>0.10745160290092515</v>
      </c>
      <c r="X20">
        <f>MDC_2_noss!B33</f>
        <v>0.10745160290092515</v>
      </c>
      <c r="Y20">
        <f>MDC_3_noss!B33</f>
        <v>6.4789283408341586E-2</v>
      </c>
      <c r="Z20">
        <f>MDC_1_ss!B33</f>
        <v>0.10745160290092515</v>
      </c>
      <c r="AA20">
        <f>MDC_2_ss!B33</f>
        <v>0.10745160290092515</v>
      </c>
      <c r="AB20">
        <f>MDC_3_ss!B33</f>
        <v>6.4789283408341586E-2</v>
      </c>
      <c r="AC20" s="65">
        <f>POSDLOQ_1!$B$33</f>
        <v>7.3501336191437255E-2</v>
      </c>
      <c r="AD20" s="65">
        <f>POSDLOQ_2!$B$33</f>
        <v>7.3501336191437255E-2</v>
      </c>
      <c r="AE20" s="65">
        <f>POSDLOQ_3!$B$33</f>
        <v>7.3501336191437255E-2</v>
      </c>
      <c r="AF20" s="65">
        <f>POSDLOQ_4!$B$33</f>
        <v>7.3501336191437255E-2</v>
      </c>
      <c r="AG20" s="65">
        <f>IVSDLOQ_1!$B$40</f>
        <v>6.6307149799103446E-2</v>
      </c>
      <c r="AH20" s="65">
        <f>IVSDLOQ_2!$B$40</f>
        <v>6.6307149799103446E-2</v>
      </c>
      <c r="AI20" s="65">
        <f>IVSDLOQ_3!$B$40</f>
        <v>6.6307149799103446E-2</v>
      </c>
      <c r="AJ20" s="65">
        <f>IVSDLOQ_4!$B$40</f>
        <v>6.6307149799103446E-2</v>
      </c>
      <c r="AK20" s="65">
        <f>POSDEXCL!$B$33</f>
        <v>0.10745160290092515</v>
      </c>
      <c r="AL20" s="65">
        <f>POSDTRAP_2!$B$33</f>
        <v>0.10745160290092515</v>
      </c>
      <c r="AM20" s="65">
        <f>POSDTRAP_3!$B$33</f>
        <v>0.10745160290092515</v>
      </c>
    </row>
    <row r="21" spans="1:39" x14ac:dyDescent="0.45">
      <c r="A21" s="3" t="s">
        <v>32</v>
      </c>
      <c r="C21">
        <f>START_POSD!B34</f>
        <v>6.4507849287186145</v>
      </c>
      <c r="D21">
        <f>START_IVSD!B41</f>
        <v>10.336237393761433</v>
      </c>
      <c r="E21">
        <f>START_INFSD!$B$34</f>
        <v>6.4507849287186145</v>
      </c>
      <c r="F21">
        <f>START_POMD!B34</f>
        <v>6.4507849287186145</v>
      </c>
      <c r="G21">
        <f>START_IVMD!$B$41</f>
        <v>10.336237393761433</v>
      </c>
      <c r="H21">
        <f>START_INFMD!$B$34</f>
        <v>6.4507849287186145</v>
      </c>
      <c r="I21">
        <f>SDT_1!B34</f>
        <v>6.4507849287186145</v>
      </c>
      <c r="J21">
        <f>SDT_2!B34</f>
        <v>6.4507849287186145</v>
      </c>
      <c r="K21">
        <f>SDT_3!B34</f>
        <v>8.7963460337441841</v>
      </c>
      <c r="L21">
        <f>SDC_1!B34</f>
        <v>6.4507849287186145</v>
      </c>
      <c r="M21">
        <f>SDC_2!B34</f>
        <v>6.4507849287186145</v>
      </c>
      <c r="N21">
        <f>SDC_3!B34</f>
        <v>10.698485059501413</v>
      </c>
      <c r="O21">
        <f>SDC_4a!B41</f>
        <v>10.336237393761433</v>
      </c>
      <c r="P21">
        <f>SDC_4b!B41</f>
        <v>10.336237393761433</v>
      </c>
      <c r="Q21">
        <f>SDC_4c!B41</f>
        <v>10.336237393761433</v>
      </c>
      <c r="R21">
        <f>SDC_4d!B41</f>
        <v>10.336237393761433</v>
      </c>
      <c r="S21">
        <f>MDT_1!B34</f>
        <v>6.4507849287186145</v>
      </c>
      <c r="T21">
        <f>MDT_2!B34</f>
        <v>6.4507849287186145</v>
      </c>
      <c r="U21">
        <f>MDT_3!B34</f>
        <v>8.7963460337441841</v>
      </c>
      <c r="V21">
        <f>MDT_3a!B34</f>
        <v>6.4507849287186145</v>
      </c>
      <c r="W21">
        <f>MDC_1_noss!B34</f>
        <v>6.4507849287186145</v>
      </c>
      <c r="X21">
        <f>MDC_2_noss!B34</f>
        <v>6.4507849287186145</v>
      </c>
      <c r="Y21">
        <f>MDC_3_noss!B34</f>
        <v>10.698485059501413</v>
      </c>
      <c r="Z21">
        <f>MDC_1_ss!B34</f>
        <v>6.4507849287186145</v>
      </c>
      <c r="AA21">
        <f>MDC_2_ss!B34</f>
        <v>6.4507849287186145</v>
      </c>
      <c r="AB21">
        <f>MDC_3_ss!B34</f>
        <v>10.698485059501413</v>
      </c>
      <c r="AC21" s="65">
        <f>POSDLOQ_1!$B$34</f>
        <v>9.4304024454006505</v>
      </c>
      <c r="AD21" s="65">
        <f>POSDLOQ_2!$B$34</f>
        <v>9.4304024454006505</v>
      </c>
      <c r="AE21" s="65">
        <f>POSDLOQ_3!$B$34</f>
        <v>9.4304024454006505</v>
      </c>
      <c r="AF21" s="65">
        <f>POSDLOQ_4!$B$34</f>
        <v>9.4304024454006505</v>
      </c>
      <c r="AG21" s="65">
        <f>IVSDLOQ_1!$B$41</f>
        <v>10.453581290404335</v>
      </c>
      <c r="AH21" s="65">
        <f>IVSDLOQ_2!$B$41</f>
        <v>10.453581290404335</v>
      </c>
      <c r="AI21" s="65">
        <f>IVSDLOQ_3!$B$41</f>
        <v>10.453581290404335</v>
      </c>
      <c r="AJ21" s="65">
        <f>IVSDLOQ_4!$B$41</f>
        <v>10.453581290404335</v>
      </c>
      <c r="AK21" s="65">
        <f>POSDEXCL!$B$34</f>
        <v>6.4507849287186145</v>
      </c>
      <c r="AL21" s="65">
        <f>POSDTRAP_2!$B$34</f>
        <v>6.4507849287186145</v>
      </c>
      <c r="AM21" s="65">
        <f>POSDTRAP_3!$B$34</f>
        <v>6.4507849287186145</v>
      </c>
    </row>
    <row r="22" spans="1:39" x14ac:dyDescent="0.45">
      <c r="A22" s="3" t="s">
        <v>29</v>
      </c>
      <c r="C22">
        <f>START_POSD!B35</f>
        <v>2.9750305620827162</v>
      </c>
      <c r="D22">
        <f>START_IVSD!B42</f>
        <v>5.0001256047683995</v>
      </c>
      <c r="E22">
        <f>START_INFSD!$B$35</f>
        <v>2.9750305620827162</v>
      </c>
      <c r="F22">
        <f>START_POMD!B35</f>
        <v>2.9750305620827162</v>
      </c>
      <c r="G22">
        <f>START_IVMD!$B$42</f>
        <v>5.0001256047683995</v>
      </c>
      <c r="H22">
        <f>START_INFMD!$B$35</f>
        <v>2.9750305620827162</v>
      </c>
      <c r="I22">
        <f>SDT_1!B35</f>
        <v>2.9750305620827162</v>
      </c>
      <c r="J22">
        <f>SDT_2!B35</f>
        <v>2.9750305620827162</v>
      </c>
      <c r="K22">
        <f>SDT_3!B35</f>
        <v>2.2415596222181682</v>
      </c>
      <c r="L22">
        <f>SDC_1!B35</f>
        <v>2.9750305620827162</v>
      </c>
      <c r="M22">
        <f>SDC_2!B35</f>
        <v>2.9750305620827162</v>
      </c>
      <c r="N22">
        <f>SDC_3!B35</f>
        <v>2.0713337748725671</v>
      </c>
      <c r="O22">
        <f>SDC_4a!B42</f>
        <v>5.0001256047683995</v>
      </c>
      <c r="P22">
        <f>SDC_4b!B42</f>
        <v>5.0001256047683995</v>
      </c>
      <c r="Q22">
        <f>SDC_4c!B42</f>
        <v>5.0001256047683995</v>
      </c>
      <c r="R22">
        <f>SDC_4d!B42</f>
        <v>5.0001256047683995</v>
      </c>
      <c r="S22">
        <f>MDT_1!B35</f>
        <v>2.9750305620827162</v>
      </c>
      <c r="T22">
        <f>MDT_2!B35</f>
        <v>2.9750305620827162</v>
      </c>
      <c r="U22">
        <f>MDT_3!B35</f>
        <v>2.2415596222181682</v>
      </c>
      <c r="V22">
        <f>MDT_3a!B35</f>
        <v>2.9750305620827162</v>
      </c>
      <c r="W22">
        <f>MDC_1_noss!B35</f>
        <v>2.9750305620827162</v>
      </c>
      <c r="X22">
        <f>MDC_2_noss!B35</f>
        <v>2.9750305620827162</v>
      </c>
      <c r="Y22">
        <f>MDC_3_noss!B35</f>
        <v>2.0713337748725671</v>
      </c>
      <c r="Z22">
        <f>MDC_1_ss!B35</f>
        <v>2.9750305620827162</v>
      </c>
      <c r="AA22">
        <f>MDC_2_ss!B35</f>
        <v>2.9750305620827162</v>
      </c>
      <c r="AB22">
        <f>MDC_3_ss!B35</f>
        <v>2.0713337748725671</v>
      </c>
      <c r="AC22" s="65">
        <f>POSDLOQ_1!$B$35</f>
        <v>2.1674464527954007</v>
      </c>
      <c r="AD22" s="65">
        <f>POSDLOQ_2!$B$35</f>
        <v>2.1674464527954007</v>
      </c>
      <c r="AE22" s="65">
        <f>POSDLOQ_3!$B$35</f>
        <v>2.1674464527954007</v>
      </c>
      <c r="AF22" s="65">
        <f>POSDLOQ_4!$B$35</f>
        <v>2.1674464527954007</v>
      </c>
      <c r="AG22" s="65">
        <f>IVSDLOQ_1!$B$42</f>
        <v>5.0415860756770821</v>
      </c>
      <c r="AH22" s="65">
        <f>IVSDLOQ_2!$B$42</f>
        <v>5.0415860756770821</v>
      </c>
      <c r="AI22" s="65">
        <f>IVSDLOQ_3!$B$42</f>
        <v>5.0415860756770821</v>
      </c>
      <c r="AJ22" s="65">
        <f>IVSDLOQ_4!$B$42</f>
        <v>5.0415860756770821</v>
      </c>
      <c r="AK22" s="65">
        <f>POSDEXCL!$B$35</f>
        <v>2.9750305620827162</v>
      </c>
      <c r="AL22" s="65">
        <f>POSDTRAP_2!$B$35</f>
        <v>2.9750305620827162</v>
      </c>
      <c r="AM22" s="65">
        <f>POSDTRAP_3!$B$35</f>
        <v>2.9750305620827162</v>
      </c>
    </row>
    <row r="23" spans="1:39" x14ac:dyDescent="0.45">
      <c r="A23" s="3" t="s">
        <v>28</v>
      </c>
      <c r="C23">
        <f>START_POSD!B36</f>
        <v>3</v>
      </c>
      <c r="D23">
        <f>START_IVSD!B43</f>
        <v>3</v>
      </c>
      <c r="E23">
        <f>START_INFSD!$B$36</f>
        <v>3</v>
      </c>
      <c r="F23">
        <f>START_POMD!B36</f>
        <v>3</v>
      </c>
      <c r="G23">
        <f>START_IVMD!$B$43</f>
        <v>3</v>
      </c>
      <c r="H23">
        <f>START_INFMD!$B$36</f>
        <v>3</v>
      </c>
      <c r="I23">
        <f>SDT_1!B36</f>
        <v>3</v>
      </c>
      <c r="J23">
        <f>SDT_2!B36</f>
        <v>3</v>
      </c>
      <c r="K23">
        <f>SDT_3!B36</f>
        <v>4</v>
      </c>
      <c r="L23">
        <f>SDC_1!B36</f>
        <v>3</v>
      </c>
      <c r="M23">
        <f>SDC_2!B36</f>
        <v>3</v>
      </c>
      <c r="N23">
        <f>SDC_3!B36</f>
        <v>3</v>
      </c>
      <c r="O23">
        <f>SDC_4a!B43</f>
        <v>3</v>
      </c>
      <c r="P23">
        <f>SDC_4b!B43</f>
        <v>3</v>
      </c>
      <c r="Q23">
        <f>SDC_4c!B43</f>
        <v>3</v>
      </c>
      <c r="R23">
        <f>SDC_4d!B43</f>
        <v>3</v>
      </c>
      <c r="S23">
        <f>MDT_1!B36</f>
        <v>3</v>
      </c>
      <c r="T23">
        <f>MDT_2!B36</f>
        <v>3</v>
      </c>
      <c r="U23">
        <f>MDT_3!B36</f>
        <v>4</v>
      </c>
      <c r="V23">
        <f>MDT_3a!B36</f>
        <v>3</v>
      </c>
      <c r="W23">
        <f>MDC_1_noss!B36</f>
        <v>3</v>
      </c>
      <c r="X23">
        <f>MDC_2_noss!B36</f>
        <v>3</v>
      </c>
      <c r="Y23">
        <f>MDC_3_noss!B36</f>
        <v>3</v>
      </c>
      <c r="Z23">
        <f>MDC_1_ss!B36</f>
        <v>3</v>
      </c>
      <c r="AA23">
        <f>MDC_2_ss!B36</f>
        <v>3</v>
      </c>
      <c r="AB23">
        <f>MDC_3_ss!B36</f>
        <v>3</v>
      </c>
      <c r="AC23">
        <f>POSDLOQ_1!$B$36</f>
        <v>3</v>
      </c>
      <c r="AD23">
        <f>POSDLOQ_2!$B$36</f>
        <v>3</v>
      </c>
      <c r="AE23">
        <f>POSDLOQ_3!$B$36</f>
        <v>3</v>
      </c>
      <c r="AF23">
        <f>POSDLOQ_4!$B$36</f>
        <v>3</v>
      </c>
      <c r="AG23">
        <f>IVSDLOQ_1!$B$43</f>
        <v>5</v>
      </c>
      <c r="AH23">
        <f>IVSDLOQ_2!$B$43</f>
        <v>5</v>
      </c>
      <c r="AI23">
        <f>IVSDLOQ_3!$B$43</f>
        <v>5</v>
      </c>
      <c r="AJ23">
        <f>IVSDLOQ_4!$B$43</f>
        <v>5</v>
      </c>
      <c r="AK23">
        <f>POSDEXCL!$B$36</f>
        <v>3</v>
      </c>
      <c r="AL23">
        <f>POSDTRAP_2!$B$36</f>
        <v>3</v>
      </c>
      <c r="AM23">
        <f>POSDTRAP_3!$B$36</f>
        <v>3</v>
      </c>
    </row>
    <row r="24" spans="1:39" x14ac:dyDescent="0.45">
      <c r="A24" s="3" t="s">
        <v>132</v>
      </c>
      <c r="C24">
        <f>START_POSD!B37</f>
        <v>0.99781342143381258</v>
      </c>
      <c r="D24">
        <f>START_IVSD!B44</f>
        <v>0.99897713016073841</v>
      </c>
      <c r="E24">
        <f>START_INFSD!$B$37</f>
        <v>0.99781342143381258</v>
      </c>
      <c r="F24">
        <f>START_POMD!B37</f>
        <v>0.99781342143381258</v>
      </c>
      <c r="G24">
        <f>START_IVMD!$B$44</f>
        <v>0.99897713016073841</v>
      </c>
      <c r="H24">
        <f>START_INFMD!$B$37</f>
        <v>0.99781342143381258</v>
      </c>
      <c r="I24">
        <f>SDT_1!B37</f>
        <v>0.99781342143381258</v>
      </c>
      <c r="J24">
        <f>SDT_2!B37</f>
        <v>0.99781342143381258</v>
      </c>
      <c r="K24">
        <f>SDT_3!B37</f>
        <v>0.97595687019840682</v>
      </c>
      <c r="L24">
        <f>SDC_1!B37</f>
        <v>0.99781342143381258</v>
      </c>
      <c r="M24">
        <f>SDC_2!B37</f>
        <v>0.99781342143381258</v>
      </c>
      <c r="N24">
        <f>SDC_3!B37</f>
        <v>0.99122855522629361</v>
      </c>
      <c r="O24">
        <f>SDC_4a!B44</f>
        <v>0.99897713016073841</v>
      </c>
      <c r="P24">
        <f>SDC_4b!B44</f>
        <v>0.99897713016073841</v>
      </c>
      <c r="Q24">
        <f>SDC_4c!B44</f>
        <v>0.99897713016073841</v>
      </c>
      <c r="R24">
        <f>SDC_4d!B44</f>
        <v>0.99897713016073841</v>
      </c>
      <c r="S24">
        <f>MDT_1!B37</f>
        <v>0.99781342143381258</v>
      </c>
      <c r="T24">
        <f>MDT_2!B37</f>
        <v>0.99781342143381258</v>
      </c>
      <c r="U24">
        <f>MDT_3!B37</f>
        <v>0.97595687019840682</v>
      </c>
      <c r="V24">
        <f>MDT_3a!B37</f>
        <v>0.99781342143381258</v>
      </c>
      <c r="W24">
        <f>MDC_1_noss!B37</f>
        <v>0.99781342143381258</v>
      </c>
      <c r="X24">
        <f>MDC_2_noss!B37</f>
        <v>0.99781342143381258</v>
      </c>
      <c r="Y24">
        <f>MDC_3_noss!B37</f>
        <v>0.99122855522629361</v>
      </c>
      <c r="Z24">
        <f>MDC_1_ss!B37</f>
        <v>0.99781342143381258</v>
      </c>
      <c r="AA24">
        <f>MDC_2_ss!B37</f>
        <v>0.99781342143381258</v>
      </c>
      <c r="AB24">
        <f>MDC_3_ss!B37</f>
        <v>0.99122855522629361</v>
      </c>
      <c r="AC24" s="65">
        <f>POSDLOQ_1!$B$37</f>
        <v>0.9825491644640727</v>
      </c>
      <c r="AD24" s="65">
        <f>POSDLOQ_2!$B$37</f>
        <v>0.9825491644640727</v>
      </c>
      <c r="AE24" s="65">
        <f>POSDLOQ_3!$B$37</f>
        <v>0.9825491644640727</v>
      </c>
      <c r="AF24" s="65">
        <f>POSDLOQ_4!$B$37</f>
        <v>0.9825491644640727</v>
      </c>
      <c r="AG24" s="65">
        <f>IVSDLOQ_1!$B$44</f>
        <v>0.98767084702281538</v>
      </c>
      <c r="AH24" s="65">
        <f>IVSDLOQ_2!$B$44</f>
        <v>0.98767084702281538</v>
      </c>
      <c r="AI24" s="65">
        <f>IVSDLOQ_3!$B$44</f>
        <v>0.98767084702281538</v>
      </c>
      <c r="AJ24" s="65">
        <f>IVSDLOQ_4!$B$44</f>
        <v>0.98767084702281538</v>
      </c>
      <c r="AK24" s="65">
        <f>POSDEXCL!$B$37</f>
        <v>0.99781342143381258</v>
      </c>
      <c r="AL24" s="65">
        <f>POSDTRAP_2!$B$37</f>
        <v>0.99781342143381258</v>
      </c>
      <c r="AM24" s="65">
        <f>POSDTRAP_3!$B$37</f>
        <v>0.99781342143381258</v>
      </c>
    </row>
    <row r="26" spans="1:39" x14ac:dyDescent="0.45">
      <c r="A26" s="3" t="s">
        <v>124</v>
      </c>
      <c r="C26">
        <f>START_POSD!J21</f>
        <v>86.639999999999986</v>
      </c>
      <c r="D26">
        <f>START_IVSD!J21</f>
        <v>8102.2152816508697</v>
      </c>
      <c r="E26">
        <f>START_INFSD!$J$21</f>
        <v>86.639999999999986</v>
      </c>
      <c r="F26">
        <f>START_POMD!J21</f>
        <v>86.914999999999992</v>
      </c>
      <c r="G26">
        <f>START_IVMD!$J$21</f>
        <v>8102.2152816508697</v>
      </c>
      <c r="H26">
        <f>START_INFMD!$J$21</f>
        <v>65.584999999999994</v>
      </c>
      <c r="I26">
        <f>SDT_1!J21</f>
        <v>86.639999999999986</v>
      </c>
      <c r="J26">
        <f>SDT_2!J21</f>
        <v>87.047499999999985</v>
      </c>
      <c r="K26">
        <f>SDT_3!J21</f>
        <v>70.360500000000002</v>
      </c>
      <c r="L26">
        <f>SDC_1!J21</f>
        <v>86.639999999999986</v>
      </c>
      <c r="M26">
        <f>SDC_2!J21</f>
        <v>86.49</v>
      </c>
      <c r="N26">
        <f>SDC_3!J21</f>
        <v>60.389999999999993</v>
      </c>
      <c r="O26">
        <f>SDC_4a!J21</f>
        <v>8102.2152816508697</v>
      </c>
      <c r="P26">
        <f>SDC_4b!J21</f>
        <v>8286</v>
      </c>
      <c r="Q26">
        <f>SDC_4c!J21</f>
        <v>7040.75</v>
      </c>
      <c r="R26">
        <f>SDC_4d!J21</f>
        <v>5786</v>
      </c>
      <c r="S26" t="str">
        <f>MDT_1!J21</f>
        <v>NC</v>
      </c>
      <c r="T26">
        <f>MDT_2!J21</f>
        <v>87.322499999999991</v>
      </c>
      <c r="U26">
        <f>MDT_3!J21</f>
        <v>70.635500000000008</v>
      </c>
      <c r="V26">
        <f>MDT_3a!J21</f>
        <v>86.639999999999986</v>
      </c>
      <c r="W26" t="str">
        <f>MDC_1_noss!J21</f>
        <v>NA</v>
      </c>
      <c r="X26">
        <f>MDC_2_noss!J21</f>
        <v>86.765000000000001</v>
      </c>
      <c r="Y26">
        <f>MDC_3_noss!J21</f>
        <v>60.664999999999999</v>
      </c>
      <c r="Z26">
        <f>MDC_1_ss!J21</f>
        <v>87.002499999999998</v>
      </c>
      <c r="AA26">
        <f>MDC_2_ss!J21</f>
        <v>86.765000000000001</v>
      </c>
      <c r="AB26">
        <f>MDC_3_ss!J21</f>
        <v>60.664999999999999</v>
      </c>
      <c r="AC26">
        <f>POSDLOQ_1!$J$21</f>
        <v>65.56</v>
      </c>
      <c r="AD26">
        <f>POSDLOQ_2!$J$21</f>
        <v>65.56</v>
      </c>
      <c r="AE26">
        <f>POSDLOQ_3!$J$21</f>
        <v>65.760000000000005</v>
      </c>
      <c r="AF26">
        <f>POSDLOQ_4!$J$21</f>
        <v>65.760000000000005</v>
      </c>
      <c r="AG26">
        <f>IVSDLOQ_1!$J$21</f>
        <v>5204.5336980596312</v>
      </c>
      <c r="AH26">
        <f>IVSDLOQ_2!$J$21</f>
        <v>5204.5336980596312</v>
      </c>
      <c r="AI26">
        <f>IVSDLOQ_3!$J$21</f>
        <v>5204.7836980596312</v>
      </c>
      <c r="AJ26">
        <f>IVSDLOQ_4!$J$21</f>
        <v>5204.7836980596312</v>
      </c>
      <c r="AK26">
        <f>POSDEXCL!$J$21</f>
        <v>114.63999999999999</v>
      </c>
      <c r="AL26">
        <f>POSDTRAP_2!$J$21</f>
        <v>83.162017719238875</v>
      </c>
      <c r="AM26">
        <f>POSDTRAP_3!$J$21</f>
        <v>84.473057304747272</v>
      </c>
    </row>
    <row r="27" spans="1:39" x14ac:dyDescent="0.45">
      <c r="A27" s="3" t="s">
        <v>125</v>
      </c>
      <c r="C27">
        <f>START_POSD!J22</f>
        <v>86.639999999999986</v>
      </c>
      <c r="D27">
        <f>START_IVSD!J22</f>
        <v>8102.2152816508697</v>
      </c>
      <c r="E27">
        <f>START_INFSD!$J$22</f>
        <v>86.639999999999986</v>
      </c>
      <c r="F27">
        <f>START_POMD!J22</f>
        <v>86.914999999999992</v>
      </c>
      <c r="G27">
        <f>START_IVMD!$J$22</f>
        <v>8102.2152816508697</v>
      </c>
      <c r="H27">
        <f>START_INFMD!$J$22</f>
        <v>65.584999999999994</v>
      </c>
      <c r="I27">
        <f>SDT_1!J22</f>
        <v>86.639999999999986</v>
      </c>
      <c r="J27">
        <f>SDT_2!J22</f>
        <v>87.047499999999985</v>
      </c>
      <c r="K27">
        <f>SDT_3!J22</f>
        <v>70.360500000000002</v>
      </c>
      <c r="L27">
        <f>SDC_1!J22</f>
        <v>86.639999999999986</v>
      </c>
      <c r="M27">
        <f>SDC_2!J22</f>
        <v>86.49</v>
      </c>
      <c r="N27">
        <f>SDC_3!J22</f>
        <v>60.389999999999993</v>
      </c>
      <c r="O27">
        <f>SDC_4a!J22</f>
        <v>8102.2152816508697</v>
      </c>
      <c r="P27">
        <f>SDC_4b!J22</f>
        <v>8286</v>
      </c>
      <c r="Q27">
        <f>SDC_4c!J22</f>
        <v>7040.75</v>
      </c>
      <c r="R27">
        <f>SDC_4d!J22</f>
        <v>5786</v>
      </c>
      <c r="S27" t="str">
        <f>MDT_1!J22</f>
        <v>NC</v>
      </c>
      <c r="T27">
        <f>MDT_2!J22</f>
        <v>87.322499999999991</v>
      </c>
      <c r="U27">
        <f>MDT_3!J22</f>
        <v>70.635500000000008</v>
      </c>
      <c r="V27">
        <f>MDT_3a!J22</f>
        <v>86.639999999999986</v>
      </c>
      <c r="W27" t="str">
        <f>MDC_1_noss!J22</f>
        <v>NA</v>
      </c>
      <c r="X27">
        <f>MDC_2_noss!J22</f>
        <v>86.765000000000001</v>
      </c>
      <c r="Y27">
        <f>MDC_3_noss!J22</f>
        <v>60.664999999999999</v>
      </c>
      <c r="Z27">
        <f>MDC_1_ss!J22</f>
        <v>87.002499999999998</v>
      </c>
      <c r="AA27">
        <f>MDC_2_ss!J22</f>
        <v>86.765000000000001</v>
      </c>
      <c r="AB27">
        <f>MDC_3_ss!J22</f>
        <v>60.664999999999999</v>
      </c>
      <c r="AC27">
        <f>POSDLOQ_1!$J$22</f>
        <v>56.86</v>
      </c>
      <c r="AD27">
        <f>POSDLOQ_2!$J$22</f>
        <v>56.86</v>
      </c>
      <c r="AE27">
        <f>POSDLOQ_3!$J$22</f>
        <v>57.06</v>
      </c>
      <c r="AF27">
        <f>POSDLOQ_4!$J$22</f>
        <v>57.06</v>
      </c>
      <c r="AG27">
        <f>IVSDLOQ_1!$J$22</f>
        <v>5024.5336980596312</v>
      </c>
      <c r="AH27">
        <f>IVSDLOQ_2!$J$22</f>
        <v>5024.5336980596312</v>
      </c>
      <c r="AI27">
        <f>IVSDLOQ_3!$J$22</f>
        <v>5024.7836980596312</v>
      </c>
      <c r="AJ27">
        <f>IVSDLOQ_4!$J$22</f>
        <v>5024.7836980596312</v>
      </c>
      <c r="AK27">
        <f>POSDEXCL!$J$22</f>
        <v>114.63999999999999</v>
      </c>
      <c r="AL27">
        <f>POSDTRAP_2!$J$22</f>
        <v>83.162017719238875</v>
      </c>
      <c r="AM27">
        <f>POSDTRAP_3!$J$22</f>
        <v>84.473057304747272</v>
      </c>
    </row>
    <row r="28" spans="1:39" x14ac:dyDescent="0.45">
      <c r="C28">
        <f>START_POSD!J23</f>
        <v>0</v>
      </c>
      <c r="D28">
        <f>START_IVSD!J23</f>
        <v>0</v>
      </c>
      <c r="E28">
        <f>START_INFSD!$J$23</f>
        <v>0</v>
      </c>
      <c r="F28">
        <f>START_POMD!J23</f>
        <v>0</v>
      </c>
      <c r="G28">
        <f>START_IVMD!$J$23</f>
        <v>0</v>
      </c>
      <c r="H28">
        <f>START_INFMD!$J$23</f>
        <v>0</v>
      </c>
      <c r="I28">
        <f>SDT_1!J23</f>
        <v>0</v>
      </c>
      <c r="J28">
        <f>SDT_2!J23</f>
        <v>0</v>
      </c>
      <c r="K28">
        <f>SDT_3!J23</f>
        <v>0</v>
      </c>
      <c r="L28">
        <f>SDC_1!J23</f>
        <v>0</v>
      </c>
      <c r="M28">
        <f>SDC_2!J23</f>
        <v>0</v>
      </c>
      <c r="N28">
        <f>SDC_3!J23</f>
        <v>0</v>
      </c>
      <c r="O28">
        <f>SDC_4a!J23</f>
        <v>0</v>
      </c>
      <c r="P28">
        <f>SDC_4b!J23</f>
        <v>0</v>
      </c>
      <c r="Q28">
        <f>SDC_4c!J23</f>
        <v>0</v>
      </c>
      <c r="R28">
        <f>SDC_4d!J23</f>
        <v>0</v>
      </c>
      <c r="S28">
        <f>MDT_1!J23</f>
        <v>0</v>
      </c>
      <c r="T28">
        <f>MDT_2!J23</f>
        <v>0</v>
      </c>
      <c r="U28">
        <f>MDT_3!J23</f>
        <v>0</v>
      </c>
      <c r="V28">
        <f>MDT_3a!J23</f>
        <v>0</v>
      </c>
      <c r="W28">
        <f>MDC_1_noss!J23</f>
        <v>0</v>
      </c>
      <c r="X28">
        <f>MDC_2_noss!J23</f>
        <v>0</v>
      </c>
      <c r="Y28">
        <f>MDC_3_noss!J23</f>
        <v>0</v>
      </c>
      <c r="Z28">
        <f>MDC_1_ss!J23</f>
        <v>0</v>
      </c>
      <c r="AA28">
        <f>MDC_2_ss!J23</f>
        <v>0</v>
      </c>
      <c r="AB28">
        <f>MDC_3_ss!J23</f>
        <v>0</v>
      </c>
      <c r="AC28">
        <f>POSDLOQ_1!$J$23</f>
        <v>0</v>
      </c>
      <c r="AD28">
        <f>POSDLOQ_2!$J$23</f>
        <v>0</v>
      </c>
      <c r="AE28">
        <f>POSDLOQ_3!$J$23</f>
        <v>0</v>
      </c>
      <c r="AF28">
        <f>POSDLOQ_4!$J$23</f>
        <v>0</v>
      </c>
      <c r="AG28">
        <f>IVSDLOQ_1!$J$23</f>
        <v>0</v>
      </c>
      <c r="AH28">
        <f>IVSDLOQ_2!$J$23</f>
        <v>0</v>
      </c>
      <c r="AI28">
        <f>IVSDLOQ_3!$J$23</f>
        <v>0</v>
      </c>
      <c r="AJ28">
        <f>IVSDLOQ_4!$J$23</f>
        <v>0</v>
      </c>
      <c r="AK28">
        <f>POSDEXCL!$J$23</f>
        <v>0</v>
      </c>
      <c r="AL28">
        <f>POSDTRAP_2!$J$23</f>
        <v>0</v>
      </c>
      <c r="AM28">
        <f>POSDTRAP_3!$J$23</f>
        <v>0</v>
      </c>
    </row>
    <row r="29" spans="1:39" x14ac:dyDescent="0.45">
      <c r="A29" s="3" t="s">
        <v>126</v>
      </c>
      <c r="C29">
        <f>START_POSD!J24</f>
        <v>87.663716696915387</v>
      </c>
      <c r="D29">
        <f>START_IVSD!J24</f>
        <v>8191.6875122274541</v>
      </c>
      <c r="E29">
        <f>START_INFSD!$J$24</f>
        <v>87.663716696915387</v>
      </c>
      <c r="F29">
        <f>START_POMD!J24</f>
        <v>87.938716696915392</v>
      </c>
      <c r="G29">
        <f>START_IVMD!$J$24</f>
        <v>8191.6875122274541</v>
      </c>
      <c r="H29">
        <f>START_INFMD!$J$24</f>
        <v>66.608716696915394</v>
      </c>
      <c r="I29">
        <f>SDT_1!J24</f>
        <v>87.663716696915387</v>
      </c>
      <c r="J29">
        <f>SDT_2!J24</f>
        <v>88.071216696915386</v>
      </c>
      <c r="K29">
        <f>SDT_3!J24</f>
        <v>88.76164496119776</v>
      </c>
      <c r="L29">
        <f>SDC_1!J24</f>
        <v>87.663716696915387</v>
      </c>
      <c r="M29">
        <f>SDC_2!J24</f>
        <v>87.513716696915395</v>
      </c>
      <c r="N29">
        <f>SDC_3!J24</f>
        <v>98.359242297303695</v>
      </c>
      <c r="O29">
        <f>SDC_4a!J24</f>
        <v>8191.6875122274541</v>
      </c>
      <c r="P29">
        <f>SDC_4b!J24</f>
        <v>8375.4722305765845</v>
      </c>
      <c r="Q29">
        <f>SDC_4c!J24</f>
        <v>7130.2222305765845</v>
      </c>
      <c r="R29">
        <f>SDC_4d!J24</f>
        <v>5875.4722305765845</v>
      </c>
      <c r="S29" t="str">
        <f>MDT_1!J24</f>
        <v>NC</v>
      </c>
      <c r="T29">
        <f>MDT_2!J24</f>
        <v>88.346216696915391</v>
      </c>
      <c r="U29">
        <f>MDT_3!J24</f>
        <v>89.036644961197766</v>
      </c>
      <c r="V29">
        <f>MDT_3a!J24</f>
        <v>87.663716696915387</v>
      </c>
      <c r="W29" t="str">
        <f>MDC_1_noss!J24</f>
        <v>NA</v>
      </c>
      <c r="X29">
        <f>MDC_2_noss!J24</f>
        <v>87.788716696915401</v>
      </c>
      <c r="Y29">
        <f>MDC_3_noss!J24</f>
        <v>98.6342422973037</v>
      </c>
      <c r="Z29">
        <f>MDC_1_ss!J24</f>
        <v>88.026216696915398</v>
      </c>
      <c r="AA29">
        <f>MDC_2_ss!J24</f>
        <v>87.788716696915401</v>
      </c>
      <c r="AB29">
        <f>MDC_3_ss!J24</f>
        <v>98.6342422973037</v>
      </c>
      <c r="AC29" s="66">
        <f>POSDLOQ_1!$J$24</f>
        <v>76.587532520271679</v>
      </c>
      <c r="AD29" s="66">
        <f>POSDLOQ_2!$J$24</f>
        <v>76.587532520271679</v>
      </c>
      <c r="AE29" s="66">
        <f>POSDLOQ_3!$J$24</f>
        <v>76.787532520271682</v>
      </c>
      <c r="AF29" s="66">
        <f>POSDLOQ_4!$J$24</f>
        <v>76.787532520271682</v>
      </c>
      <c r="AG29" s="66">
        <f>IVSDLOQ_1!$J$24</f>
        <v>5476.9735946755109</v>
      </c>
      <c r="AH29" s="66">
        <f>IVSDLOQ_2!$J$24</f>
        <v>5476.9735946755109</v>
      </c>
      <c r="AI29" s="66">
        <f>IVSDLOQ_3!$J$24</f>
        <v>5477.2235946755109</v>
      </c>
      <c r="AJ29" s="66">
        <f>IVSDLOQ_4!$J$24</f>
        <v>5477.2235946755109</v>
      </c>
      <c r="AK29" s="66">
        <f>POSDEXCL!$J$24</f>
        <v>115.66371669691539</v>
      </c>
      <c r="AL29" s="66">
        <f>POSDTRAP_2!$J$24</f>
        <v>84.185734416154276</v>
      </c>
      <c r="AM29" s="66">
        <f>POSDTRAP_3!$J$24</f>
        <v>85.496774001662672</v>
      </c>
    </row>
    <row r="30" spans="1:39" x14ac:dyDescent="0.45">
      <c r="A30" s="3" t="s">
        <v>133</v>
      </c>
      <c r="C30">
        <f>START_POSD!J25</f>
        <v>1.1677769726040166</v>
      </c>
      <c r="D30">
        <f>START_IVSD!J25</f>
        <v>1.09223197836871</v>
      </c>
      <c r="E30">
        <f>START_INFSD!$J$25</f>
        <v>1.1677769726040166</v>
      </c>
      <c r="F30">
        <f>START_POMD!J25</f>
        <v>1.1641251264146648</v>
      </c>
      <c r="G30">
        <f>START_IVMD!$J$25</f>
        <v>1.09223197836871</v>
      </c>
      <c r="H30">
        <f>START_INFMD!$J$25</f>
        <v>1.5369110045664758</v>
      </c>
      <c r="I30">
        <f>SDT_1!J25</f>
        <v>1.1677769726040166</v>
      </c>
      <c r="J30">
        <f>SDT_2!J25</f>
        <v>1.1623737417394566</v>
      </c>
      <c r="K30">
        <f>SDT_3!J25</f>
        <v>20.730964336275918</v>
      </c>
      <c r="L30">
        <f>SDC_1!J25</f>
        <v>1.1677769726040166</v>
      </c>
      <c r="M30">
        <f>SDC_2!J25</f>
        <v>1.1697785622119321</v>
      </c>
      <c r="N30">
        <f>SDC_3!J25</f>
        <v>38.602617721003476</v>
      </c>
      <c r="O30">
        <f>SDC_4a!J25</f>
        <v>1.09223197836871</v>
      </c>
      <c r="P30">
        <f>SDC_4b!J25</f>
        <v>1.0682649063051699</v>
      </c>
      <c r="Q30">
        <f>SDC_4c!J25</f>
        <v>1.2548308830109116</v>
      </c>
      <c r="R30">
        <f>SDC_4d!J25</f>
        <v>1.522809181378842</v>
      </c>
      <c r="S30" t="str">
        <f>MDT_1!J25</f>
        <v>NC</v>
      </c>
      <c r="T30">
        <f>MDT_2!J25</f>
        <v>1.1587555587438567</v>
      </c>
      <c r="U30">
        <f>MDT_3!J25</f>
        <v>20.666934349578188</v>
      </c>
      <c r="V30">
        <f>MDT_3a!J25</f>
        <v>1.1677769726040166</v>
      </c>
      <c r="W30" t="str">
        <f>MDC_1_noss!J25</f>
        <v>NA</v>
      </c>
      <c r="X30">
        <f>MDC_2_noss!J25</f>
        <v>1.1661142062820133</v>
      </c>
      <c r="Y30">
        <f>MDC_3_noss!J25</f>
        <v>38.494990596527998</v>
      </c>
      <c r="Z30">
        <f>MDC_1_ss!J25</f>
        <v>1.1629679603750065</v>
      </c>
      <c r="AA30">
        <f>MDC_2_ss!J25</f>
        <v>1.1661142062820133</v>
      </c>
      <c r="AB30">
        <f>MDC_3_ss!J25</f>
        <v>38.494990596527998</v>
      </c>
      <c r="AC30" s="66">
        <f>POSDLOQ_1!$J$25</f>
        <v>25.758151321887894</v>
      </c>
      <c r="AD30" s="66">
        <f>POSDLOQ_2!$J$25</f>
        <v>25.758151321887894</v>
      </c>
      <c r="AE30" s="66">
        <f>POSDLOQ_3!$J$25</f>
        <v>25.691061911728536</v>
      </c>
      <c r="AF30" s="66">
        <f>POSDLOQ_4!$J$25</f>
        <v>25.691061911728536</v>
      </c>
      <c r="AG30" s="66">
        <f>IVSDLOQ_1!$J$25</f>
        <v>8.26076461379553</v>
      </c>
      <c r="AH30" s="66">
        <f>IVSDLOQ_2!$J$25</f>
        <v>8.26076461379553</v>
      </c>
      <c r="AI30" s="66">
        <f>IVSDLOQ_3!$J$25</f>
        <v>8.2603875630657679</v>
      </c>
      <c r="AJ30" s="66">
        <f>IVSDLOQ_4!$J$25</f>
        <v>8.2603875630657679</v>
      </c>
      <c r="AK30" s="66">
        <f>POSDEXCL!$J$25</f>
        <v>0.88508023617980602</v>
      </c>
      <c r="AL30" s="66">
        <f>POSDTRAP_2!$J$25</f>
        <v>1.2160215789707014</v>
      </c>
      <c r="AM30" s="66">
        <f>POSDTRAP_3!$J$25</f>
        <v>1.1973746481890555</v>
      </c>
    </row>
    <row r="31" spans="1:39" x14ac:dyDescent="0.45">
      <c r="A31" s="3" t="s">
        <v>127</v>
      </c>
      <c r="C31">
        <f>START_POSD!J26</f>
        <v>87.689242380339437</v>
      </c>
      <c r="D31">
        <f>START_IVSD!J26</f>
        <v>8190.7521108792589</v>
      </c>
      <c r="E31">
        <f>START_INFSD!$J$26</f>
        <v>87.689242380339437</v>
      </c>
      <c r="F31">
        <f>START_POMD!J26</f>
        <v>87.964242380339442</v>
      </c>
      <c r="G31">
        <f>START_IVMD!$J$26</f>
        <v>8190.7521108792589</v>
      </c>
      <c r="H31">
        <f>START_INFMD!$J$26</f>
        <v>66.634242380339444</v>
      </c>
      <c r="I31">
        <f>SDT_1!J26</f>
        <v>87.689242380339437</v>
      </c>
      <c r="J31">
        <f>SDT_2!J26</f>
        <v>88.096742380339435</v>
      </c>
      <c r="K31">
        <f>SDT_3!J26</f>
        <v>89.699848214891887</v>
      </c>
      <c r="L31">
        <f>SDC_1!J26</f>
        <v>87.689242380339437</v>
      </c>
      <c r="M31">
        <f>SDC_2!J26</f>
        <v>87.539242380339445</v>
      </c>
      <c r="N31">
        <f>SDC_3!J26</f>
        <v>98.548240702140788</v>
      </c>
      <c r="O31">
        <f>SDC_4a!J26</f>
        <v>8190.7521108792589</v>
      </c>
      <c r="P31">
        <f>SDC_4b!J26</f>
        <v>8374.5368292283893</v>
      </c>
      <c r="Q31">
        <f>SDC_4c!J26</f>
        <v>7129.2868292283893</v>
      </c>
      <c r="R31">
        <f>SDC_4d!J26</f>
        <v>5874.5368292283893</v>
      </c>
      <c r="S31" t="str">
        <f>MDT_1!J26</f>
        <v>NC</v>
      </c>
      <c r="T31">
        <f>MDT_2!J26</f>
        <v>88.371742380339441</v>
      </c>
      <c r="U31">
        <f>MDT_3!J26</f>
        <v>89.974848214891892</v>
      </c>
      <c r="V31">
        <f>MDT_3a!J26</f>
        <v>87.689242380339437</v>
      </c>
      <c r="W31" t="str">
        <f>MDC_1_noss!J26</f>
        <v>NA</v>
      </c>
      <c r="X31">
        <f>MDC_2_noss!J26</f>
        <v>87.814242380339451</v>
      </c>
      <c r="Y31">
        <f>MDC_3_noss!J26</f>
        <v>98.823240702140794</v>
      </c>
      <c r="Z31">
        <f>MDC_1_ss!J26</f>
        <v>88.051742380339448</v>
      </c>
      <c r="AA31">
        <f>MDC_2_ss!J26</f>
        <v>87.814242380339451</v>
      </c>
      <c r="AB31">
        <f>MDC_3_ss!J26</f>
        <v>98.823240702140794</v>
      </c>
      <c r="AC31" s="66">
        <f>POSDLOQ_1!$J$26</f>
        <v>77.225984397708828</v>
      </c>
      <c r="AD31" s="66">
        <f>POSDLOQ_2!$J$26</f>
        <v>77.225984397708828</v>
      </c>
      <c r="AE31" s="66">
        <f>POSDLOQ_3!$J$26</f>
        <v>77.425984397708831</v>
      </c>
      <c r="AF31" s="66">
        <f>POSDLOQ_4!$J$26</f>
        <v>77.425984397708831</v>
      </c>
      <c r="AG31" s="66">
        <f>IVSDLOQ_1!$J$26</f>
        <v>5499.7034097520636</v>
      </c>
      <c r="AH31" s="66">
        <f>IVSDLOQ_2!$J$26</f>
        <v>5499.7034097520636</v>
      </c>
      <c r="AI31" s="66">
        <f>IVSDLOQ_3!$J$26</f>
        <v>5499.9534097520636</v>
      </c>
      <c r="AJ31" s="66">
        <f>IVSDLOQ_4!$J$26</f>
        <v>5499.9534097520636</v>
      </c>
      <c r="AK31" s="66">
        <f>POSDEXCL!$J$26</f>
        <v>115.68924238033944</v>
      </c>
      <c r="AL31" s="66">
        <f>POSDTRAP_2!$J$26</f>
        <v>84.211260099578325</v>
      </c>
      <c r="AM31" s="66">
        <f>POSDTRAP_3!$J$26</f>
        <v>85.522299685086722</v>
      </c>
    </row>
    <row r="32" spans="1:39" x14ac:dyDescent="0.45">
      <c r="A32" s="3" t="s">
        <v>134</v>
      </c>
      <c r="C32">
        <f>START_POSD!J27</f>
        <v>1.1965462944570928</v>
      </c>
      <c r="D32">
        <f>START_IVSD!J27</f>
        <v>1.0809365004563058</v>
      </c>
      <c r="E32">
        <f>START_INFSD!$J$27</f>
        <v>1.1965462944570928</v>
      </c>
      <c r="F32">
        <f>START_POMD!J27</f>
        <v>1.1928055672926052</v>
      </c>
      <c r="G32">
        <f>START_IVMD!$J$27</f>
        <v>1.0809365004563058</v>
      </c>
      <c r="H32">
        <f>START_INFMD!$J$27</f>
        <v>1.5746294140338739</v>
      </c>
      <c r="I32">
        <f>SDT_1!J27</f>
        <v>1.1965462944570928</v>
      </c>
      <c r="J32">
        <f>SDT_2!J27</f>
        <v>1.1910115538773995</v>
      </c>
      <c r="K32">
        <f>SDT_3!J27</f>
        <v>21.56006793741841</v>
      </c>
      <c r="L32">
        <f>SDC_1!J27</f>
        <v>1.1965462944570928</v>
      </c>
      <c r="M32">
        <f>SDC_2!J27</f>
        <v>1.1985965971474994</v>
      </c>
      <c r="N32">
        <f>SDC_3!J27</f>
        <v>38.720367233620109</v>
      </c>
      <c r="O32">
        <f>SDC_4a!J27</f>
        <v>1.0809365004563058</v>
      </c>
      <c r="P32">
        <f>SDC_4b!J27</f>
        <v>1.0572146380607277</v>
      </c>
      <c r="Q32">
        <f>SDC_4c!J27</f>
        <v>1.2418749778085685</v>
      </c>
      <c r="R32">
        <f>SDC_4d!J27</f>
        <v>1.5071286775815211</v>
      </c>
      <c r="S32" t="str">
        <f>MDT_1!J27</f>
        <v>NC</v>
      </c>
      <c r="T32">
        <f>MDT_2!J27</f>
        <v>1.1873052992705064</v>
      </c>
      <c r="U32">
        <f>MDT_3!J27</f>
        <v>21.494171536363865</v>
      </c>
      <c r="V32">
        <f>MDT_3a!J27</f>
        <v>1.1965462944570928</v>
      </c>
      <c r="W32" t="str">
        <f>MDC_1_noss!J27</f>
        <v>NA</v>
      </c>
      <c r="X32">
        <f>MDC_2_noss!J27</f>
        <v>1.1948430595062138</v>
      </c>
      <c r="Y32">
        <f>MDC_3_noss!J27</f>
        <v>38.612618277872542</v>
      </c>
      <c r="Z32">
        <f>MDC_1_ss!J27</f>
        <v>1.191620235982666</v>
      </c>
      <c r="AA32">
        <f>MDC_2_ss!J27</f>
        <v>1.1948430595062138</v>
      </c>
      <c r="AB32">
        <f>MDC_3_ss!J27</f>
        <v>38.612618277872542</v>
      </c>
      <c r="AC32" s="66">
        <f>POSDLOQ_1!$J$27</f>
        <v>26.371932396258398</v>
      </c>
      <c r="AD32" s="66">
        <f>POSDLOQ_2!$J$27</f>
        <v>26.371932396258398</v>
      </c>
      <c r="AE32" s="66">
        <f>POSDLOQ_3!$J$27</f>
        <v>26.30381073761523</v>
      </c>
      <c r="AF32" s="66">
        <f>POSDLOQ_4!$J$27</f>
        <v>26.30381073761523</v>
      </c>
      <c r="AG32" s="66">
        <f>IVSDLOQ_1!$J$27</f>
        <v>8.6399152152434695</v>
      </c>
      <c r="AH32" s="66">
        <f>IVSDLOQ_2!$J$27</f>
        <v>8.6399152152434695</v>
      </c>
      <c r="AI32" s="66">
        <f>IVSDLOQ_3!$J$27</f>
        <v>8.6395224884978248</v>
      </c>
      <c r="AJ32" s="66">
        <f>IVSDLOQ_4!$J$27</f>
        <v>8.6395224884978248</v>
      </c>
      <c r="AK32" s="66">
        <f>POSDEXCL!$J$27</f>
        <v>0.90694895977446677</v>
      </c>
      <c r="AL32" s="66">
        <f>POSDTRAP_2!$J$27</f>
        <v>1.2459644697143109</v>
      </c>
      <c r="AM32" s="66">
        <f>POSDTRAP_3!$J$27</f>
        <v>1.2268640859787543</v>
      </c>
    </row>
    <row r="33" spans="1:39" x14ac:dyDescent="0.45">
      <c r="C33">
        <f>START_POSD!J28</f>
        <v>0</v>
      </c>
      <c r="D33">
        <f>START_IVSD!J28</f>
        <v>0</v>
      </c>
      <c r="E33">
        <f>START_INFSD!$J$28</f>
        <v>0</v>
      </c>
      <c r="F33">
        <f>START_POMD!J28</f>
        <v>0</v>
      </c>
      <c r="G33">
        <f>START_IVMD!$J$28</f>
        <v>0</v>
      </c>
      <c r="H33">
        <f>START_INFMD!$J$28</f>
        <v>0</v>
      </c>
      <c r="I33">
        <f>SDT_1!J28</f>
        <v>0</v>
      </c>
      <c r="J33">
        <f>SDT_2!J28</f>
        <v>0</v>
      </c>
      <c r="K33">
        <f>SDT_3!J28</f>
        <v>0</v>
      </c>
      <c r="L33">
        <f>SDC_1!J28</f>
        <v>0</v>
      </c>
      <c r="M33">
        <f>SDC_2!J28</f>
        <v>0</v>
      </c>
      <c r="N33">
        <f>SDC_3!J28</f>
        <v>0</v>
      </c>
      <c r="O33">
        <f>SDC_4a!J28</f>
        <v>0</v>
      </c>
      <c r="P33">
        <f>SDC_4b!J28</f>
        <v>0</v>
      </c>
      <c r="Q33">
        <f>SDC_4c!J28</f>
        <v>0</v>
      </c>
      <c r="R33">
        <f>SDC_4d!J28</f>
        <v>0</v>
      </c>
      <c r="S33">
        <f>MDT_1!J28</f>
        <v>0</v>
      </c>
      <c r="T33">
        <f>MDT_2!J28</f>
        <v>0</v>
      </c>
      <c r="U33">
        <f>MDT_3!J28</f>
        <v>0</v>
      </c>
      <c r="V33">
        <f>MDT_3a!J28</f>
        <v>0</v>
      </c>
      <c r="W33">
        <f>MDC_1_noss!J28</f>
        <v>0</v>
      </c>
      <c r="X33">
        <f>MDC_2_noss!J28</f>
        <v>0</v>
      </c>
      <c r="Y33">
        <f>MDC_3_noss!J28</f>
        <v>0</v>
      </c>
      <c r="Z33">
        <f>MDC_1_ss!J28</f>
        <v>0</v>
      </c>
      <c r="AA33">
        <f>MDC_2_ss!J28</f>
        <v>0</v>
      </c>
      <c r="AB33">
        <f>MDC_3_ss!J28</f>
        <v>0</v>
      </c>
      <c r="AC33">
        <f>POSDLOQ_1!$J$28</f>
        <v>0</v>
      </c>
      <c r="AD33">
        <f>POSDLOQ_2!$J$28</f>
        <v>0</v>
      </c>
      <c r="AE33">
        <f>POSDLOQ_3!$J$28</f>
        <v>0</v>
      </c>
      <c r="AF33">
        <f>POSDLOQ_4!$J$28</f>
        <v>0</v>
      </c>
      <c r="AG33">
        <f>IVSDLOQ_1!$J$28</f>
        <v>0</v>
      </c>
      <c r="AH33">
        <f>IVSDLOQ_2!$J$28</f>
        <v>0</v>
      </c>
      <c r="AI33">
        <f>IVSDLOQ_3!$J$28</f>
        <v>0</v>
      </c>
      <c r="AJ33">
        <f>IVSDLOQ_4!$J$28</f>
        <v>0</v>
      </c>
      <c r="AK33">
        <f>POSDEXCL!$J$28</f>
        <v>0</v>
      </c>
      <c r="AL33">
        <f>POSDTRAP_2!$J$28</f>
        <v>0</v>
      </c>
      <c r="AM33">
        <f>POSDTRAP_3!$J$28</f>
        <v>0</v>
      </c>
    </row>
    <row r="34" spans="1:39" x14ac:dyDescent="0.45">
      <c r="A34" s="3" t="s">
        <v>49</v>
      </c>
      <c r="C34">
        <f>START_POSD!J29</f>
        <v>11.407227957917359</v>
      </c>
      <c r="D34">
        <f>START_IVSD!J29</f>
        <v>0.12207496910829838</v>
      </c>
      <c r="E34">
        <f>START_INFSD!$J$29</f>
        <v>11.407227957917359</v>
      </c>
      <c r="F34">
        <f>START_POMD!J29</f>
        <v>11.371555528227043</v>
      </c>
      <c r="G34">
        <f>START_IVMD!$J$29</f>
        <v>0.12207496910829838</v>
      </c>
      <c r="H34">
        <f>START_INFMD!$J$29</f>
        <v>15.01305008697622</v>
      </c>
      <c r="I34">
        <f>SDT_1!J29</f>
        <v>11.407227957917359</v>
      </c>
      <c r="J34">
        <f>SDT_2!J29</f>
        <v>11.354447429077291</v>
      </c>
      <c r="K34">
        <f>SDT_3!J29</f>
        <v>11.266127395871843</v>
      </c>
      <c r="L34">
        <f>SDC_1!J29</f>
        <v>11.407227957917359</v>
      </c>
      <c r="M34">
        <f>SDC_2!J29</f>
        <v>11.426780140801027</v>
      </c>
      <c r="N34">
        <f>SDC_3!J29</f>
        <v>10.166812763536436</v>
      </c>
      <c r="O34">
        <f>SDC_4a!J29</f>
        <v>0.12207496910829838</v>
      </c>
      <c r="P34">
        <f>SDC_4b!J29</f>
        <v>0.11939625282849968</v>
      </c>
      <c r="Q34">
        <f>SDC_4c!J29</f>
        <v>0.1402480831118689</v>
      </c>
      <c r="R34">
        <f>SDC_4d!J29</f>
        <v>0.17019908541068296</v>
      </c>
      <c r="S34" t="str">
        <f>MDT_1!J29</f>
        <v>NC</v>
      </c>
      <c r="T34">
        <f>MDT_2!J29</f>
        <v>11.319103832489468</v>
      </c>
      <c r="U34">
        <f>MDT_3!J29</f>
        <v>11.231330655325127</v>
      </c>
      <c r="V34">
        <f>MDT_3a!J29</f>
        <v>11.407227957917359</v>
      </c>
      <c r="W34" t="str">
        <f>MDC_1_noss!J29</f>
        <v>NA</v>
      </c>
      <c r="X34">
        <f>MDC_2_noss!J29</f>
        <v>11.390985511867456</v>
      </c>
      <c r="Y34">
        <f>MDC_3_noss!J29</f>
        <v>10.138466892519904</v>
      </c>
      <c r="Z34">
        <f>MDC_1_ss!J29</f>
        <v>13.796433621908736</v>
      </c>
      <c r="AA34">
        <f>MDC_2_ss!J29</f>
        <v>13.84178835905599</v>
      </c>
      <c r="AB34">
        <f>MDC_3_ss!J29</f>
        <v>14.016399187048847</v>
      </c>
      <c r="AC34" s="66">
        <f>POSDLOQ_1!$J$29</f>
        <v>13.056955448137902</v>
      </c>
      <c r="AD34" s="66">
        <f>POSDLOQ_2!$J$29</f>
        <v>13.056955448137902</v>
      </c>
      <c r="AE34" s="66">
        <f>POSDLOQ_3!$J$29</f>
        <v>13.022947439234397</v>
      </c>
      <c r="AF34" s="66">
        <f>POSDLOQ_4!$J$29</f>
        <v>13.022947439234397</v>
      </c>
      <c r="AG34" s="66">
        <f>IVSDLOQ_1!$J$29</f>
        <v>0.18258258556735768</v>
      </c>
      <c r="AH34" s="66">
        <f>IVSDLOQ_2!$J$29</f>
        <v>0.18258258556735768</v>
      </c>
      <c r="AI34" s="66">
        <f>IVSDLOQ_3!$J$29</f>
        <v>0.18257425184761758</v>
      </c>
      <c r="AJ34" s="66">
        <f>IVSDLOQ_4!$J$29</f>
        <v>0.18257425184761758</v>
      </c>
      <c r="AK34" s="66">
        <f>POSDEXCL!$J$29</f>
        <v>8.645753643040841</v>
      </c>
      <c r="AL34" s="66">
        <f>POSDTRAP_2!$J$29</f>
        <v>11.878497074774126</v>
      </c>
      <c r="AM34" s="66">
        <f>POSDTRAP_3!$J$29</f>
        <v>11.696347747349542</v>
      </c>
    </row>
    <row r="35" spans="1:39" x14ac:dyDescent="0.45">
      <c r="A35" s="3" t="s">
        <v>50</v>
      </c>
      <c r="C35">
        <f>START_POSD!J30</f>
        <v>11.403907399070052</v>
      </c>
      <c r="D35">
        <f>START_IVSD!J30</f>
        <v>0.12208891032995164</v>
      </c>
      <c r="E35">
        <f>START_INFSD!$J$30</f>
        <v>11.403907399070052</v>
      </c>
      <c r="F35">
        <f>START_POMD!J30</f>
        <v>11.368255701858988</v>
      </c>
      <c r="G35">
        <f>START_IVMD!$J$30</f>
        <v>0.12208891032995164</v>
      </c>
      <c r="H35">
        <f>START_INFMD!$J$30</f>
        <v>15.007299014403619</v>
      </c>
      <c r="I35">
        <f>SDT_1!J30</f>
        <v>11.403907399070052</v>
      </c>
      <c r="J35">
        <f>SDT_2!J30</f>
        <v>11.351157522745929</v>
      </c>
      <c r="K35">
        <f>SDT_3!J30</f>
        <v>11.148290882324826</v>
      </c>
      <c r="L35">
        <f>SDC_1!J30</f>
        <v>11.403907399070052</v>
      </c>
      <c r="M35">
        <f>SDC_2!J30</f>
        <v>11.423448190872067</v>
      </c>
      <c r="N35">
        <f>SDC_3!J30</f>
        <v>10.147314582940869</v>
      </c>
      <c r="O35">
        <f>SDC_4a!J30</f>
        <v>0.12208891032995164</v>
      </c>
      <c r="P35">
        <f>SDC_4b!J30</f>
        <v>0.11940958889927501</v>
      </c>
      <c r="Q35">
        <f>SDC_4c!J30</f>
        <v>0.14026648442593678</v>
      </c>
      <c r="R35">
        <f>SDC_4d!J30</f>
        <v>0.17022618617770219</v>
      </c>
      <c r="S35" t="str">
        <f>MDT_1!J30</f>
        <v>NC</v>
      </c>
      <c r="T35">
        <f>MDT_2!J30</f>
        <v>11.315834372667927</v>
      </c>
      <c r="U35">
        <f>MDT_3!J30</f>
        <v>11.114217137789939</v>
      </c>
      <c r="V35">
        <f>MDT_3a!J30</f>
        <v>11.403907399070052</v>
      </c>
      <c r="W35" t="str">
        <f>MDC_1_noss!J30</f>
        <v>NA</v>
      </c>
      <c r="X35">
        <f>MDC_2_noss!J30</f>
        <v>11.387674401025043</v>
      </c>
      <c r="Y35">
        <f>MDC_3_noss!J30</f>
        <v>10.119077181591932</v>
      </c>
      <c r="Z35">
        <f>MDC_1_ss!J30</f>
        <v>13.796433621908736</v>
      </c>
      <c r="AA35">
        <f>MDC_2_ss!J30</f>
        <v>13.84178835905599</v>
      </c>
      <c r="AB35">
        <f>MDC_3_ss!J30</f>
        <v>14.016399187048847</v>
      </c>
      <c r="AC35" s="66">
        <f>POSDLOQ_1!$J$30</f>
        <v>12.949009427320014</v>
      </c>
      <c r="AD35" s="66">
        <f>POSDLOQ_2!$J$30</f>
        <v>12.949009427320014</v>
      </c>
      <c r="AE35" s="66">
        <f>POSDLOQ_3!$J$30</f>
        <v>12.915560683909002</v>
      </c>
      <c r="AF35" s="66">
        <f>POSDLOQ_4!$J$30</f>
        <v>12.915560683909002</v>
      </c>
      <c r="AG35" s="66">
        <f>IVSDLOQ_1!$J$30</f>
        <v>0.18182798698322566</v>
      </c>
      <c r="AH35" s="66">
        <f>IVSDLOQ_2!$J$30</f>
        <v>0.18182798698322566</v>
      </c>
      <c r="AI35" s="66">
        <f>IVSDLOQ_3!$J$30</f>
        <v>0.18181972200471416</v>
      </c>
      <c r="AJ35" s="66">
        <f>IVSDLOQ_4!$J$30</f>
        <v>0.18181972200471416</v>
      </c>
      <c r="AK35" s="66">
        <f>POSDEXCL!$J$30</f>
        <v>8.6438460432855493</v>
      </c>
      <c r="AL35" s="66">
        <f>POSDTRAP_2!$J$30</f>
        <v>11.87489652592204</v>
      </c>
      <c r="AM35" s="66">
        <f>POSDTRAP_3!$J$30</f>
        <v>11.692856759958932</v>
      </c>
    </row>
    <row r="36" spans="1:39" x14ac:dyDescent="0.45">
      <c r="A36" s="3" t="s">
        <v>51</v>
      </c>
      <c r="C36">
        <f>START_POSD!J31</f>
        <v>106.16154296400119</v>
      </c>
      <c r="D36">
        <f>START_IVSD!J31</f>
        <v>1.8203866306145091</v>
      </c>
      <c r="E36">
        <f>START_INFSD!$J$31</f>
        <v>106.16154296400119</v>
      </c>
      <c r="F36">
        <f>START_POMD!J31</f>
        <v>105.82955694678738</v>
      </c>
      <c r="G36">
        <f>START_IVMD!$J$31</f>
        <v>1.8203866306145091</v>
      </c>
      <c r="H36">
        <f>START_INFMD!$J$31</f>
        <v>139.71918223331556</v>
      </c>
      <c r="I36">
        <f>SDT_1!J31</f>
        <v>106.16154296400119</v>
      </c>
      <c r="J36">
        <f>SDT_2!J31</f>
        <v>105.67034015813209</v>
      </c>
      <c r="K36">
        <f>SDT_3!J31</f>
        <v>142.97216783638561</v>
      </c>
      <c r="L36">
        <f>SDC_1!J31</f>
        <v>106.16154296400119</v>
      </c>
      <c r="M36">
        <f>SDC_2!J31</f>
        <v>106.34350565562985</v>
      </c>
      <c r="N36">
        <f>SDC_3!J31</f>
        <v>156.92121024798158</v>
      </c>
      <c r="O36">
        <f>SDC_4a!J31</f>
        <v>1.8203866306145091</v>
      </c>
      <c r="P36">
        <f>SDC_4b!J31</f>
        <v>1.7804415105086091</v>
      </c>
      <c r="Q36">
        <f>SDC_4c!J31</f>
        <v>2.0913848050181771</v>
      </c>
      <c r="R36">
        <f>SDC_4d!J31</f>
        <v>2.5380153022980596</v>
      </c>
      <c r="S36" t="str">
        <f>MDT_1!J31</f>
        <v>NC</v>
      </c>
      <c r="T36">
        <f>MDT_2!J31</f>
        <v>105.34141443125937</v>
      </c>
      <c r="U36">
        <f>MDT_3!J31</f>
        <v>142.53058172122883</v>
      </c>
      <c r="V36">
        <f>MDT_3a!J31</f>
        <v>106.16154296400119</v>
      </c>
      <c r="W36" t="str">
        <f>MDC_1_noss!J31</f>
        <v>NA</v>
      </c>
      <c r="X36">
        <f>MDC_2_noss!J31</f>
        <v>106.01038238927362</v>
      </c>
      <c r="Y36">
        <f>MDC_3_noss!J31</f>
        <v>156.48370161190243</v>
      </c>
      <c r="Z36">
        <f>MDC_1_ss!J31</f>
        <v>128.39672233302673</v>
      </c>
      <c r="AA36">
        <f>MDC_2_ss!J31</f>
        <v>128.81881689395266</v>
      </c>
      <c r="AB36">
        <f>MDC_3_ss!J31</f>
        <v>216.33823449950742</v>
      </c>
      <c r="AC36" s="66">
        <f>POSDLOQ_1!$J$31</f>
        <v>177.64242290957165</v>
      </c>
      <c r="AD36" s="66">
        <f>POSDLOQ_2!$J$31</f>
        <v>177.64242290957165</v>
      </c>
      <c r="AE36" s="66">
        <f>POSDLOQ_3!$J$31</f>
        <v>177.17973732226571</v>
      </c>
      <c r="AF36" s="66">
        <f>POSDLOQ_4!$J$31</f>
        <v>177.17973732226571</v>
      </c>
      <c r="AG36" s="66">
        <f>IVSDLOQ_1!$J$31</f>
        <v>2.7535882045985094</v>
      </c>
      <c r="AH36" s="66">
        <f>IVSDLOQ_2!$J$31</f>
        <v>2.7535882045985094</v>
      </c>
      <c r="AI36" s="66">
        <f>IVSDLOQ_3!$J$31</f>
        <v>2.7534625210219219</v>
      </c>
      <c r="AJ36" s="66">
        <f>IVSDLOQ_4!$J$31</f>
        <v>2.7534625210219219</v>
      </c>
      <c r="AK36" s="66">
        <f>POSDEXCL!$J$31</f>
        <v>80.461839652709386</v>
      </c>
      <c r="AL36" s="66">
        <f>POSDTRAP_2!$J$31</f>
        <v>110.54741627006342</v>
      </c>
      <c r="AM36" s="66">
        <f>POSDTRAP_3!$J$31</f>
        <v>108.85224074445925</v>
      </c>
    </row>
    <row r="37" spans="1:39" x14ac:dyDescent="0.45">
      <c r="A37" s="3" t="s">
        <v>52</v>
      </c>
      <c r="C37">
        <f>START_POSD!J32</f>
        <v>106.13064013186411</v>
      </c>
      <c r="D37">
        <f>START_IVSD!J32</f>
        <v>1.8205945226475559</v>
      </c>
      <c r="E37">
        <f>START_INFSD!$J$32</f>
        <v>106.13064013186411</v>
      </c>
      <c r="F37">
        <f>START_POMD!J32</f>
        <v>105.79884706178832</v>
      </c>
      <c r="G37">
        <f>START_IVMD!$J$32</f>
        <v>1.8205945226475559</v>
      </c>
      <c r="H37">
        <f>START_INFMD!$J$32</f>
        <v>139.66565978769972</v>
      </c>
      <c r="I37">
        <f>SDT_1!J32</f>
        <v>106.13064013186411</v>
      </c>
      <c r="J37">
        <f>SDT_2!J32</f>
        <v>105.63972259410748</v>
      </c>
      <c r="K37">
        <f>SDT_3!J32</f>
        <v>141.47677006569538</v>
      </c>
      <c r="L37">
        <f>SDC_1!J32</f>
        <v>106.13064013186411</v>
      </c>
      <c r="M37">
        <f>SDC_2!J32</f>
        <v>106.31249681221566</v>
      </c>
      <c r="N37">
        <f>SDC_3!J32</f>
        <v>156.62026262871748</v>
      </c>
      <c r="O37">
        <f>SDC_4a!J32</f>
        <v>1.8205945226475559</v>
      </c>
      <c r="P37">
        <f>SDC_4b!J32</f>
        <v>1.7806403785085085</v>
      </c>
      <c r="Q37">
        <f>SDC_4c!J32</f>
        <v>2.0916592061207098</v>
      </c>
      <c r="R37">
        <f>SDC_4d!J32</f>
        <v>2.5384194299773171</v>
      </c>
      <c r="S37" t="str">
        <f>MDT_1!J32</f>
        <v>NC</v>
      </c>
      <c r="T37">
        <f>MDT_2!J32</f>
        <v>105.31098715299387</v>
      </c>
      <c r="U37">
        <f>MDT_3!J32</f>
        <v>141.04435909151795</v>
      </c>
      <c r="V37">
        <f>MDT_3a!J32</f>
        <v>106.13064013186411</v>
      </c>
      <c r="W37" t="str">
        <f>MDC_1_noss!J32</f>
        <v>NA</v>
      </c>
      <c r="X37">
        <f>MDC_2_noss!J32</f>
        <v>105.97956748513984</v>
      </c>
      <c r="Y37">
        <f>MDC_3_noss!J32</f>
        <v>156.18442818413865</v>
      </c>
      <c r="Z37">
        <f>MDC_1_ss!J32</f>
        <v>128.39672233302673</v>
      </c>
      <c r="AA37">
        <f>MDC_2_ss!J32</f>
        <v>128.81881689395266</v>
      </c>
      <c r="AB37">
        <f>MDC_3_ss!J32</f>
        <v>216.33823449950742</v>
      </c>
      <c r="AC37" s="66">
        <f>POSDLOQ_1!$J$32</f>
        <v>176.17379626397249</v>
      </c>
      <c r="AD37" s="66">
        <f>POSDLOQ_2!$J$32</f>
        <v>176.17379626397249</v>
      </c>
      <c r="AE37" s="66">
        <f>POSDLOQ_3!$J$32</f>
        <v>175.71871959266011</v>
      </c>
      <c r="AF37" s="66">
        <f>POSDLOQ_4!$J$32</f>
        <v>175.71871959266011</v>
      </c>
      <c r="AG37" s="66">
        <f>IVSDLOQ_1!$J$32</f>
        <v>2.7422078544188033</v>
      </c>
      <c r="AH37" s="66">
        <f>IVSDLOQ_2!$J$32</f>
        <v>2.7422078544188033</v>
      </c>
      <c r="AI37" s="66">
        <f>IVSDLOQ_3!$J$32</f>
        <v>2.742083207551361</v>
      </c>
      <c r="AJ37" s="66">
        <f>IVSDLOQ_4!$J$32</f>
        <v>2.742083207551361</v>
      </c>
      <c r="AK37" s="66">
        <f>POSDEXCL!$J$32</f>
        <v>80.44408654615917</v>
      </c>
      <c r="AL37" s="66">
        <f>POSDTRAP_2!$J$32</f>
        <v>110.51390770662761</v>
      </c>
      <c r="AM37" s="66">
        <f>POSDTRAP_3!$J$32</f>
        <v>108.81975181645483</v>
      </c>
    </row>
    <row r="38" spans="1:39" x14ac:dyDescent="0.45">
      <c r="A38" s="3" t="s">
        <v>53</v>
      </c>
      <c r="C38">
        <f>START_POSD!J33</f>
        <v>165.7765388487135</v>
      </c>
      <c r="D38">
        <f>START_IVSD!J33</f>
        <v>0.54696844106661968</v>
      </c>
      <c r="E38">
        <f>START_INFSD!$J$33</f>
        <v>165.7765388487135</v>
      </c>
      <c r="F38">
        <f>START_POMD!J33</f>
        <v>164.74133460316952</v>
      </c>
      <c r="G38">
        <f>START_IVMD!$J$33</f>
        <v>0.54696844106661968</v>
      </c>
      <c r="H38">
        <f>START_INFMD!$J$33</f>
        <v>266.93262869378788</v>
      </c>
      <c r="I38">
        <f>SDT_1!J33</f>
        <v>165.7765388487135</v>
      </c>
      <c r="J38">
        <f>SDT_2!J33</f>
        <v>165.09626289966576</v>
      </c>
      <c r="K38">
        <f>SDT_3!J33</f>
        <v>178.80602105040194</v>
      </c>
      <c r="L38">
        <f>SDC_1!J33</f>
        <v>165.7765388487135</v>
      </c>
      <c r="M38">
        <f>SDC_2!J33</f>
        <v>164.83329778982497</v>
      </c>
      <c r="N38">
        <f>SDC_3!J33</f>
        <v>188.25941855741712</v>
      </c>
      <c r="O38">
        <f>SDC_4a!J33</f>
        <v>0.54696844106661968</v>
      </c>
      <c r="P38">
        <f>SDC_4b!J33</f>
        <v>0.54608596404609921</v>
      </c>
      <c r="Q38">
        <f>SDC_4c!J33</f>
        <v>0.72062265232234568</v>
      </c>
      <c r="R38">
        <f>SDC_4d!J33</f>
        <v>1.0372512382877577</v>
      </c>
      <c r="S38" t="str">
        <f>MDT_1!J33</f>
        <v>NC</v>
      </c>
      <c r="T38">
        <f>MDT_2!J33</f>
        <v>164.07005459793854</v>
      </c>
      <c r="U38">
        <f>MDT_3!J33</f>
        <v>177.70320052901852</v>
      </c>
      <c r="V38">
        <f>MDT_3a!J33</f>
        <v>165.7765388487135</v>
      </c>
      <c r="W38" t="str">
        <f>MDC_1_noss!J33</f>
        <v>NA</v>
      </c>
      <c r="X38">
        <f>MDC_2_noss!J33</f>
        <v>163.80222770868554</v>
      </c>
      <c r="Y38">
        <f>MDC_3_noss!J33</f>
        <v>187.21111793439337</v>
      </c>
      <c r="Z38">
        <f>MDC_1_ss!J33</f>
        <v>221.20055731700177</v>
      </c>
      <c r="AA38">
        <f>MDC_2_ss!J33</f>
        <v>220.4386369186532</v>
      </c>
      <c r="AB38">
        <f>MDC_3_ss!J33</f>
        <v>278.73996571916041</v>
      </c>
      <c r="AC38" s="66">
        <f>POSDLOQ_1!$J$33</f>
        <v>230.52563184997697</v>
      </c>
      <c r="AD38" s="66">
        <f>POSDLOQ_2!$J$33</f>
        <v>230.52563184997697</v>
      </c>
      <c r="AE38" s="66">
        <f>POSDLOQ_3!$J$33</f>
        <v>229.73337961889649</v>
      </c>
      <c r="AF38" s="66">
        <f>POSDLOQ_4!$J$33</f>
        <v>229.73337961889649</v>
      </c>
      <c r="AG38" s="66">
        <f>IVSDLOQ_1!$J$33</f>
        <v>1.0674299740043436</v>
      </c>
      <c r="AH38" s="66">
        <f>IVSDLOQ_2!$J$33</f>
        <v>1.0674299740043436</v>
      </c>
      <c r="AI38" s="66">
        <f>IVSDLOQ_3!$J$33</f>
        <v>1.0674325336860189</v>
      </c>
      <c r="AJ38" s="66">
        <f>IVSDLOQ_4!$J$33</f>
        <v>1.0674325336860189</v>
      </c>
      <c r="AK38" s="66">
        <f>POSDEXCL!$J$33</f>
        <v>120.34453286082612</v>
      </c>
      <c r="AL38" s="66">
        <f>POSDTRAP_2!$J$33</f>
        <v>176.81050188292394</v>
      </c>
      <c r="AM38" s="66">
        <f>POSDTRAP_3!$J$33</f>
        <v>171.954515422165</v>
      </c>
    </row>
    <row r="39" spans="1:39" x14ac:dyDescent="0.45">
      <c r="A39" s="3" t="s">
        <v>54</v>
      </c>
      <c r="C39">
        <f>START_POSD!J34</f>
        <v>165.87027453643768</v>
      </c>
      <c r="D39">
        <f>START_IVSD!J34</f>
        <v>0.54621620728797937</v>
      </c>
      <c r="E39">
        <f>START_INFSD!$J$34</f>
        <v>165.87027453643768</v>
      </c>
      <c r="F39">
        <f>START_POMD!J34</f>
        <v>164.83478504868279</v>
      </c>
      <c r="G39">
        <f>START_IVMD!$J$34</f>
        <v>0.54621620728797937</v>
      </c>
      <c r="H39">
        <f>START_INFMD!$J$34</f>
        <v>267.05760694425447</v>
      </c>
      <c r="I39">
        <f>SDT_1!J34</f>
        <v>165.87027453643768</v>
      </c>
      <c r="J39">
        <f>SDT_2!J34</f>
        <v>165.18908321995318</v>
      </c>
      <c r="K39">
        <f>SDT_3!J34</f>
        <v>179.25849773223169</v>
      </c>
      <c r="L39">
        <f>SDC_1!J34</f>
        <v>165.87027453643768</v>
      </c>
      <c r="M39">
        <f>SDC_2!J34</f>
        <v>164.92807064923653</v>
      </c>
      <c r="N39">
        <f>SDC_3!J34</f>
        <v>188.18867788012204</v>
      </c>
      <c r="O39">
        <f>SDC_4a!J34</f>
        <v>0.54621620728797937</v>
      </c>
      <c r="P39">
        <f>SDC_4b!J34</f>
        <v>0.54536886886517855</v>
      </c>
      <c r="Q39">
        <f>SDC_4c!J34</f>
        <v>0.71965394790932991</v>
      </c>
      <c r="R39">
        <f>SDC_4d!J34</f>
        <v>1.0358763512318627</v>
      </c>
      <c r="S39" t="str">
        <f>MDT_1!J34</f>
        <v>NC</v>
      </c>
      <c r="T39">
        <f>MDT_2!J34</f>
        <v>164.16259408301923</v>
      </c>
      <c r="U39">
        <f>MDT_3!J34</f>
        <v>178.16439747346959</v>
      </c>
      <c r="V39">
        <f>MDT_3a!J34</f>
        <v>165.87027453643768</v>
      </c>
      <c r="W39" t="str">
        <f>MDC_1_noss!J34</f>
        <v>NA</v>
      </c>
      <c r="X39">
        <f>MDC_2_noss!J34</f>
        <v>163.89670715372037</v>
      </c>
      <c r="Y39">
        <f>MDC_3_noss!J34</f>
        <v>187.14277248648042</v>
      </c>
      <c r="Z39">
        <f>MDC_1_ss!J34</f>
        <v>221.317163691345</v>
      </c>
      <c r="AA39">
        <f>MDC_2_ss!J34</f>
        <v>220.55601122253893</v>
      </c>
      <c r="AB39">
        <f>MDC_3_ss!J34</f>
        <v>279.63109824575497</v>
      </c>
      <c r="AC39" s="66">
        <f>POSDLOQ_1!$J$34</f>
        <v>230.75550125790303</v>
      </c>
      <c r="AD39" s="66">
        <f>POSDLOQ_2!$J$34</f>
        <v>230.75550125790303</v>
      </c>
      <c r="AE39" s="66">
        <f>POSDLOQ_3!$J$34</f>
        <v>229.96525439348727</v>
      </c>
      <c r="AF39" s="66">
        <f>POSDLOQ_4!$J$34</f>
        <v>229.96525439348727</v>
      </c>
      <c r="AG39" s="66">
        <f>IVSDLOQ_1!$J$34</f>
        <v>1.0879938423585973</v>
      </c>
      <c r="AH39" s="66">
        <f>IVSDLOQ_2!$J$34</f>
        <v>1.0879938423585973</v>
      </c>
      <c r="AI39" s="66">
        <f>IVSDLOQ_3!$J$34</f>
        <v>1.0879941104715061</v>
      </c>
      <c r="AJ39" s="66">
        <f>IVSDLOQ_4!$J$34</f>
        <v>1.0879941104715061</v>
      </c>
      <c r="AK39" s="66">
        <f>POSDEXCL!$J$34</f>
        <v>120.4007268401849</v>
      </c>
      <c r="AL39" s="66">
        <f>POSDTRAP_2!$J$34</f>
        <v>176.90960271588256</v>
      </c>
      <c r="AM39" s="66">
        <f>POSDTRAP_3!$J$34</f>
        <v>172.05188145710616</v>
      </c>
    </row>
    <row r="40" spans="1:39" x14ac:dyDescent="0.45">
      <c r="A40" s="3" t="s">
        <v>156</v>
      </c>
      <c r="C40">
        <f>START_POSD!J35</f>
        <v>14.532587536628808</v>
      </c>
      <c r="D40">
        <f>START_IVSD!J35</f>
        <v>4.4805945482679466</v>
      </c>
      <c r="E40">
        <f>START_INFSD!$J$35</f>
        <v>14.532587536628808</v>
      </c>
      <c r="F40">
        <f>START_POMD!J35</f>
        <v>14.487141551939867</v>
      </c>
      <c r="G40">
        <f>START_IVMD!$J$35</f>
        <v>4.4805945482679466</v>
      </c>
      <c r="H40">
        <f>START_INFMD!$J$35</f>
        <v>17.780039841827424</v>
      </c>
      <c r="I40">
        <f>SDT_1!J35</f>
        <v>14.532587536628808</v>
      </c>
      <c r="J40">
        <f>SDT_2!J35</f>
        <v>14.540228745687378</v>
      </c>
      <c r="K40">
        <f>SDT_3!J35</f>
        <v>15.87111655740023</v>
      </c>
      <c r="L40">
        <f>SDC_1!J35</f>
        <v>14.532587536628808</v>
      </c>
      <c r="M40">
        <f>SDC_2!J35</f>
        <v>14.425174524997031</v>
      </c>
      <c r="N40">
        <f>SDC_3!J35</f>
        <v>18.517053764638501</v>
      </c>
      <c r="O40">
        <f>SDC_4a!J35</f>
        <v>4.4805945482679466</v>
      </c>
      <c r="P40">
        <f>SDC_4b!J35</f>
        <v>4.5737278273757473</v>
      </c>
      <c r="Q40">
        <f>SDC_4c!J35</f>
        <v>5.1381996554458498</v>
      </c>
      <c r="R40">
        <f>SDC_4d!J35</f>
        <v>6.0943408466908959</v>
      </c>
      <c r="S40" t="str">
        <f>MDT_1!J35</f>
        <v>NC</v>
      </c>
      <c r="T40">
        <f>MDT_2!J35</f>
        <v>14.494968596984217</v>
      </c>
      <c r="U40">
        <f>MDT_3!J35</f>
        <v>15.822096773970753</v>
      </c>
      <c r="V40">
        <f>MDT_3a!J35</f>
        <v>14.532587536628808</v>
      </c>
      <c r="W40" t="str">
        <f>MDC_1_noss!J35</f>
        <v>NA</v>
      </c>
      <c r="X40">
        <f>MDC_2_noss!J35</f>
        <v>14.379987362641421</v>
      </c>
      <c r="Y40">
        <f>MDC_3_noss!J35</f>
        <v>18.465426767090054</v>
      </c>
      <c r="Z40">
        <f>MDC_1_ss!J35</f>
        <v>16.03316939572958</v>
      </c>
      <c r="AA40">
        <f>MDC_2_ss!J35</f>
        <v>15.925589324188101</v>
      </c>
      <c r="AB40">
        <f>MDC_3_ss!J35</f>
        <v>19.886702854233498</v>
      </c>
      <c r="AC40" s="66">
        <f>POSDLOQ_1!$J$35</f>
        <v>17.655389326066288</v>
      </c>
      <c r="AD40" s="66">
        <f>POSDLOQ_2!$J$35</f>
        <v>17.655389326066288</v>
      </c>
      <c r="AE40" s="66">
        <f>POSDLOQ_3!$J$35</f>
        <v>17.640659358477933</v>
      </c>
      <c r="AF40" s="66">
        <f>POSDLOQ_4!$J$35</f>
        <v>17.640659358477933</v>
      </c>
      <c r="AG40" s="66">
        <f>IVSDLOQ_1!$J$35</f>
        <v>5.846285781786956</v>
      </c>
      <c r="AH40" s="66">
        <f>IVSDLOQ_2!$J$35</f>
        <v>5.846285781786956</v>
      </c>
      <c r="AI40" s="66">
        <f>IVSDLOQ_3!$J$35</f>
        <v>5.8465666592293246</v>
      </c>
      <c r="AJ40" s="66">
        <f>IVSDLOQ_4!$J$35</f>
        <v>5.8465666592293246</v>
      </c>
      <c r="AK40" s="66">
        <f>POSDEXCL!$J$35</f>
        <v>13.919495954837217</v>
      </c>
      <c r="AL40" s="66">
        <f>POSDTRAP_2!$J$35</f>
        <v>14.884921953502781</v>
      </c>
      <c r="AM40" s="66">
        <f>POSDTRAP_3!$J$35</f>
        <v>14.701556343614259</v>
      </c>
    </row>
    <row r="41" spans="1:39" x14ac:dyDescent="0.45">
      <c r="A41" s="3" t="s">
        <v>157</v>
      </c>
      <c r="C41">
        <f>START_POSD!J36</f>
        <v>14.545038707519128</v>
      </c>
      <c r="D41">
        <f>START_IVSD!J36</f>
        <v>4.4739215528404799</v>
      </c>
      <c r="E41">
        <f>START_INFSD!$J$36</f>
        <v>14.545038707519128</v>
      </c>
      <c r="F41">
        <f>START_POMD!J36</f>
        <v>14.499566984733486</v>
      </c>
      <c r="G41">
        <f>START_IVMD!$J$36</f>
        <v>4.4739215528404799</v>
      </c>
      <c r="H41">
        <f>START_INFMD!$J$36</f>
        <v>17.795181310636874</v>
      </c>
      <c r="I41">
        <f>SDT_1!J36</f>
        <v>14.545038707519128</v>
      </c>
      <c r="J41">
        <f>SDT_2!J36</f>
        <v>14.552620108472667</v>
      </c>
      <c r="K41">
        <f>SDT_3!J36</f>
        <v>16.079460037810723</v>
      </c>
      <c r="L41">
        <f>SDC_1!J36</f>
        <v>14.545038707519128</v>
      </c>
      <c r="M41">
        <f>SDC_2!J36</f>
        <v>14.437678351885264</v>
      </c>
      <c r="N41">
        <f>SDC_3!J36</f>
        <v>18.545663125147904</v>
      </c>
      <c r="O41">
        <f>SDC_4a!J36</f>
        <v>4.4739215528404799</v>
      </c>
      <c r="P41">
        <f>SDC_4b!J36</f>
        <v>4.5672116778260659</v>
      </c>
      <c r="Q41">
        <f>SDC_4c!J36</f>
        <v>5.1306194124321989</v>
      </c>
      <c r="R41">
        <f>SDC_4d!J36</f>
        <v>6.0852937758382994</v>
      </c>
      <c r="S41" t="str">
        <f>MDT_1!J36</f>
        <v>NC</v>
      </c>
      <c r="T41">
        <f>MDT_2!J36</f>
        <v>14.507334472792811</v>
      </c>
      <c r="U41">
        <f>MDT_3!J36</f>
        <v>16.030314619973094</v>
      </c>
      <c r="V41">
        <f>MDT_3a!J36</f>
        <v>14.545038707519128</v>
      </c>
      <c r="W41" t="str">
        <f>MDC_1_noss!J36</f>
        <v>NA</v>
      </c>
      <c r="X41">
        <f>MDC_2_noss!J36</f>
        <v>14.392465167336315</v>
      </c>
      <c r="Y41">
        <f>MDC_3_noss!J36</f>
        <v>18.494055251097429</v>
      </c>
      <c r="Z41">
        <f>MDC_1_ss!J36</f>
        <v>16.041621317257913</v>
      </c>
      <c r="AA41">
        <f>MDC_2_ss!J36</f>
        <v>15.934069030772326</v>
      </c>
      <c r="AB41">
        <f>MDC_3_ss!J36</f>
        <v>19.950280704343388</v>
      </c>
      <c r="AC41" s="66">
        <f>POSDLOQ_1!$J$36</f>
        <v>17.820320739828301</v>
      </c>
      <c r="AD41" s="66">
        <f>POSDLOQ_2!$J$36</f>
        <v>17.820320739828301</v>
      </c>
      <c r="AE41" s="66">
        <f>POSDLOQ_3!$J$36</f>
        <v>17.805286198685288</v>
      </c>
      <c r="AF41" s="66">
        <f>POSDLOQ_4!$J$36</f>
        <v>17.805286198685288</v>
      </c>
      <c r="AG41" s="66">
        <f>IVSDLOQ_1!$J$36</f>
        <v>5.9836434446088269</v>
      </c>
      <c r="AH41" s="66">
        <f>IVSDLOQ_2!$J$36</f>
        <v>5.9836434446088269</v>
      </c>
      <c r="AI41" s="66">
        <f>IVSDLOQ_3!$J$36</f>
        <v>5.9839169176779228</v>
      </c>
      <c r="AJ41" s="66">
        <f>IVSDLOQ_4!$J$36</f>
        <v>5.9839169176779228</v>
      </c>
      <c r="AK41" s="66">
        <f>POSDEXCL!$J$36</f>
        <v>13.929068870183192</v>
      </c>
      <c r="AL41" s="66">
        <f>POSDTRAP_2!$J$36</f>
        <v>14.897780568420256</v>
      </c>
      <c r="AM41" s="66">
        <f>POSDTRAP_3!$J$36</f>
        <v>14.714272567357648</v>
      </c>
    </row>
    <row r="42" spans="1:39" x14ac:dyDescent="0.45">
      <c r="A42" s="3" t="s">
        <v>166</v>
      </c>
      <c r="AC42" s="66">
        <f>POSDLOQ_1!$J$37</f>
        <v>10.733819908547311</v>
      </c>
      <c r="AD42" s="66">
        <f>POSDLOQ_2!$J$37</f>
        <v>10.733819908547311</v>
      </c>
      <c r="AE42" s="66">
        <f>POSDLOQ_3!$J$37</f>
        <v>10.738257974062391</v>
      </c>
      <c r="AF42" s="66">
        <f>POSDLOQ_4!$J$37</f>
        <v>10.738257974062391</v>
      </c>
      <c r="AG42" s="66">
        <f>IVSDLOQ_1!$J$37</f>
        <v>2.8535981369847381</v>
      </c>
      <c r="AH42" s="66">
        <f>IVSDLOQ_2!$J$37</f>
        <v>2.8535981369847381</v>
      </c>
      <c r="AI42" s="66">
        <f>IVSDLOQ_3!$J$37</f>
        <v>2.854053201441868</v>
      </c>
      <c r="AJ42" s="66">
        <f>IVSDLOQ_4!$J$37</f>
        <v>2.854053201441868</v>
      </c>
      <c r="AK42" s="66">
        <f>POSDEXCL!$J$37</f>
        <v>13.532056873691559</v>
      </c>
      <c r="AL42" s="66">
        <f>POSDTRAP_2!$J$37</f>
        <v>0</v>
      </c>
      <c r="AM42" s="66">
        <f>POSDTRAP_3!$J$37</f>
        <v>0</v>
      </c>
    </row>
    <row r="44" spans="1:39" x14ac:dyDescent="0.45">
      <c r="A44" s="3" t="s">
        <v>135</v>
      </c>
      <c r="C44">
        <f>START_POSD!L21</f>
        <v>1215.3149999999998</v>
      </c>
      <c r="D44">
        <f>START_IVSD!L21</f>
        <v>31074.75</v>
      </c>
      <c r="E44">
        <f>START_INFSD!$L$21</f>
        <v>1215.3149999999998</v>
      </c>
      <c r="F44">
        <f>START_POMD!L21</f>
        <v>1215.3149999999998</v>
      </c>
      <c r="G44">
        <f>START_IVMD!$L$21</f>
        <v>31074.75</v>
      </c>
      <c r="H44">
        <f>START_INFMD!$L$21</f>
        <v>1125.6399999999999</v>
      </c>
      <c r="I44">
        <f>SDT_1!L21</f>
        <v>1215.3149999999998</v>
      </c>
      <c r="J44">
        <f>SDT_2!L21</f>
        <v>1221.9099999999999</v>
      </c>
      <c r="K44">
        <f>SDT_3!L21</f>
        <v>750.16125</v>
      </c>
      <c r="L44">
        <f>SDC_1!L21</f>
        <v>1215.3149999999998</v>
      </c>
      <c r="M44">
        <f>SDC_2!L21</f>
        <v>1203.7349999999999</v>
      </c>
      <c r="N44">
        <f>SDC_3!L21</f>
        <v>551.83499999999992</v>
      </c>
      <c r="O44">
        <f>SDC_4a!L21</f>
        <v>31074.75</v>
      </c>
      <c r="P44">
        <f>SDC_4b!L21</f>
        <v>32678.25</v>
      </c>
      <c r="Q44">
        <f>SDC_4c!L21</f>
        <v>31007.625</v>
      </c>
      <c r="R44">
        <f>SDC_4d!L21</f>
        <v>30178.25</v>
      </c>
      <c r="S44" t="str">
        <f>MDT_1!L21</f>
        <v>NC</v>
      </c>
      <c r="T44">
        <f>MDT_2!L21</f>
        <v>1221.9099999999999</v>
      </c>
      <c r="U44">
        <f>MDT_3!L21</f>
        <v>750.16125</v>
      </c>
      <c r="V44">
        <f>MDT_3a!L21</f>
        <v>1215.3149999999998</v>
      </c>
      <c r="W44" t="str">
        <f>MDC_1_noss!L21</f>
        <v>NA</v>
      </c>
      <c r="X44">
        <f>MDC_2_noss!L21</f>
        <v>1203.7349999999999</v>
      </c>
      <c r="Y44">
        <f>MDC_3_noss!L21</f>
        <v>551.83499999999992</v>
      </c>
      <c r="Z44">
        <f>MDC_1_ss!L21</f>
        <v>1215.3149999999998</v>
      </c>
      <c r="AA44">
        <f>MDC_2_ss!L21</f>
        <v>1203.7349999999999</v>
      </c>
      <c r="AB44">
        <f>MDC_3_ss!L21</f>
        <v>551.83499999999992</v>
      </c>
      <c r="AC44">
        <f>POSDLOQ_1!$L$21</f>
        <v>819.125</v>
      </c>
      <c r="AD44">
        <f>POSDLOQ_2!$L$21</f>
        <v>819.125</v>
      </c>
      <c r="AE44">
        <f>POSDLOQ_3!$L$21</f>
        <v>821.52499999999998</v>
      </c>
      <c r="AF44">
        <f>POSDLOQ_4!$L$21</f>
        <v>821.52499999999998</v>
      </c>
      <c r="AG44">
        <f>IVSDLOQ_1!$L$21</f>
        <v>18658</v>
      </c>
      <c r="AH44">
        <f>IVSDLOQ_2!$L$21</f>
        <v>18658</v>
      </c>
      <c r="AI44">
        <f>IVSDLOQ_3!$L$21</f>
        <v>18661</v>
      </c>
      <c r="AJ44">
        <f>IVSDLOQ_4!$L$21</f>
        <v>18661</v>
      </c>
      <c r="AK44">
        <f>POSDEXCL!$L$21</f>
        <v>1551.3150000000001</v>
      </c>
      <c r="AL44">
        <f>POSDTRAP_2!$L$21</f>
        <v>1194.432449698618</v>
      </c>
      <c r="AM44">
        <f>POSDTRAP_3!$L$21</f>
        <v>1198.2700034985471</v>
      </c>
    </row>
    <row r="45" spans="1:39" x14ac:dyDescent="0.45">
      <c r="A45" s="3" t="s">
        <v>136</v>
      </c>
      <c r="C45">
        <f>START_POSD!L22</f>
        <v>1215.3149999999998</v>
      </c>
      <c r="D45">
        <f>START_IVSD!L22</f>
        <v>31074.75</v>
      </c>
      <c r="E45">
        <f>START_INFSD!$L$22</f>
        <v>1215.3149999999998</v>
      </c>
      <c r="F45">
        <f>START_POMD!L22</f>
        <v>1215.3149999999998</v>
      </c>
      <c r="G45">
        <f>START_IVMD!$L$22</f>
        <v>31074.75</v>
      </c>
      <c r="H45">
        <f>START_INFMD!$L$22</f>
        <v>1125.6399999999999</v>
      </c>
      <c r="I45">
        <f>SDT_1!L22</f>
        <v>1215.3149999999998</v>
      </c>
      <c r="J45">
        <f>SDT_2!L22</f>
        <v>1221.9099999999999</v>
      </c>
      <c r="K45">
        <f>SDT_3!L22</f>
        <v>750.16125</v>
      </c>
      <c r="L45">
        <f>SDC_1!L22</f>
        <v>1215.3149999999998</v>
      </c>
      <c r="M45">
        <f>SDC_2!L22</f>
        <v>1203.7349999999999</v>
      </c>
      <c r="N45">
        <f>SDC_3!L22</f>
        <v>551.83499999999992</v>
      </c>
      <c r="O45">
        <f>SDC_4a!L22</f>
        <v>31074.75</v>
      </c>
      <c r="P45">
        <f>SDC_4b!L22</f>
        <v>32678.25</v>
      </c>
      <c r="Q45">
        <f>SDC_4c!L22</f>
        <v>31007.625</v>
      </c>
      <c r="R45">
        <f>SDC_4d!L22</f>
        <v>30178.25</v>
      </c>
      <c r="S45" t="str">
        <f>MDT_1!L22</f>
        <v>NC</v>
      </c>
      <c r="T45">
        <f>MDT_2!L22</f>
        <v>1221.9099999999999</v>
      </c>
      <c r="U45">
        <f>MDT_3!L22</f>
        <v>750.16125</v>
      </c>
      <c r="V45">
        <f>MDT_3a!L22</f>
        <v>1215.3149999999998</v>
      </c>
      <c r="W45" t="str">
        <f>MDC_1_noss!L22</f>
        <v>NA</v>
      </c>
      <c r="X45">
        <f>MDC_2_noss!L22</f>
        <v>1203.7349999999999</v>
      </c>
      <c r="Y45">
        <f>MDC_3_noss!L22</f>
        <v>551.83499999999992</v>
      </c>
      <c r="Z45">
        <f>MDC_1_ss!L22</f>
        <v>1215.3149999999998</v>
      </c>
      <c r="AA45">
        <f>MDC_2_ss!L22</f>
        <v>1203.7349999999999</v>
      </c>
      <c r="AB45">
        <f>MDC_3_ss!L22</f>
        <v>551.83499999999992</v>
      </c>
      <c r="AC45">
        <f>POSDLOQ_1!$L$22</f>
        <v>610.32500000000005</v>
      </c>
      <c r="AD45">
        <f>POSDLOQ_2!$L$22</f>
        <v>610.32500000000005</v>
      </c>
      <c r="AE45">
        <f>POSDLOQ_3!$L$22</f>
        <v>612.72500000000002</v>
      </c>
      <c r="AF45">
        <f>POSDLOQ_4!$L$22</f>
        <v>612.72500000000002</v>
      </c>
      <c r="AG45">
        <f>IVSDLOQ_1!$L$22</f>
        <v>14338</v>
      </c>
      <c r="AH45">
        <f>IVSDLOQ_2!$L$22</f>
        <v>14338</v>
      </c>
      <c r="AI45">
        <f>IVSDLOQ_3!$L$22</f>
        <v>14341</v>
      </c>
      <c r="AJ45">
        <f>IVSDLOQ_4!$L$22</f>
        <v>14341</v>
      </c>
      <c r="AK45">
        <f>POSDEXCL!$L$22</f>
        <v>1551.3150000000001</v>
      </c>
      <c r="AL45">
        <f>POSDTRAP_2!$L$22</f>
        <v>1194.432449698618</v>
      </c>
      <c r="AM45">
        <f>POSDTRAP_3!$L$22</f>
        <v>1198.2700034985471</v>
      </c>
    </row>
    <row r="46" spans="1:39" x14ac:dyDescent="0.45">
      <c r="C46">
        <f>START_POSD!L23</f>
        <v>0</v>
      </c>
      <c r="D46">
        <f>START_IVSD!L23</f>
        <v>0</v>
      </c>
      <c r="E46">
        <f>START_INFSD!$L$23</f>
        <v>0</v>
      </c>
      <c r="F46">
        <f>START_POMD!L23</f>
        <v>0</v>
      </c>
      <c r="G46">
        <f>START_IVMD!$L$23</f>
        <v>0</v>
      </c>
      <c r="H46">
        <f>START_INFMD!$L$23</f>
        <v>0</v>
      </c>
      <c r="I46">
        <f>SDT_1!L23</f>
        <v>0</v>
      </c>
      <c r="J46">
        <f>SDT_2!L23</f>
        <v>0</v>
      </c>
      <c r="K46">
        <f>SDT_3!L23</f>
        <v>0</v>
      </c>
      <c r="L46">
        <f>SDC_1!L23</f>
        <v>0</v>
      </c>
      <c r="M46">
        <f>SDC_2!L23</f>
        <v>0</v>
      </c>
      <c r="N46">
        <f>SDC_3!L23</f>
        <v>0</v>
      </c>
      <c r="O46">
        <f>SDC_4a!L23</f>
        <v>0</v>
      </c>
      <c r="P46">
        <f>SDC_4b!L23</f>
        <v>0</v>
      </c>
      <c r="Q46">
        <f>SDC_4c!L23</f>
        <v>0</v>
      </c>
      <c r="R46">
        <f>SDC_4d!L23</f>
        <v>0</v>
      </c>
      <c r="S46">
        <f>MDT_1!L23</f>
        <v>0</v>
      </c>
      <c r="T46">
        <f>MDT_2!L23</f>
        <v>0</v>
      </c>
      <c r="U46">
        <f>MDT_3!L23</f>
        <v>0</v>
      </c>
      <c r="V46">
        <f>MDT_3a!L23</f>
        <v>0</v>
      </c>
      <c r="W46">
        <f>MDC_1_noss!L23</f>
        <v>0</v>
      </c>
      <c r="X46">
        <f>MDC_2_noss!L23</f>
        <v>0</v>
      </c>
      <c r="Y46">
        <f>MDC_3_noss!L23</f>
        <v>0</v>
      </c>
      <c r="Z46">
        <f>MDC_1_ss!L23</f>
        <v>0</v>
      </c>
      <c r="AA46">
        <f>MDC_2_ss!L23</f>
        <v>0</v>
      </c>
      <c r="AB46">
        <f>MDC_3_ss!L23</f>
        <v>0</v>
      </c>
      <c r="AC46">
        <f>POSDLOQ_1!$L$23</f>
        <v>0</v>
      </c>
      <c r="AD46">
        <f>POSDLOQ_2!$L$23</f>
        <v>0</v>
      </c>
      <c r="AE46">
        <f>POSDLOQ_3!$L$23</f>
        <v>0</v>
      </c>
      <c r="AF46">
        <f>POSDLOQ_4!$L$23</f>
        <v>0</v>
      </c>
      <c r="AG46">
        <f>IVSDLOQ_1!$L$23</f>
        <v>0</v>
      </c>
      <c r="AH46">
        <f>IVSDLOQ_2!$L$23</f>
        <v>0</v>
      </c>
      <c r="AI46">
        <f>IVSDLOQ_3!$L$23</f>
        <v>0</v>
      </c>
      <c r="AJ46">
        <f>IVSDLOQ_4!$L$23</f>
        <v>0</v>
      </c>
      <c r="AK46">
        <f>POSDEXCL!$L$23</f>
        <v>0</v>
      </c>
      <c r="AL46">
        <f>POSDTRAP_2!$L$23</f>
        <v>0</v>
      </c>
      <c r="AM46">
        <f>POSDTRAP_3!$L$23</f>
        <v>0</v>
      </c>
    </row>
    <row r="47" spans="1:39" x14ac:dyDescent="0.45">
      <c r="A47" s="3" t="s">
        <v>137</v>
      </c>
      <c r="C47">
        <f>START_POSD!L24</f>
        <v>1273.9806366841512</v>
      </c>
      <c r="D47">
        <f>START_IVSD!L24</f>
        <v>36703.630408400946</v>
      </c>
      <c r="E47">
        <f>START_INFSD!$L$24</f>
        <v>1273.9806366841512</v>
      </c>
      <c r="F47">
        <f>START_POMD!L24</f>
        <v>1273.9806366841512</v>
      </c>
      <c r="G47">
        <f>START_IVMD!$L$24</f>
        <v>36703.630408400946</v>
      </c>
      <c r="H47">
        <f>START_INFMD!$L$24</f>
        <v>1184.3056366841513</v>
      </c>
      <c r="I47">
        <f>SDT_1!L24</f>
        <v>1273.9806366841512</v>
      </c>
      <c r="J47">
        <f>SDT_2!L24</f>
        <v>1280.5756366841513</v>
      </c>
      <c r="K47">
        <f>SDT_3!L24</f>
        <v>1408.7464130057465</v>
      </c>
      <c r="L47">
        <f>SDC_1!L24</f>
        <v>1273.9806366841512</v>
      </c>
      <c r="M47">
        <f>SDC_2!L24</f>
        <v>1262.4006366841513</v>
      </c>
      <c r="N47">
        <f>SDC_3!L24</f>
        <v>1821.3233778682779</v>
      </c>
      <c r="O47">
        <f>SDC_4a!L24</f>
        <v>36703.630408400946</v>
      </c>
      <c r="P47">
        <f>SDC_4b!L24</f>
        <v>38307.130408400946</v>
      </c>
      <c r="Q47">
        <f>SDC_4c!L24</f>
        <v>36636.505408400946</v>
      </c>
      <c r="R47">
        <f>SDC_4d!L24</f>
        <v>35807.130408400946</v>
      </c>
      <c r="S47" t="str">
        <f>MDT_1!L24</f>
        <v>NC</v>
      </c>
      <c r="T47">
        <f>MDT_2!L24</f>
        <v>1280.5756366841513</v>
      </c>
      <c r="U47">
        <f>MDT_3!L24</f>
        <v>1408.7464130057465</v>
      </c>
      <c r="V47">
        <f>MDT_3a!L24</f>
        <v>1273.9806366841512</v>
      </c>
      <c r="W47" t="str">
        <f>MDC_1_noss!L24</f>
        <v>NA</v>
      </c>
      <c r="X47">
        <f>MDC_2_noss!L24</f>
        <v>1262.4006366841513</v>
      </c>
      <c r="Y47">
        <f>MDC_3_noss!L24</f>
        <v>1821.3233778682779</v>
      </c>
      <c r="Z47">
        <f>MDC_1_ss!L24</f>
        <v>1273.9806366841512</v>
      </c>
      <c r="AA47">
        <f>MDC_2_ss!L24</f>
        <v>1262.4006366841513</v>
      </c>
      <c r="AB47">
        <f>MDC_3_ss!L24</f>
        <v>1821.3233778682779</v>
      </c>
      <c r="AC47" s="67">
        <f>POSDLOQ_1!$L$24</f>
        <v>1352.1827041681593</v>
      </c>
      <c r="AD47" s="67">
        <f>POSDLOQ_2!$L$24</f>
        <v>1352.1827041681593</v>
      </c>
      <c r="AE47" s="67">
        <f>POSDLOQ_3!$L$24</f>
        <v>1354.5827041681594</v>
      </c>
      <c r="AF47" s="67">
        <f>POSDLOQ_4!$L$24</f>
        <v>1354.5827041681594</v>
      </c>
      <c r="AG47" s="67">
        <f>IVSDLOQ_1!$L$24</f>
        <v>32019.952853774033</v>
      </c>
      <c r="AH47" s="67">
        <f>IVSDLOQ_2!$L$24</f>
        <v>32019.952853774033</v>
      </c>
      <c r="AI47" s="67">
        <f>IVSDLOQ_3!$L$24</f>
        <v>32022.952853774033</v>
      </c>
      <c r="AJ47" s="67">
        <f>IVSDLOQ_4!$L$24</f>
        <v>32022.952853774033</v>
      </c>
      <c r="AK47" s="67">
        <f>POSDEXCL!$L$24</f>
        <v>1609.9806366841515</v>
      </c>
      <c r="AL47" s="67">
        <f>POSDTRAP_2!$L$24</f>
        <v>1253.0980863827695</v>
      </c>
      <c r="AM47" s="67">
        <f>POSDTRAP_3!$L$24</f>
        <v>1256.9356401826985</v>
      </c>
    </row>
    <row r="48" spans="1:39" x14ac:dyDescent="0.45">
      <c r="C48">
        <f>START_POSD!L25</f>
        <v>0</v>
      </c>
      <c r="D48">
        <f>START_IVSD!L25</f>
        <v>0</v>
      </c>
      <c r="E48">
        <f>START_INFSD!$L$25</f>
        <v>0</v>
      </c>
      <c r="F48">
        <f>START_POMD!L25</f>
        <v>0</v>
      </c>
      <c r="G48">
        <f>START_IVMD!$L$25</f>
        <v>0</v>
      </c>
      <c r="H48">
        <f>START_INFMD!$L$25</f>
        <v>0</v>
      </c>
      <c r="I48">
        <f>SDT_1!L25</f>
        <v>0</v>
      </c>
      <c r="J48">
        <f>SDT_2!L25</f>
        <v>0</v>
      </c>
      <c r="K48">
        <f>SDT_3!L25</f>
        <v>0</v>
      </c>
      <c r="L48">
        <f>SDC_1!L25</f>
        <v>0</v>
      </c>
      <c r="M48">
        <f>SDC_2!L25</f>
        <v>0</v>
      </c>
      <c r="N48">
        <f>SDC_3!L25</f>
        <v>0</v>
      </c>
      <c r="O48">
        <f>SDC_4a!L25</f>
        <v>0</v>
      </c>
      <c r="P48">
        <f>SDC_4b!L25</f>
        <v>0</v>
      </c>
      <c r="Q48">
        <f>SDC_4c!L25</f>
        <v>0</v>
      </c>
      <c r="R48">
        <f>SDC_4d!L25</f>
        <v>0</v>
      </c>
      <c r="S48">
        <f>MDT_1!L25</f>
        <v>0</v>
      </c>
      <c r="T48">
        <f>MDT_2!L25</f>
        <v>0</v>
      </c>
      <c r="U48">
        <f>MDT_3!L25</f>
        <v>0</v>
      </c>
      <c r="V48">
        <f>MDT_3a!L25</f>
        <v>0</v>
      </c>
      <c r="W48">
        <f>MDC_1_noss!L25</f>
        <v>0</v>
      </c>
      <c r="X48">
        <f>MDC_2_noss!L25</f>
        <v>0</v>
      </c>
      <c r="Y48">
        <f>MDC_3_noss!L25</f>
        <v>0</v>
      </c>
      <c r="Z48">
        <f>MDC_1_ss!L25</f>
        <v>0</v>
      </c>
      <c r="AA48">
        <f>MDC_2_ss!L25</f>
        <v>0</v>
      </c>
      <c r="AB48">
        <f>MDC_3_ss!L25</f>
        <v>0</v>
      </c>
      <c r="AC48">
        <f>POSDLOQ_1!$L$25</f>
        <v>0</v>
      </c>
      <c r="AD48">
        <f>POSDLOQ_2!$L$25</f>
        <v>0</v>
      </c>
      <c r="AE48">
        <f>POSDLOQ_3!$L$25</f>
        <v>0</v>
      </c>
      <c r="AF48">
        <f>POSDLOQ_4!$L$25</f>
        <v>0</v>
      </c>
      <c r="AG48">
        <f>IVSDLOQ_1!$L$25</f>
        <v>0</v>
      </c>
      <c r="AH48">
        <f>IVSDLOQ_2!$L$25</f>
        <v>0</v>
      </c>
      <c r="AI48">
        <f>IVSDLOQ_3!$L$25</f>
        <v>0</v>
      </c>
      <c r="AJ48">
        <f>IVSDLOQ_4!$L$25</f>
        <v>0</v>
      </c>
      <c r="AK48">
        <f>POSDEXCL!$L$25</f>
        <v>0</v>
      </c>
      <c r="AL48">
        <f>POSDTRAP_2!$L$25</f>
        <v>0</v>
      </c>
      <c r="AM48">
        <f>POSDTRAP_3!$L$25</f>
        <v>0</v>
      </c>
    </row>
    <row r="49" spans="1:39" x14ac:dyDescent="0.45">
      <c r="A49" s="3" t="s">
        <v>138</v>
      </c>
      <c r="C49">
        <f>START_POSD!L26</f>
        <v>1275.4434246550638</v>
      </c>
      <c r="D49">
        <f>START_IVSD!L26</f>
        <v>36644.782402836376</v>
      </c>
      <c r="E49">
        <f>START_INFSD!$L$26</f>
        <v>1275.4434246550638</v>
      </c>
      <c r="F49">
        <f>START_POMD!L26</f>
        <v>1275.4434246550638</v>
      </c>
      <c r="G49">
        <f>START_IVMD!$L$26</f>
        <v>36644.782402836376</v>
      </c>
      <c r="H49">
        <f>START_INFMD!$L$26</f>
        <v>1185.7684246550639</v>
      </c>
      <c r="I49">
        <f>SDT_1!L26</f>
        <v>1275.4434246550638</v>
      </c>
      <c r="J49">
        <f>SDT_2!L26</f>
        <v>1282.0384246550639</v>
      </c>
      <c r="K49">
        <f>SDT_3!L26</f>
        <v>1442.3251247690416</v>
      </c>
      <c r="L49">
        <f>SDC_1!L26</f>
        <v>1275.4434246550638</v>
      </c>
      <c r="M49">
        <f>SDC_2!L26</f>
        <v>1263.8634246550639</v>
      </c>
      <c r="N49">
        <f>SDC_3!L26</f>
        <v>1827.6424736378922</v>
      </c>
      <c r="O49">
        <f>SDC_4a!L26</f>
        <v>36644.782402836376</v>
      </c>
      <c r="P49">
        <f>SDC_4b!L26</f>
        <v>38248.282402836376</v>
      </c>
      <c r="Q49">
        <f>SDC_4c!L26</f>
        <v>36577.657402836376</v>
      </c>
      <c r="R49">
        <f>SDC_4d!L26</f>
        <v>35748.282402836376</v>
      </c>
      <c r="S49" t="str">
        <f>MDT_1!L26</f>
        <v>NC</v>
      </c>
      <c r="T49">
        <f>MDT_2!L26</f>
        <v>1282.0384246550639</v>
      </c>
      <c r="U49">
        <f>MDT_3!L26</f>
        <v>1442.3251247690416</v>
      </c>
      <c r="V49">
        <f>MDT_3a!L26</f>
        <v>1275.4434246550638</v>
      </c>
      <c r="W49" t="str">
        <f>MDC_1_noss!L26</f>
        <v>NA</v>
      </c>
      <c r="X49">
        <f>MDC_2_noss!L26</f>
        <v>1263.8634246550639</v>
      </c>
      <c r="Y49">
        <f>MDC_3_noss!L26</f>
        <v>1827.6424736378922</v>
      </c>
      <c r="Z49">
        <f>MDC_1_ss!L26</f>
        <v>1275.4434246550638</v>
      </c>
      <c r="AA49">
        <f>MDC_2_ss!L26</f>
        <v>1263.8634246550639</v>
      </c>
      <c r="AB49">
        <f>MDC_3_ss!L26</f>
        <v>1827.6424736378922</v>
      </c>
      <c r="AC49" s="67">
        <f>POSDLOQ_1!$L$26</f>
        <v>1376.1918114161474</v>
      </c>
      <c r="AD49" s="67">
        <f>POSDLOQ_2!$L$26</f>
        <v>1376.1918114161474</v>
      </c>
      <c r="AE49" s="67">
        <f>POSDLOQ_3!$L$26</f>
        <v>1378.5918114161475</v>
      </c>
      <c r="AF49" s="67">
        <f>POSDLOQ_4!$L$26</f>
        <v>1378.5918114161475</v>
      </c>
      <c r="AG49" s="67">
        <f>IVSDLOQ_1!$L$26</f>
        <v>32908.26425505575</v>
      </c>
      <c r="AH49" s="67">
        <f>IVSDLOQ_2!$L$26</f>
        <v>32908.26425505575</v>
      </c>
      <c r="AI49" s="67">
        <f>IVSDLOQ_3!$L$26</f>
        <v>32911.26425505575</v>
      </c>
      <c r="AJ49" s="67">
        <f>IVSDLOQ_4!$L$26</f>
        <v>32911.26425505575</v>
      </c>
      <c r="AK49" s="67">
        <f>POSDEXCL!$L$26</f>
        <v>1611.4434246550641</v>
      </c>
      <c r="AL49" s="67">
        <f>POSDTRAP_2!$L$26</f>
        <v>1254.560874353682</v>
      </c>
      <c r="AM49" s="67">
        <f>POSDTRAP_3!$L$26</f>
        <v>1258.3984281536111</v>
      </c>
    </row>
    <row r="51" spans="1:39" x14ac:dyDescent="0.45">
      <c r="A51" s="3" t="s">
        <v>139</v>
      </c>
      <c r="C51">
        <f>START_POSD!P21</f>
        <v>72.11999999999999</v>
      </c>
      <c r="D51">
        <f>START_IVSD!P21</f>
        <v>7730.2152816508697</v>
      </c>
      <c r="E51">
        <f>START_INFSD!$P$21</f>
        <v>72.11999999999999</v>
      </c>
      <c r="F51">
        <f>START_POMD!P21</f>
        <v>72.394999999999996</v>
      </c>
      <c r="G51">
        <f>START_IVMD!$P$21</f>
        <v>7730.2152816508697</v>
      </c>
      <c r="H51">
        <f>START_INFMD!$P$21</f>
        <v>51.064999999999998</v>
      </c>
      <c r="I51">
        <f>SDT_1!P21</f>
        <v>72.11999999999999</v>
      </c>
      <c r="J51">
        <f>SDT_2!P21</f>
        <v>72.527499999999989</v>
      </c>
      <c r="K51">
        <f>SDT_3!P21</f>
        <v>71.822185418568637</v>
      </c>
      <c r="L51">
        <f>SDC_1!P21</f>
        <v>72.11999999999999</v>
      </c>
      <c r="M51">
        <f>SDC_2!P21</f>
        <v>71.97</v>
      </c>
      <c r="N51">
        <f>SDC_3!P21</f>
        <v>72.773001028898392</v>
      </c>
      <c r="O51">
        <f>SDC_4a!P21</f>
        <v>7730.2152816508697</v>
      </c>
      <c r="P51">
        <f>SDC_4b!P21</f>
        <v>7914</v>
      </c>
      <c r="Q51">
        <f>SDC_4c!P21</f>
        <v>6668.75</v>
      </c>
      <c r="R51">
        <f>SDC_4d!P21</f>
        <v>5414</v>
      </c>
      <c r="S51" t="str">
        <f>MDT_1!P21</f>
        <v>NC</v>
      </c>
      <c r="T51">
        <f>MDT_2!P21</f>
        <v>72.802499999999995</v>
      </c>
      <c r="U51">
        <f>MDT_3!P21</f>
        <v>72.097185418568642</v>
      </c>
      <c r="V51">
        <f>MDT_3a!P21</f>
        <v>72.11999999999999</v>
      </c>
      <c r="W51" t="str">
        <f>MDC_1_noss!P21</f>
        <v>NA</v>
      </c>
      <c r="X51">
        <f>MDC_2_noss!P21</f>
        <v>72.245000000000005</v>
      </c>
      <c r="Y51">
        <f>MDC_3_noss!P21</f>
        <v>73.048001028898398</v>
      </c>
      <c r="Z51">
        <f>MDC_1_ss!P21</f>
        <v>72.482500000000002</v>
      </c>
      <c r="AA51">
        <f>MDC_2_ss!P21</f>
        <v>72.245000000000005</v>
      </c>
      <c r="AB51">
        <f>MDC_3_ss!P21</f>
        <v>71.344999999999999</v>
      </c>
      <c r="AC51">
        <f>POSDLOQ_1!$P$21</f>
        <v>56.86</v>
      </c>
      <c r="AD51">
        <f>POSDLOQ_2!$P$21</f>
        <v>56.86</v>
      </c>
      <c r="AE51">
        <f>POSDLOQ_3!$P$21</f>
        <v>57.06</v>
      </c>
      <c r="AF51">
        <f>POSDLOQ_4!$P$21</f>
        <v>57.06</v>
      </c>
      <c r="AG51">
        <f>IVSDLOQ_1!$P$21</f>
        <v>2817.25</v>
      </c>
      <c r="AH51">
        <f>IVSDLOQ_2!$P$21</f>
        <v>2817.25</v>
      </c>
      <c r="AI51">
        <f>IVSDLOQ_3!$P$21</f>
        <v>2817.5</v>
      </c>
      <c r="AJ51">
        <f>IVSDLOQ_4!$P$21</f>
        <v>2817.5</v>
      </c>
      <c r="AK51">
        <f>POSDEXCL!$P$21</f>
        <v>100.11999999999999</v>
      </c>
      <c r="AL51">
        <f>POSDTRAP_2!$P$21</f>
        <v>70.275681446638515</v>
      </c>
      <c r="AM51">
        <f>POSDTRAP_3!$P$21</f>
        <v>71.586721032146912</v>
      </c>
    </row>
    <row r="52" spans="1:39" x14ac:dyDescent="0.45">
      <c r="A52" s="3" t="s">
        <v>140</v>
      </c>
      <c r="C52">
        <f>START_POSD!R21</f>
        <v>789.07499999999993</v>
      </c>
      <c r="D52">
        <f>START_IVSD!R21</f>
        <v>19410.75</v>
      </c>
      <c r="E52">
        <f>START_INFSD!$R$21</f>
        <v>789.07499999999993</v>
      </c>
      <c r="F52">
        <f>START_POMD!R21</f>
        <v>789.07499999999993</v>
      </c>
      <c r="G52">
        <f>START_IVMD!$R$21</f>
        <v>19410.75</v>
      </c>
      <c r="H52">
        <f>START_INFMD!$R$21</f>
        <v>699.4</v>
      </c>
      <c r="I52">
        <f>SDT_1!R21</f>
        <v>789.07499999999993</v>
      </c>
      <c r="J52">
        <f>SDT_2!R21</f>
        <v>795.67</v>
      </c>
      <c r="K52">
        <f>SDT_3!R21</f>
        <v>781.92745004564745</v>
      </c>
      <c r="L52">
        <f>SDC_1!R21</f>
        <v>789.07499999999993</v>
      </c>
      <c r="M52">
        <f>SDC_2!R21</f>
        <v>777.495</v>
      </c>
      <c r="N52">
        <f>SDC_3!R21</f>
        <v>804.74702469356134</v>
      </c>
      <c r="O52">
        <f>SDC_4a!R21</f>
        <v>19410.75</v>
      </c>
      <c r="P52">
        <f>SDC_4b!R21</f>
        <v>21014.25</v>
      </c>
      <c r="Q52">
        <f>SDC_4c!R21</f>
        <v>19343.625</v>
      </c>
      <c r="R52">
        <f>SDC_4d!R21</f>
        <v>18514.25</v>
      </c>
      <c r="S52" t="str">
        <f>MDT_1!R21</f>
        <v>NC</v>
      </c>
      <c r="T52">
        <f>MDT_2!R21</f>
        <v>795.67</v>
      </c>
      <c r="U52">
        <f>MDT_3!R21</f>
        <v>781.92745004564745</v>
      </c>
      <c r="V52">
        <f>MDT_3a!R21</f>
        <v>789.07499999999993</v>
      </c>
      <c r="W52" t="str">
        <f>MDC_1_noss!R21</f>
        <v>NA</v>
      </c>
      <c r="X52">
        <f>MDC_2_noss!R21</f>
        <v>777.495</v>
      </c>
      <c r="Y52">
        <f>MDC_3_noss!R21</f>
        <v>804.74702469356134</v>
      </c>
      <c r="Z52">
        <f>MDC_1_ss!R21</f>
        <v>789.07499999999993</v>
      </c>
      <c r="AA52">
        <f>MDC_2_ss!R21</f>
        <v>777.495</v>
      </c>
      <c r="AB52">
        <f>MDC_3_ss!R21</f>
        <v>763.875</v>
      </c>
      <c r="AC52">
        <f>POSDLOQ_1!$R$21</f>
        <v>610.32500000000005</v>
      </c>
      <c r="AD52">
        <f>POSDLOQ_2!$R$21</f>
        <v>610.32500000000005</v>
      </c>
      <c r="AE52">
        <f>POSDLOQ_3!$R$21</f>
        <v>612.72500000000002</v>
      </c>
      <c r="AF52">
        <f>POSDLOQ_4!$R$21</f>
        <v>612.72500000000002</v>
      </c>
      <c r="AG52">
        <f>IVSDLOQ_1!$R$21</f>
        <v>14338</v>
      </c>
      <c r="AH52">
        <f>IVSDLOQ_2!$R$21</f>
        <v>14338</v>
      </c>
      <c r="AI52">
        <f>IVSDLOQ_3!$R$21</f>
        <v>14341</v>
      </c>
      <c r="AJ52">
        <f>IVSDLOQ_4!$R$21</f>
        <v>14341</v>
      </c>
      <c r="AK52">
        <f>POSDEXCL!$R$21</f>
        <v>1125.075</v>
      </c>
      <c r="AL52">
        <f>POSDTRAP_2!$R$21</f>
        <v>789.7170354020551</v>
      </c>
      <c r="AM52">
        <f>POSDTRAP_3!$R$21</f>
        <v>793.55458920198419</v>
      </c>
    </row>
    <row r="54" spans="1:39" x14ac:dyDescent="0.45">
      <c r="A54" s="3" t="s">
        <v>122</v>
      </c>
      <c r="C54">
        <f>START_POSD!V21</f>
        <v>60.389999999999993</v>
      </c>
      <c r="D54">
        <f>START_IVSD!V21</f>
        <v>7487.2152816508697</v>
      </c>
      <c r="E54">
        <f>START_INFSD!$V$21</f>
        <v>60.389999999999993</v>
      </c>
      <c r="F54">
        <f>START_POMD!V21</f>
        <v>60.664999999999999</v>
      </c>
      <c r="G54">
        <f>START_IVMD!$V$21</f>
        <v>7487.2152816508697</v>
      </c>
      <c r="H54">
        <f>START_INFMD!$V$21</f>
        <v>39.335000000000001</v>
      </c>
      <c r="I54">
        <f>SDT_1!V21</f>
        <v>60.389999999999993</v>
      </c>
      <c r="J54">
        <f>SDT_2!V21</f>
        <v>60.797499999999992</v>
      </c>
      <c r="K54">
        <f>SDT_3!V21</f>
        <v>60.389999999999993</v>
      </c>
      <c r="L54">
        <f>SDC_1!V21</f>
        <v>60.389999999999993</v>
      </c>
      <c r="M54">
        <f>SDC_2!V21</f>
        <v>60.239999999999995</v>
      </c>
      <c r="N54">
        <f>SDC_3!V21</f>
        <v>60.389999999999993</v>
      </c>
      <c r="O54">
        <f>SDC_4a!V21</f>
        <v>7487.2152816508697</v>
      </c>
      <c r="P54">
        <f>SDC_4b!V21</f>
        <v>7671</v>
      </c>
      <c r="Q54">
        <f>SDC_4c!V21</f>
        <v>6425.75</v>
      </c>
      <c r="R54">
        <f>SDC_4d!V21</f>
        <v>5171</v>
      </c>
      <c r="S54" t="str">
        <f>MDT_1!V21</f>
        <v>NC</v>
      </c>
      <c r="T54">
        <f>MDT_2!V21</f>
        <v>61.072499999999998</v>
      </c>
      <c r="U54">
        <f>MDT_3!V21</f>
        <v>60.664999999999999</v>
      </c>
      <c r="V54">
        <f>MDT_3a!V21</f>
        <v>60.389999999999993</v>
      </c>
      <c r="W54" t="str">
        <f>MDC_1_noss!V21</f>
        <v>NA</v>
      </c>
      <c r="X54">
        <f>MDC_2_noss!V21</f>
        <v>60.515000000000001</v>
      </c>
      <c r="Y54">
        <f>MDC_3_noss!V21</f>
        <v>60.664999999999999</v>
      </c>
      <c r="Z54">
        <f>MDC_1_ss!V21</f>
        <v>60.752499999999998</v>
      </c>
      <c r="AA54">
        <f>MDC_2_ss!V21</f>
        <v>60.515000000000001</v>
      </c>
      <c r="AB54">
        <f>MDC_3_ss!V21</f>
        <v>60.664999999999999</v>
      </c>
      <c r="AC54">
        <f>POSDLOQ_1!$V$21</f>
        <v>45.13</v>
      </c>
      <c r="AD54">
        <f>POSDLOQ_2!$V$21</f>
        <v>45.13</v>
      </c>
      <c r="AE54">
        <f>POSDLOQ_3!$V$21</f>
        <v>45.33</v>
      </c>
      <c r="AF54">
        <f>POSDLOQ_4!$V$21</f>
        <v>45.33</v>
      </c>
      <c r="AG54">
        <f>IVSDLOQ_1!$V$21</f>
        <v>2574.25</v>
      </c>
      <c r="AH54">
        <f>IVSDLOQ_2!$V$21</f>
        <v>2574.25</v>
      </c>
      <c r="AI54">
        <f>IVSDLOQ_3!$V$21</f>
        <v>2574.5</v>
      </c>
      <c r="AJ54">
        <f>IVSDLOQ_4!$V$21</f>
        <v>2574.5</v>
      </c>
      <c r="AK54">
        <f>POSDEXCL!$V$21</f>
        <v>88.389999999999986</v>
      </c>
      <c r="AL54">
        <f>POSDTRAP_2!$V$21</f>
        <v>58.811388416317996</v>
      </c>
      <c r="AM54">
        <f>POSDTRAP_3!$V$21</f>
        <v>60.122428001826393</v>
      </c>
    </row>
    <row r="55" spans="1:39" x14ac:dyDescent="0.45">
      <c r="A55" s="3" t="s">
        <v>123</v>
      </c>
      <c r="C55">
        <f>START_POSD!Z21</f>
        <v>32.809999999999995</v>
      </c>
      <c r="D55">
        <f>START_IVSD!Z21</f>
        <v>722</v>
      </c>
      <c r="E55">
        <f>START_INFSD!$Z$21</f>
        <v>32.809999999999995</v>
      </c>
      <c r="F55">
        <f>START_POMD!Z21</f>
        <v>32.809999999999995</v>
      </c>
      <c r="G55">
        <f>START_IVMD!$Z$21</f>
        <v>722</v>
      </c>
      <c r="H55">
        <f>START_INFMD!$Z$21</f>
        <v>20.519999999999996</v>
      </c>
      <c r="I55" s="2">
        <f>SDT_1!Z21</f>
        <v>32.809999999999995</v>
      </c>
      <c r="J55" s="2">
        <f>SDT_2!Z21</f>
        <v>32.884</v>
      </c>
      <c r="K55" s="2">
        <f>SDT_3!Z21</f>
        <v>32.809999999999995</v>
      </c>
      <c r="L55" s="2">
        <f>SDC_1!Z21</f>
        <v>32.809999999999995</v>
      </c>
      <c r="M55" s="2">
        <f>SDC_2!Z21</f>
        <v>32.772499999999994</v>
      </c>
      <c r="N55" s="2">
        <f>SDC_3!Z21</f>
        <v>32.809999999999995</v>
      </c>
      <c r="O55">
        <f>SDC_4a!Z21</f>
        <v>722</v>
      </c>
      <c r="P55">
        <f>SDC_4b!Z21</f>
        <v>722</v>
      </c>
      <c r="Q55">
        <f>SDC_4c!Z21</f>
        <v>722</v>
      </c>
      <c r="R55">
        <f>SDC_4d!Z21</f>
        <v>722</v>
      </c>
      <c r="S55" s="2">
        <f>MDT_1!Z21</f>
        <v>32.809999999999995</v>
      </c>
      <c r="T55">
        <f>MDT_2!Z21</f>
        <v>32.884</v>
      </c>
      <c r="U55">
        <f>MDT_3!Z21</f>
        <v>32.809999999999995</v>
      </c>
      <c r="V55">
        <f>MDT_3a!Z21</f>
        <v>32.809999999999995</v>
      </c>
      <c r="W55">
        <f>MDC_1_noss!Z21</f>
        <v>32.809999999999995</v>
      </c>
      <c r="X55">
        <f>MDC_2_noss!Z21</f>
        <v>32.772499999999994</v>
      </c>
      <c r="Y55">
        <f>MDC_3_noss!Z21</f>
        <v>32.809999999999995</v>
      </c>
      <c r="Z55">
        <f>MDC_1_ss!Z21</f>
        <v>32.809999999999995</v>
      </c>
      <c r="AA55">
        <f>MDC_2_ss!Z21</f>
        <v>32.772499999999994</v>
      </c>
      <c r="AB55">
        <f>MDC_3_ss!Z21</f>
        <v>32.809999999999995</v>
      </c>
      <c r="AC55" s="2">
        <f>POSDLOQ_1!$Z$21</f>
        <v>29.089999999999996</v>
      </c>
      <c r="AD55" s="2">
        <f>POSDLOQ_2!$Z$21</f>
        <v>29.089999999999996</v>
      </c>
      <c r="AE55" s="2">
        <f>POSDLOQ_3!$Z$21</f>
        <v>29.139999999999997</v>
      </c>
      <c r="AF55" s="2">
        <f>POSDLOQ_4!$Z$21</f>
        <v>29.139999999999997</v>
      </c>
      <c r="AG55" s="2">
        <f>IVSDLOQ_1!$Z$21</f>
        <v>588</v>
      </c>
      <c r="AH55" s="2">
        <f>IVSDLOQ_2!$Z$21</f>
        <v>588</v>
      </c>
      <c r="AI55" s="2">
        <f>IVSDLOQ_3!$Z$21</f>
        <v>588.1</v>
      </c>
      <c r="AJ55" s="2">
        <f>IVSDLOQ_4!$Z$21</f>
        <v>588.1</v>
      </c>
      <c r="AK55" s="2">
        <f>POSDEXCL!$Z$21</f>
        <v>39.809999999999995</v>
      </c>
      <c r="AL55" s="2">
        <f>POSDTRAP_2!$Z$21</f>
        <v>32.802232576066139</v>
      </c>
      <c r="AM55" s="2">
        <f>POSDTRAP_3!$Z$21</f>
        <v>32.802232576066139</v>
      </c>
    </row>
    <row r="57" spans="1:39" x14ac:dyDescent="0.45">
      <c r="A57" s="3" t="s">
        <v>120</v>
      </c>
      <c r="D57">
        <f>START_IVSD!J38</f>
        <v>43.034054660763125</v>
      </c>
      <c r="G57">
        <f>START_IVMD!$J$38</f>
        <v>43.034054660763125</v>
      </c>
      <c r="O57">
        <f>SDC_4a!J38</f>
        <v>43.034054660763125</v>
      </c>
      <c r="P57">
        <f>SDC_4b!J38</f>
        <v>25.138881033040605</v>
      </c>
      <c r="Q57">
        <f>SDC_4c!J38</f>
        <v>29.529233899203994</v>
      </c>
      <c r="R57">
        <f>SDC_4d!J38</f>
        <v>35.835417433219298</v>
      </c>
      <c r="AG57">
        <f>IVSDLOQ_1!$J$38</f>
        <v>8.1842643980568077</v>
      </c>
      <c r="AH57">
        <f>IVSDLOQ_2!$J$38</f>
        <v>8.1842643980568077</v>
      </c>
      <c r="AI57">
        <f>IVSDLOQ_3!$J$38</f>
        <v>8.1838908390694574</v>
      </c>
      <c r="AJ57">
        <f>IVSDLOQ_4!$J$38</f>
        <v>8.1838908390694574</v>
      </c>
    </row>
    <row r="58" spans="1:39" x14ac:dyDescent="0.45">
      <c r="A58" s="3" t="s">
        <v>121</v>
      </c>
      <c r="D58">
        <f>START_IVSD!J39</f>
        <v>43.038969241524825</v>
      </c>
      <c r="G58">
        <f>START_IVMD!$J$39</f>
        <v>43.038969241524825</v>
      </c>
      <c r="O58">
        <f>SDC_4a!J39</f>
        <v>43.038969241524825</v>
      </c>
      <c r="P58">
        <f>SDC_4b!J39</f>
        <v>25.141688942742352</v>
      </c>
      <c r="Q58">
        <f>SDC_4c!J39</f>
        <v>29.533108295880989</v>
      </c>
      <c r="R58">
        <f>SDC_4d!J39</f>
        <v>35.841123499715195</v>
      </c>
      <c r="AG58">
        <f>IVSDLOQ_1!$J$39</f>
        <v>8.1504395165230914</v>
      </c>
      <c r="AH58">
        <f>IVSDLOQ_2!$J$39</f>
        <v>8.1504395165230914</v>
      </c>
      <c r="AI58">
        <f>IVSDLOQ_3!$J$39</f>
        <v>8.1500690388613126</v>
      </c>
      <c r="AJ58">
        <f>IVSDLOQ_4!$J$39</f>
        <v>8.1500690388613126</v>
      </c>
    </row>
    <row r="59" spans="1:39" x14ac:dyDescent="0.45">
      <c r="A59" s="3" t="s">
        <v>152</v>
      </c>
      <c r="D59">
        <f>START_IVSD!I5</f>
        <v>9889.8611266034786</v>
      </c>
      <c r="G59" s="64">
        <f>START_IVMD!$I$5</f>
        <v>9889.8611266034786</v>
      </c>
      <c r="O59">
        <f>SDC_4a!I5</f>
        <v>9889.8611266034786</v>
      </c>
      <c r="P59">
        <f>SDC_4b!I5</f>
        <v>4211</v>
      </c>
      <c r="Q59">
        <f>SDC_4c!I5</f>
        <v>4211</v>
      </c>
      <c r="R59">
        <f>SDC_4d!I5</f>
        <v>4211</v>
      </c>
      <c r="AG59" s="64">
        <f>IVSDLOQ_1!$I$5</f>
        <v>8829.1347922385248</v>
      </c>
      <c r="AH59" s="64">
        <f>IVSDLOQ_2!$I$5</f>
        <v>8829.1347922385248</v>
      </c>
      <c r="AI59" s="64">
        <f>IVSDLOQ_3!$I$5</f>
        <v>8829.1347922385248</v>
      </c>
      <c r="AJ59" s="64">
        <f>IVSDLOQ_4!$I$5</f>
        <v>8829.1347922385248</v>
      </c>
    </row>
    <row r="61" spans="1:39" x14ac:dyDescent="0.45">
      <c r="A61" s="3" t="s">
        <v>153</v>
      </c>
      <c r="C61">
        <f>START_POSD!B39</f>
        <v>24</v>
      </c>
      <c r="D61" s="64">
        <f>START_IVSD!B46</f>
        <v>24</v>
      </c>
      <c r="E61">
        <f>START_INFSD!$B$39</f>
        <v>24</v>
      </c>
      <c r="F61">
        <f>START_POMD!B39</f>
        <v>24</v>
      </c>
      <c r="G61" s="64">
        <f>START_IVMD!$B$46</f>
        <v>24</v>
      </c>
      <c r="H61">
        <f>START_INFMD!$B$39</f>
        <v>24</v>
      </c>
      <c r="I61" s="2">
        <f>SDT_1!B39</f>
        <v>24</v>
      </c>
      <c r="J61" s="2">
        <f>SDT_2!B39</f>
        <v>24</v>
      </c>
      <c r="K61" s="2">
        <f>SDT_3!B39</f>
        <v>10</v>
      </c>
      <c r="L61" s="2">
        <f>SDC_1!B39</f>
        <v>24</v>
      </c>
      <c r="M61" s="2">
        <f>SDC_2!B39</f>
        <v>24</v>
      </c>
      <c r="N61" s="2">
        <f>SDC_3!B39</f>
        <v>10</v>
      </c>
      <c r="O61" s="2">
        <f>SDC_4a!B46</f>
        <v>24</v>
      </c>
      <c r="P61" s="2">
        <f>SDC_4b!B46</f>
        <v>24</v>
      </c>
      <c r="Q61" s="2">
        <f>SDC_4c!B46</f>
        <v>24</v>
      </c>
      <c r="R61" s="2">
        <f>SDC_4d!B46</f>
        <v>24</v>
      </c>
      <c r="S61" s="2">
        <f>MDT_1!B39</f>
        <v>24</v>
      </c>
      <c r="T61">
        <f>MDT_2!B39</f>
        <v>24</v>
      </c>
      <c r="U61">
        <f>MDT_3!B39</f>
        <v>10</v>
      </c>
      <c r="V61">
        <f>MDT_3a!B39</f>
        <v>24</v>
      </c>
      <c r="W61">
        <f>MDC_1_noss!B39</f>
        <v>24</v>
      </c>
      <c r="X61">
        <f>MDC_2_noss!B39</f>
        <v>24</v>
      </c>
      <c r="Y61">
        <f>MDC_3_noss!B39</f>
        <v>10</v>
      </c>
      <c r="Z61">
        <f>MDC_1_ss!B39</f>
        <v>24</v>
      </c>
      <c r="AA61">
        <f>MDC_2_ss!B39</f>
        <v>24</v>
      </c>
      <c r="AB61">
        <f>MDC_3_ss!B39</f>
        <v>10</v>
      </c>
      <c r="AC61" s="64">
        <f>POSDLOQ_1!$B$39</f>
        <v>10</v>
      </c>
      <c r="AD61" s="64">
        <f>POSDLOQ_2!$B$39</f>
        <v>10</v>
      </c>
      <c r="AE61" s="64">
        <f>POSDLOQ_3!$B$39</f>
        <v>10</v>
      </c>
      <c r="AF61" s="64">
        <f>POSDLOQ_4!$B$39</f>
        <v>10</v>
      </c>
      <c r="AG61" s="64">
        <f>IVSDLOQ_1!$B$46</f>
        <v>4</v>
      </c>
      <c r="AH61" s="64">
        <f>IVSDLOQ_2!$B$46</f>
        <v>4</v>
      </c>
      <c r="AI61" s="64">
        <f>IVSDLOQ_3!$B$46</f>
        <v>4</v>
      </c>
      <c r="AJ61" s="64">
        <f>IVSDLOQ_4!$B$46</f>
        <v>4</v>
      </c>
      <c r="AK61" s="64">
        <f>POSDEXCL!$B$39</f>
        <v>24</v>
      </c>
      <c r="AL61" s="64">
        <f>POSDTRAP_2!$B$39</f>
        <v>24</v>
      </c>
      <c r="AM61" s="64">
        <f>POSDTRAP_3!$B$39</f>
        <v>24</v>
      </c>
    </row>
    <row r="62" spans="1:39" x14ac:dyDescent="0.45">
      <c r="A62" s="3" t="s">
        <v>154</v>
      </c>
      <c r="C62">
        <f>START_POSD!B40</f>
        <v>48</v>
      </c>
      <c r="D62">
        <f>START_IVSD!B47</f>
        <v>48</v>
      </c>
      <c r="E62">
        <f>START_INFSD!$B$40</f>
        <v>48</v>
      </c>
      <c r="F62">
        <f>START_POMD!B40</f>
        <v>48</v>
      </c>
      <c r="G62">
        <f>START_IVMD!$B$47</f>
        <v>48</v>
      </c>
      <c r="H62">
        <f>START_INFMD!$B$40</f>
        <v>48</v>
      </c>
      <c r="I62" s="2">
        <f>SDT_1!B40</f>
        <v>48</v>
      </c>
      <c r="J62" s="2">
        <f>SDT_2!B40</f>
        <v>48</v>
      </c>
      <c r="K62" s="2">
        <f>SDT_3!B40</f>
        <v>23.1</v>
      </c>
      <c r="L62" s="2">
        <f>SDC_1!B40</f>
        <v>48</v>
      </c>
      <c r="M62" s="2">
        <f>SDC_2!B40</f>
        <v>48</v>
      </c>
      <c r="N62" s="2">
        <f>SDC_3!B40</f>
        <v>18</v>
      </c>
      <c r="O62">
        <f>SDC_4a!B47</f>
        <v>48</v>
      </c>
      <c r="P62">
        <f>SDC_4b!B47</f>
        <v>48</v>
      </c>
      <c r="Q62">
        <f>SDC_4c!B47</f>
        <v>48</v>
      </c>
      <c r="R62">
        <f>SDC_4d!B47</f>
        <v>48</v>
      </c>
      <c r="S62" s="2">
        <f>MDT_1!B40</f>
        <v>48</v>
      </c>
      <c r="T62">
        <f>MDT_2!B40</f>
        <v>48</v>
      </c>
      <c r="U62">
        <f>MDT_3!B40</f>
        <v>23.1</v>
      </c>
      <c r="V62">
        <f>MDT_3a!B40</f>
        <v>48</v>
      </c>
      <c r="W62">
        <f>MDC_1_noss!B40</f>
        <v>48</v>
      </c>
      <c r="X62">
        <f>MDC_2_noss!B40</f>
        <v>48</v>
      </c>
      <c r="Y62">
        <f>MDC_3_noss!B40</f>
        <v>18</v>
      </c>
      <c r="Z62">
        <f>MDC_1_ss!B40</f>
        <v>48</v>
      </c>
      <c r="AA62">
        <f>MDC_2_ss!B40</f>
        <v>48</v>
      </c>
      <c r="AB62">
        <f>MDC_3_ss!B40</f>
        <v>18</v>
      </c>
      <c r="AC62" s="64">
        <f>POSDLOQ_1!$B$40</f>
        <v>24</v>
      </c>
      <c r="AD62" s="64">
        <f>POSDLOQ_2!$B$40</f>
        <v>24</v>
      </c>
      <c r="AE62" s="64">
        <f>POSDLOQ_3!$B$40</f>
        <v>24</v>
      </c>
      <c r="AF62" s="64">
        <f>POSDLOQ_4!$B$40</f>
        <v>24</v>
      </c>
      <c r="AG62" s="64">
        <f>IVSDLOQ_1!$B$47</f>
        <v>24</v>
      </c>
      <c r="AH62" s="64">
        <f>IVSDLOQ_2!$B$47</f>
        <v>24</v>
      </c>
      <c r="AI62" s="64">
        <f>IVSDLOQ_3!$B$47</f>
        <v>24</v>
      </c>
      <c r="AJ62" s="64">
        <f>IVSDLOQ_4!$B$47</f>
        <v>24</v>
      </c>
      <c r="AK62" s="64">
        <f>POSDEXCL!$B$40</f>
        <v>48</v>
      </c>
      <c r="AL62" s="64">
        <f>POSDTRAP_2!$B$40</f>
        <v>48</v>
      </c>
      <c r="AM62" s="64">
        <f>POSDTRAP_3!$B$40</f>
        <v>48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E16A-8547-486B-9665-E771A5B10DA5}">
  <dimension ref="A1:AM62"/>
  <sheetViews>
    <sheetView workbookViewId="0">
      <pane ySplit="1" topLeftCell="A2" activePane="bottomLeft" state="frozen"/>
      <selection pane="bottomLeft" activeCell="AK1" sqref="AK1:AM1048576"/>
    </sheetView>
  </sheetViews>
  <sheetFormatPr defaultRowHeight="14.25" x14ac:dyDescent="0.45"/>
  <cols>
    <col min="1" max="1" width="11.1328125" bestFit="1" customWidth="1"/>
    <col min="3" max="4" width="11.73046875" bestFit="1" customWidth="1"/>
    <col min="5" max="8" width="11.73046875" customWidth="1"/>
    <col min="9" max="39" width="11.73046875" bestFit="1" customWidth="1"/>
  </cols>
  <sheetData>
    <row r="1" spans="1:39" x14ac:dyDescent="0.45">
      <c r="A1" t="s">
        <v>93</v>
      </c>
      <c r="C1" t="s">
        <v>94</v>
      </c>
      <c r="D1" t="s">
        <v>96</v>
      </c>
      <c r="E1" t="s">
        <v>170</v>
      </c>
      <c r="F1" t="s">
        <v>95</v>
      </c>
      <c r="G1" t="s">
        <v>172</v>
      </c>
      <c r="H1" t="s">
        <v>171</v>
      </c>
      <c r="I1" t="s">
        <v>97</v>
      </c>
      <c r="J1" t="s">
        <v>99</v>
      </c>
      <c r="K1" t="s">
        <v>98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167</v>
      </c>
      <c r="AL1" t="s">
        <v>174</v>
      </c>
      <c r="AM1" t="s">
        <v>175</v>
      </c>
    </row>
    <row r="2" spans="1:39" x14ac:dyDescent="0.45">
      <c r="A2" t="s">
        <v>7</v>
      </c>
      <c r="C2">
        <v>-1</v>
      </c>
      <c r="D2">
        <v>-2</v>
      </c>
      <c r="E2">
        <v>-3</v>
      </c>
      <c r="F2">
        <v>-4</v>
      </c>
      <c r="G2">
        <v>-5</v>
      </c>
      <c r="H2">
        <v>-6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</row>
    <row r="3" spans="1:39" x14ac:dyDescent="0.45">
      <c r="A3" t="s">
        <v>141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</row>
    <row r="4" spans="1:39" x14ac:dyDescent="0.45">
      <c r="A4" t="s">
        <v>142</v>
      </c>
      <c r="C4" t="s">
        <v>62</v>
      </c>
      <c r="D4" t="s">
        <v>62</v>
      </c>
      <c r="E4" t="s">
        <v>62</v>
      </c>
      <c r="F4" t="s">
        <v>155</v>
      </c>
      <c r="G4" t="s">
        <v>155</v>
      </c>
      <c r="H4" t="s">
        <v>155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155</v>
      </c>
      <c r="T4" t="s">
        <v>155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</row>
    <row r="5" spans="1:39" x14ac:dyDescent="0.45">
      <c r="A5" t="s">
        <v>143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35</v>
      </c>
      <c r="AA5" t="s">
        <v>35</v>
      </c>
      <c r="AB5" t="s">
        <v>35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</row>
    <row r="6" spans="1:39" x14ac:dyDescent="0.45">
      <c r="A6" t="s">
        <v>144</v>
      </c>
      <c r="C6" t="s">
        <v>63</v>
      </c>
      <c r="D6" t="s">
        <v>79</v>
      </c>
      <c r="E6" t="s">
        <v>173</v>
      </c>
      <c r="F6" t="s">
        <v>63</v>
      </c>
      <c r="G6" t="s">
        <v>79</v>
      </c>
      <c r="H6" t="s">
        <v>173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79</v>
      </c>
      <c r="P6" t="s">
        <v>79</v>
      </c>
      <c r="Q6" t="s">
        <v>79</v>
      </c>
      <c r="R6" t="s">
        <v>79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79</v>
      </c>
      <c r="AH6" t="s">
        <v>79</v>
      </c>
      <c r="AI6" t="s">
        <v>79</v>
      </c>
      <c r="AJ6" t="s">
        <v>79</v>
      </c>
      <c r="AK6" t="s">
        <v>63</v>
      </c>
      <c r="AL6" t="s">
        <v>63</v>
      </c>
      <c r="AM6" t="s">
        <v>63</v>
      </c>
    </row>
    <row r="7" spans="1:39" x14ac:dyDescent="0.45">
      <c r="A7" t="s">
        <v>145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 x14ac:dyDescent="0.45">
      <c r="A8" t="s">
        <v>146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 x14ac:dyDescent="0.45">
      <c r="A9" t="s">
        <v>147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</row>
    <row r="10" spans="1:39" x14ac:dyDescent="0.45">
      <c r="A10" t="s">
        <v>148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24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24</v>
      </c>
      <c r="Q10">
        <v>24</v>
      </c>
      <c r="R10">
        <v>24</v>
      </c>
      <c r="S10">
        <v>24</v>
      </c>
      <c r="T10">
        <v>24</v>
      </c>
      <c r="U10">
        <v>24</v>
      </c>
      <c r="V10">
        <v>24</v>
      </c>
      <c r="W10">
        <v>24</v>
      </c>
      <c r="X10">
        <v>24</v>
      </c>
      <c r="Y10">
        <v>24</v>
      </c>
      <c r="Z10">
        <v>24</v>
      </c>
      <c r="AA10">
        <v>24</v>
      </c>
      <c r="AB10">
        <v>24</v>
      </c>
      <c r="AC10">
        <v>24</v>
      </c>
      <c r="AD10">
        <v>24</v>
      </c>
      <c r="AE10">
        <v>24</v>
      </c>
      <c r="AF10">
        <v>24</v>
      </c>
      <c r="AG10">
        <v>24</v>
      </c>
      <c r="AH10">
        <v>24</v>
      </c>
      <c r="AI10">
        <v>24</v>
      </c>
      <c r="AJ10">
        <v>24</v>
      </c>
      <c r="AK10">
        <v>24</v>
      </c>
      <c r="AL10">
        <v>24</v>
      </c>
      <c r="AM10">
        <v>24</v>
      </c>
    </row>
    <row r="11" spans="1:39" x14ac:dyDescent="0.45">
      <c r="A11" t="s">
        <v>149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</row>
    <row r="12" spans="1:39" x14ac:dyDescent="0.45">
      <c r="A12" t="s">
        <v>150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</row>
    <row r="13" spans="1:39" x14ac:dyDescent="0.45">
      <c r="A13" t="s">
        <v>151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</row>
    <row r="15" spans="1:39" x14ac:dyDescent="0.45">
      <c r="A15" t="s">
        <v>23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23.1</v>
      </c>
      <c r="L15">
        <v>48</v>
      </c>
      <c r="M15">
        <v>48</v>
      </c>
      <c r="N15">
        <v>18</v>
      </c>
      <c r="O15">
        <v>48</v>
      </c>
      <c r="P15">
        <v>48</v>
      </c>
      <c r="Q15">
        <v>48</v>
      </c>
      <c r="R15">
        <v>48</v>
      </c>
      <c r="S15">
        <v>48</v>
      </c>
      <c r="T15">
        <v>48</v>
      </c>
      <c r="U15">
        <v>23.1</v>
      </c>
      <c r="V15">
        <v>48</v>
      </c>
      <c r="W15">
        <v>48</v>
      </c>
      <c r="X15">
        <v>48</v>
      </c>
      <c r="Y15">
        <v>18</v>
      </c>
      <c r="Z15">
        <v>48</v>
      </c>
      <c r="AA15">
        <v>48</v>
      </c>
      <c r="AB15">
        <v>18</v>
      </c>
      <c r="AC15">
        <v>24</v>
      </c>
      <c r="AD15">
        <v>24</v>
      </c>
      <c r="AE15">
        <v>24</v>
      </c>
      <c r="AF15">
        <v>24</v>
      </c>
      <c r="AG15">
        <v>24</v>
      </c>
      <c r="AH15">
        <v>24</v>
      </c>
      <c r="AI15">
        <v>24</v>
      </c>
      <c r="AJ15">
        <v>24</v>
      </c>
      <c r="AK15">
        <v>48</v>
      </c>
      <c r="AL15">
        <v>48</v>
      </c>
      <c r="AM15">
        <v>48</v>
      </c>
    </row>
    <row r="16" spans="1:39" x14ac:dyDescent="0.45">
      <c r="A16" t="s">
        <v>128</v>
      </c>
      <c r="C16">
        <v>0.11</v>
      </c>
      <c r="D16">
        <v>6</v>
      </c>
      <c r="E16">
        <v>0.11</v>
      </c>
      <c r="F16">
        <v>0.11</v>
      </c>
      <c r="G16">
        <v>6</v>
      </c>
      <c r="H16">
        <v>0.11</v>
      </c>
      <c r="I16">
        <v>0.11</v>
      </c>
      <c r="J16">
        <v>0.11</v>
      </c>
      <c r="K16">
        <v>1.45</v>
      </c>
      <c r="L16">
        <v>0.11</v>
      </c>
      <c r="M16">
        <v>0.11</v>
      </c>
      <c r="N16">
        <v>2.46</v>
      </c>
      <c r="O16">
        <v>6</v>
      </c>
      <c r="P16">
        <v>6</v>
      </c>
      <c r="Q16">
        <v>6</v>
      </c>
      <c r="R16">
        <v>6</v>
      </c>
      <c r="S16">
        <v>0.11</v>
      </c>
      <c r="T16">
        <v>0.11</v>
      </c>
      <c r="U16">
        <v>1.45</v>
      </c>
      <c r="V16">
        <v>0.11</v>
      </c>
      <c r="W16">
        <v>0.11</v>
      </c>
      <c r="X16">
        <v>0.11</v>
      </c>
      <c r="Y16">
        <v>2.46</v>
      </c>
      <c r="Z16">
        <v>0.11</v>
      </c>
      <c r="AA16">
        <v>0.11</v>
      </c>
      <c r="AB16">
        <v>2.46</v>
      </c>
      <c r="AC16">
        <v>1.45</v>
      </c>
      <c r="AD16">
        <v>1.45</v>
      </c>
      <c r="AE16">
        <v>1.45</v>
      </c>
      <c r="AF16">
        <v>1.45</v>
      </c>
      <c r="AG16">
        <v>30</v>
      </c>
      <c r="AH16">
        <v>30</v>
      </c>
      <c r="AI16">
        <v>30</v>
      </c>
      <c r="AJ16">
        <v>30</v>
      </c>
      <c r="AK16">
        <v>0.11</v>
      </c>
      <c r="AL16">
        <v>0.11</v>
      </c>
      <c r="AM16">
        <v>0.11</v>
      </c>
    </row>
    <row r="17" spans="1:39" x14ac:dyDescent="0.45">
      <c r="A17" t="s">
        <v>129</v>
      </c>
      <c r="C17">
        <v>0.11274277559905585</v>
      </c>
      <c r="D17">
        <v>5.9372720669530601</v>
      </c>
      <c r="E17">
        <v>0.11274277559905585</v>
      </c>
      <c r="F17">
        <v>0.11274277559905585</v>
      </c>
      <c r="G17">
        <v>5.9372720669530601</v>
      </c>
      <c r="H17">
        <v>0.11274277559905585</v>
      </c>
      <c r="I17">
        <v>0.11274277559905585</v>
      </c>
      <c r="J17">
        <v>0.11274277559905585</v>
      </c>
      <c r="K17">
        <v>1.5239298951627811</v>
      </c>
      <c r="L17">
        <v>0.11274277559905585</v>
      </c>
      <c r="M17">
        <v>0.11274277559905585</v>
      </c>
      <c r="N17">
        <v>2.4722450712147155</v>
      </c>
      <c r="O17">
        <v>5.9372720669530601</v>
      </c>
      <c r="P17">
        <v>5.9372720669530601</v>
      </c>
      <c r="Q17">
        <v>5.9372720669530601</v>
      </c>
      <c r="R17">
        <v>5.9372720669530601</v>
      </c>
      <c r="S17">
        <v>0.11274277559905585</v>
      </c>
      <c r="T17">
        <v>0.11274277559905585</v>
      </c>
      <c r="U17">
        <v>1.5239298951627811</v>
      </c>
      <c r="V17">
        <v>0.11274277559905585</v>
      </c>
      <c r="W17">
        <v>0.11274277559905585</v>
      </c>
      <c r="X17">
        <v>0.11274277559905585</v>
      </c>
      <c r="Y17">
        <v>2.4722450712147155</v>
      </c>
      <c r="Z17">
        <v>0.11274277559905585</v>
      </c>
      <c r="AA17">
        <v>0.11274277559905585</v>
      </c>
      <c r="AB17">
        <v>2.4722450712147155</v>
      </c>
      <c r="AC17">
        <v>1.4969270660855623</v>
      </c>
      <c r="AD17">
        <v>1.4969270660855623</v>
      </c>
      <c r="AE17">
        <v>1.4969270660855623</v>
      </c>
      <c r="AF17">
        <v>1.4969270660855623</v>
      </c>
      <c r="AG17">
        <v>31.507149253186896</v>
      </c>
      <c r="AH17">
        <v>31.507149253186896</v>
      </c>
      <c r="AI17">
        <v>31.507149253186896</v>
      </c>
      <c r="AJ17">
        <v>31.507149253186896</v>
      </c>
      <c r="AK17">
        <v>0.11274277559905585</v>
      </c>
      <c r="AL17">
        <v>0.11274277559905585</v>
      </c>
      <c r="AM17">
        <v>0.11274277559905585</v>
      </c>
    </row>
    <row r="18" spans="1:39" x14ac:dyDescent="0.45">
      <c r="A18" t="s">
        <v>130</v>
      </c>
      <c r="C18">
        <v>8</v>
      </c>
      <c r="D18">
        <v>0.5</v>
      </c>
      <c r="E18">
        <v>8</v>
      </c>
      <c r="F18">
        <v>8</v>
      </c>
      <c r="G18">
        <v>0.5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0.5</v>
      </c>
      <c r="P18">
        <v>1</v>
      </c>
      <c r="Q18">
        <v>0.5</v>
      </c>
      <c r="R18">
        <v>0.5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1</v>
      </c>
      <c r="AH18">
        <v>1</v>
      </c>
      <c r="AI18">
        <v>1</v>
      </c>
      <c r="AJ18">
        <v>1</v>
      </c>
      <c r="AK18">
        <v>12</v>
      </c>
      <c r="AL18">
        <v>8</v>
      </c>
      <c r="AM18">
        <v>8</v>
      </c>
    </row>
    <row r="19" spans="1:39" x14ac:dyDescent="0.45">
      <c r="A19" t="s">
        <v>131</v>
      </c>
      <c r="C19">
        <v>4.3099999999999996</v>
      </c>
      <c r="D19">
        <v>4211</v>
      </c>
      <c r="E19">
        <v>4.3099999999999996</v>
      </c>
      <c r="F19">
        <v>4.3099999999999996</v>
      </c>
      <c r="G19">
        <v>4211</v>
      </c>
      <c r="H19">
        <v>4.3099999999999996</v>
      </c>
      <c r="I19">
        <v>4.3099999999999996</v>
      </c>
      <c r="J19">
        <v>4.3099999999999996</v>
      </c>
      <c r="K19">
        <v>4.3099999999999996</v>
      </c>
      <c r="L19">
        <v>4.3099999999999996</v>
      </c>
      <c r="M19">
        <v>4.3099999999999996</v>
      </c>
      <c r="N19">
        <v>4.3099999999999996</v>
      </c>
      <c r="O19">
        <v>4211</v>
      </c>
      <c r="P19">
        <v>5000</v>
      </c>
      <c r="Q19">
        <v>4211</v>
      </c>
      <c r="R19">
        <v>4211</v>
      </c>
      <c r="S19">
        <v>4.3099999999999996</v>
      </c>
      <c r="T19">
        <v>4.3099999999999996</v>
      </c>
      <c r="U19">
        <v>4.3099999999999996</v>
      </c>
      <c r="V19">
        <v>4.3099999999999996</v>
      </c>
      <c r="W19">
        <v>4.3099999999999996</v>
      </c>
      <c r="X19">
        <v>4.3099999999999996</v>
      </c>
      <c r="Y19">
        <v>4.3099999999999996</v>
      </c>
      <c r="Z19">
        <v>4.3099999999999996</v>
      </c>
      <c r="AA19">
        <v>4.3099999999999996</v>
      </c>
      <c r="AB19">
        <v>4.3099999999999996</v>
      </c>
      <c r="AC19">
        <v>4.3099999999999996</v>
      </c>
      <c r="AD19">
        <v>4.3099999999999996</v>
      </c>
      <c r="AE19">
        <v>4.3099999999999996</v>
      </c>
      <c r="AF19">
        <v>4.3099999999999996</v>
      </c>
      <c r="AG19">
        <v>1793</v>
      </c>
      <c r="AH19">
        <v>1793</v>
      </c>
      <c r="AI19">
        <v>1793</v>
      </c>
      <c r="AJ19">
        <v>1793</v>
      </c>
      <c r="AK19">
        <v>10.72</v>
      </c>
      <c r="AL19">
        <v>4.3099999999999996</v>
      </c>
      <c r="AM19">
        <v>4.3099999999999996</v>
      </c>
    </row>
    <row r="20" spans="1:39" x14ac:dyDescent="0.45">
      <c r="A20" t="s">
        <v>30</v>
      </c>
      <c r="C20">
        <v>0.10745160290092515</v>
      </c>
      <c r="D20">
        <v>6.7059913018087516E-2</v>
      </c>
      <c r="E20">
        <v>0.10745160290092515</v>
      </c>
      <c r="F20">
        <v>0.10745160290092515</v>
      </c>
      <c r="G20">
        <v>6.7059913018087516E-2</v>
      </c>
      <c r="H20">
        <v>0.10745160290092515</v>
      </c>
      <c r="I20">
        <v>0.10745160290092515</v>
      </c>
      <c r="J20">
        <v>0.10745160290092515</v>
      </c>
      <c r="K20">
        <v>7.8799444439875646E-2</v>
      </c>
      <c r="L20">
        <v>0.10745160290092515</v>
      </c>
      <c r="M20">
        <v>0.10745160290092515</v>
      </c>
      <c r="N20">
        <v>6.4789283408341586E-2</v>
      </c>
      <c r="O20">
        <v>6.7059913018087516E-2</v>
      </c>
      <c r="P20">
        <v>6.7059913018087516E-2</v>
      </c>
      <c r="Q20">
        <v>6.7059913018087516E-2</v>
      </c>
      <c r="R20">
        <v>6.7059913018087516E-2</v>
      </c>
      <c r="S20">
        <v>0.10745160290092515</v>
      </c>
      <c r="T20">
        <v>0.10745160290092515</v>
      </c>
      <c r="U20">
        <v>7.8799444439875646E-2</v>
      </c>
      <c r="V20">
        <v>0.10745160290092515</v>
      </c>
      <c r="W20">
        <v>0.10745160290092515</v>
      </c>
      <c r="X20">
        <v>0.10745160290092515</v>
      </c>
      <c r="Y20">
        <v>6.4789283408341586E-2</v>
      </c>
      <c r="Z20">
        <v>0.10745160290092515</v>
      </c>
      <c r="AA20">
        <v>0.10745160290092515</v>
      </c>
      <c r="AB20">
        <v>6.4789283408341586E-2</v>
      </c>
      <c r="AC20">
        <v>7.3501336191437255E-2</v>
      </c>
      <c r="AD20">
        <v>7.3501336191437255E-2</v>
      </c>
      <c r="AE20">
        <v>7.3501336191437255E-2</v>
      </c>
      <c r="AF20">
        <v>7.3501336191437255E-2</v>
      </c>
      <c r="AG20">
        <v>6.6307149799103446E-2</v>
      </c>
      <c r="AH20">
        <v>6.6307149799103446E-2</v>
      </c>
      <c r="AI20">
        <v>6.6307149799103446E-2</v>
      </c>
      <c r="AJ20">
        <v>6.6307149799103446E-2</v>
      </c>
      <c r="AK20">
        <v>0.10745160290092515</v>
      </c>
      <c r="AL20">
        <v>0.10745160290092515</v>
      </c>
      <c r="AM20">
        <v>0.10745160290092515</v>
      </c>
    </row>
    <row r="21" spans="1:39" x14ac:dyDescent="0.45">
      <c r="A21" t="s">
        <v>32</v>
      </c>
      <c r="C21">
        <v>6.4507849287186145</v>
      </c>
      <c r="D21">
        <v>10.336237393761433</v>
      </c>
      <c r="E21">
        <v>6.4507849287186145</v>
      </c>
      <c r="F21">
        <v>6.4507849287186145</v>
      </c>
      <c r="G21">
        <v>10.336237393761433</v>
      </c>
      <c r="H21">
        <v>6.4507849287186145</v>
      </c>
      <c r="I21">
        <v>6.4507849287186145</v>
      </c>
      <c r="J21">
        <v>6.4507849287186145</v>
      </c>
      <c r="K21">
        <v>8.7963460337441841</v>
      </c>
      <c r="L21">
        <v>6.4507849287186145</v>
      </c>
      <c r="M21">
        <v>6.4507849287186145</v>
      </c>
      <c r="N21">
        <v>10.698485059501413</v>
      </c>
      <c r="O21">
        <v>10.336237393761433</v>
      </c>
      <c r="P21">
        <v>10.336237393761433</v>
      </c>
      <c r="Q21">
        <v>10.336237393761433</v>
      </c>
      <c r="R21">
        <v>10.336237393761433</v>
      </c>
      <c r="S21">
        <v>6.4507849287186145</v>
      </c>
      <c r="T21">
        <v>6.4507849287186145</v>
      </c>
      <c r="U21">
        <v>8.7963460337441841</v>
      </c>
      <c r="V21">
        <v>6.4507849287186145</v>
      </c>
      <c r="W21">
        <v>6.4507849287186145</v>
      </c>
      <c r="X21">
        <v>6.4507849287186145</v>
      </c>
      <c r="Y21">
        <v>10.698485059501413</v>
      </c>
      <c r="Z21">
        <v>6.4507849287186145</v>
      </c>
      <c r="AA21">
        <v>6.4507849287186145</v>
      </c>
      <c r="AB21">
        <v>10.698485059501413</v>
      </c>
      <c r="AC21">
        <v>9.4304024454006505</v>
      </c>
      <c r="AD21">
        <v>9.4304024454006505</v>
      </c>
      <c r="AE21">
        <v>9.4304024454006505</v>
      </c>
      <c r="AF21">
        <v>9.4304024454006505</v>
      </c>
      <c r="AG21">
        <v>10.453581290404335</v>
      </c>
      <c r="AH21">
        <v>10.453581290404335</v>
      </c>
      <c r="AI21">
        <v>10.453581290404335</v>
      </c>
      <c r="AJ21">
        <v>10.453581290404335</v>
      </c>
      <c r="AK21">
        <v>6.4507849287186145</v>
      </c>
      <c r="AL21">
        <v>6.4507849287186145</v>
      </c>
      <c r="AM21">
        <v>6.4507849287186145</v>
      </c>
    </row>
    <row r="22" spans="1:39" x14ac:dyDescent="0.45">
      <c r="A22" t="s">
        <v>29</v>
      </c>
      <c r="C22">
        <v>2.9750305620827162</v>
      </c>
      <c r="D22">
        <v>5.0001256047683995</v>
      </c>
      <c r="E22">
        <v>2.9750305620827162</v>
      </c>
      <c r="F22">
        <v>2.9750305620827162</v>
      </c>
      <c r="G22">
        <v>5.0001256047683995</v>
      </c>
      <c r="H22">
        <v>2.9750305620827162</v>
      </c>
      <c r="I22">
        <v>2.9750305620827162</v>
      </c>
      <c r="J22">
        <v>2.9750305620827162</v>
      </c>
      <c r="K22">
        <v>2.2415596222181682</v>
      </c>
      <c r="L22">
        <v>2.9750305620827162</v>
      </c>
      <c r="M22">
        <v>2.9750305620827162</v>
      </c>
      <c r="N22">
        <v>2.0713337748725671</v>
      </c>
      <c r="O22">
        <v>5.0001256047683995</v>
      </c>
      <c r="P22">
        <v>5.0001256047683995</v>
      </c>
      <c r="Q22">
        <v>5.0001256047683995</v>
      </c>
      <c r="R22">
        <v>5.0001256047683995</v>
      </c>
      <c r="S22">
        <v>2.9750305620827162</v>
      </c>
      <c r="T22">
        <v>2.9750305620827162</v>
      </c>
      <c r="U22">
        <v>2.2415596222181682</v>
      </c>
      <c r="V22">
        <v>2.9750305620827162</v>
      </c>
      <c r="W22">
        <v>2.9750305620827162</v>
      </c>
      <c r="X22">
        <v>2.9750305620827162</v>
      </c>
      <c r="Y22">
        <v>2.0713337748725671</v>
      </c>
      <c r="Z22">
        <v>2.9750305620827162</v>
      </c>
      <c r="AA22">
        <v>2.9750305620827162</v>
      </c>
      <c r="AB22">
        <v>2.0713337748725671</v>
      </c>
      <c r="AC22">
        <v>2.1674464527954007</v>
      </c>
      <c r="AD22">
        <v>2.1674464527954007</v>
      </c>
      <c r="AE22">
        <v>2.1674464527954007</v>
      </c>
      <c r="AF22">
        <v>2.1674464527954007</v>
      </c>
      <c r="AG22">
        <v>5.0415860756770821</v>
      </c>
      <c r="AH22">
        <v>5.0415860756770821</v>
      </c>
      <c r="AI22">
        <v>5.0415860756770821</v>
      </c>
      <c r="AJ22">
        <v>5.0415860756770821</v>
      </c>
      <c r="AK22">
        <v>2.9750305620827162</v>
      </c>
      <c r="AL22">
        <v>2.9750305620827162</v>
      </c>
      <c r="AM22">
        <v>2.9750305620827162</v>
      </c>
    </row>
    <row r="23" spans="1:39" x14ac:dyDescent="0.45">
      <c r="A23" t="s">
        <v>28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5</v>
      </c>
      <c r="AH23">
        <v>5</v>
      </c>
      <c r="AI23">
        <v>5</v>
      </c>
      <c r="AJ23">
        <v>5</v>
      </c>
      <c r="AK23">
        <v>3</v>
      </c>
      <c r="AL23">
        <v>3</v>
      </c>
      <c r="AM23">
        <v>3</v>
      </c>
    </row>
    <row r="24" spans="1:39" x14ac:dyDescent="0.45">
      <c r="A24" t="s">
        <v>132</v>
      </c>
      <c r="C24">
        <v>0.99781342143381258</v>
      </c>
      <c r="D24">
        <v>0.99897713016073841</v>
      </c>
      <c r="E24">
        <v>0.99781342143381258</v>
      </c>
      <c r="F24">
        <v>0.99781342143381258</v>
      </c>
      <c r="G24">
        <v>0.99897713016073841</v>
      </c>
      <c r="H24">
        <v>0.99781342143381258</v>
      </c>
      <c r="I24">
        <v>0.99781342143381258</v>
      </c>
      <c r="J24">
        <v>0.99781342143381258</v>
      </c>
      <c r="K24">
        <v>0.97595687019840682</v>
      </c>
      <c r="L24">
        <v>0.99781342143381258</v>
      </c>
      <c r="M24">
        <v>0.99781342143381258</v>
      </c>
      <c r="N24">
        <v>0.99122855522629361</v>
      </c>
      <c r="O24">
        <v>0.99897713016073841</v>
      </c>
      <c r="P24">
        <v>0.99897713016073841</v>
      </c>
      <c r="Q24">
        <v>0.99897713016073841</v>
      </c>
      <c r="R24">
        <v>0.99897713016073841</v>
      </c>
      <c r="S24">
        <v>0.99781342143381258</v>
      </c>
      <c r="T24">
        <v>0.99781342143381258</v>
      </c>
      <c r="U24">
        <v>0.97595687019840682</v>
      </c>
      <c r="V24">
        <v>0.99781342143381258</v>
      </c>
      <c r="W24">
        <v>0.99781342143381258</v>
      </c>
      <c r="X24">
        <v>0.99781342143381258</v>
      </c>
      <c r="Y24">
        <v>0.99122855522629361</v>
      </c>
      <c r="Z24">
        <v>0.99781342143381258</v>
      </c>
      <c r="AA24">
        <v>0.99781342143381258</v>
      </c>
      <c r="AB24">
        <v>0.99122855522629361</v>
      </c>
      <c r="AC24">
        <v>0.9825491644640727</v>
      </c>
      <c r="AD24">
        <v>0.9825491644640727</v>
      </c>
      <c r="AE24">
        <v>0.9825491644640727</v>
      </c>
      <c r="AF24">
        <v>0.9825491644640727</v>
      </c>
      <c r="AG24">
        <v>0.98767084702281538</v>
      </c>
      <c r="AH24">
        <v>0.98767084702281538</v>
      </c>
      <c r="AI24">
        <v>0.98767084702281538</v>
      </c>
      <c r="AJ24">
        <v>0.98767084702281538</v>
      </c>
      <c r="AK24">
        <v>0.99781342143381258</v>
      </c>
      <c r="AL24">
        <v>0.99781342143381258</v>
      </c>
      <c r="AM24">
        <v>0.99781342143381258</v>
      </c>
    </row>
    <row r="26" spans="1:39" x14ac:dyDescent="0.45">
      <c r="A26" t="s">
        <v>124</v>
      </c>
      <c r="C26">
        <v>86.639999999999986</v>
      </c>
      <c r="D26">
        <v>8102.2152816508697</v>
      </c>
      <c r="E26">
        <v>86.639999999999986</v>
      </c>
      <c r="F26">
        <v>86.914999999999992</v>
      </c>
      <c r="G26">
        <v>5636</v>
      </c>
      <c r="H26">
        <v>65.584999999999994</v>
      </c>
      <c r="I26">
        <v>86.639999999999986</v>
      </c>
      <c r="J26">
        <v>87.047499999999985</v>
      </c>
      <c r="K26">
        <v>70.360500000000002</v>
      </c>
      <c r="L26">
        <v>86.639999999999986</v>
      </c>
      <c r="M26">
        <v>86.49</v>
      </c>
      <c r="N26">
        <v>60.389999999999993</v>
      </c>
      <c r="O26">
        <v>8102.2152816508697</v>
      </c>
      <c r="P26">
        <v>8286</v>
      </c>
      <c r="Q26">
        <v>7040.75</v>
      </c>
      <c r="R26">
        <v>5786</v>
      </c>
      <c r="S26" t="s">
        <v>84</v>
      </c>
      <c r="T26">
        <v>87.322499999999991</v>
      </c>
      <c r="U26">
        <v>70.635500000000008</v>
      </c>
      <c r="V26">
        <v>86.639999999999986</v>
      </c>
      <c r="W26" t="s">
        <v>86</v>
      </c>
      <c r="X26">
        <v>86.765000000000001</v>
      </c>
      <c r="Y26">
        <v>60.664999999999999</v>
      </c>
      <c r="Z26">
        <v>87.002499999999998</v>
      </c>
      <c r="AA26">
        <v>86.765000000000001</v>
      </c>
      <c r="AB26">
        <v>60.664999999999999</v>
      </c>
      <c r="AC26">
        <v>65.56</v>
      </c>
      <c r="AD26">
        <v>65.56</v>
      </c>
      <c r="AE26">
        <v>65.760000000000005</v>
      </c>
      <c r="AF26">
        <v>65.760000000000005</v>
      </c>
      <c r="AG26">
        <v>5204.5336980596312</v>
      </c>
      <c r="AH26">
        <v>5204.5336980596312</v>
      </c>
      <c r="AI26">
        <v>5204.7836980596312</v>
      </c>
      <c r="AJ26">
        <v>5204.7836980596312</v>
      </c>
      <c r="AK26">
        <v>114.63999999999999</v>
      </c>
      <c r="AL26">
        <v>83.162017719238875</v>
      </c>
      <c r="AM26">
        <v>84.473057304747272</v>
      </c>
    </row>
    <row r="27" spans="1:39" x14ac:dyDescent="0.45">
      <c r="A27" t="s">
        <v>125</v>
      </c>
      <c r="C27">
        <v>86.639999999999986</v>
      </c>
      <c r="D27">
        <v>8102.2152816508697</v>
      </c>
      <c r="E27">
        <v>86.639999999999986</v>
      </c>
      <c r="F27">
        <v>86.914999999999992</v>
      </c>
      <c r="G27">
        <v>5636</v>
      </c>
      <c r="H27">
        <v>65.584999999999994</v>
      </c>
      <c r="I27">
        <v>86.639999999999986</v>
      </c>
      <c r="J27">
        <v>87.047499999999985</v>
      </c>
      <c r="K27">
        <v>70.360500000000002</v>
      </c>
      <c r="L27">
        <v>86.639999999999986</v>
      </c>
      <c r="M27">
        <v>86.49</v>
      </c>
      <c r="N27">
        <v>60.389999999999993</v>
      </c>
      <c r="O27">
        <v>8102.2152816508697</v>
      </c>
      <c r="P27">
        <v>8286</v>
      </c>
      <c r="Q27">
        <v>7040.75</v>
      </c>
      <c r="R27">
        <v>5786</v>
      </c>
      <c r="S27" t="s">
        <v>84</v>
      </c>
      <c r="T27">
        <v>87.322499999999991</v>
      </c>
      <c r="U27">
        <v>70.635500000000008</v>
      </c>
      <c r="V27">
        <v>86.639999999999986</v>
      </c>
      <c r="W27" t="s">
        <v>86</v>
      </c>
      <c r="X27">
        <v>86.765000000000001</v>
      </c>
      <c r="Y27">
        <v>60.664999999999999</v>
      </c>
      <c r="Z27">
        <v>87.002499999999998</v>
      </c>
      <c r="AA27">
        <v>86.765000000000001</v>
      </c>
      <c r="AB27">
        <v>60.664999999999999</v>
      </c>
      <c r="AC27">
        <v>56.86</v>
      </c>
      <c r="AD27">
        <v>56.86</v>
      </c>
      <c r="AE27">
        <v>57.06</v>
      </c>
      <c r="AF27">
        <v>57.06</v>
      </c>
      <c r="AG27">
        <v>5024.5336980596312</v>
      </c>
      <c r="AH27">
        <v>5024.5336980596312</v>
      </c>
      <c r="AI27">
        <v>5024.7836980596312</v>
      </c>
      <c r="AJ27">
        <v>5024.7836980596312</v>
      </c>
      <c r="AK27">
        <v>114.63999999999999</v>
      </c>
      <c r="AL27">
        <v>83.162017719238875</v>
      </c>
      <c r="AM27">
        <v>84.473057304747272</v>
      </c>
    </row>
    <row r="28" spans="1:39" x14ac:dyDescent="0.4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5">
      <c r="A29" t="s">
        <v>126</v>
      </c>
      <c r="C29">
        <v>87.663716696915387</v>
      </c>
      <c r="D29">
        <v>8191.6875122274541</v>
      </c>
      <c r="E29">
        <v>87.663716696915387</v>
      </c>
      <c r="F29">
        <v>87.938716696915392</v>
      </c>
      <c r="G29">
        <v>5725.4722305765845</v>
      </c>
      <c r="H29">
        <v>66.608716696915394</v>
      </c>
      <c r="I29">
        <v>87.663716696915387</v>
      </c>
      <c r="J29">
        <v>88.071216696915386</v>
      </c>
      <c r="K29">
        <v>88.76164496119776</v>
      </c>
      <c r="L29">
        <v>87.663716696915387</v>
      </c>
      <c r="M29">
        <v>87.513716696915395</v>
      </c>
      <c r="N29">
        <v>98.359242297303695</v>
      </c>
      <c r="O29">
        <v>8191.6875122274541</v>
      </c>
      <c r="P29">
        <v>8375.4722305765845</v>
      </c>
      <c r="Q29">
        <v>7130.2222305765845</v>
      </c>
      <c r="R29">
        <v>5875.4722305765845</v>
      </c>
      <c r="S29" t="s">
        <v>84</v>
      </c>
      <c r="T29">
        <v>88.346216696915391</v>
      </c>
      <c r="U29">
        <v>89.036644961197766</v>
      </c>
      <c r="V29">
        <v>87.663716696915387</v>
      </c>
      <c r="W29" t="s">
        <v>86</v>
      </c>
      <c r="X29">
        <v>87.788716696915401</v>
      </c>
      <c r="Y29">
        <v>98.6342422973037</v>
      </c>
      <c r="Z29">
        <v>88.026216696915398</v>
      </c>
      <c r="AA29">
        <v>87.788716696915401</v>
      </c>
      <c r="AB29">
        <v>98.6342422973037</v>
      </c>
      <c r="AC29">
        <v>76.587532520271679</v>
      </c>
      <c r="AD29">
        <v>76.587532520271679</v>
      </c>
      <c r="AE29">
        <v>76.787532520271682</v>
      </c>
      <c r="AF29">
        <v>76.787532520271682</v>
      </c>
      <c r="AG29">
        <v>5476.9735946755109</v>
      </c>
      <c r="AH29">
        <v>5476.9735946755109</v>
      </c>
      <c r="AI29">
        <v>5477.2235946755109</v>
      </c>
      <c r="AJ29">
        <v>5477.2235946755109</v>
      </c>
      <c r="AK29">
        <v>115.66371669691539</v>
      </c>
      <c r="AL29">
        <v>84.185734416154276</v>
      </c>
      <c r="AM29">
        <v>85.496774001662672</v>
      </c>
    </row>
    <row r="30" spans="1:39" x14ac:dyDescent="0.45">
      <c r="A30" t="s">
        <v>133</v>
      </c>
      <c r="C30">
        <v>1.1677769726040166</v>
      </c>
      <c r="D30">
        <v>1.09223197836871</v>
      </c>
      <c r="E30">
        <v>1.1677769726040166</v>
      </c>
      <c r="F30">
        <v>1.1641251264146648</v>
      </c>
      <c r="G30">
        <v>1.5627048210759407</v>
      </c>
      <c r="H30">
        <v>1.5369110045664758</v>
      </c>
      <c r="I30">
        <v>1.1677769726040166</v>
      </c>
      <c r="J30">
        <v>1.1623737417394566</v>
      </c>
      <c r="K30">
        <v>20.730964336275918</v>
      </c>
      <c r="L30">
        <v>1.1677769726040166</v>
      </c>
      <c r="M30">
        <v>1.1697785622119321</v>
      </c>
      <c r="N30">
        <v>38.602617721003476</v>
      </c>
      <c r="O30">
        <v>1.09223197836871</v>
      </c>
      <c r="P30">
        <v>1.0682649063051699</v>
      </c>
      <c r="Q30">
        <v>1.2548308830109116</v>
      </c>
      <c r="R30">
        <v>1.522809181378842</v>
      </c>
      <c r="S30" t="s">
        <v>84</v>
      </c>
      <c r="T30">
        <v>1.1587555587438567</v>
      </c>
      <c r="U30">
        <v>20.666934349578188</v>
      </c>
      <c r="V30">
        <v>1.1677769726040166</v>
      </c>
      <c r="W30" t="s">
        <v>86</v>
      </c>
      <c r="X30">
        <v>1.1661142062820133</v>
      </c>
      <c r="Y30">
        <v>38.494990596527998</v>
      </c>
      <c r="Z30">
        <v>1.1629679603750065</v>
      </c>
      <c r="AA30">
        <v>1.1661142062820133</v>
      </c>
      <c r="AB30">
        <v>38.494990596527998</v>
      </c>
      <c r="AC30">
        <v>25.758151321887894</v>
      </c>
      <c r="AD30">
        <v>25.758151321887894</v>
      </c>
      <c r="AE30">
        <v>25.691061911728536</v>
      </c>
      <c r="AF30">
        <v>25.691061911728536</v>
      </c>
      <c r="AG30">
        <v>8.26076461379553</v>
      </c>
      <c r="AH30">
        <v>8.26076461379553</v>
      </c>
      <c r="AI30">
        <v>8.2603875630657679</v>
      </c>
      <c r="AJ30">
        <v>8.2603875630657679</v>
      </c>
      <c r="AK30">
        <v>0.88508023617980602</v>
      </c>
      <c r="AL30">
        <v>1.2160215789707014</v>
      </c>
      <c r="AM30">
        <v>1.1973746481890555</v>
      </c>
    </row>
    <row r="31" spans="1:39" x14ac:dyDescent="0.45">
      <c r="A31" t="s">
        <v>127</v>
      </c>
      <c r="C31">
        <v>87.689242380339437</v>
      </c>
      <c r="D31">
        <v>8190.7521108792589</v>
      </c>
      <c r="E31">
        <v>87.689242380339437</v>
      </c>
      <c r="F31">
        <v>87.964242380339442</v>
      </c>
      <c r="G31">
        <v>5724.5368292283893</v>
      </c>
      <c r="H31">
        <v>66.634242380339444</v>
      </c>
      <c r="I31">
        <v>87.689242380339437</v>
      </c>
      <c r="J31">
        <v>88.096742380339435</v>
      </c>
      <c r="K31">
        <v>89.699848214891887</v>
      </c>
      <c r="L31">
        <v>87.689242380339437</v>
      </c>
      <c r="M31">
        <v>87.539242380339445</v>
      </c>
      <c r="N31">
        <v>98.548240702140788</v>
      </c>
      <c r="O31">
        <v>8190.7521108792589</v>
      </c>
      <c r="P31">
        <v>8374.5368292283893</v>
      </c>
      <c r="Q31">
        <v>7129.2868292283893</v>
      </c>
      <c r="R31">
        <v>5874.5368292283893</v>
      </c>
      <c r="S31" t="s">
        <v>84</v>
      </c>
      <c r="T31">
        <v>88.371742380339441</v>
      </c>
      <c r="U31">
        <v>89.974848214891892</v>
      </c>
      <c r="V31">
        <v>87.689242380339437</v>
      </c>
      <c r="W31" t="s">
        <v>86</v>
      </c>
      <c r="X31">
        <v>87.814242380339451</v>
      </c>
      <c r="Y31">
        <v>98.823240702140794</v>
      </c>
      <c r="Z31">
        <v>88.051742380339448</v>
      </c>
      <c r="AA31">
        <v>87.814242380339451</v>
      </c>
      <c r="AB31">
        <v>98.823240702140794</v>
      </c>
      <c r="AC31">
        <v>77.225984397708828</v>
      </c>
      <c r="AD31">
        <v>77.225984397708828</v>
      </c>
      <c r="AE31">
        <v>77.425984397708831</v>
      </c>
      <c r="AF31">
        <v>77.425984397708831</v>
      </c>
      <c r="AG31">
        <v>5499.7034097520636</v>
      </c>
      <c r="AH31">
        <v>5499.7034097520636</v>
      </c>
      <c r="AI31">
        <v>5499.9534097520636</v>
      </c>
      <c r="AJ31">
        <v>5499.9534097520636</v>
      </c>
      <c r="AK31">
        <v>115.68924238033944</v>
      </c>
      <c r="AL31">
        <v>84.211260099578325</v>
      </c>
      <c r="AM31">
        <v>85.522299685086722</v>
      </c>
    </row>
    <row r="32" spans="1:39" x14ac:dyDescent="0.45">
      <c r="A32" t="s">
        <v>134</v>
      </c>
      <c r="C32">
        <v>1.1965462944570928</v>
      </c>
      <c r="D32">
        <v>1.0809365004563058</v>
      </c>
      <c r="E32">
        <v>1.1965462944570928</v>
      </c>
      <c r="F32">
        <v>1.1928055672926052</v>
      </c>
      <c r="G32">
        <v>1.5466199601745445</v>
      </c>
      <c r="H32">
        <v>1.5746294140338739</v>
      </c>
      <c r="I32">
        <v>1.1965462944570928</v>
      </c>
      <c r="J32">
        <v>1.1910115538773995</v>
      </c>
      <c r="K32">
        <v>21.56006793741841</v>
      </c>
      <c r="L32">
        <v>1.1965462944570928</v>
      </c>
      <c r="M32">
        <v>1.1985965971474994</v>
      </c>
      <c r="N32">
        <v>38.720367233620109</v>
      </c>
      <c r="O32">
        <v>1.0809365004563058</v>
      </c>
      <c r="P32">
        <v>1.0572146380607277</v>
      </c>
      <c r="Q32">
        <v>1.2418749778085685</v>
      </c>
      <c r="R32">
        <v>1.5071286775815211</v>
      </c>
      <c r="S32" t="s">
        <v>84</v>
      </c>
      <c r="T32">
        <v>1.1873052992705064</v>
      </c>
      <c r="U32">
        <v>21.494171536363865</v>
      </c>
      <c r="V32">
        <v>1.1965462944570928</v>
      </c>
      <c r="W32" t="s">
        <v>86</v>
      </c>
      <c r="X32">
        <v>1.1948430595062138</v>
      </c>
      <c r="Y32">
        <v>38.612618277872542</v>
      </c>
      <c r="Z32">
        <v>1.191620235982666</v>
      </c>
      <c r="AA32">
        <v>1.1948430595062138</v>
      </c>
      <c r="AB32">
        <v>38.612618277872542</v>
      </c>
      <c r="AC32">
        <v>26.371932396258398</v>
      </c>
      <c r="AD32">
        <v>26.371932396258398</v>
      </c>
      <c r="AE32">
        <v>26.30381073761523</v>
      </c>
      <c r="AF32">
        <v>26.30381073761523</v>
      </c>
      <c r="AG32">
        <v>8.6399152152434695</v>
      </c>
      <c r="AH32">
        <v>8.6399152152434695</v>
      </c>
      <c r="AI32">
        <v>8.6395224884978248</v>
      </c>
      <c r="AJ32">
        <v>8.6395224884978248</v>
      </c>
      <c r="AK32">
        <v>0.90694895977446677</v>
      </c>
      <c r="AL32">
        <v>1.2459644697143109</v>
      </c>
      <c r="AM32">
        <v>1.2268640859787543</v>
      </c>
    </row>
    <row r="33" spans="1:39" x14ac:dyDescent="0.4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5">
      <c r="A34" t="s">
        <v>49</v>
      </c>
      <c r="C34">
        <v>11.407227957917359</v>
      </c>
      <c r="D34">
        <v>0.12207496910829838</v>
      </c>
      <c r="E34">
        <v>11.407227957917359</v>
      </c>
      <c r="F34">
        <v>11.371555528227043</v>
      </c>
      <c r="G34">
        <v>0.17465808229049692</v>
      </c>
      <c r="H34">
        <v>15.01305008697622</v>
      </c>
      <c r="I34">
        <v>11.407227957917359</v>
      </c>
      <c r="J34">
        <v>11.354447429077291</v>
      </c>
      <c r="K34">
        <v>11.266127395871843</v>
      </c>
      <c r="L34">
        <v>11.407227957917359</v>
      </c>
      <c r="M34">
        <v>11.426780140801027</v>
      </c>
      <c r="N34">
        <v>10.166812763536436</v>
      </c>
      <c r="O34">
        <v>0.12207496910829838</v>
      </c>
      <c r="P34">
        <v>0.11939625282849968</v>
      </c>
      <c r="Q34">
        <v>0.1402480831118689</v>
      </c>
      <c r="R34">
        <v>0.17019908541068296</v>
      </c>
      <c r="S34" t="s">
        <v>84</v>
      </c>
      <c r="T34">
        <v>11.319103832489468</v>
      </c>
      <c r="U34">
        <v>11.231330655325127</v>
      </c>
      <c r="V34">
        <v>11.407227957917359</v>
      </c>
      <c r="W34" t="s">
        <v>86</v>
      </c>
      <c r="X34">
        <v>11.390985511867456</v>
      </c>
      <c r="Y34">
        <v>10.138466892519904</v>
      </c>
      <c r="Z34">
        <v>13.796433621908736</v>
      </c>
      <c r="AA34">
        <v>13.84178835905599</v>
      </c>
      <c r="AB34">
        <v>14.016399187048847</v>
      </c>
      <c r="AC34">
        <v>13.056955448137902</v>
      </c>
      <c r="AD34">
        <v>13.056955448137902</v>
      </c>
      <c r="AE34">
        <v>13.022947439234397</v>
      </c>
      <c r="AF34">
        <v>13.022947439234397</v>
      </c>
      <c r="AG34">
        <v>0.18258258556735768</v>
      </c>
      <c r="AH34">
        <v>0.18258258556735768</v>
      </c>
      <c r="AI34">
        <v>0.18257425184761758</v>
      </c>
      <c r="AJ34">
        <v>0.18257425184761758</v>
      </c>
      <c r="AK34">
        <v>8.645753643040841</v>
      </c>
      <c r="AL34">
        <v>11.878497074774126</v>
      </c>
      <c r="AM34">
        <v>11.696347747349542</v>
      </c>
    </row>
    <row r="35" spans="1:39" x14ac:dyDescent="0.45">
      <c r="A35" t="s">
        <v>50</v>
      </c>
      <c r="C35">
        <v>11.403907399070052</v>
      </c>
      <c r="D35">
        <v>0.12208891032995164</v>
      </c>
      <c r="E35">
        <v>11.403907399070052</v>
      </c>
      <c r="F35">
        <v>11.368255701858988</v>
      </c>
      <c r="G35">
        <v>0.17468662178819278</v>
      </c>
      <c r="H35">
        <v>15.007299014403619</v>
      </c>
      <c r="I35">
        <v>11.403907399070052</v>
      </c>
      <c r="J35">
        <v>11.351157522745929</v>
      </c>
      <c r="K35">
        <v>11.148290882324826</v>
      </c>
      <c r="L35">
        <v>11.403907399070052</v>
      </c>
      <c r="M35">
        <v>11.423448190872067</v>
      </c>
      <c r="N35">
        <v>10.147314582940869</v>
      </c>
      <c r="O35">
        <v>0.12208891032995164</v>
      </c>
      <c r="P35">
        <v>0.11940958889927501</v>
      </c>
      <c r="Q35">
        <v>0.14026648442593678</v>
      </c>
      <c r="R35">
        <v>0.17022618617770219</v>
      </c>
      <c r="S35" t="s">
        <v>84</v>
      </c>
      <c r="T35">
        <v>11.315834372667927</v>
      </c>
      <c r="U35">
        <v>11.114217137789939</v>
      </c>
      <c r="V35">
        <v>11.403907399070052</v>
      </c>
      <c r="W35" t="s">
        <v>86</v>
      </c>
      <c r="X35">
        <v>11.387674401025043</v>
      </c>
      <c r="Y35">
        <v>10.119077181591932</v>
      </c>
      <c r="Z35">
        <v>13.796433621908736</v>
      </c>
      <c r="AA35">
        <v>13.84178835905599</v>
      </c>
      <c r="AB35">
        <v>14.016399187048847</v>
      </c>
      <c r="AC35">
        <v>12.949009427320014</v>
      </c>
      <c r="AD35">
        <v>12.949009427320014</v>
      </c>
      <c r="AE35">
        <v>12.915560683909002</v>
      </c>
      <c r="AF35">
        <v>12.915560683909002</v>
      </c>
      <c r="AG35">
        <v>0.18182798698322566</v>
      </c>
      <c r="AH35">
        <v>0.18182798698322566</v>
      </c>
      <c r="AI35">
        <v>0.18181972200471416</v>
      </c>
      <c r="AJ35">
        <v>0.18181972200471416</v>
      </c>
      <c r="AK35">
        <v>8.6438460432855493</v>
      </c>
      <c r="AL35">
        <v>11.87489652592204</v>
      </c>
      <c r="AM35">
        <v>11.692856759958932</v>
      </c>
    </row>
    <row r="36" spans="1:39" x14ac:dyDescent="0.45">
      <c r="A36" t="s">
        <v>51</v>
      </c>
      <c r="C36">
        <v>106.16154296400119</v>
      </c>
      <c r="D36">
        <v>1.8203866306145091</v>
      </c>
      <c r="E36">
        <v>106.16154296400119</v>
      </c>
      <c r="F36">
        <v>105.82955694678738</v>
      </c>
      <c r="G36">
        <v>2.6045080351265564</v>
      </c>
      <c r="H36">
        <v>139.71918223331556</v>
      </c>
      <c r="I36">
        <v>106.16154296400119</v>
      </c>
      <c r="J36">
        <v>105.67034015813209</v>
      </c>
      <c r="K36">
        <v>142.97216783638561</v>
      </c>
      <c r="L36">
        <v>106.16154296400119</v>
      </c>
      <c r="M36">
        <v>106.34350565562985</v>
      </c>
      <c r="N36">
        <v>156.92121024798158</v>
      </c>
      <c r="O36">
        <v>1.8203866306145091</v>
      </c>
      <c r="P36">
        <v>1.7804415105086091</v>
      </c>
      <c r="Q36">
        <v>2.0913848050181771</v>
      </c>
      <c r="R36">
        <v>2.5380153022980596</v>
      </c>
      <c r="S36" t="s">
        <v>84</v>
      </c>
      <c r="T36">
        <v>105.34141443125937</v>
      </c>
      <c r="U36">
        <v>142.53058172122883</v>
      </c>
      <c r="V36">
        <v>106.16154296400119</v>
      </c>
      <c r="W36" t="s">
        <v>86</v>
      </c>
      <c r="X36">
        <v>106.01038238927362</v>
      </c>
      <c r="Y36">
        <v>156.48370161190243</v>
      </c>
      <c r="Z36">
        <v>128.39672233302673</v>
      </c>
      <c r="AA36">
        <v>128.81881689395266</v>
      </c>
      <c r="AB36">
        <v>216.33823449950742</v>
      </c>
      <c r="AC36">
        <v>177.64242290957165</v>
      </c>
      <c r="AD36">
        <v>177.64242290957165</v>
      </c>
      <c r="AE36">
        <v>177.17973732226571</v>
      </c>
      <c r="AF36">
        <v>177.17973732226571</v>
      </c>
      <c r="AG36">
        <v>2.7535882045985094</v>
      </c>
      <c r="AH36">
        <v>2.7535882045985094</v>
      </c>
      <c r="AI36">
        <v>2.7534625210219219</v>
      </c>
      <c r="AJ36">
        <v>2.7534625210219219</v>
      </c>
      <c r="AK36">
        <v>80.461839652709386</v>
      </c>
      <c r="AL36">
        <v>110.54741627006342</v>
      </c>
      <c r="AM36">
        <v>108.85224074445925</v>
      </c>
    </row>
    <row r="37" spans="1:39" x14ac:dyDescent="0.45">
      <c r="A37" t="s">
        <v>52</v>
      </c>
      <c r="C37">
        <v>106.13064013186411</v>
      </c>
      <c r="D37">
        <v>1.8205945226475559</v>
      </c>
      <c r="E37">
        <v>106.13064013186411</v>
      </c>
      <c r="F37">
        <v>105.79884706178832</v>
      </c>
      <c r="G37">
        <v>2.6049336172129545</v>
      </c>
      <c r="H37">
        <v>139.66565978769972</v>
      </c>
      <c r="I37">
        <v>106.13064013186411</v>
      </c>
      <c r="J37">
        <v>105.63972259410748</v>
      </c>
      <c r="K37">
        <v>141.47677006569538</v>
      </c>
      <c r="L37">
        <v>106.13064013186411</v>
      </c>
      <c r="M37">
        <v>106.31249681221566</v>
      </c>
      <c r="N37">
        <v>156.62026262871748</v>
      </c>
      <c r="O37">
        <v>1.8205945226475559</v>
      </c>
      <c r="P37">
        <v>1.7806403785085085</v>
      </c>
      <c r="Q37">
        <v>2.0916592061207098</v>
      </c>
      <c r="R37">
        <v>2.5384194299773171</v>
      </c>
      <c r="S37" t="s">
        <v>84</v>
      </c>
      <c r="T37">
        <v>105.31098715299387</v>
      </c>
      <c r="U37">
        <v>141.04435909151795</v>
      </c>
      <c r="V37">
        <v>106.13064013186411</v>
      </c>
      <c r="W37" t="s">
        <v>86</v>
      </c>
      <c r="X37">
        <v>105.97956748513984</v>
      </c>
      <c r="Y37">
        <v>156.18442818413865</v>
      </c>
      <c r="Z37">
        <v>128.39672233302673</v>
      </c>
      <c r="AA37">
        <v>128.81881689395266</v>
      </c>
      <c r="AB37">
        <v>216.33823449950742</v>
      </c>
      <c r="AC37">
        <v>176.17379626397249</v>
      </c>
      <c r="AD37">
        <v>176.17379626397249</v>
      </c>
      <c r="AE37">
        <v>175.71871959266011</v>
      </c>
      <c r="AF37">
        <v>175.71871959266011</v>
      </c>
      <c r="AG37">
        <v>2.7422078544188033</v>
      </c>
      <c r="AH37">
        <v>2.7422078544188033</v>
      </c>
      <c r="AI37">
        <v>2.742083207551361</v>
      </c>
      <c r="AJ37">
        <v>2.742083207551361</v>
      </c>
      <c r="AK37">
        <v>80.44408654615917</v>
      </c>
      <c r="AL37">
        <v>110.51390770662761</v>
      </c>
      <c r="AM37">
        <v>108.81975181645483</v>
      </c>
    </row>
    <row r="38" spans="1:39" x14ac:dyDescent="0.45">
      <c r="A38" t="s">
        <v>53</v>
      </c>
      <c r="C38">
        <v>165.7765388487135</v>
      </c>
      <c r="D38">
        <v>0.54696844106661968</v>
      </c>
      <c r="E38">
        <v>165.7765388487135</v>
      </c>
      <c r="F38">
        <v>164.74133460316952</v>
      </c>
      <c r="G38">
        <v>1.1196606047611375</v>
      </c>
      <c r="H38">
        <v>266.93262869378788</v>
      </c>
      <c r="I38">
        <v>165.7765388487135</v>
      </c>
      <c r="J38">
        <v>165.09626289966576</v>
      </c>
      <c r="K38">
        <v>178.80602105040194</v>
      </c>
      <c r="L38">
        <v>165.7765388487135</v>
      </c>
      <c r="M38">
        <v>164.83329778982497</v>
      </c>
      <c r="N38">
        <v>188.25941855741712</v>
      </c>
      <c r="O38">
        <v>0.54696844106661968</v>
      </c>
      <c r="P38">
        <v>0.54608596404609921</v>
      </c>
      <c r="Q38">
        <v>0.72062265232234568</v>
      </c>
      <c r="R38">
        <v>1.0372512382877577</v>
      </c>
      <c r="S38" t="s">
        <v>84</v>
      </c>
      <c r="T38">
        <v>164.07005459793854</v>
      </c>
      <c r="U38">
        <v>177.70320052901852</v>
      </c>
      <c r="V38">
        <v>165.7765388487135</v>
      </c>
      <c r="W38" t="s">
        <v>86</v>
      </c>
      <c r="X38">
        <v>163.80222770868554</v>
      </c>
      <c r="Y38">
        <v>187.21111793439337</v>
      </c>
      <c r="Z38">
        <v>221.20055731700177</v>
      </c>
      <c r="AA38">
        <v>220.4386369186532</v>
      </c>
      <c r="AB38">
        <v>278.73996571916041</v>
      </c>
      <c r="AC38">
        <v>230.52563184997697</v>
      </c>
      <c r="AD38">
        <v>230.52563184997697</v>
      </c>
      <c r="AE38">
        <v>229.73337961889649</v>
      </c>
      <c r="AF38">
        <v>229.73337961889649</v>
      </c>
      <c r="AG38">
        <v>1.0674299740043436</v>
      </c>
      <c r="AH38">
        <v>1.0674299740043436</v>
      </c>
      <c r="AI38">
        <v>1.0674325336860189</v>
      </c>
      <c r="AJ38">
        <v>1.0674325336860189</v>
      </c>
      <c r="AK38">
        <v>120.34453286082612</v>
      </c>
      <c r="AL38">
        <v>176.81050188292394</v>
      </c>
      <c r="AM38">
        <v>171.954515422165</v>
      </c>
    </row>
    <row r="39" spans="1:39" x14ac:dyDescent="0.45">
      <c r="A39" t="s">
        <v>54</v>
      </c>
      <c r="C39">
        <v>165.87027453643768</v>
      </c>
      <c r="D39">
        <v>0.54621620728797937</v>
      </c>
      <c r="E39">
        <v>165.87027453643768</v>
      </c>
      <c r="F39">
        <v>164.83478504868279</v>
      </c>
      <c r="G39">
        <v>1.1182307730873204</v>
      </c>
      <c r="H39">
        <v>267.05760694425447</v>
      </c>
      <c r="I39">
        <v>165.87027453643768</v>
      </c>
      <c r="J39">
        <v>165.18908321995318</v>
      </c>
      <c r="K39">
        <v>179.25849773223169</v>
      </c>
      <c r="L39">
        <v>165.87027453643768</v>
      </c>
      <c r="M39">
        <v>164.92807064923653</v>
      </c>
      <c r="N39">
        <v>188.18867788012204</v>
      </c>
      <c r="O39">
        <v>0.54621620728797937</v>
      </c>
      <c r="P39">
        <v>0.54536886886517855</v>
      </c>
      <c r="Q39">
        <v>0.71965394790932991</v>
      </c>
      <c r="R39">
        <v>1.0358763512318627</v>
      </c>
      <c r="S39" t="s">
        <v>84</v>
      </c>
      <c r="T39">
        <v>164.16259408301923</v>
      </c>
      <c r="U39">
        <v>178.16439747346959</v>
      </c>
      <c r="V39">
        <v>165.87027453643768</v>
      </c>
      <c r="W39" t="s">
        <v>86</v>
      </c>
      <c r="X39">
        <v>163.89670715372037</v>
      </c>
      <c r="Y39">
        <v>187.14277248648042</v>
      </c>
      <c r="Z39">
        <v>221.317163691345</v>
      </c>
      <c r="AA39">
        <v>220.55601122253893</v>
      </c>
      <c r="AB39">
        <v>279.63109824575497</v>
      </c>
      <c r="AC39">
        <v>230.75550125790303</v>
      </c>
      <c r="AD39">
        <v>230.75550125790303</v>
      </c>
      <c r="AE39">
        <v>229.96525439348727</v>
      </c>
      <c r="AF39">
        <v>229.96525439348727</v>
      </c>
      <c r="AG39">
        <v>1.0879938423585973</v>
      </c>
      <c r="AH39">
        <v>1.0879938423585973</v>
      </c>
      <c r="AI39">
        <v>1.0879941104715061</v>
      </c>
      <c r="AJ39">
        <v>1.0879941104715061</v>
      </c>
      <c r="AK39">
        <v>120.4007268401849</v>
      </c>
      <c r="AL39">
        <v>176.90960271588256</v>
      </c>
      <c r="AM39">
        <v>172.05188145710616</v>
      </c>
    </row>
    <row r="40" spans="1:39" x14ac:dyDescent="0.45">
      <c r="A40" t="s">
        <v>156</v>
      </c>
      <c r="C40">
        <v>14.532587536628808</v>
      </c>
      <c r="D40">
        <v>4.4805945482679466</v>
      </c>
      <c r="E40">
        <v>14.532587536628808</v>
      </c>
      <c r="F40">
        <v>14.487141551939867</v>
      </c>
      <c r="G40">
        <v>6.4105857002304774</v>
      </c>
      <c r="H40">
        <v>17.780039841827424</v>
      </c>
      <c r="I40">
        <v>14.532587536628808</v>
      </c>
      <c r="J40">
        <v>14.540228745687378</v>
      </c>
      <c r="K40">
        <v>15.87111655740023</v>
      </c>
      <c r="L40">
        <v>14.532587536628808</v>
      </c>
      <c r="M40">
        <v>14.425174524997031</v>
      </c>
      <c r="N40">
        <v>18.517053764638501</v>
      </c>
      <c r="O40">
        <v>4.4805945482679466</v>
      </c>
      <c r="P40">
        <v>4.5737278273757473</v>
      </c>
      <c r="Q40">
        <v>5.1381996554458498</v>
      </c>
      <c r="R40">
        <v>6.0943408466908959</v>
      </c>
      <c r="S40" t="s">
        <v>84</v>
      </c>
      <c r="T40">
        <v>14.494968596984217</v>
      </c>
      <c r="U40">
        <v>15.822096773970753</v>
      </c>
      <c r="V40">
        <v>14.532587536628808</v>
      </c>
      <c r="W40" t="s">
        <v>86</v>
      </c>
      <c r="X40">
        <v>14.379987362641421</v>
      </c>
      <c r="Y40">
        <v>18.465426767090054</v>
      </c>
      <c r="Z40">
        <v>16.03316939572958</v>
      </c>
      <c r="AA40">
        <v>15.925589324188101</v>
      </c>
      <c r="AB40">
        <v>19.886702854233498</v>
      </c>
      <c r="AC40">
        <v>17.655389326066288</v>
      </c>
      <c r="AD40">
        <v>17.655389326066288</v>
      </c>
      <c r="AE40">
        <v>17.640659358477933</v>
      </c>
      <c r="AF40">
        <v>17.640659358477933</v>
      </c>
      <c r="AG40">
        <v>5.846285781786956</v>
      </c>
      <c r="AH40">
        <v>5.846285781786956</v>
      </c>
      <c r="AI40">
        <v>5.8465666592293246</v>
      </c>
      <c r="AJ40">
        <v>5.8465666592293246</v>
      </c>
      <c r="AK40">
        <v>13.919495954837217</v>
      </c>
      <c r="AL40">
        <v>14.884921953502781</v>
      </c>
      <c r="AM40">
        <v>14.701556343614259</v>
      </c>
    </row>
    <row r="41" spans="1:39" x14ac:dyDescent="0.45">
      <c r="A41" t="s">
        <v>157</v>
      </c>
      <c r="C41">
        <v>14.545038707519128</v>
      </c>
      <c r="D41">
        <v>4.4739215528404799</v>
      </c>
      <c r="E41">
        <v>14.545038707519128</v>
      </c>
      <c r="F41">
        <v>14.499566984733486</v>
      </c>
      <c r="G41">
        <v>6.4013532441149001</v>
      </c>
      <c r="H41">
        <v>17.795181310636874</v>
      </c>
      <c r="I41">
        <v>14.545038707519128</v>
      </c>
      <c r="J41">
        <v>14.552620108472667</v>
      </c>
      <c r="K41">
        <v>16.079460037810723</v>
      </c>
      <c r="L41">
        <v>14.545038707519128</v>
      </c>
      <c r="M41">
        <v>14.437678351885264</v>
      </c>
      <c r="N41">
        <v>18.545663125147904</v>
      </c>
      <c r="O41">
        <v>4.4739215528404799</v>
      </c>
      <c r="P41">
        <v>4.5672116778260659</v>
      </c>
      <c r="Q41">
        <v>5.1306194124321989</v>
      </c>
      <c r="R41">
        <v>6.0852937758382994</v>
      </c>
      <c r="S41" t="s">
        <v>84</v>
      </c>
      <c r="T41">
        <v>14.507334472792811</v>
      </c>
      <c r="U41">
        <v>16.030314619973094</v>
      </c>
      <c r="V41">
        <v>14.545038707519128</v>
      </c>
      <c r="W41" t="s">
        <v>86</v>
      </c>
      <c r="X41">
        <v>14.392465167336315</v>
      </c>
      <c r="Y41">
        <v>18.494055251097429</v>
      </c>
      <c r="Z41">
        <v>16.041621317257913</v>
      </c>
      <c r="AA41">
        <v>15.934069030772326</v>
      </c>
      <c r="AB41">
        <v>19.950280704343388</v>
      </c>
      <c r="AC41">
        <v>17.820320739828301</v>
      </c>
      <c r="AD41">
        <v>17.820320739828301</v>
      </c>
      <c r="AE41">
        <v>17.805286198685288</v>
      </c>
      <c r="AF41">
        <v>17.805286198685288</v>
      </c>
      <c r="AG41">
        <v>5.9836434446088269</v>
      </c>
      <c r="AH41">
        <v>5.9836434446088269</v>
      </c>
      <c r="AI41">
        <v>5.9839169176779228</v>
      </c>
      <c r="AJ41">
        <v>5.9839169176779228</v>
      </c>
      <c r="AK41">
        <v>13.929068870183192</v>
      </c>
      <c r="AL41">
        <v>14.897780568420256</v>
      </c>
      <c r="AM41">
        <v>14.714272567357648</v>
      </c>
    </row>
    <row r="42" spans="1:39" x14ac:dyDescent="0.45">
      <c r="A42" t="s">
        <v>166</v>
      </c>
      <c r="AC42">
        <v>10.733819908547311</v>
      </c>
      <c r="AD42">
        <v>10.733819908547311</v>
      </c>
      <c r="AE42">
        <v>10.738257974062391</v>
      </c>
      <c r="AF42">
        <v>10.738257974062391</v>
      </c>
      <c r="AG42">
        <v>2.8535981369847381</v>
      </c>
      <c r="AH42">
        <v>2.8535981369847381</v>
      </c>
      <c r="AI42">
        <v>2.854053201441868</v>
      </c>
      <c r="AJ42">
        <v>2.854053201441868</v>
      </c>
      <c r="AK42">
        <v>13.532056873691559</v>
      </c>
      <c r="AL42">
        <v>0</v>
      </c>
      <c r="AM42">
        <v>0</v>
      </c>
    </row>
    <row r="44" spans="1:39" x14ac:dyDescent="0.45">
      <c r="A44" t="s">
        <v>135</v>
      </c>
      <c r="C44">
        <v>1215.3149999999998</v>
      </c>
      <c r="D44">
        <v>31074.75</v>
      </c>
      <c r="E44">
        <v>1215.3149999999998</v>
      </c>
      <c r="F44">
        <v>1215.3149999999998</v>
      </c>
      <c r="G44">
        <v>31074.75</v>
      </c>
      <c r="H44">
        <v>1125.6399999999999</v>
      </c>
      <c r="I44">
        <v>1215.3149999999998</v>
      </c>
      <c r="J44">
        <v>1221.9099999999999</v>
      </c>
      <c r="K44">
        <v>750.16125</v>
      </c>
      <c r="L44">
        <v>1215.3149999999998</v>
      </c>
      <c r="M44">
        <v>1203.7349999999999</v>
      </c>
      <c r="N44">
        <v>551.83499999999992</v>
      </c>
      <c r="O44">
        <v>31074.75</v>
      </c>
      <c r="P44">
        <v>32678.25</v>
      </c>
      <c r="Q44">
        <v>31007.625</v>
      </c>
      <c r="R44">
        <v>30178.25</v>
      </c>
      <c r="S44" t="s">
        <v>84</v>
      </c>
      <c r="T44">
        <v>1221.9099999999999</v>
      </c>
      <c r="U44">
        <v>750.16125</v>
      </c>
      <c r="V44">
        <v>1215.3149999999998</v>
      </c>
      <c r="W44" t="s">
        <v>86</v>
      </c>
      <c r="X44">
        <v>1203.7349999999999</v>
      </c>
      <c r="Y44">
        <v>551.83499999999992</v>
      </c>
      <c r="Z44">
        <v>1215.3149999999998</v>
      </c>
      <c r="AA44">
        <v>1203.7349999999999</v>
      </c>
      <c r="AB44">
        <v>551.83499999999992</v>
      </c>
      <c r="AC44">
        <v>819.125</v>
      </c>
      <c r="AD44">
        <v>819.125</v>
      </c>
      <c r="AE44">
        <v>821.52499999999998</v>
      </c>
      <c r="AF44">
        <v>821.52499999999998</v>
      </c>
      <c r="AG44">
        <v>18658</v>
      </c>
      <c r="AH44">
        <v>18658</v>
      </c>
      <c r="AI44">
        <v>18661</v>
      </c>
      <c r="AJ44">
        <v>18661</v>
      </c>
      <c r="AK44">
        <v>1551.3150000000001</v>
      </c>
      <c r="AL44">
        <v>1194.432449698618</v>
      </c>
      <c r="AM44">
        <v>1198.2700034985471</v>
      </c>
    </row>
    <row r="45" spans="1:39" x14ac:dyDescent="0.45">
      <c r="A45" t="s">
        <v>136</v>
      </c>
      <c r="C45">
        <v>1215.3149999999998</v>
      </c>
      <c r="D45">
        <v>31074.75</v>
      </c>
      <c r="E45">
        <v>1215.3149999999998</v>
      </c>
      <c r="F45">
        <v>1215.3149999999998</v>
      </c>
      <c r="G45">
        <v>31074.75</v>
      </c>
      <c r="H45">
        <v>1125.6399999999999</v>
      </c>
      <c r="I45">
        <v>1215.3149999999998</v>
      </c>
      <c r="J45">
        <v>1221.9099999999999</v>
      </c>
      <c r="K45">
        <v>750.16125</v>
      </c>
      <c r="L45">
        <v>1215.3149999999998</v>
      </c>
      <c r="M45">
        <v>1203.7349999999999</v>
      </c>
      <c r="N45">
        <v>551.83499999999992</v>
      </c>
      <c r="O45">
        <v>31074.75</v>
      </c>
      <c r="P45">
        <v>32678.25</v>
      </c>
      <c r="Q45">
        <v>31007.625</v>
      </c>
      <c r="R45">
        <v>30178.25</v>
      </c>
      <c r="S45" t="s">
        <v>84</v>
      </c>
      <c r="T45">
        <v>1221.9099999999999</v>
      </c>
      <c r="U45">
        <v>750.16125</v>
      </c>
      <c r="V45">
        <v>1215.3149999999998</v>
      </c>
      <c r="W45" t="s">
        <v>86</v>
      </c>
      <c r="X45">
        <v>1203.7349999999999</v>
      </c>
      <c r="Y45">
        <v>551.83499999999992</v>
      </c>
      <c r="Z45">
        <v>1215.3149999999998</v>
      </c>
      <c r="AA45">
        <v>1203.7349999999999</v>
      </c>
      <c r="AB45">
        <v>551.83499999999992</v>
      </c>
      <c r="AC45">
        <v>610.32500000000005</v>
      </c>
      <c r="AD45">
        <v>610.32500000000005</v>
      </c>
      <c r="AE45">
        <v>612.72500000000002</v>
      </c>
      <c r="AF45">
        <v>612.72500000000002</v>
      </c>
      <c r="AG45">
        <v>14338</v>
      </c>
      <c r="AH45">
        <v>14338</v>
      </c>
      <c r="AI45">
        <v>14341</v>
      </c>
      <c r="AJ45">
        <v>14341</v>
      </c>
      <c r="AK45">
        <v>1551.3150000000001</v>
      </c>
      <c r="AL45">
        <v>1194.432449698618</v>
      </c>
      <c r="AM45">
        <v>1198.2700034985471</v>
      </c>
    </row>
    <row r="46" spans="1:39" x14ac:dyDescent="0.45"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5">
      <c r="A47" t="s">
        <v>137</v>
      </c>
      <c r="C47">
        <v>1273.9806366841512</v>
      </c>
      <c r="D47">
        <v>36703.630408400946</v>
      </c>
      <c r="E47">
        <v>1273.9806366841512</v>
      </c>
      <c r="F47">
        <v>1273.9806366841512</v>
      </c>
      <c r="G47">
        <v>36703.630408400946</v>
      </c>
      <c r="H47">
        <v>1184.3056366841513</v>
      </c>
      <c r="I47">
        <v>1273.9806366841512</v>
      </c>
      <c r="J47">
        <v>1280.5756366841513</v>
      </c>
      <c r="K47">
        <v>1408.7464130057465</v>
      </c>
      <c r="L47">
        <v>1273.9806366841512</v>
      </c>
      <c r="M47">
        <v>1262.4006366841513</v>
      </c>
      <c r="N47">
        <v>1821.3233778682779</v>
      </c>
      <c r="O47">
        <v>36703.630408400946</v>
      </c>
      <c r="P47">
        <v>38307.130408400946</v>
      </c>
      <c r="Q47">
        <v>36636.505408400946</v>
      </c>
      <c r="R47">
        <v>35807.130408400946</v>
      </c>
      <c r="S47" t="s">
        <v>84</v>
      </c>
      <c r="T47">
        <v>1280.5756366841513</v>
      </c>
      <c r="U47">
        <v>1408.7464130057465</v>
      </c>
      <c r="V47">
        <v>1273.9806366841512</v>
      </c>
      <c r="W47" t="s">
        <v>86</v>
      </c>
      <c r="X47">
        <v>1262.4006366841513</v>
      </c>
      <c r="Y47">
        <v>1821.3233778682779</v>
      </c>
      <c r="Z47">
        <v>1273.9806366841512</v>
      </c>
      <c r="AA47">
        <v>1262.4006366841513</v>
      </c>
      <c r="AB47">
        <v>1821.3233778682779</v>
      </c>
      <c r="AC47">
        <v>1352.1827041681593</v>
      </c>
      <c r="AD47">
        <v>1352.1827041681593</v>
      </c>
      <c r="AE47">
        <v>1354.5827041681594</v>
      </c>
      <c r="AF47">
        <v>1354.5827041681594</v>
      </c>
      <c r="AG47">
        <v>32019.952853774033</v>
      </c>
      <c r="AH47">
        <v>32019.952853774033</v>
      </c>
      <c r="AI47">
        <v>32022.952853774033</v>
      </c>
      <c r="AJ47">
        <v>32022.952853774033</v>
      </c>
      <c r="AK47">
        <v>1609.9806366841515</v>
      </c>
      <c r="AL47">
        <v>1253.0980863827695</v>
      </c>
      <c r="AM47">
        <v>1256.9356401826985</v>
      </c>
    </row>
    <row r="48" spans="1:39" x14ac:dyDescent="0.45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5">
      <c r="A49" t="s">
        <v>138</v>
      </c>
      <c r="C49">
        <v>1275.4434246550638</v>
      </c>
      <c r="D49">
        <v>36644.782402836376</v>
      </c>
      <c r="E49">
        <v>1275.4434246550638</v>
      </c>
      <c r="F49">
        <v>1275.4434246550638</v>
      </c>
      <c r="G49">
        <v>36644.782402836376</v>
      </c>
      <c r="H49">
        <v>1185.7684246550639</v>
      </c>
      <c r="I49">
        <v>1275.4434246550638</v>
      </c>
      <c r="J49">
        <v>1282.0384246550639</v>
      </c>
      <c r="K49">
        <v>1442.3251247690416</v>
      </c>
      <c r="L49">
        <v>1275.4434246550638</v>
      </c>
      <c r="M49">
        <v>1263.8634246550639</v>
      </c>
      <c r="N49">
        <v>1827.6424736378922</v>
      </c>
      <c r="O49">
        <v>36644.782402836376</v>
      </c>
      <c r="P49">
        <v>38248.282402836376</v>
      </c>
      <c r="Q49">
        <v>36577.657402836376</v>
      </c>
      <c r="R49">
        <v>35748.282402836376</v>
      </c>
      <c r="S49" t="s">
        <v>84</v>
      </c>
      <c r="T49">
        <v>1282.0384246550639</v>
      </c>
      <c r="U49">
        <v>1442.3251247690416</v>
      </c>
      <c r="V49">
        <v>1275.4434246550638</v>
      </c>
      <c r="W49" t="s">
        <v>86</v>
      </c>
      <c r="X49">
        <v>1263.8634246550639</v>
      </c>
      <c r="Y49">
        <v>1827.6424736378922</v>
      </c>
      <c r="Z49">
        <v>1275.4434246550638</v>
      </c>
      <c r="AA49">
        <v>1263.8634246550639</v>
      </c>
      <c r="AB49">
        <v>1827.6424736378922</v>
      </c>
      <c r="AC49">
        <v>1376.1918114161474</v>
      </c>
      <c r="AD49">
        <v>1376.1918114161474</v>
      </c>
      <c r="AE49">
        <v>1378.5918114161475</v>
      </c>
      <c r="AF49">
        <v>1378.5918114161475</v>
      </c>
      <c r="AG49">
        <v>32908.26425505575</v>
      </c>
      <c r="AH49">
        <v>32908.26425505575</v>
      </c>
      <c r="AI49">
        <v>32911.26425505575</v>
      </c>
      <c r="AJ49">
        <v>32911.26425505575</v>
      </c>
      <c r="AK49">
        <v>1611.4434246550641</v>
      </c>
      <c r="AL49">
        <v>1254.560874353682</v>
      </c>
      <c r="AM49">
        <v>1258.3984281536111</v>
      </c>
    </row>
    <row r="51" spans="1:39" x14ac:dyDescent="0.45">
      <c r="A51" t="s">
        <v>139</v>
      </c>
      <c r="C51">
        <v>72.11999999999999</v>
      </c>
      <c r="D51">
        <v>7730.2152816508697</v>
      </c>
      <c r="E51">
        <v>72.11999999999999</v>
      </c>
      <c r="F51">
        <v>72.394999999999996</v>
      </c>
      <c r="G51">
        <v>5264</v>
      </c>
      <c r="H51">
        <v>51.064999999999998</v>
      </c>
      <c r="I51">
        <v>72.11999999999999</v>
      </c>
      <c r="J51">
        <v>72.527499999999989</v>
      </c>
      <c r="K51">
        <v>71.822185418568637</v>
      </c>
      <c r="L51">
        <v>72.11999999999999</v>
      </c>
      <c r="M51">
        <v>71.97</v>
      </c>
      <c r="N51">
        <v>72.773001028898392</v>
      </c>
      <c r="O51">
        <v>7730.2152816508697</v>
      </c>
      <c r="P51">
        <v>7914</v>
      </c>
      <c r="Q51">
        <v>6668.75</v>
      </c>
      <c r="R51">
        <v>5414</v>
      </c>
      <c r="S51" t="s">
        <v>84</v>
      </c>
      <c r="T51">
        <v>72.802499999999995</v>
      </c>
      <c r="U51">
        <v>72.097185418568642</v>
      </c>
      <c r="V51">
        <v>72.11999999999999</v>
      </c>
      <c r="W51" t="s">
        <v>86</v>
      </c>
      <c r="X51">
        <v>72.245000000000005</v>
      </c>
      <c r="Y51">
        <v>73.048001028898398</v>
      </c>
      <c r="Z51">
        <v>72.482500000000002</v>
      </c>
      <c r="AA51">
        <v>72.245000000000005</v>
      </c>
      <c r="AB51">
        <v>71.344999999999999</v>
      </c>
      <c r="AC51">
        <v>56.86</v>
      </c>
      <c r="AD51">
        <v>56.86</v>
      </c>
      <c r="AE51">
        <v>57.06</v>
      </c>
      <c r="AF51">
        <v>57.06</v>
      </c>
      <c r="AG51">
        <v>2817.25</v>
      </c>
      <c r="AH51">
        <v>2817.25</v>
      </c>
      <c r="AI51">
        <v>2817.5</v>
      </c>
      <c r="AJ51">
        <v>2817.5</v>
      </c>
      <c r="AK51">
        <v>100.11999999999999</v>
      </c>
      <c r="AL51">
        <v>70.275681446638515</v>
      </c>
      <c r="AM51">
        <v>71.586721032146912</v>
      </c>
    </row>
    <row r="52" spans="1:39" x14ac:dyDescent="0.45">
      <c r="A52" t="s">
        <v>140</v>
      </c>
      <c r="C52">
        <v>789.07499999999993</v>
      </c>
      <c r="D52">
        <v>19410.75</v>
      </c>
      <c r="E52">
        <v>789.07499999999993</v>
      </c>
      <c r="F52">
        <v>789.07499999999993</v>
      </c>
      <c r="G52">
        <v>19410.75</v>
      </c>
      <c r="H52">
        <v>699.4</v>
      </c>
      <c r="I52">
        <v>789.07499999999993</v>
      </c>
      <c r="J52">
        <v>795.67</v>
      </c>
      <c r="K52">
        <v>781.92745004564745</v>
      </c>
      <c r="L52">
        <v>789.07499999999993</v>
      </c>
      <c r="M52">
        <v>777.495</v>
      </c>
      <c r="N52">
        <v>804.74702469356134</v>
      </c>
      <c r="O52">
        <v>19410.75</v>
      </c>
      <c r="P52">
        <v>21014.25</v>
      </c>
      <c r="Q52">
        <v>19343.625</v>
      </c>
      <c r="R52">
        <v>18514.25</v>
      </c>
      <c r="S52" t="s">
        <v>84</v>
      </c>
      <c r="T52">
        <v>795.67</v>
      </c>
      <c r="U52">
        <v>781.92745004564745</v>
      </c>
      <c r="V52">
        <v>789.07499999999993</v>
      </c>
      <c r="W52" t="s">
        <v>86</v>
      </c>
      <c r="X52">
        <v>777.495</v>
      </c>
      <c r="Y52">
        <v>804.74702469356134</v>
      </c>
      <c r="Z52">
        <v>789.07499999999993</v>
      </c>
      <c r="AA52">
        <v>777.495</v>
      </c>
      <c r="AB52">
        <v>763.875</v>
      </c>
      <c r="AC52">
        <v>610.32500000000005</v>
      </c>
      <c r="AD52">
        <v>610.32500000000005</v>
      </c>
      <c r="AE52">
        <v>612.72500000000002</v>
      </c>
      <c r="AF52">
        <v>612.72500000000002</v>
      </c>
      <c r="AG52">
        <v>14338</v>
      </c>
      <c r="AH52">
        <v>14338</v>
      </c>
      <c r="AI52">
        <v>14341</v>
      </c>
      <c r="AJ52">
        <v>14341</v>
      </c>
      <c r="AK52">
        <v>1125.075</v>
      </c>
      <c r="AL52">
        <v>789.7170354020551</v>
      </c>
      <c r="AM52">
        <v>793.55458920198419</v>
      </c>
    </row>
    <row r="54" spans="1:39" x14ac:dyDescent="0.45">
      <c r="A54" t="s">
        <v>122</v>
      </c>
      <c r="C54">
        <v>60.389999999999993</v>
      </c>
      <c r="D54">
        <v>7487.2152816508697</v>
      </c>
      <c r="E54">
        <v>60.389999999999993</v>
      </c>
      <c r="F54">
        <v>60.664999999999999</v>
      </c>
      <c r="G54">
        <v>5021</v>
      </c>
      <c r="H54">
        <v>39.335000000000001</v>
      </c>
      <c r="I54">
        <v>60.389999999999993</v>
      </c>
      <c r="J54">
        <v>60.797499999999992</v>
      </c>
      <c r="K54">
        <v>60.389999999999993</v>
      </c>
      <c r="L54">
        <v>60.389999999999993</v>
      </c>
      <c r="M54">
        <v>60.239999999999995</v>
      </c>
      <c r="N54">
        <v>60.389999999999993</v>
      </c>
      <c r="O54">
        <v>7487.2152816508697</v>
      </c>
      <c r="P54">
        <v>7671</v>
      </c>
      <c r="Q54">
        <v>6425.75</v>
      </c>
      <c r="R54">
        <v>5171</v>
      </c>
      <c r="S54" t="s">
        <v>84</v>
      </c>
      <c r="T54">
        <v>61.072499999999998</v>
      </c>
      <c r="U54">
        <v>60.664999999999999</v>
      </c>
      <c r="V54">
        <v>60.389999999999993</v>
      </c>
      <c r="W54" t="s">
        <v>86</v>
      </c>
      <c r="X54">
        <v>60.515000000000001</v>
      </c>
      <c r="Y54">
        <v>60.664999999999999</v>
      </c>
      <c r="Z54">
        <v>60.752499999999998</v>
      </c>
      <c r="AA54">
        <v>60.515000000000001</v>
      </c>
      <c r="AB54">
        <v>60.664999999999999</v>
      </c>
      <c r="AC54">
        <v>45.13</v>
      </c>
      <c r="AD54">
        <v>45.13</v>
      </c>
      <c r="AE54">
        <v>45.33</v>
      </c>
      <c r="AF54">
        <v>45.33</v>
      </c>
      <c r="AG54">
        <v>2574.25</v>
      </c>
      <c r="AH54">
        <v>2574.25</v>
      </c>
      <c r="AI54">
        <v>2574.5</v>
      </c>
      <c r="AJ54">
        <v>2574.5</v>
      </c>
      <c r="AK54">
        <v>88.389999999999986</v>
      </c>
      <c r="AL54">
        <v>58.811388416317996</v>
      </c>
      <c r="AM54">
        <v>60.122428001826393</v>
      </c>
    </row>
    <row r="55" spans="1:39" x14ac:dyDescent="0.45">
      <c r="A55" t="s">
        <v>123</v>
      </c>
      <c r="C55">
        <v>32.809999999999995</v>
      </c>
      <c r="D55">
        <v>722</v>
      </c>
      <c r="E55">
        <v>32.809999999999995</v>
      </c>
      <c r="F55">
        <v>32.809999999999995</v>
      </c>
      <c r="G55">
        <v>722</v>
      </c>
      <c r="H55">
        <v>20.519999999999996</v>
      </c>
      <c r="I55">
        <v>32.809999999999995</v>
      </c>
      <c r="J55">
        <v>32.884</v>
      </c>
      <c r="K55">
        <v>32.809999999999995</v>
      </c>
      <c r="L55">
        <v>32.809999999999995</v>
      </c>
      <c r="M55">
        <v>32.772499999999994</v>
      </c>
      <c r="N55">
        <v>32.809999999999995</v>
      </c>
      <c r="O55">
        <v>722</v>
      </c>
      <c r="P55">
        <v>722</v>
      </c>
      <c r="Q55">
        <v>722</v>
      </c>
      <c r="R55">
        <v>722</v>
      </c>
      <c r="S55">
        <v>32.809999999999995</v>
      </c>
      <c r="T55">
        <v>32.884</v>
      </c>
      <c r="U55">
        <v>32.809999999999995</v>
      </c>
      <c r="V55">
        <v>32.809999999999995</v>
      </c>
      <c r="W55">
        <v>32.809999999999995</v>
      </c>
      <c r="X55">
        <v>32.772499999999994</v>
      </c>
      <c r="Y55">
        <v>32.809999999999995</v>
      </c>
      <c r="Z55">
        <v>32.809999999999995</v>
      </c>
      <c r="AA55">
        <v>32.772499999999994</v>
      </c>
      <c r="AB55">
        <v>32.809999999999995</v>
      </c>
      <c r="AC55">
        <v>29.089999999999996</v>
      </c>
      <c r="AD55">
        <v>29.089999999999996</v>
      </c>
      <c r="AE55">
        <v>29.139999999999997</v>
      </c>
      <c r="AF55">
        <v>29.139999999999997</v>
      </c>
      <c r="AG55">
        <v>588</v>
      </c>
      <c r="AH55">
        <v>588</v>
      </c>
      <c r="AI55">
        <v>588.1</v>
      </c>
      <c r="AJ55">
        <v>588.1</v>
      </c>
      <c r="AK55">
        <v>39.809999999999995</v>
      </c>
      <c r="AL55">
        <v>32.802232576066139</v>
      </c>
      <c r="AM55">
        <v>32.802232576066139</v>
      </c>
    </row>
    <row r="57" spans="1:39" x14ac:dyDescent="0.45">
      <c r="A57" t="s">
        <v>120</v>
      </c>
      <c r="D57">
        <v>43.034054660763125</v>
      </c>
      <c r="G57">
        <v>18.496290914563623</v>
      </c>
      <c r="O57">
        <v>43.034054660763125</v>
      </c>
      <c r="P57">
        <v>25.138881033040605</v>
      </c>
      <c r="Q57">
        <v>29.529233899203994</v>
      </c>
      <c r="R57">
        <v>35.835417433219298</v>
      </c>
      <c r="AG57">
        <v>8.1842643980568077</v>
      </c>
      <c r="AH57">
        <v>8.1842643980568077</v>
      </c>
      <c r="AI57">
        <v>8.1838908390694574</v>
      </c>
      <c r="AJ57">
        <v>8.1838908390694574</v>
      </c>
    </row>
    <row r="58" spans="1:39" x14ac:dyDescent="0.45">
      <c r="A58" t="s">
        <v>121</v>
      </c>
      <c r="D58">
        <v>43.038969241524825</v>
      </c>
      <c r="G58">
        <v>18.499313247369617</v>
      </c>
      <c r="O58">
        <v>43.038969241524825</v>
      </c>
      <c r="P58">
        <v>25.141688942742352</v>
      </c>
      <c r="Q58">
        <v>29.533108295880989</v>
      </c>
      <c r="R58">
        <v>35.841123499715195</v>
      </c>
      <c r="AG58">
        <v>8.1504395165230914</v>
      </c>
      <c r="AH58">
        <v>8.1504395165230914</v>
      </c>
      <c r="AI58">
        <v>8.1500690388613126</v>
      </c>
      <c r="AJ58">
        <v>8.1500690388613126</v>
      </c>
    </row>
    <row r="59" spans="1:39" x14ac:dyDescent="0.45">
      <c r="A59" t="s">
        <v>152</v>
      </c>
      <c r="D59">
        <v>9889.8611266034786</v>
      </c>
      <c r="G59">
        <v>25</v>
      </c>
      <c r="O59">
        <v>9889.8611266034786</v>
      </c>
      <c r="P59">
        <v>4211</v>
      </c>
      <c r="Q59">
        <v>4211</v>
      </c>
      <c r="R59">
        <v>4211</v>
      </c>
      <c r="AG59">
        <v>8829.1347922385248</v>
      </c>
      <c r="AH59">
        <v>8829.1347922385248</v>
      </c>
      <c r="AI59">
        <v>8829.1347922385248</v>
      </c>
      <c r="AJ59">
        <v>8829.1347922385248</v>
      </c>
    </row>
    <row r="60" spans="1:39" x14ac:dyDescent="0.45">
      <c r="A60" s="3"/>
    </row>
    <row r="61" spans="1:39" x14ac:dyDescent="0.45">
      <c r="A61" s="3" t="s">
        <v>153</v>
      </c>
      <c r="C61">
        <v>24</v>
      </c>
      <c r="D61">
        <v>24</v>
      </c>
      <c r="E61">
        <v>24</v>
      </c>
      <c r="F61">
        <v>24</v>
      </c>
      <c r="G61">
        <v>24</v>
      </c>
      <c r="H61">
        <v>24</v>
      </c>
      <c r="I61">
        <v>24</v>
      </c>
      <c r="J61">
        <v>24</v>
      </c>
      <c r="K61">
        <v>10</v>
      </c>
      <c r="L61">
        <v>24</v>
      </c>
      <c r="M61">
        <v>24</v>
      </c>
      <c r="N61">
        <v>10</v>
      </c>
      <c r="O61">
        <v>24</v>
      </c>
      <c r="P61">
        <v>24</v>
      </c>
      <c r="Q61">
        <v>24</v>
      </c>
      <c r="R61">
        <v>24</v>
      </c>
      <c r="S61">
        <v>24</v>
      </c>
      <c r="T61">
        <v>24</v>
      </c>
      <c r="U61">
        <v>10</v>
      </c>
      <c r="V61">
        <v>24</v>
      </c>
      <c r="W61">
        <v>24</v>
      </c>
      <c r="X61">
        <v>24</v>
      </c>
      <c r="Y61">
        <v>10</v>
      </c>
      <c r="Z61">
        <v>24</v>
      </c>
      <c r="AA61">
        <v>24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4</v>
      </c>
      <c r="AH61">
        <v>4</v>
      </c>
      <c r="AI61">
        <v>4</v>
      </c>
      <c r="AJ61">
        <v>4</v>
      </c>
      <c r="AK61">
        <v>24</v>
      </c>
      <c r="AL61">
        <v>24</v>
      </c>
      <c r="AM61">
        <v>24</v>
      </c>
    </row>
    <row r="62" spans="1:39" x14ac:dyDescent="0.45">
      <c r="A62" t="s">
        <v>154</v>
      </c>
      <c r="C62">
        <v>48</v>
      </c>
      <c r="D62">
        <v>48</v>
      </c>
      <c r="E62">
        <v>48</v>
      </c>
      <c r="F62">
        <v>48</v>
      </c>
      <c r="G62">
        <v>48</v>
      </c>
      <c r="H62">
        <v>48</v>
      </c>
      <c r="I62">
        <v>48</v>
      </c>
      <c r="J62">
        <v>48</v>
      </c>
      <c r="K62">
        <v>23.1</v>
      </c>
      <c r="L62">
        <v>48</v>
      </c>
      <c r="M62">
        <v>48</v>
      </c>
      <c r="N62">
        <v>18</v>
      </c>
      <c r="O62">
        <v>48</v>
      </c>
      <c r="P62">
        <v>48</v>
      </c>
      <c r="Q62">
        <v>48</v>
      </c>
      <c r="R62">
        <v>48</v>
      </c>
      <c r="S62">
        <v>48</v>
      </c>
      <c r="T62">
        <v>48</v>
      </c>
      <c r="U62">
        <v>23.1</v>
      </c>
      <c r="V62">
        <v>48</v>
      </c>
      <c r="W62">
        <v>48</v>
      </c>
      <c r="X62">
        <v>48</v>
      </c>
      <c r="Y62">
        <v>18</v>
      </c>
      <c r="Z62">
        <v>48</v>
      </c>
      <c r="AA62">
        <v>48</v>
      </c>
      <c r="AB62">
        <v>18</v>
      </c>
      <c r="AC62">
        <v>24</v>
      </c>
      <c r="AD62">
        <v>24</v>
      </c>
      <c r="AE62">
        <v>24</v>
      </c>
      <c r="AF62">
        <v>24</v>
      </c>
      <c r="AG62">
        <v>24</v>
      </c>
      <c r="AH62">
        <v>24</v>
      </c>
      <c r="AI62">
        <v>24</v>
      </c>
      <c r="AJ62">
        <v>24</v>
      </c>
      <c r="AK62">
        <v>48</v>
      </c>
      <c r="AL62">
        <v>48</v>
      </c>
      <c r="AM6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162</vt:i4>
      </vt:variant>
    </vt:vector>
  </HeadingPairs>
  <TitlesOfParts>
    <vt:vector size="201" baseType="lpstr">
      <vt:lpstr>START_POSD</vt:lpstr>
      <vt:lpstr>START_IVSD</vt:lpstr>
      <vt:lpstr>START_INFSD</vt:lpstr>
      <vt:lpstr>START_POMD</vt:lpstr>
      <vt:lpstr>START_IVMD</vt:lpstr>
      <vt:lpstr>START_INFMD</vt:lpstr>
      <vt:lpstr>SDT_1</vt:lpstr>
      <vt:lpstr>SDT_2</vt:lpstr>
      <vt:lpstr>SDT_3</vt:lpstr>
      <vt:lpstr>SDC_1</vt:lpstr>
      <vt:lpstr>SDC_2</vt:lpstr>
      <vt:lpstr>SDC_3</vt:lpstr>
      <vt:lpstr>SDC_4a</vt:lpstr>
      <vt:lpstr>SDC_4b</vt:lpstr>
      <vt:lpstr>SDC_4c</vt:lpstr>
      <vt:lpstr>SDC_4d</vt:lpstr>
      <vt:lpstr>MDT_1</vt:lpstr>
      <vt:lpstr>MDT_2</vt:lpstr>
      <vt:lpstr>MDT_3</vt:lpstr>
      <vt:lpstr>MDT_3a</vt:lpstr>
      <vt:lpstr>MDC_1_noss</vt:lpstr>
      <vt:lpstr>MDC_2_noss</vt:lpstr>
      <vt:lpstr>MDC_3_noss</vt:lpstr>
      <vt:lpstr>MDC_1_ss</vt:lpstr>
      <vt:lpstr>MDC_2_ss</vt:lpstr>
      <vt:lpstr>MDC_3_ss</vt:lpstr>
      <vt:lpstr>POSDLOQ_1</vt:lpstr>
      <vt:lpstr>POSDLOQ_2</vt:lpstr>
      <vt:lpstr>POSDLOQ_3</vt:lpstr>
      <vt:lpstr>POSDLOQ_4</vt:lpstr>
      <vt:lpstr>IVSDLOQ_1</vt:lpstr>
      <vt:lpstr>IVSDLOQ_2</vt:lpstr>
      <vt:lpstr>IVSDLOQ_3</vt:lpstr>
      <vt:lpstr>IVSDLOQ_4</vt:lpstr>
      <vt:lpstr>POSDEXCL</vt:lpstr>
      <vt:lpstr>POSDTRAP_2</vt:lpstr>
      <vt:lpstr>POSDTRAP_3</vt:lpstr>
      <vt:lpstr>summ</vt:lpstr>
      <vt:lpstr>summ_val</vt:lpstr>
      <vt:lpstr>MDC_1_noss!dv</vt:lpstr>
      <vt:lpstr>MDC_1_ss!dv</vt:lpstr>
      <vt:lpstr>MDC_2_noss!dv</vt:lpstr>
      <vt:lpstr>MDC_2_ss!dv</vt:lpstr>
      <vt:lpstr>MDC_3_noss!dv</vt:lpstr>
      <vt:lpstr>MDC_3_ss!dv</vt:lpstr>
      <vt:lpstr>MDT_1!dv</vt:lpstr>
      <vt:lpstr>MDT_2!dv</vt:lpstr>
      <vt:lpstr>MDT_3!dv</vt:lpstr>
      <vt:lpstr>MDT_3a!dv</vt:lpstr>
      <vt:lpstr>SDC_1!dv</vt:lpstr>
      <vt:lpstr>SDC_2!dv</vt:lpstr>
      <vt:lpstr>SDC_3!dv</vt:lpstr>
      <vt:lpstr>SDC_4a!dv</vt:lpstr>
      <vt:lpstr>SDC_4b!dv</vt:lpstr>
      <vt:lpstr>SDC_4c!dv</vt:lpstr>
      <vt:lpstr>SDC_4d!dv</vt:lpstr>
      <vt:lpstr>SDT_2!dv</vt:lpstr>
      <vt:lpstr>SDT_3!dv</vt:lpstr>
      <vt:lpstr>START_IVSD!dv</vt:lpstr>
      <vt:lpstr>START_POMD!dv</vt:lpstr>
      <vt:lpstr>START_POSD!dv</vt:lpstr>
      <vt:lpstr>dv</vt:lpstr>
      <vt:lpstr>MDC_1_noss!dvcorr</vt:lpstr>
      <vt:lpstr>MDC_1_ss!dvcorr</vt:lpstr>
      <vt:lpstr>MDC_2_noss!dvcorr</vt:lpstr>
      <vt:lpstr>MDC_2_ss!dvcorr</vt:lpstr>
      <vt:lpstr>MDC_3_noss!dvcorr</vt:lpstr>
      <vt:lpstr>MDC_3_ss!dvcorr</vt:lpstr>
      <vt:lpstr>MDT_1!dvcorr</vt:lpstr>
      <vt:lpstr>MDT_2!dvcorr</vt:lpstr>
      <vt:lpstr>MDT_3!dvcorr</vt:lpstr>
      <vt:lpstr>MDT_3a!dvcorr</vt:lpstr>
      <vt:lpstr>SDC_1!dvcorr</vt:lpstr>
      <vt:lpstr>SDC_2!dvcorr</vt:lpstr>
      <vt:lpstr>SDC_3!dvcorr</vt:lpstr>
      <vt:lpstr>SDC_4a!dvcorr</vt:lpstr>
      <vt:lpstr>SDC_4b!dvcorr</vt:lpstr>
      <vt:lpstr>SDC_4c!dvcorr</vt:lpstr>
      <vt:lpstr>SDC_4d!dvcorr</vt:lpstr>
      <vt:lpstr>SDT_2!dvcorr</vt:lpstr>
      <vt:lpstr>SDT_3!dvcorr</vt:lpstr>
      <vt:lpstr>START_IVSD!dvcorr</vt:lpstr>
      <vt:lpstr>START_POMD!dvcorr</vt:lpstr>
      <vt:lpstr>START_POSD!dvcorr</vt:lpstr>
      <vt:lpstr>dvcorr</vt:lpstr>
      <vt:lpstr>elimination</vt:lpstr>
      <vt:lpstr>MDC_1_noss!id</vt:lpstr>
      <vt:lpstr>MDC_1_ss!id</vt:lpstr>
      <vt:lpstr>MDC_2_noss!id</vt:lpstr>
      <vt:lpstr>MDC_2_ss!id</vt:lpstr>
      <vt:lpstr>MDC_3_noss!id</vt:lpstr>
      <vt:lpstr>MDC_3_ss!id</vt:lpstr>
      <vt:lpstr>MDT_1!id</vt:lpstr>
      <vt:lpstr>MDT_2!id</vt:lpstr>
      <vt:lpstr>MDT_3!id</vt:lpstr>
      <vt:lpstr>MDT_3a!id</vt:lpstr>
      <vt:lpstr>SDC_1!id</vt:lpstr>
      <vt:lpstr>SDC_2!id</vt:lpstr>
      <vt:lpstr>SDC_3!id</vt:lpstr>
      <vt:lpstr>SDC_4a!id</vt:lpstr>
      <vt:lpstr>SDC_4b!id</vt:lpstr>
      <vt:lpstr>SDC_4c!id</vt:lpstr>
      <vt:lpstr>SDC_4d!id</vt:lpstr>
      <vt:lpstr>SDT_2!id</vt:lpstr>
      <vt:lpstr>SDT_3!id</vt:lpstr>
      <vt:lpstr>START_IVSD!id</vt:lpstr>
      <vt:lpstr>START_POMD!id</vt:lpstr>
      <vt:lpstr>START_POSD!id</vt:lpstr>
      <vt:lpstr>id</vt:lpstr>
      <vt:lpstr>MDC_1_noss!ntad</vt:lpstr>
      <vt:lpstr>MDC_1_ss!ntad</vt:lpstr>
      <vt:lpstr>MDC_2_noss!ntad</vt:lpstr>
      <vt:lpstr>MDC_2_ss!ntad</vt:lpstr>
      <vt:lpstr>MDC_3_noss!ntad</vt:lpstr>
      <vt:lpstr>MDC_3_ss!ntad</vt:lpstr>
      <vt:lpstr>MDT_1!ntad</vt:lpstr>
      <vt:lpstr>MDT_2!ntad</vt:lpstr>
      <vt:lpstr>MDT_3!ntad</vt:lpstr>
      <vt:lpstr>MDT_3a!ntad</vt:lpstr>
      <vt:lpstr>SDC_1!ntad</vt:lpstr>
      <vt:lpstr>SDC_2!ntad</vt:lpstr>
      <vt:lpstr>SDC_3!ntad</vt:lpstr>
      <vt:lpstr>SDC_4a!ntad</vt:lpstr>
      <vt:lpstr>SDC_4b!ntad</vt:lpstr>
      <vt:lpstr>SDC_4c!ntad</vt:lpstr>
      <vt:lpstr>SDC_4d!ntad</vt:lpstr>
      <vt:lpstr>SDT_2!ntad</vt:lpstr>
      <vt:lpstr>SDT_3!ntad</vt:lpstr>
      <vt:lpstr>START_IVSD!ntad</vt:lpstr>
      <vt:lpstr>START_POMD!ntad</vt:lpstr>
      <vt:lpstr>START_POSD!ntad</vt:lpstr>
      <vt:lpstr>ntad</vt:lpstr>
      <vt:lpstr>MDC_1_noss!rule</vt:lpstr>
      <vt:lpstr>MDC_1_ss!rule</vt:lpstr>
      <vt:lpstr>MDC_2_noss!rule</vt:lpstr>
      <vt:lpstr>MDC_2_ss!rule</vt:lpstr>
      <vt:lpstr>MDC_3_noss!rule</vt:lpstr>
      <vt:lpstr>MDC_3_ss!rule</vt:lpstr>
      <vt:lpstr>MDT_1!rule</vt:lpstr>
      <vt:lpstr>MDT_2!rule</vt:lpstr>
      <vt:lpstr>MDT_3!rule</vt:lpstr>
      <vt:lpstr>MDT_3a!rule</vt:lpstr>
      <vt:lpstr>SDC_1!rule</vt:lpstr>
      <vt:lpstr>SDC_2!rule</vt:lpstr>
      <vt:lpstr>SDC_3!rule</vt:lpstr>
      <vt:lpstr>SDC_4a!rule</vt:lpstr>
      <vt:lpstr>SDC_4b!rule</vt:lpstr>
      <vt:lpstr>SDC_4c!rule</vt:lpstr>
      <vt:lpstr>SDC_4d!rule</vt:lpstr>
      <vt:lpstr>SDT_2!rule</vt:lpstr>
      <vt:lpstr>SDT_3!rule</vt:lpstr>
      <vt:lpstr>START_IVSD!rule</vt:lpstr>
      <vt:lpstr>START_POMD!rule</vt:lpstr>
      <vt:lpstr>START_POSD!rule</vt:lpstr>
      <vt:lpstr>rule</vt:lpstr>
      <vt:lpstr>MDC_1_noss!tad</vt:lpstr>
      <vt:lpstr>MDC_1_ss!tad</vt:lpstr>
      <vt:lpstr>MDC_2_noss!tad</vt:lpstr>
      <vt:lpstr>MDC_2_ss!tad</vt:lpstr>
      <vt:lpstr>MDC_3_noss!tad</vt:lpstr>
      <vt:lpstr>MDC_3_ss!tad</vt:lpstr>
      <vt:lpstr>MDT_1!tad</vt:lpstr>
      <vt:lpstr>MDT_2!tad</vt:lpstr>
      <vt:lpstr>MDT_3!tad</vt:lpstr>
      <vt:lpstr>MDT_3a!tad</vt:lpstr>
      <vt:lpstr>SDC_1!tad</vt:lpstr>
      <vt:lpstr>SDC_2!tad</vt:lpstr>
      <vt:lpstr>SDC_3!tad</vt:lpstr>
      <vt:lpstr>SDC_4a!tad</vt:lpstr>
      <vt:lpstr>SDC_4b!tad</vt:lpstr>
      <vt:lpstr>SDC_4c!tad</vt:lpstr>
      <vt:lpstr>SDC_4d!tad</vt:lpstr>
      <vt:lpstr>SDT_2!tad</vt:lpstr>
      <vt:lpstr>SDT_3!tad</vt:lpstr>
      <vt:lpstr>START_IVSD!tad</vt:lpstr>
      <vt:lpstr>START_POMD!tad</vt:lpstr>
      <vt:lpstr>START_POSD!tad</vt:lpstr>
      <vt:lpstr>tad</vt:lpstr>
      <vt:lpstr>MDC_1_noss!tadcorr</vt:lpstr>
      <vt:lpstr>MDC_1_ss!tadcorr</vt:lpstr>
      <vt:lpstr>MDC_2_noss!tadcorr</vt:lpstr>
      <vt:lpstr>MDC_2_ss!tadcorr</vt:lpstr>
      <vt:lpstr>MDC_3_noss!tadcorr</vt:lpstr>
      <vt:lpstr>MDC_3_ss!tadcorr</vt:lpstr>
      <vt:lpstr>MDT_1!tadcorr</vt:lpstr>
      <vt:lpstr>MDT_2!tadcorr</vt:lpstr>
      <vt:lpstr>MDT_3!tadcorr</vt:lpstr>
      <vt:lpstr>MDT_3a!tadcorr</vt:lpstr>
      <vt:lpstr>SDC_1!tadcorr</vt:lpstr>
      <vt:lpstr>SDC_2!tadcorr</vt:lpstr>
      <vt:lpstr>SDC_3!tadcorr</vt:lpstr>
      <vt:lpstr>SDC_4a!tadcorr</vt:lpstr>
      <vt:lpstr>SDC_4b!tadcorr</vt:lpstr>
      <vt:lpstr>SDC_4c!tadcorr</vt:lpstr>
      <vt:lpstr>SDC_4d!tadcorr</vt:lpstr>
      <vt:lpstr>SDT_2!tadcorr</vt:lpstr>
      <vt:lpstr>SDT_3!tadcorr</vt:lpstr>
      <vt:lpstr>START_IVSD!tadcorr</vt:lpstr>
      <vt:lpstr>START_POMD!tadcorr</vt:lpstr>
      <vt:lpstr>START_POSD!tadcorr</vt:lpstr>
      <vt:lpstr>tadcorr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Huisman</dc:creator>
  <cp:lastModifiedBy>Koen Jolling</cp:lastModifiedBy>
  <dcterms:created xsi:type="dcterms:W3CDTF">2016-03-30T09:44:55Z</dcterms:created>
  <dcterms:modified xsi:type="dcterms:W3CDTF">2020-03-25T14:01:17Z</dcterms:modified>
</cp:coreProperties>
</file>