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1390" windowHeight="11265"/>
  </bookViews>
  <sheets>
    <sheet name="Table 1" sheetId="64" r:id="rId1"/>
    <sheet name="Table 2" sheetId="65" r:id="rId2"/>
    <sheet name="Aluminum" sheetId="62" r:id="rId3"/>
    <sheet name="Antimony" sheetId="66" r:id="rId4"/>
    <sheet name="Barite" sheetId="32" r:id="rId5"/>
    <sheet name="Bauxite" sheetId="34" r:id="rId6"/>
    <sheet name="Beryllium" sheetId="33" r:id="rId7"/>
    <sheet name="Bismuth" sheetId="35" r:id="rId8"/>
    <sheet name="Boron" sheetId="36" r:id="rId9"/>
    <sheet name="Bromine" sheetId="37" r:id="rId10"/>
    <sheet name="Cadmium" sheetId="38" r:id="rId11"/>
    <sheet name="Chromiuim" sheetId="67" r:id="rId12"/>
    <sheet name="Cobalt" sheetId="5" r:id="rId13"/>
    <sheet name="Copper" sheetId="40" r:id="rId14"/>
    <sheet name="Feldspar" sheetId="41" r:id="rId15"/>
    <sheet name="Fluorspar" sheetId="42" r:id="rId16"/>
    <sheet name="Gallium" sheetId="43" r:id="rId17"/>
    <sheet name="Germanium" sheetId="44" r:id="rId18"/>
    <sheet name="Gold" sheetId="45" r:id="rId19"/>
    <sheet name="Graphite" sheetId="46" r:id="rId20"/>
    <sheet name="Indium" sheetId="47" r:id="rId21"/>
    <sheet name="Iodine" sheetId="48" r:id="rId22"/>
    <sheet name="Iron and steel" sheetId="49" r:id="rId23"/>
    <sheet name="Lead" sheetId="50" r:id="rId24"/>
    <sheet name="Lithium" sheetId="51" r:id="rId25"/>
    <sheet name="Magnesium compounds" sheetId="52" r:id="rId26"/>
    <sheet name="Magnesium metal" sheetId="53" r:id="rId27"/>
    <sheet name="Manganese" sheetId="54" r:id="rId28"/>
    <sheet name="Mercury" sheetId="55" r:id="rId29"/>
    <sheet name="Mica" sheetId="27" r:id="rId30"/>
    <sheet name="Molybdenum" sheetId="26" r:id="rId31"/>
    <sheet name="Nickel" sheetId="25" r:id="rId32"/>
    <sheet name="Niobium" sheetId="15" r:id="rId33"/>
    <sheet name="Phosphate" sheetId="24" r:id="rId34"/>
    <sheet name="PGMs" sheetId="23" r:id="rId35"/>
    <sheet name="Potash" sheetId="22" r:id="rId36"/>
    <sheet name="REE" sheetId="21" r:id="rId37"/>
    <sheet name="Rhenium" sheetId="20" r:id="rId38"/>
    <sheet name="Selenium" sheetId="13" r:id="rId39"/>
    <sheet name="Silicon" sheetId="28" r:id="rId40"/>
    <sheet name="Silver" sheetId="19" r:id="rId41"/>
    <sheet name="Strontium" sheetId="18" r:id="rId42"/>
    <sheet name="Sulfur" sheetId="17" r:id="rId43"/>
    <sheet name="Tantalum" sheetId="16" r:id="rId44"/>
    <sheet name="Tellurium" sheetId="14" r:id="rId45"/>
    <sheet name="Tin" sheetId="11" r:id="rId46"/>
    <sheet name="Titanium" sheetId="29" r:id="rId47"/>
    <sheet name="Tungsten" sheetId="10" r:id="rId48"/>
    <sheet name="Vanadium" sheetId="9" r:id="rId49"/>
    <sheet name="Yttrium" sheetId="8" r:id="rId50"/>
    <sheet name="Zinc" sheetId="7" r:id="rId51"/>
    <sheet name="Zirconium" sheetId="6" r:id="rId52"/>
    <sheet name="Table 80" sheetId="63" r:id="rId53"/>
    <sheet name="Table 81" sheetId="56" r:id="rId54"/>
    <sheet name="Tables 82 - 85" sheetId="59" r:id="rId55"/>
  </sheets>
  <definedNames>
    <definedName name="_xlnm.Print_Area" localSheetId="5">Aluminum!$L$1:$T$28</definedName>
    <definedName name="_xlnm.Print_Area" localSheetId="6">Beryllium!$A$1:$J$28</definedName>
    <definedName name="_xlnm.Print_Area" localSheetId="7">Bismuth!$K$1:$S$30</definedName>
    <definedName name="_xlnm.Print_Area" localSheetId="12">Cobalt!$A$1:$S$27</definedName>
    <definedName name="_xlnm.Print_Area" localSheetId="13">Copper!$A$1:$AQ$28</definedName>
    <definedName name="_xlnm.Print_Area" localSheetId="22">'Iron and steel'!$A$1:$T$28</definedName>
    <definedName name="_xlnm.Print_Area" localSheetId="23">Lead!$A$1:$AF$28</definedName>
    <definedName name="_xlnm.Print_Area" localSheetId="27">Manganese!$A$1:$AC$30</definedName>
    <definedName name="_xlnm.Print_Area" localSheetId="32">Niobium!$A$1:$S$36</definedName>
    <definedName name="_xlnm.Print_Area" localSheetId="34">PGMs!$A$1:$AD$28</definedName>
    <definedName name="_xlnm.Print_Area" localSheetId="37">Rhenium!$A$1:$J$23</definedName>
    <definedName name="_xlnm.Print_Area" localSheetId="38">Selenium!$A$1:$J$29</definedName>
    <definedName name="_xlnm.Print_Area" localSheetId="40">Silver!$A$1:$J$28</definedName>
    <definedName name="_xlnm.Print_Area" localSheetId="41">Strontium!$A$1:$I$27</definedName>
    <definedName name="_xlnm.Print_Area" localSheetId="42">Sulfur!$A$1:$J$29</definedName>
    <definedName name="_xlnm.Print_Area" localSheetId="52">'Table 80'!$A$1:$L$367</definedName>
    <definedName name="_xlnm.Print_Area" localSheetId="53">'Table 81'!$A$1:$L$482</definedName>
    <definedName name="_xlnm.Print_Area" localSheetId="54">'Tables 82 - 85'!$A$1:$W$37</definedName>
    <definedName name="_xlnm.Print_Area" localSheetId="43">Tantalum!$A$1:$I$29</definedName>
    <definedName name="_xlnm.Print_Area" localSheetId="44">Tellurium!$A$1:$I$31</definedName>
    <definedName name="_xlnm.Print_Area" localSheetId="45">Tin!$A$1:$S$27</definedName>
    <definedName name="_xlnm.Print_Area" localSheetId="46">Titanium!$A$1:$I$24</definedName>
    <definedName name="_xlnm.Print_Area" localSheetId="47">Tungsten!$A$1:$I$29</definedName>
    <definedName name="_xlnm.Print_Area" localSheetId="48">Vanadium!$A$1:$S$30</definedName>
    <definedName name="_xlnm.Print_Area" localSheetId="49">Yttrium!$A$1:$S$37</definedName>
    <definedName name="_xlnm.Print_Area" localSheetId="50">Zinc!$A$1:$S$28</definedName>
    <definedName name="_xlnm.Print_Area" localSheetId="51">Zirconium!$A$1:$I$31</definedName>
  </definedNames>
  <calcPr calcId="145621"/>
</workbook>
</file>

<file path=xl/calcChain.xml><?xml version="1.0" encoding="utf-8"?>
<calcChain xmlns="http://schemas.openxmlformats.org/spreadsheetml/2006/main">
  <c r="J162" i="63" l="1"/>
  <c r="H162" i="63"/>
  <c r="F162" i="63"/>
  <c r="D162" i="63"/>
  <c r="B162" i="63"/>
  <c r="AK9" i="40" l="1"/>
  <c r="AK10" i="40"/>
  <c r="AK8" i="40"/>
  <c r="M20" i="21"/>
  <c r="M21" i="21"/>
  <c r="M10" i="15"/>
  <c r="M9" i="15"/>
  <c r="BA27" i="25"/>
  <c r="BA26" i="25"/>
  <c r="BA25" i="25"/>
  <c r="BA24" i="25"/>
  <c r="BA23" i="25"/>
  <c r="BA22" i="25"/>
  <c r="BA21" i="25"/>
  <c r="BA20" i="25"/>
  <c r="BA19" i="25"/>
  <c r="BA18" i="25"/>
  <c r="BA17" i="25"/>
  <c r="BA16" i="25"/>
  <c r="BA15" i="25"/>
  <c r="BA14" i="25"/>
  <c r="BA13" i="25"/>
  <c r="BA12" i="25"/>
  <c r="BA11" i="25"/>
  <c r="BA10" i="25"/>
  <c r="BA9" i="25"/>
  <c r="BA8" i="25"/>
  <c r="AQ27" i="25"/>
  <c r="AQ26" i="25"/>
  <c r="N28" i="49"/>
  <c r="K46" i="65" l="1"/>
  <c r="I46" i="65"/>
  <c r="G46" i="65"/>
  <c r="I44" i="65"/>
  <c r="G44" i="65"/>
  <c r="K42" i="65"/>
  <c r="I42" i="65"/>
  <c r="G42" i="65"/>
  <c r="K41" i="65"/>
  <c r="I41" i="65"/>
  <c r="G41" i="65"/>
  <c r="K40" i="65"/>
  <c r="I40" i="65"/>
  <c r="G40" i="65"/>
  <c r="K38" i="65"/>
  <c r="I38" i="65"/>
  <c r="G38" i="65"/>
  <c r="K35" i="65"/>
  <c r="I35" i="65"/>
  <c r="G35" i="65"/>
  <c r="I33" i="65"/>
  <c r="G33" i="65"/>
  <c r="K32" i="65"/>
  <c r="I32" i="65"/>
  <c r="G32" i="65"/>
  <c r="K31" i="65"/>
  <c r="I31" i="65"/>
  <c r="G31" i="65"/>
  <c r="K30" i="65"/>
  <c r="I30" i="65"/>
  <c r="G30" i="65"/>
  <c r="K29" i="65"/>
  <c r="I29" i="65"/>
  <c r="G29" i="65"/>
  <c r="K27" i="65"/>
  <c r="I27" i="65"/>
  <c r="G27" i="65"/>
  <c r="G26" i="65"/>
  <c r="K25" i="65"/>
  <c r="I25" i="65"/>
  <c r="G25" i="65"/>
  <c r="K24" i="65"/>
  <c r="I24" i="65"/>
  <c r="G24" i="65"/>
  <c r="K22" i="65"/>
  <c r="I22" i="65"/>
  <c r="G22" i="65"/>
  <c r="K21" i="65"/>
  <c r="I21" i="65"/>
  <c r="G21" i="65"/>
  <c r="K19" i="65"/>
  <c r="I19" i="65"/>
  <c r="G19" i="65"/>
  <c r="K16" i="65"/>
  <c r="I16" i="65"/>
  <c r="G16" i="65"/>
  <c r="K15" i="65"/>
  <c r="I15" i="65"/>
  <c r="G15" i="65"/>
  <c r="K14" i="65"/>
  <c r="I14" i="65"/>
  <c r="G14" i="65"/>
  <c r="K13" i="65"/>
  <c r="I13" i="65"/>
  <c r="G13" i="65"/>
  <c r="K12" i="65"/>
  <c r="I12" i="65"/>
  <c r="G12" i="65"/>
  <c r="K11" i="65"/>
  <c r="I11" i="65"/>
  <c r="G11" i="65"/>
  <c r="K9" i="65"/>
  <c r="I9" i="65"/>
  <c r="G9" i="65"/>
  <c r="K8" i="65"/>
  <c r="I8" i="65"/>
  <c r="G8" i="65"/>
  <c r="K365" i="63" l="1"/>
  <c r="I365" i="63"/>
  <c r="G365" i="63"/>
  <c r="E365" i="63"/>
  <c r="C365" i="63"/>
  <c r="K353" i="63"/>
  <c r="I353" i="63"/>
  <c r="G353" i="63"/>
  <c r="E353" i="63"/>
  <c r="C353" i="63"/>
  <c r="K341" i="63"/>
  <c r="I341" i="63"/>
  <c r="G341" i="63"/>
  <c r="E341" i="63"/>
  <c r="C341" i="63"/>
  <c r="K336" i="63"/>
  <c r="I336" i="63"/>
  <c r="G336" i="63"/>
  <c r="E336" i="63"/>
  <c r="C336" i="63"/>
  <c r="K331" i="63"/>
  <c r="I331" i="63"/>
  <c r="G331" i="63"/>
  <c r="E331" i="63"/>
  <c r="C331" i="63"/>
  <c r="K326" i="63"/>
  <c r="I326" i="63"/>
  <c r="G326" i="63"/>
  <c r="E326" i="63"/>
  <c r="C326" i="63"/>
  <c r="K313" i="63"/>
  <c r="I313" i="63"/>
  <c r="G313" i="63"/>
  <c r="E313" i="63"/>
  <c r="C313" i="63"/>
  <c r="J305" i="63"/>
  <c r="H305" i="63"/>
  <c r="F305" i="63"/>
  <c r="D305" i="63"/>
  <c r="B305" i="63"/>
  <c r="K301" i="63"/>
  <c r="I301" i="63"/>
  <c r="G301" i="63"/>
  <c r="E301" i="63"/>
  <c r="C301" i="63"/>
  <c r="K289" i="63"/>
  <c r="I289" i="63"/>
  <c r="G289" i="63"/>
  <c r="E289" i="63"/>
  <c r="C289" i="63"/>
  <c r="K277" i="63"/>
  <c r="I277" i="63"/>
  <c r="G277" i="63"/>
  <c r="E277" i="63"/>
  <c r="C277" i="63"/>
  <c r="K265" i="63"/>
  <c r="I265" i="63"/>
  <c r="G265" i="63"/>
  <c r="E265" i="63"/>
  <c r="C265" i="63"/>
  <c r="J257" i="63"/>
  <c r="H257" i="63"/>
  <c r="F257" i="63"/>
  <c r="D257" i="63"/>
  <c r="B257" i="63"/>
  <c r="K253" i="63"/>
  <c r="I253" i="63"/>
  <c r="G253" i="63"/>
  <c r="E253" i="63"/>
  <c r="C252" i="63"/>
  <c r="C251" i="63"/>
  <c r="C250" i="63"/>
  <c r="K241" i="63"/>
  <c r="I241" i="63"/>
  <c r="G241" i="63"/>
  <c r="E241" i="63"/>
  <c r="C241" i="63"/>
  <c r="J233" i="63"/>
  <c r="H233" i="63"/>
  <c r="F233" i="63"/>
  <c r="D233" i="63"/>
  <c r="B233" i="63"/>
  <c r="J221" i="63"/>
  <c r="H221" i="63"/>
  <c r="F221" i="63"/>
  <c r="D221" i="63"/>
  <c r="B221" i="63"/>
  <c r="K217" i="63"/>
  <c r="I217" i="63"/>
  <c r="G217" i="63"/>
  <c r="E217" i="63"/>
  <c r="C217" i="63"/>
  <c r="K205" i="63"/>
  <c r="I205" i="63"/>
  <c r="G205" i="63"/>
  <c r="E205" i="63"/>
  <c r="C205" i="63"/>
  <c r="K193" i="63"/>
  <c r="I193" i="63"/>
  <c r="G193" i="63"/>
  <c r="E193" i="63"/>
  <c r="C193" i="63"/>
  <c r="K181" i="63"/>
  <c r="I181" i="63"/>
  <c r="G181" i="63"/>
  <c r="E181" i="63"/>
  <c r="C181" i="63"/>
  <c r="K158" i="63"/>
  <c r="I158" i="63"/>
  <c r="G158" i="63"/>
  <c r="E158" i="63"/>
  <c r="C158" i="63"/>
  <c r="J150" i="63"/>
  <c r="H150" i="63"/>
  <c r="F150" i="63"/>
  <c r="D150" i="63"/>
  <c r="B150" i="63"/>
  <c r="K146" i="63"/>
  <c r="I146" i="63"/>
  <c r="G146" i="63"/>
  <c r="E146" i="63"/>
  <c r="C146" i="63"/>
  <c r="K134" i="63"/>
  <c r="I134" i="63"/>
  <c r="G134" i="63"/>
  <c r="E134" i="63"/>
  <c r="C134" i="63"/>
  <c r="J126" i="63"/>
  <c r="H126" i="63"/>
  <c r="F126" i="63"/>
  <c r="D126" i="63"/>
  <c r="B126" i="63"/>
  <c r="G122" i="63"/>
  <c r="E122" i="63"/>
  <c r="C122" i="63"/>
  <c r="J114" i="63"/>
  <c r="H114" i="63"/>
  <c r="F114" i="63"/>
  <c r="D114" i="63"/>
  <c r="B114" i="63"/>
  <c r="K110" i="63"/>
  <c r="I110" i="63"/>
  <c r="G110" i="63"/>
  <c r="E110" i="63"/>
  <c r="C110" i="63"/>
  <c r="J102" i="63"/>
  <c r="H102" i="63"/>
  <c r="F102" i="63"/>
  <c r="D102" i="63"/>
  <c r="B102" i="63"/>
  <c r="K98" i="63"/>
  <c r="I98" i="63"/>
  <c r="G98" i="63"/>
  <c r="E98" i="63"/>
  <c r="C98" i="63"/>
  <c r="J90" i="63"/>
  <c r="H90" i="63"/>
  <c r="F90" i="63"/>
  <c r="D90" i="63"/>
  <c r="B90" i="63"/>
  <c r="K86" i="63"/>
  <c r="I86" i="63"/>
  <c r="G86" i="63"/>
  <c r="E86" i="63"/>
  <c r="C86" i="63"/>
  <c r="K74" i="63"/>
  <c r="I74" i="63"/>
  <c r="G74" i="63"/>
  <c r="E74" i="63"/>
  <c r="C74" i="63"/>
  <c r="K59" i="63"/>
  <c r="K62" i="63" s="1"/>
  <c r="F57" i="63"/>
  <c r="G59" i="63" s="1"/>
  <c r="G62" i="63" s="1"/>
  <c r="K49" i="63"/>
  <c r="I49" i="63"/>
  <c r="G49" i="63"/>
  <c r="E49" i="63"/>
  <c r="C49" i="63"/>
  <c r="K48" i="63"/>
  <c r="I48" i="63"/>
  <c r="G48" i="63"/>
  <c r="E48" i="63"/>
  <c r="C48" i="63"/>
  <c r="K47" i="63"/>
  <c r="I47" i="63"/>
  <c r="G47" i="63"/>
  <c r="E47" i="63"/>
  <c r="C47" i="63"/>
  <c r="J42" i="63"/>
  <c r="H42" i="63"/>
  <c r="F42" i="63"/>
  <c r="D42" i="63"/>
  <c r="B42" i="63"/>
  <c r="K37" i="63"/>
  <c r="I37" i="63"/>
  <c r="G37" i="63"/>
  <c r="E37" i="63"/>
  <c r="C37" i="63"/>
  <c r="K36" i="63"/>
  <c r="I36" i="63"/>
  <c r="G36" i="63"/>
  <c r="E36" i="63"/>
  <c r="C36" i="63"/>
  <c r="K35" i="63"/>
  <c r="I35" i="63"/>
  <c r="G35" i="63"/>
  <c r="E35" i="63"/>
  <c r="C35" i="63"/>
  <c r="J30" i="63"/>
  <c r="H30" i="63"/>
  <c r="F30" i="63"/>
  <c r="D30" i="63"/>
  <c r="B30" i="63"/>
  <c r="K25" i="63"/>
  <c r="I25" i="63"/>
  <c r="G25" i="63"/>
  <c r="E25" i="63"/>
  <c r="C25" i="63"/>
  <c r="K24" i="63"/>
  <c r="I24" i="63"/>
  <c r="G24" i="63"/>
  <c r="E24" i="63"/>
  <c r="C24" i="63"/>
  <c r="K23" i="63"/>
  <c r="I23" i="63"/>
  <c r="G23" i="63"/>
  <c r="E23" i="63"/>
  <c r="C23" i="63"/>
  <c r="K14" i="63"/>
  <c r="I14" i="63"/>
  <c r="G14" i="63"/>
  <c r="E14" i="63"/>
  <c r="C14" i="63"/>
  <c r="C26" i="63" l="1"/>
  <c r="G26" i="63"/>
  <c r="K26" i="63"/>
  <c r="C38" i="63"/>
  <c r="G38" i="63"/>
  <c r="K38" i="63"/>
  <c r="C50" i="63"/>
  <c r="G50" i="63"/>
  <c r="K50" i="63"/>
  <c r="E26" i="63"/>
  <c r="I26" i="63"/>
  <c r="E38" i="63"/>
  <c r="E50" i="63"/>
  <c r="I50" i="63"/>
  <c r="C253" i="63"/>
  <c r="I38" i="63"/>
  <c r="C420" i="56" l="1"/>
  <c r="C419" i="56"/>
  <c r="C418" i="56"/>
  <c r="E420" i="56"/>
  <c r="E419" i="56"/>
  <c r="E418" i="56"/>
  <c r="G419" i="56"/>
  <c r="G418" i="56"/>
  <c r="G420" i="56"/>
  <c r="I420" i="56"/>
  <c r="I419" i="56"/>
  <c r="I418" i="56"/>
  <c r="K420" i="56"/>
  <c r="K418" i="56"/>
  <c r="K421" i="56" s="1"/>
  <c r="K419" i="56"/>
  <c r="C464" i="56"/>
  <c r="C463" i="56"/>
  <c r="C462" i="56"/>
  <c r="C452" i="56"/>
  <c r="C454" i="56"/>
  <c r="C453" i="56"/>
  <c r="E464" i="56"/>
  <c r="E463" i="56"/>
  <c r="E462" i="56"/>
  <c r="E454" i="56"/>
  <c r="E453" i="56"/>
  <c r="E452" i="56"/>
  <c r="G454" i="56"/>
  <c r="G453" i="56"/>
  <c r="G452" i="56"/>
  <c r="G463" i="56"/>
  <c r="G462" i="56"/>
  <c r="I454" i="56"/>
  <c r="I453" i="56"/>
  <c r="I452" i="56"/>
  <c r="I463" i="56"/>
  <c r="I462" i="56"/>
  <c r="K464" i="56"/>
  <c r="K463" i="56"/>
  <c r="K462" i="56"/>
  <c r="K454" i="56"/>
  <c r="K453" i="56"/>
  <c r="K452" i="56"/>
  <c r="C409" i="56"/>
  <c r="C408" i="56"/>
  <c r="C407" i="56"/>
  <c r="E409" i="56"/>
  <c r="E408" i="56"/>
  <c r="E407" i="56"/>
  <c r="G409" i="56"/>
  <c r="G408" i="56"/>
  <c r="G407" i="56"/>
  <c r="I409" i="56"/>
  <c r="I408" i="56"/>
  <c r="I407" i="56"/>
  <c r="K409" i="56"/>
  <c r="K408" i="56"/>
  <c r="K407" i="56"/>
  <c r="C387" i="56"/>
  <c r="C385" i="56"/>
  <c r="C386" i="56"/>
  <c r="E387" i="56"/>
  <c r="E385" i="56"/>
  <c r="E386" i="56"/>
  <c r="G387" i="56"/>
  <c r="G385" i="56"/>
  <c r="G386" i="56"/>
  <c r="I387" i="56"/>
  <c r="I385" i="56"/>
  <c r="I386" i="56"/>
  <c r="K387" i="56"/>
  <c r="K385" i="56"/>
  <c r="K386" i="56"/>
  <c r="E276" i="56"/>
  <c r="K276" i="56"/>
  <c r="K275" i="56"/>
  <c r="K274" i="56"/>
  <c r="I276" i="56"/>
  <c r="I275" i="56"/>
  <c r="I274" i="56"/>
  <c r="G276" i="56"/>
  <c r="G275" i="56"/>
  <c r="G274" i="56"/>
  <c r="E275" i="56"/>
  <c r="E274" i="56"/>
  <c r="C276" i="56"/>
  <c r="C275" i="56"/>
  <c r="C274" i="56"/>
  <c r="C341" i="56"/>
  <c r="C340" i="56"/>
  <c r="C342" i="56"/>
  <c r="E342" i="56"/>
  <c r="E341" i="56"/>
  <c r="E340" i="56"/>
  <c r="G342" i="56"/>
  <c r="G341" i="56"/>
  <c r="G340" i="56"/>
  <c r="I342" i="56"/>
  <c r="I341" i="56"/>
  <c r="I340" i="56"/>
  <c r="K342" i="56"/>
  <c r="K341" i="56"/>
  <c r="K340" i="56"/>
  <c r="C252" i="56"/>
  <c r="C254" i="56"/>
  <c r="C253" i="56"/>
  <c r="E252" i="56"/>
  <c r="E253" i="56"/>
  <c r="E254" i="56"/>
  <c r="G252" i="56"/>
  <c r="G253" i="56"/>
  <c r="G254" i="56"/>
  <c r="I253" i="56"/>
  <c r="I252" i="56"/>
  <c r="I254" i="56"/>
  <c r="K254" i="56"/>
  <c r="K252" i="56"/>
  <c r="K253" i="56"/>
  <c r="C141" i="56"/>
  <c r="C140" i="56"/>
  <c r="C142" i="56"/>
  <c r="E141" i="56"/>
  <c r="E140" i="56"/>
  <c r="E142" i="56"/>
  <c r="G141" i="56"/>
  <c r="G142" i="56"/>
  <c r="G140" i="56"/>
  <c r="I142" i="56"/>
  <c r="I141" i="56"/>
  <c r="I140" i="56"/>
  <c r="K141" i="56"/>
  <c r="K142" i="56"/>
  <c r="K140" i="56"/>
  <c r="C109" i="56"/>
  <c r="C107" i="56"/>
  <c r="C108" i="56"/>
  <c r="E109" i="56"/>
  <c r="E107" i="56"/>
  <c r="E108" i="56"/>
  <c r="G109" i="56"/>
  <c r="G107" i="56"/>
  <c r="G108" i="56"/>
  <c r="I109" i="56"/>
  <c r="I107" i="56"/>
  <c r="I108" i="56"/>
  <c r="K109" i="56"/>
  <c r="K107" i="56"/>
  <c r="K108" i="56"/>
  <c r="C70" i="56"/>
  <c r="C72" i="56"/>
  <c r="C71" i="56"/>
  <c r="E70" i="56"/>
  <c r="E72" i="56"/>
  <c r="E71" i="56"/>
  <c r="G70" i="56"/>
  <c r="G72" i="56"/>
  <c r="G71" i="56"/>
  <c r="I70" i="56"/>
  <c r="I72" i="56"/>
  <c r="I71" i="56"/>
  <c r="K70" i="56"/>
  <c r="K72" i="56"/>
  <c r="K71" i="56"/>
  <c r="G73" i="56" l="1"/>
  <c r="K110" i="56"/>
  <c r="C110" i="56"/>
  <c r="G143" i="56"/>
  <c r="E143" i="56"/>
  <c r="E255" i="56"/>
  <c r="K343" i="56"/>
  <c r="G277" i="56"/>
  <c r="E388" i="56"/>
  <c r="I410" i="56"/>
  <c r="K456" i="56"/>
  <c r="C456" i="56"/>
  <c r="C421" i="56"/>
  <c r="I143" i="56"/>
  <c r="E343" i="56"/>
  <c r="K410" i="56"/>
  <c r="C410" i="56"/>
  <c r="G456" i="56"/>
  <c r="C465" i="56"/>
  <c r="I465" i="56"/>
  <c r="E110" i="56"/>
  <c r="G110" i="56"/>
  <c r="K143" i="56"/>
  <c r="K255" i="56"/>
  <c r="G343" i="56"/>
  <c r="E277" i="56"/>
  <c r="E73" i="56"/>
  <c r="I110" i="56"/>
  <c r="C143" i="56"/>
  <c r="C255" i="56"/>
  <c r="I343" i="56"/>
  <c r="C277" i="56"/>
  <c r="I277" i="56"/>
  <c r="K388" i="56"/>
  <c r="C388" i="56"/>
  <c r="G410" i="56"/>
  <c r="K465" i="56"/>
  <c r="G465" i="56"/>
  <c r="E465" i="56"/>
  <c r="I421" i="56"/>
  <c r="G421" i="56"/>
  <c r="I456" i="56"/>
  <c r="E456" i="56"/>
  <c r="I73" i="56"/>
  <c r="I255" i="56"/>
  <c r="G255" i="56"/>
  <c r="C343" i="56"/>
  <c r="G388" i="56"/>
  <c r="E421" i="56"/>
  <c r="K73" i="56"/>
  <c r="C73" i="56"/>
  <c r="K277" i="56"/>
  <c r="I388" i="56"/>
  <c r="E410" i="56"/>
  <c r="C14" i="56"/>
  <c r="C15" i="56"/>
  <c r="C13" i="56"/>
  <c r="E14" i="56"/>
  <c r="E15" i="56"/>
  <c r="E13" i="56"/>
  <c r="G14" i="56"/>
  <c r="G15" i="56"/>
  <c r="G13" i="56"/>
  <c r="I15" i="56"/>
  <c r="I14" i="56"/>
  <c r="I13" i="56"/>
  <c r="K14" i="56"/>
  <c r="K15" i="56"/>
  <c r="K13" i="56"/>
  <c r="K27" i="56"/>
  <c r="K26" i="56"/>
  <c r="K25" i="56"/>
  <c r="I27" i="56"/>
  <c r="I26" i="56"/>
  <c r="I25" i="56"/>
  <c r="G27" i="56"/>
  <c r="G26" i="56"/>
  <c r="G25" i="56"/>
  <c r="E27" i="56"/>
  <c r="E26" i="56"/>
  <c r="E25" i="56"/>
  <c r="C27" i="56"/>
  <c r="C26" i="56"/>
  <c r="C25" i="56"/>
  <c r="C474" i="56"/>
  <c r="C473" i="56"/>
  <c r="C475" i="56"/>
  <c r="E475" i="56"/>
  <c r="E473" i="56"/>
  <c r="E474" i="56"/>
  <c r="G473" i="56"/>
  <c r="G474" i="56"/>
  <c r="G475" i="56"/>
  <c r="K475" i="56"/>
  <c r="K474" i="56"/>
  <c r="K473" i="56"/>
  <c r="I475" i="56"/>
  <c r="I474" i="56"/>
  <c r="I473" i="56"/>
  <c r="C442" i="56"/>
  <c r="C441" i="56"/>
  <c r="C440" i="56"/>
  <c r="E442" i="56"/>
  <c r="E441" i="56"/>
  <c r="E440" i="56"/>
  <c r="G442" i="56"/>
  <c r="G441" i="56"/>
  <c r="G440" i="56"/>
  <c r="I442" i="56"/>
  <c r="I441" i="56"/>
  <c r="I440" i="56"/>
  <c r="K442" i="56"/>
  <c r="K441" i="56"/>
  <c r="K440" i="56"/>
  <c r="C431" i="56"/>
  <c r="C430" i="56"/>
  <c r="C429" i="56"/>
  <c r="E431" i="56"/>
  <c r="E430" i="56"/>
  <c r="E429" i="56"/>
  <c r="G431" i="56"/>
  <c r="G430" i="56"/>
  <c r="G429" i="56"/>
  <c r="I431" i="56"/>
  <c r="I430" i="56"/>
  <c r="I429" i="56"/>
  <c r="K431" i="56"/>
  <c r="K430" i="56"/>
  <c r="K429" i="56"/>
  <c r="C398" i="56"/>
  <c r="C397" i="56"/>
  <c r="C396" i="56"/>
  <c r="E398" i="56"/>
  <c r="E397" i="56"/>
  <c r="E396" i="56"/>
  <c r="G398" i="56"/>
  <c r="G397" i="56"/>
  <c r="G396" i="56"/>
  <c r="I398" i="56"/>
  <c r="I397" i="56"/>
  <c r="I396" i="56"/>
  <c r="K398" i="56"/>
  <c r="K397" i="56"/>
  <c r="K396" i="56"/>
  <c r="C376" i="56"/>
  <c r="C375" i="56"/>
  <c r="C374" i="56"/>
  <c r="E376" i="56"/>
  <c r="E375" i="56"/>
  <c r="E374" i="56"/>
  <c r="G376" i="56"/>
  <c r="G375" i="56"/>
  <c r="G374" i="56"/>
  <c r="I376" i="56"/>
  <c r="I375" i="56"/>
  <c r="I374" i="56"/>
  <c r="K376" i="56"/>
  <c r="K375" i="56"/>
  <c r="K374" i="56"/>
  <c r="C365" i="56"/>
  <c r="C364" i="56"/>
  <c r="C363" i="56"/>
  <c r="E365" i="56"/>
  <c r="E364" i="56"/>
  <c r="E363" i="56"/>
  <c r="G365" i="56"/>
  <c r="G364" i="56"/>
  <c r="G363" i="56"/>
  <c r="I365" i="56"/>
  <c r="I364" i="56"/>
  <c r="I363" i="56"/>
  <c r="K365" i="56"/>
  <c r="K364" i="56"/>
  <c r="K363" i="56"/>
  <c r="C354" i="56"/>
  <c r="C353" i="56"/>
  <c r="C352" i="56"/>
  <c r="E354" i="56"/>
  <c r="E353" i="56"/>
  <c r="E352" i="56"/>
  <c r="G354" i="56"/>
  <c r="G353" i="56"/>
  <c r="G352" i="56"/>
  <c r="I354" i="56"/>
  <c r="I353" i="56"/>
  <c r="I352" i="56"/>
  <c r="K354" i="56"/>
  <c r="K353" i="56"/>
  <c r="K352" i="56"/>
  <c r="C324" i="56"/>
  <c r="C323" i="56"/>
  <c r="C322" i="56"/>
  <c r="C331" i="56"/>
  <c r="C330" i="56"/>
  <c r="C329" i="56"/>
  <c r="C303" i="56"/>
  <c r="C302" i="56"/>
  <c r="C301" i="56"/>
  <c r="C296" i="56"/>
  <c r="C295" i="56"/>
  <c r="C294" i="56"/>
  <c r="C310" i="56"/>
  <c r="C309" i="56"/>
  <c r="C308" i="56"/>
  <c r="C317" i="56"/>
  <c r="C316" i="56"/>
  <c r="C315" i="56"/>
  <c r="E324" i="56"/>
  <c r="E323" i="56"/>
  <c r="E322" i="56"/>
  <c r="E331" i="56"/>
  <c r="E330" i="56"/>
  <c r="E329" i="56"/>
  <c r="E303" i="56"/>
  <c r="E302" i="56"/>
  <c r="E301" i="56"/>
  <c r="E296" i="56"/>
  <c r="E295" i="56"/>
  <c r="E294" i="56"/>
  <c r="E310" i="56"/>
  <c r="E309" i="56"/>
  <c r="E308" i="56"/>
  <c r="E317" i="56"/>
  <c r="E316" i="56"/>
  <c r="E315" i="56"/>
  <c r="G324" i="56"/>
  <c r="G323" i="56"/>
  <c r="G322" i="56"/>
  <c r="G331" i="56"/>
  <c r="G329" i="56"/>
  <c r="G330" i="56"/>
  <c r="G303" i="56"/>
  <c r="G302" i="56"/>
  <c r="G301" i="56"/>
  <c r="G296" i="56"/>
  <c r="G295" i="56"/>
  <c r="G294" i="56"/>
  <c r="G310" i="56"/>
  <c r="G309" i="56"/>
  <c r="G308" i="56"/>
  <c r="G317" i="56"/>
  <c r="G316" i="56"/>
  <c r="G315" i="56"/>
  <c r="I324" i="56"/>
  <c r="I323" i="56"/>
  <c r="I322" i="56"/>
  <c r="I331" i="56"/>
  <c r="I330" i="56"/>
  <c r="I329" i="56"/>
  <c r="I302" i="56"/>
  <c r="I301" i="56"/>
  <c r="I296" i="56"/>
  <c r="I295" i="56"/>
  <c r="I294" i="56"/>
  <c r="I310" i="56"/>
  <c r="I309" i="56"/>
  <c r="I308" i="56"/>
  <c r="I317" i="56"/>
  <c r="I316" i="56"/>
  <c r="I315" i="56"/>
  <c r="K331" i="56"/>
  <c r="K330" i="56"/>
  <c r="K329" i="56"/>
  <c r="K324" i="56"/>
  <c r="K323" i="56"/>
  <c r="K322" i="56"/>
  <c r="K302" i="56"/>
  <c r="K301" i="56"/>
  <c r="K296" i="56"/>
  <c r="K295" i="56"/>
  <c r="K294" i="56"/>
  <c r="K310" i="56"/>
  <c r="K309" i="56"/>
  <c r="K308" i="56"/>
  <c r="K317" i="56"/>
  <c r="K316" i="56"/>
  <c r="K315" i="56"/>
  <c r="C265" i="56"/>
  <c r="C264" i="56"/>
  <c r="C263" i="56"/>
  <c r="E265" i="56"/>
  <c r="E264" i="56"/>
  <c r="E263" i="56"/>
  <c r="G265" i="56"/>
  <c r="G264" i="56"/>
  <c r="G263" i="56"/>
  <c r="I265" i="56"/>
  <c r="I264" i="56"/>
  <c r="I263" i="56"/>
  <c r="K265" i="56"/>
  <c r="K264" i="56"/>
  <c r="K263" i="56"/>
  <c r="C243" i="56"/>
  <c r="C242" i="56"/>
  <c r="C241" i="56"/>
  <c r="E243" i="56"/>
  <c r="E242" i="56"/>
  <c r="E241" i="56"/>
  <c r="G243" i="56"/>
  <c r="G242" i="56"/>
  <c r="G241" i="56"/>
  <c r="I243" i="56"/>
  <c r="I242" i="56"/>
  <c r="I241" i="56"/>
  <c r="K242" i="56"/>
  <c r="K243" i="56"/>
  <c r="K241" i="56"/>
  <c r="K232" i="56"/>
  <c r="K231" i="56"/>
  <c r="K230" i="56"/>
  <c r="I232" i="56"/>
  <c r="I231" i="56"/>
  <c r="I230" i="56"/>
  <c r="G232" i="56"/>
  <c r="G231" i="56"/>
  <c r="G230" i="56"/>
  <c r="E232" i="56"/>
  <c r="E231" i="56"/>
  <c r="E230" i="56"/>
  <c r="C232" i="56"/>
  <c r="C231" i="56"/>
  <c r="C230" i="56"/>
  <c r="C221" i="56"/>
  <c r="C220" i="56"/>
  <c r="C219" i="56"/>
  <c r="C214" i="56"/>
  <c r="C213" i="56"/>
  <c r="C212" i="56"/>
  <c r="E221" i="56"/>
  <c r="E220" i="56"/>
  <c r="E219" i="56"/>
  <c r="E214" i="56"/>
  <c r="E213" i="56"/>
  <c r="E212" i="56"/>
  <c r="G221" i="56"/>
  <c r="G220" i="56"/>
  <c r="G219" i="56"/>
  <c r="G214" i="56"/>
  <c r="G213" i="56"/>
  <c r="G212" i="56"/>
  <c r="I214" i="56"/>
  <c r="I213" i="56"/>
  <c r="I221" i="56"/>
  <c r="I220" i="56"/>
  <c r="I219" i="56"/>
  <c r="I212" i="56"/>
  <c r="I215" i="56" s="1"/>
  <c r="K221" i="56"/>
  <c r="K220" i="56"/>
  <c r="K219" i="56"/>
  <c r="K214" i="56"/>
  <c r="K213" i="56"/>
  <c r="K212" i="56"/>
  <c r="K198" i="56"/>
  <c r="K197" i="56"/>
  <c r="K196" i="56"/>
  <c r="I198" i="56"/>
  <c r="I197" i="56"/>
  <c r="I196" i="56"/>
  <c r="G198" i="56"/>
  <c r="G197" i="56"/>
  <c r="G196" i="56"/>
  <c r="E198" i="56"/>
  <c r="E197" i="56"/>
  <c r="E196" i="56"/>
  <c r="C198" i="56"/>
  <c r="C197" i="56"/>
  <c r="C196" i="56"/>
  <c r="K190" i="56"/>
  <c r="K189" i="56"/>
  <c r="I191" i="56"/>
  <c r="I190" i="56"/>
  <c r="I189" i="56"/>
  <c r="G191" i="56"/>
  <c r="G190" i="56"/>
  <c r="G189" i="56"/>
  <c r="E190" i="56"/>
  <c r="E189" i="56"/>
  <c r="J182" i="56"/>
  <c r="H182" i="56"/>
  <c r="F182" i="56"/>
  <c r="D182" i="56"/>
  <c r="B182" i="56"/>
  <c r="G177" i="56"/>
  <c r="K177" i="56"/>
  <c r="K176" i="56"/>
  <c r="K175" i="56"/>
  <c r="K174" i="56"/>
  <c r="I176" i="56"/>
  <c r="I175" i="56"/>
  <c r="I174" i="56"/>
  <c r="G176" i="56"/>
  <c r="G175" i="56"/>
  <c r="G174" i="56"/>
  <c r="E177" i="56"/>
  <c r="E176" i="56"/>
  <c r="E175" i="56"/>
  <c r="E174" i="56"/>
  <c r="C177" i="56"/>
  <c r="C176" i="56"/>
  <c r="C175" i="56"/>
  <c r="C174" i="56"/>
  <c r="J169" i="56"/>
  <c r="H169" i="56"/>
  <c r="F169" i="56"/>
  <c r="D169" i="56"/>
  <c r="B169" i="56"/>
  <c r="H159" i="56"/>
  <c r="F159" i="56"/>
  <c r="D159" i="56"/>
  <c r="B159" i="56"/>
  <c r="C153" i="56"/>
  <c r="C152" i="56"/>
  <c r="C151" i="56"/>
  <c r="E153" i="56"/>
  <c r="E152" i="56"/>
  <c r="E151" i="56"/>
  <c r="G153" i="56"/>
  <c r="G152" i="56"/>
  <c r="G151" i="56"/>
  <c r="I153" i="56"/>
  <c r="I152" i="56"/>
  <c r="I151" i="56"/>
  <c r="K153" i="56"/>
  <c r="K152" i="56"/>
  <c r="K151" i="56"/>
  <c r="G154" i="56" l="1"/>
  <c r="K178" i="56"/>
  <c r="G192" i="56"/>
  <c r="C199" i="56"/>
  <c r="K199" i="56"/>
  <c r="E222" i="56"/>
  <c r="E233" i="56"/>
  <c r="K244" i="56"/>
  <c r="C244" i="56"/>
  <c r="E266" i="56"/>
  <c r="K297" i="56"/>
  <c r="K332" i="56"/>
  <c r="I304" i="56"/>
  <c r="G318" i="56"/>
  <c r="E297" i="56"/>
  <c r="C318" i="56"/>
  <c r="C332" i="56"/>
  <c r="G355" i="56"/>
  <c r="I366" i="56"/>
  <c r="K377" i="56"/>
  <c r="C377" i="56"/>
  <c r="E399" i="56"/>
  <c r="G432" i="56"/>
  <c r="I443" i="56"/>
  <c r="I476" i="56"/>
  <c r="I28" i="56"/>
  <c r="I177" i="56"/>
  <c r="E215" i="56"/>
  <c r="C233" i="56"/>
  <c r="K233" i="56"/>
  <c r="E244" i="56"/>
  <c r="G266" i="56"/>
  <c r="K311" i="56"/>
  <c r="K325" i="56"/>
  <c r="I297" i="56"/>
  <c r="I325" i="56"/>
  <c r="G304" i="56"/>
  <c r="E311" i="56"/>
  <c r="E325" i="56"/>
  <c r="C304" i="56"/>
  <c r="I355" i="56"/>
  <c r="K366" i="56"/>
  <c r="C366" i="56"/>
  <c r="E377" i="56"/>
  <c r="G399" i="56"/>
  <c r="I432" i="56"/>
  <c r="K443" i="56"/>
  <c r="C476" i="56"/>
  <c r="G28" i="56"/>
  <c r="I154" i="56"/>
  <c r="I199" i="56"/>
  <c r="E192" i="56"/>
  <c r="K192" i="56"/>
  <c r="I399" i="56"/>
  <c r="E28" i="56"/>
  <c r="K16" i="56"/>
  <c r="C16" i="56"/>
  <c r="K154" i="56"/>
  <c r="E178" i="56"/>
  <c r="G199" i="56"/>
  <c r="K222" i="56"/>
  <c r="C222" i="56"/>
  <c r="I266" i="56"/>
  <c r="K318" i="56"/>
  <c r="I311" i="56"/>
  <c r="G297" i="56"/>
  <c r="E318" i="56"/>
  <c r="E332" i="56"/>
  <c r="C297" i="56"/>
  <c r="C355" i="56"/>
  <c r="G377" i="56"/>
  <c r="K432" i="56"/>
  <c r="C432" i="56"/>
  <c r="E443" i="56"/>
  <c r="E476" i="56"/>
  <c r="E154" i="56"/>
  <c r="I192" i="56"/>
  <c r="E199" i="56"/>
  <c r="K215" i="56"/>
  <c r="G215" i="56"/>
  <c r="C215" i="56"/>
  <c r="G233" i="56"/>
  <c r="I244" i="56"/>
  <c r="K266" i="56"/>
  <c r="C266" i="56"/>
  <c r="K304" i="56"/>
  <c r="I318" i="56"/>
  <c r="G311" i="56"/>
  <c r="G325" i="56"/>
  <c r="E304" i="56"/>
  <c r="C311" i="56"/>
  <c r="C325" i="56"/>
  <c r="E355" i="56"/>
  <c r="G366" i="56"/>
  <c r="I377" i="56"/>
  <c r="K399" i="56"/>
  <c r="C399" i="56"/>
  <c r="E432" i="56"/>
  <c r="G443" i="56"/>
  <c r="K476" i="56"/>
  <c r="C28" i="56"/>
  <c r="K28" i="56"/>
  <c r="E16" i="56"/>
  <c r="G476" i="56"/>
  <c r="G16" i="56"/>
  <c r="G332" i="56"/>
  <c r="C443" i="56"/>
  <c r="I16" i="56"/>
  <c r="C154" i="56"/>
  <c r="C178" i="56"/>
  <c r="G178" i="56"/>
  <c r="I222" i="56"/>
  <c r="G222" i="56"/>
  <c r="I233" i="56"/>
  <c r="G244" i="56"/>
  <c r="I332" i="56"/>
  <c r="K355" i="56"/>
  <c r="E366" i="56"/>
  <c r="K131" i="56"/>
  <c r="K130" i="56"/>
  <c r="K129" i="56"/>
  <c r="I131" i="56"/>
  <c r="I130" i="56"/>
  <c r="I129" i="56"/>
  <c r="G131" i="56"/>
  <c r="G130" i="56"/>
  <c r="G129" i="56"/>
  <c r="E131" i="56"/>
  <c r="E130" i="56"/>
  <c r="E129" i="56"/>
  <c r="E132" i="56" s="1"/>
  <c r="C131" i="56"/>
  <c r="C130" i="56"/>
  <c r="C129" i="56"/>
  <c r="K120" i="56"/>
  <c r="K119" i="56"/>
  <c r="K118" i="56"/>
  <c r="I120" i="56"/>
  <c r="I119" i="56"/>
  <c r="I118" i="56"/>
  <c r="G120" i="56"/>
  <c r="G119" i="56"/>
  <c r="G118" i="56"/>
  <c r="G121" i="56" s="1"/>
  <c r="E119" i="56"/>
  <c r="E120" i="56"/>
  <c r="E118" i="56"/>
  <c r="C120" i="56"/>
  <c r="C119" i="56"/>
  <c r="C118" i="56"/>
  <c r="J99" i="56"/>
  <c r="H99" i="56"/>
  <c r="F99" i="56"/>
  <c r="D99" i="56"/>
  <c r="B99" i="56"/>
  <c r="G92" i="56"/>
  <c r="G91" i="56"/>
  <c r="G90" i="56"/>
  <c r="E92" i="56"/>
  <c r="E91" i="56"/>
  <c r="E90" i="56"/>
  <c r="C92" i="56"/>
  <c r="C91" i="56"/>
  <c r="C90" i="56"/>
  <c r="C93" i="56" s="1"/>
  <c r="K92" i="56"/>
  <c r="K91" i="56"/>
  <c r="K90" i="56"/>
  <c r="I92" i="56"/>
  <c r="I91" i="56"/>
  <c r="I90" i="56"/>
  <c r="E60" i="56"/>
  <c r="E59" i="56"/>
  <c r="E58" i="56"/>
  <c r="C60" i="56"/>
  <c r="C59" i="56"/>
  <c r="C58" i="56"/>
  <c r="C61" i="56" s="1"/>
  <c r="K60" i="56"/>
  <c r="K59" i="56"/>
  <c r="K58" i="56"/>
  <c r="I60" i="56"/>
  <c r="I59" i="56"/>
  <c r="I58" i="56"/>
  <c r="G60" i="56"/>
  <c r="G59" i="56"/>
  <c r="G58" i="56"/>
  <c r="C49" i="56"/>
  <c r="C48" i="56"/>
  <c r="C47" i="56"/>
  <c r="C50" i="56" s="1"/>
  <c r="E49" i="56"/>
  <c r="E48" i="56"/>
  <c r="E47" i="56"/>
  <c r="G49" i="56"/>
  <c r="G48" i="56"/>
  <c r="G47" i="56"/>
  <c r="I49" i="56"/>
  <c r="I48" i="56"/>
  <c r="I47" i="56"/>
  <c r="K49" i="56"/>
  <c r="K48" i="56"/>
  <c r="K47" i="56"/>
  <c r="K50" i="56" s="1"/>
  <c r="C38" i="56"/>
  <c r="C37" i="56"/>
  <c r="C36" i="56"/>
  <c r="E37" i="56"/>
  <c r="E38" i="56"/>
  <c r="E36" i="56"/>
  <c r="G36" i="56"/>
  <c r="G38" i="56"/>
  <c r="G37" i="56"/>
  <c r="I38" i="56"/>
  <c r="I37" i="56"/>
  <c r="I36" i="56"/>
  <c r="I39" i="56" s="1"/>
  <c r="K38" i="56"/>
  <c r="K37" i="56"/>
  <c r="K36" i="56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8" i="29"/>
  <c r="D27" i="26"/>
  <c r="K39" i="56" l="1"/>
  <c r="G39" i="56"/>
  <c r="C39" i="56"/>
  <c r="E50" i="56"/>
  <c r="K61" i="56"/>
  <c r="K93" i="56"/>
  <c r="E121" i="56"/>
  <c r="C132" i="56"/>
  <c r="K132" i="56"/>
  <c r="E39" i="56"/>
  <c r="G50" i="56"/>
  <c r="I61" i="56"/>
  <c r="I93" i="56"/>
  <c r="G93" i="56"/>
  <c r="C121" i="56"/>
  <c r="K121" i="56"/>
  <c r="I132" i="56"/>
  <c r="I50" i="56"/>
  <c r="G61" i="56"/>
  <c r="E61" i="56"/>
  <c r="E93" i="56"/>
  <c r="I121" i="56"/>
  <c r="G132" i="56"/>
  <c r="M27" i="11"/>
  <c r="C28" i="43"/>
  <c r="C28" i="55" l="1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W28" i="54"/>
  <c r="M28" i="54"/>
  <c r="C28" i="54"/>
  <c r="W27" i="54"/>
  <c r="M27" i="54"/>
  <c r="C27" i="54"/>
  <c r="W26" i="54"/>
  <c r="M26" i="54"/>
  <c r="C26" i="54"/>
  <c r="W25" i="54"/>
  <c r="M25" i="54"/>
  <c r="C25" i="54"/>
  <c r="W24" i="54"/>
  <c r="M24" i="54"/>
  <c r="C24" i="54"/>
  <c r="W23" i="54"/>
  <c r="M23" i="54"/>
  <c r="C23" i="54"/>
  <c r="W22" i="54"/>
  <c r="M22" i="54"/>
  <c r="C22" i="54"/>
  <c r="W21" i="54"/>
  <c r="M21" i="54"/>
  <c r="C21" i="54"/>
  <c r="W20" i="54"/>
  <c r="M20" i="54"/>
  <c r="C20" i="54"/>
  <c r="W19" i="54"/>
  <c r="M19" i="54"/>
  <c r="C19" i="54"/>
  <c r="W18" i="54"/>
  <c r="M18" i="54"/>
  <c r="C18" i="54"/>
  <c r="W17" i="54"/>
  <c r="M17" i="54"/>
  <c r="C17" i="54"/>
  <c r="W16" i="54"/>
  <c r="M16" i="54"/>
  <c r="C16" i="54"/>
  <c r="W15" i="54"/>
  <c r="M15" i="54"/>
  <c r="C15" i="54"/>
  <c r="W14" i="54"/>
  <c r="M14" i="54"/>
  <c r="C14" i="54"/>
  <c r="W13" i="54"/>
  <c r="M13" i="54"/>
  <c r="C13" i="54"/>
  <c r="W12" i="54"/>
  <c r="M12" i="54"/>
  <c r="C12" i="54"/>
  <c r="W11" i="54"/>
  <c r="M11" i="54"/>
  <c r="C11" i="54"/>
  <c r="W10" i="54"/>
  <c r="M10" i="54"/>
  <c r="C10" i="54"/>
  <c r="W9" i="54"/>
  <c r="M9" i="54"/>
  <c r="C9" i="54"/>
  <c r="W8" i="54"/>
  <c r="M8" i="54"/>
  <c r="C8" i="54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Z28" i="50"/>
  <c r="O28" i="50"/>
  <c r="D28" i="50"/>
  <c r="Z27" i="50"/>
  <c r="O27" i="50"/>
  <c r="D27" i="50"/>
  <c r="Z26" i="50"/>
  <c r="O26" i="50"/>
  <c r="D26" i="50"/>
  <c r="Z25" i="50"/>
  <c r="O25" i="50"/>
  <c r="D25" i="50"/>
  <c r="Z24" i="50"/>
  <c r="O24" i="50"/>
  <c r="D24" i="50"/>
  <c r="Z23" i="50"/>
  <c r="O23" i="50"/>
  <c r="D23" i="50"/>
  <c r="Z22" i="50"/>
  <c r="O22" i="50"/>
  <c r="D22" i="50"/>
  <c r="Z21" i="50"/>
  <c r="O21" i="50"/>
  <c r="D21" i="50"/>
  <c r="Z20" i="50"/>
  <c r="O20" i="50"/>
  <c r="D20" i="50"/>
  <c r="Z19" i="50"/>
  <c r="O19" i="50"/>
  <c r="D19" i="50"/>
  <c r="Z18" i="50"/>
  <c r="O18" i="50"/>
  <c r="D18" i="50"/>
  <c r="Z17" i="50"/>
  <c r="O17" i="50"/>
  <c r="D17" i="50"/>
  <c r="Z16" i="50"/>
  <c r="O16" i="50"/>
  <c r="D16" i="50"/>
  <c r="Z15" i="50"/>
  <c r="O15" i="50"/>
  <c r="D15" i="50"/>
  <c r="Z14" i="50"/>
  <c r="O14" i="50"/>
  <c r="D14" i="50"/>
  <c r="Z13" i="50"/>
  <c r="O13" i="50"/>
  <c r="D13" i="50"/>
  <c r="Z12" i="50"/>
  <c r="O12" i="50"/>
  <c r="D12" i="50"/>
  <c r="Z11" i="50"/>
  <c r="O11" i="50"/>
  <c r="D11" i="50"/>
  <c r="Z10" i="50"/>
  <c r="O10" i="50"/>
  <c r="D10" i="50"/>
  <c r="Z9" i="50"/>
  <c r="O9" i="50"/>
  <c r="D9" i="50"/>
  <c r="Z8" i="50"/>
  <c r="O8" i="50"/>
  <c r="D8" i="50"/>
  <c r="N27" i="49"/>
  <c r="C27" i="49"/>
  <c r="N26" i="49"/>
  <c r="C26" i="49"/>
  <c r="N25" i="49"/>
  <c r="C25" i="49"/>
  <c r="N24" i="49"/>
  <c r="C24" i="49"/>
  <c r="N23" i="49"/>
  <c r="C23" i="49"/>
  <c r="N22" i="49"/>
  <c r="C22" i="49"/>
  <c r="N21" i="49"/>
  <c r="C21" i="49"/>
  <c r="N20" i="49"/>
  <c r="C20" i="49"/>
  <c r="N19" i="49"/>
  <c r="C19" i="49"/>
  <c r="N18" i="49"/>
  <c r="C18" i="49"/>
  <c r="N17" i="49"/>
  <c r="C17" i="49"/>
  <c r="N16" i="49"/>
  <c r="C16" i="49"/>
  <c r="N15" i="49"/>
  <c r="C15" i="49"/>
  <c r="N14" i="49"/>
  <c r="C14" i="49"/>
  <c r="N13" i="49"/>
  <c r="C13" i="49"/>
  <c r="N12" i="49"/>
  <c r="C12" i="49"/>
  <c r="N11" i="49"/>
  <c r="C11" i="49"/>
  <c r="N10" i="49"/>
  <c r="C10" i="49"/>
  <c r="N9" i="49"/>
  <c r="C9" i="49"/>
  <c r="N8" i="49"/>
  <c r="C8" i="49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28" i="47"/>
  <c r="C27" i="47"/>
  <c r="C26" i="47"/>
  <c r="C25" i="47"/>
  <c r="C24" i="47"/>
  <c r="C23" i="47"/>
  <c r="C22" i="47"/>
  <c r="C21" i="47"/>
  <c r="C20" i="47"/>
  <c r="C19" i="47"/>
  <c r="C18" i="47"/>
  <c r="C17" i="47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AK28" i="40"/>
  <c r="Z28" i="40"/>
  <c r="O28" i="40"/>
  <c r="D28" i="40"/>
  <c r="AK27" i="40"/>
  <c r="Z27" i="40"/>
  <c r="O27" i="40"/>
  <c r="D27" i="40"/>
  <c r="AK26" i="40"/>
  <c r="Z26" i="40"/>
  <c r="O26" i="40"/>
  <c r="D26" i="40"/>
  <c r="AK25" i="40"/>
  <c r="Z25" i="40"/>
  <c r="O25" i="40"/>
  <c r="D25" i="40"/>
  <c r="AK24" i="40"/>
  <c r="Z24" i="40"/>
  <c r="O24" i="40"/>
  <c r="D24" i="40"/>
  <c r="AK23" i="40"/>
  <c r="Z23" i="40"/>
  <c r="O23" i="40"/>
  <c r="D23" i="40"/>
  <c r="AK22" i="40"/>
  <c r="Z22" i="40"/>
  <c r="O22" i="40"/>
  <c r="D22" i="40"/>
  <c r="AK21" i="40"/>
  <c r="Z21" i="40"/>
  <c r="O21" i="40"/>
  <c r="D21" i="40"/>
  <c r="AK20" i="40"/>
  <c r="Z20" i="40"/>
  <c r="O20" i="40"/>
  <c r="D20" i="40"/>
  <c r="AK19" i="40"/>
  <c r="Z19" i="40"/>
  <c r="O19" i="40"/>
  <c r="D19" i="40"/>
  <c r="AK18" i="40"/>
  <c r="Z18" i="40"/>
  <c r="O18" i="40"/>
  <c r="D18" i="40"/>
  <c r="AK17" i="40"/>
  <c r="Z17" i="40"/>
  <c r="O17" i="40"/>
  <c r="D17" i="40"/>
  <c r="AK16" i="40"/>
  <c r="Z16" i="40"/>
  <c r="O16" i="40"/>
  <c r="D16" i="40"/>
  <c r="AK15" i="40"/>
  <c r="Z15" i="40"/>
  <c r="O15" i="40"/>
  <c r="D15" i="40"/>
  <c r="AK14" i="40"/>
  <c r="Z14" i="40"/>
  <c r="O14" i="40"/>
  <c r="D14" i="40"/>
  <c r="AK13" i="40"/>
  <c r="Z13" i="40"/>
  <c r="O13" i="40"/>
  <c r="D13" i="40"/>
  <c r="AK12" i="40"/>
  <c r="Z12" i="40"/>
  <c r="O12" i="40"/>
  <c r="D12" i="40"/>
  <c r="AK11" i="40"/>
  <c r="Z11" i="40"/>
  <c r="O11" i="40"/>
  <c r="D11" i="40"/>
  <c r="Z10" i="40"/>
  <c r="O10" i="40"/>
  <c r="D10" i="40"/>
  <c r="Z9" i="40"/>
  <c r="O9" i="40"/>
  <c r="D9" i="40"/>
  <c r="Z8" i="40"/>
  <c r="O8" i="40"/>
  <c r="D8" i="40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M27" i="7" l="1"/>
  <c r="C27" i="7"/>
  <c r="C27" i="11"/>
  <c r="M13" i="15"/>
  <c r="AG27" i="25"/>
  <c r="W27" i="25"/>
  <c r="M27" i="25"/>
  <c r="C27" i="25"/>
  <c r="O28" i="28"/>
  <c r="D28" i="28"/>
  <c r="O27" i="28"/>
  <c r="D27" i="28"/>
  <c r="O26" i="28"/>
  <c r="D26" i="28"/>
  <c r="O25" i="28"/>
  <c r="D25" i="28"/>
  <c r="O24" i="28"/>
  <c r="D24" i="28"/>
  <c r="O23" i="28"/>
  <c r="D23" i="28"/>
  <c r="O22" i="28"/>
  <c r="D22" i="28"/>
  <c r="O21" i="28"/>
  <c r="D21" i="28"/>
  <c r="O20" i="28"/>
  <c r="D20" i="28"/>
  <c r="O19" i="28"/>
  <c r="D19" i="28"/>
  <c r="O18" i="28"/>
  <c r="D18" i="28"/>
  <c r="O17" i="28"/>
  <c r="D17" i="28"/>
  <c r="O16" i="28"/>
  <c r="D16" i="28"/>
  <c r="O15" i="28"/>
  <c r="D15" i="28"/>
  <c r="O14" i="28"/>
  <c r="D14" i="28"/>
  <c r="O13" i="28"/>
  <c r="D13" i="28"/>
  <c r="O12" i="28"/>
  <c r="D12" i="28"/>
  <c r="O11" i="28"/>
  <c r="D11" i="28"/>
  <c r="O10" i="28"/>
  <c r="D10" i="28"/>
  <c r="O8" i="28"/>
  <c r="D8" i="28"/>
  <c r="M18" i="9"/>
  <c r="M17" i="9"/>
  <c r="M16" i="9"/>
  <c r="M15" i="9"/>
  <c r="M14" i="9"/>
  <c r="M13" i="9"/>
  <c r="M12" i="9"/>
  <c r="M11" i="9"/>
  <c r="M10" i="9"/>
  <c r="M9" i="9"/>
  <c r="M8" i="9"/>
  <c r="N15" i="26"/>
  <c r="N14" i="26"/>
  <c r="N13" i="26"/>
  <c r="N12" i="26"/>
  <c r="N11" i="26"/>
  <c r="N10" i="26"/>
  <c r="N9" i="26"/>
  <c r="N8" i="26"/>
  <c r="M27" i="21"/>
  <c r="M26" i="21"/>
  <c r="D27" i="27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AQ25" i="25"/>
  <c r="AQ24" i="25"/>
  <c r="AQ23" i="25"/>
  <c r="AQ22" i="25"/>
  <c r="AQ21" i="25"/>
  <c r="AQ20" i="25"/>
  <c r="AQ19" i="25"/>
  <c r="AQ18" i="25"/>
  <c r="AQ17" i="25"/>
  <c r="AQ16" i="25"/>
  <c r="AQ15" i="25"/>
  <c r="AQ14" i="25"/>
  <c r="AQ13" i="25"/>
  <c r="AQ12" i="25"/>
  <c r="AQ11" i="25"/>
  <c r="AQ10" i="25"/>
  <c r="AQ9" i="25"/>
  <c r="AQ8" i="25"/>
  <c r="AG26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G8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M26" i="25"/>
  <c r="C26" i="25"/>
  <c r="M25" i="25"/>
  <c r="C25" i="25"/>
  <c r="M24" i="25"/>
  <c r="C24" i="25"/>
  <c r="M23" i="25"/>
  <c r="C23" i="25"/>
  <c r="M22" i="25"/>
  <c r="C22" i="25"/>
  <c r="M21" i="25"/>
  <c r="C21" i="25"/>
  <c r="M20" i="25"/>
  <c r="C20" i="25"/>
  <c r="M19" i="25"/>
  <c r="C19" i="25"/>
  <c r="M18" i="25"/>
  <c r="C18" i="25"/>
  <c r="M17" i="25"/>
  <c r="C17" i="25"/>
  <c r="M16" i="25"/>
  <c r="C16" i="25"/>
  <c r="M15" i="25"/>
  <c r="C15" i="25"/>
  <c r="M14" i="25"/>
  <c r="C14" i="25"/>
  <c r="M13" i="25"/>
  <c r="C13" i="25"/>
  <c r="M12" i="25"/>
  <c r="C12" i="25"/>
  <c r="M11" i="25"/>
  <c r="C11" i="25"/>
  <c r="M10" i="25"/>
  <c r="C10" i="25"/>
  <c r="M9" i="25"/>
  <c r="C9" i="25"/>
  <c r="M8" i="25"/>
  <c r="C8" i="25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X27" i="23"/>
  <c r="X26" i="23"/>
  <c r="X25" i="23"/>
  <c r="X24" i="23"/>
  <c r="X23" i="23"/>
  <c r="X22" i="23"/>
  <c r="X21" i="23"/>
  <c r="X20" i="23"/>
  <c r="X19" i="23"/>
  <c r="X18" i="23"/>
  <c r="X17" i="23"/>
  <c r="X16" i="23"/>
  <c r="X15" i="23"/>
  <c r="X14" i="23"/>
  <c r="X13" i="23"/>
  <c r="X12" i="23"/>
  <c r="X11" i="23"/>
  <c r="X10" i="23"/>
  <c r="X9" i="23"/>
  <c r="X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M25" i="21"/>
  <c r="M24" i="21"/>
  <c r="M23" i="21"/>
  <c r="M22" i="21"/>
  <c r="M18" i="21"/>
  <c r="M17" i="21"/>
  <c r="M16" i="21"/>
  <c r="M15" i="21"/>
  <c r="M14" i="21"/>
  <c r="M13" i="21"/>
  <c r="M12" i="21"/>
  <c r="M11" i="21"/>
  <c r="M10" i="21"/>
  <c r="M9" i="21"/>
  <c r="M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8" i="21"/>
  <c r="C27" i="21"/>
  <c r="C26" i="21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M12" i="15"/>
  <c r="M11" i="15"/>
  <c r="M8" i="15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M26" i="11"/>
  <c r="C26" i="11"/>
  <c r="M25" i="11"/>
  <c r="C25" i="11"/>
  <c r="M24" i="11"/>
  <c r="C24" i="11"/>
  <c r="M23" i="11"/>
  <c r="C23" i="11"/>
  <c r="M22" i="11"/>
  <c r="C22" i="11"/>
  <c r="M21" i="11"/>
  <c r="C21" i="11"/>
  <c r="M20" i="11"/>
  <c r="C20" i="11"/>
  <c r="M19" i="11"/>
  <c r="C19" i="11"/>
  <c r="M18" i="11"/>
  <c r="C18" i="11"/>
  <c r="M17" i="11"/>
  <c r="C17" i="11"/>
  <c r="M16" i="11"/>
  <c r="C16" i="11"/>
  <c r="M15" i="11"/>
  <c r="C15" i="11"/>
  <c r="M14" i="11"/>
  <c r="C14" i="11"/>
  <c r="M13" i="11"/>
  <c r="C13" i="11"/>
  <c r="M12" i="11"/>
  <c r="C12" i="11"/>
  <c r="M11" i="11"/>
  <c r="C11" i="11"/>
  <c r="M10" i="11"/>
  <c r="C10" i="11"/>
  <c r="M9" i="11"/>
  <c r="C9" i="11"/>
  <c r="M8" i="11"/>
  <c r="C8" i="11"/>
  <c r="C24" i="8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M26" i="7"/>
  <c r="C26" i="7"/>
  <c r="M25" i="7"/>
  <c r="C25" i="7"/>
  <c r="M24" i="7"/>
  <c r="C24" i="7"/>
  <c r="M23" i="7"/>
  <c r="C23" i="7"/>
  <c r="M22" i="7"/>
  <c r="C22" i="7"/>
  <c r="M21" i="7"/>
  <c r="C21" i="7"/>
  <c r="M20" i="7"/>
  <c r="C20" i="7"/>
  <c r="M19" i="7"/>
  <c r="C19" i="7"/>
  <c r="M18" i="7"/>
  <c r="C18" i="7"/>
  <c r="M17" i="7"/>
  <c r="C17" i="7"/>
  <c r="M16" i="7"/>
  <c r="C16" i="7"/>
  <c r="M15" i="7"/>
  <c r="C15" i="7"/>
  <c r="M14" i="7"/>
  <c r="C14" i="7"/>
  <c r="M13" i="7"/>
  <c r="C13" i="7"/>
  <c r="M12" i="7"/>
  <c r="C12" i="7"/>
  <c r="M11" i="7"/>
  <c r="C11" i="7"/>
  <c r="M10" i="7"/>
  <c r="C10" i="7"/>
  <c r="M9" i="7"/>
  <c r="C9" i="7"/>
  <c r="M8" i="7"/>
  <c r="C8" i="7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M19" i="21" l="1"/>
</calcChain>
</file>

<file path=xl/comments1.xml><?xml version="1.0" encoding="utf-8"?>
<comments xmlns="http://schemas.openxmlformats.org/spreadsheetml/2006/main">
  <authors>
    <author>dpolyak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dpolyak:</t>
        </r>
        <r>
          <rPr>
            <sz val="8"/>
            <color indexed="81"/>
            <rFont val="Tahoma"/>
            <family val="2"/>
          </rPr>
          <t xml:space="preserve">
this does not include China which does produce FeV but we do not know production numbers.</t>
        </r>
      </text>
    </comment>
  </commentList>
</comments>
</file>

<file path=xl/comments2.xml><?xml version="1.0" encoding="utf-8"?>
<comments xmlns="http://schemas.openxmlformats.org/spreadsheetml/2006/main">
  <authors>
    <author>JJ Barry</author>
  </authors>
  <commentList>
    <comment ref="G9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JJ Barry:</t>
        </r>
        <r>
          <rPr>
            <sz val="8"/>
            <color indexed="81"/>
            <rFont val="Tahoma"/>
            <family val="2"/>
          </rPr>
          <t xml:space="preserve">
One of only 6 countries that are leading producers of at least one commodity</t>
        </r>
      </text>
    </comment>
  </commentList>
</comments>
</file>

<file path=xl/sharedStrings.xml><?xml version="1.0" encoding="utf-8"?>
<sst xmlns="http://schemas.openxmlformats.org/spreadsheetml/2006/main" count="9257" uniqueCount="671">
  <si>
    <t>U.S. Geological Survey</t>
  </si>
  <si>
    <t>Thousand metric tons</t>
  </si>
  <si>
    <t>Commodity Flow</t>
  </si>
  <si>
    <t>Country</t>
  </si>
  <si>
    <t>2007</t>
  </si>
  <si>
    <t>2008</t>
  </si>
  <si>
    <t>2009</t>
  </si>
  <si>
    <t>2010</t>
  </si>
  <si>
    <t>Mine production</t>
  </si>
  <si>
    <t>Refined production</t>
  </si>
  <si>
    <t>Antimony</t>
  </si>
  <si>
    <t>Barite</t>
  </si>
  <si>
    <t>Bismuth</t>
  </si>
  <si>
    <t>Boron</t>
  </si>
  <si>
    <t>Bromine</t>
  </si>
  <si>
    <t>Cobalt</t>
  </si>
  <si>
    <t>Copper</t>
  </si>
  <si>
    <t>Feldspar</t>
  </si>
  <si>
    <t>Fluorspar</t>
  </si>
  <si>
    <t>Gallium</t>
  </si>
  <si>
    <t>Germanium</t>
  </si>
  <si>
    <t>Gold</t>
  </si>
  <si>
    <t>China</t>
  </si>
  <si>
    <t>Bolivia</t>
  </si>
  <si>
    <t>Russia</t>
  </si>
  <si>
    <t>World</t>
  </si>
  <si>
    <t>Diversity of supply</t>
  </si>
  <si>
    <t>Australia</t>
  </si>
  <si>
    <t>Brazil</t>
  </si>
  <si>
    <t>Japan</t>
  </si>
  <si>
    <t>Congo-K</t>
  </si>
  <si>
    <t>1 st</t>
  </si>
  <si>
    <t>2nd</t>
  </si>
  <si>
    <t>3rd</t>
  </si>
  <si>
    <t>South Africa</t>
  </si>
  <si>
    <t>Zaire</t>
  </si>
  <si>
    <t>Zambia</t>
  </si>
  <si>
    <t>USSR</t>
  </si>
  <si>
    <t>Canada</t>
  </si>
  <si>
    <t>Finland</t>
  </si>
  <si>
    <t>Cobalt Production</t>
  </si>
  <si>
    <t>Zirconium Production</t>
  </si>
  <si>
    <t>Ukraine</t>
  </si>
  <si>
    <t>Zinc Production</t>
  </si>
  <si>
    <t>Peru</t>
  </si>
  <si>
    <t>Zinc Smelter Production</t>
  </si>
  <si>
    <t>Smelter production</t>
  </si>
  <si>
    <t>Tungsten Concentrate Production</t>
  </si>
  <si>
    <t>Austria</t>
  </si>
  <si>
    <t>India</t>
  </si>
  <si>
    <t>Malaysia</t>
  </si>
  <si>
    <t>Thailand</t>
  </si>
  <si>
    <t>Yttrium Production</t>
  </si>
  <si>
    <t>Tin Production</t>
  </si>
  <si>
    <t>Tin Smelter Production</t>
  </si>
  <si>
    <t>Indonesia</t>
  </si>
  <si>
    <t>Tellurium Refinery Production</t>
  </si>
  <si>
    <t>Germany</t>
  </si>
  <si>
    <t>Belgium</t>
  </si>
  <si>
    <t>Tantalum Production</t>
  </si>
  <si>
    <t>Congo</t>
  </si>
  <si>
    <t>Nigeria</t>
  </si>
  <si>
    <t>Mozambique</t>
  </si>
  <si>
    <t>Rwanda</t>
  </si>
  <si>
    <t>Ferroniobium Production (mt, Nb Content)</t>
  </si>
  <si>
    <t>Niobium Production</t>
  </si>
  <si>
    <t>-</t>
  </si>
  <si>
    <t>Zimbabwe</t>
  </si>
  <si>
    <t>Ethiopia</t>
  </si>
  <si>
    <t>Sulfur Production</t>
  </si>
  <si>
    <t>Strontium Production</t>
  </si>
  <si>
    <t>Turkey</t>
  </si>
  <si>
    <t>Spain</t>
  </si>
  <si>
    <t>Mexico</t>
  </si>
  <si>
    <t>Iran</t>
  </si>
  <si>
    <t>Silver Production</t>
  </si>
  <si>
    <t>Poland</t>
  </si>
  <si>
    <t>Rhenium Production</t>
  </si>
  <si>
    <t>Chile</t>
  </si>
  <si>
    <t>Kazakhstan</t>
  </si>
  <si>
    <t>Rare Earths Production</t>
  </si>
  <si>
    <t>Kyrgyzstan</t>
  </si>
  <si>
    <t>Fmr Sov Rep</t>
  </si>
  <si>
    <t>Sri Lanka</t>
  </si>
  <si>
    <t>Potash Refinery Production</t>
  </si>
  <si>
    <t>Belarus</t>
  </si>
  <si>
    <t>Platinum Production</t>
  </si>
  <si>
    <t>Palladium Production</t>
  </si>
  <si>
    <t>Other PGM's Production</t>
  </si>
  <si>
    <t>Phosphate Rock Production</t>
  </si>
  <si>
    <t>Morocco</t>
  </si>
  <si>
    <t>Nickel Production</t>
  </si>
  <si>
    <t>New Caledonia</t>
  </si>
  <si>
    <t>Nickel Chemical Production</t>
  </si>
  <si>
    <t>France</t>
  </si>
  <si>
    <t>France/Russia</t>
  </si>
  <si>
    <t>Ferronickel Production</t>
  </si>
  <si>
    <t>Norway</t>
  </si>
  <si>
    <t>Colombia</t>
  </si>
  <si>
    <t>Dominican Republic</t>
  </si>
  <si>
    <t>Nickel Metal Production</t>
  </si>
  <si>
    <t>UK</t>
  </si>
  <si>
    <t>Nickel Oxide Production</t>
  </si>
  <si>
    <t>Cuba</t>
  </si>
  <si>
    <r>
      <t>China</t>
    </r>
    <r>
      <rPr>
        <vertAlign val="superscript"/>
        <sz val="10"/>
        <rFont val="Arial"/>
        <family val="2"/>
      </rPr>
      <t>1</t>
    </r>
  </si>
  <si>
    <t>Mica Production</t>
  </si>
  <si>
    <t>Korea</t>
  </si>
  <si>
    <t>Taiwain</t>
  </si>
  <si>
    <t>Molybdenum Production</t>
  </si>
  <si>
    <t>Chemical production</t>
  </si>
  <si>
    <t>Ferronickel production</t>
  </si>
  <si>
    <t>Metal production</t>
  </si>
  <si>
    <t>Oxide production</t>
  </si>
  <si>
    <t>Unspecified production</t>
  </si>
  <si>
    <t>Ferromoly production</t>
  </si>
  <si>
    <t>Chile and Belgium</t>
  </si>
  <si>
    <t>Ferrovanadium Production</t>
  </si>
  <si>
    <t>FeV production</t>
  </si>
  <si>
    <t>S. Africa</t>
  </si>
  <si>
    <t>Ferrosilicon Production</t>
  </si>
  <si>
    <t>Silicon Production</t>
  </si>
  <si>
    <t>Production</t>
  </si>
  <si>
    <t>Tunisia</t>
  </si>
  <si>
    <t>N/A</t>
  </si>
  <si>
    <t>Potash</t>
  </si>
  <si>
    <t>Tin</t>
  </si>
  <si>
    <t>Yttrium</t>
  </si>
  <si>
    <t>Zinc</t>
  </si>
  <si>
    <t>Argentina</t>
  </si>
  <si>
    <t>Kyrgystan</t>
  </si>
  <si>
    <t>Tajikistan</t>
  </si>
  <si>
    <t>Beryl (gross weight)</t>
  </si>
  <si>
    <t>Namibia</t>
  </si>
  <si>
    <t>Madagascar</t>
  </si>
  <si>
    <t>Portugal</t>
  </si>
  <si>
    <t>Bauxite</t>
  </si>
  <si>
    <t>Refined primary production</t>
  </si>
  <si>
    <t>Refined secondary production</t>
  </si>
  <si>
    <t>Guinea</t>
  </si>
  <si>
    <t>Jamaica</t>
  </si>
  <si>
    <t>Italy</t>
  </si>
  <si>
    <t>Israel</t>
  </si>
  <si>
    <t>Jordan</t>
  </si>
  <si>
    <t>Cadmium</t>
  </si>
  <si>
    <t>Chromite, metal content</t>
  </si>
  <si>
    <t>Ferrochromium, metal content</t>
  </si>
  <si>
    <t>Copper Mine</t>
  </si>
  <si>
    <t>Refined electrowon production</t>
  </si>
  <si>
    <t>W. Germany</t>
  </si>
  <si>
    <t>Belgium/Lux.</t>
  </si>
  <si>
    <t>Mongolia</t>
  </si>
  <si>
    <t>Finland/Russia</t>
  </si>
  <si>
    <t>Graphite, gross weight</t>
  </si>
  <si>
    <t>S. Korea</t>
  </si>
  <si>
    <t>N. Korea</t>
  </si>
  <si>
    <t>Indium</t>
  </si>
  <si>
    <t>Crude Iodine</t>
  </si>
  <si>
    <t>Azerbaijan, Turkmenistan</t>
  </si>
  <si>
    <t>Iron ore, metal content</t>
  </si>
  <si>
    <t>Raw Steel</t>
  </si>
  <si>
    <t>Lead</t>
  </si>
  <si>
    <t>Lithium</t>
  </si>
  <si>
    <t>Magnesium Compounds (magnesite)</t>
  </si>
  <si>
    <t>Slovakia</t>
  </si>
  <si>
    <t>Magnesium Metal</t>
  </si>
  <si>
    <t>W</t>
  </si>
  <si>
    <t>Manganese ore, metal content</t>
  </si>
  <si>
    <t>Gabon</t>
  </si>
  <si>
    <t>Mercury</t>
  </si>
  <si>
    <t>Algeria</t>
  </si>
  <si>
    <t>Titanium Sponge Production</t>
  </si>
  <si>
    <t>Sponge production</t>
  </si>
  <si>
    <t>Consumption</t>
  </si>
  <si>
    <t>Exports</t>
  </si>
  <si>
    <t>Imports</t>
  </si>
  <si>
    <t>Apparent</t>
  </si>
  <si>
    <t>Switzerland</t>
  </si>
  <si>
    <t>Antimony (mt)</t>
  </si>
  <si>
    <t>United Kingdom</t>
  </si>
  <si>
    <t>Bismuth (mt)</t>
  </si>
  <si>
    <t>Boron (000mt)</t>
  </si>
  <si>
    <t>Cadmium (mt)</t>
  </si>
  <si>
    <t>Reported</t>
  </si>
  <si>
    <t>Cobalt (mt)</t>
  </si>
  <si>
    <t>Unwrought cobalt, excluding alloys and waste and scrap.</t>
  </si>
  <si>
    <t>Smelter</t>
  </si>
  <si>
    <t>Refinery</t>
  </si>
  <si>
    <t>Secondary</t>
  </si>
  <si>
    <t>Copper-Sulfate</t>
  </si>
  <si>
    <t>Other</t>
  </si>
  <si>
    <t>Gallium (kg)</t>
  </si>
  <si>
    <t>Hungary</t>
  </si>
  <si>
    <t>Germanium (kg)</t>
  </si>
  <si>
    <t>Iron &amp; Steel (000 mt)</t>
  </si>
  <si>
    <t>Pig iron</t>
  </si>
  <si>
    <t>Direct reduced iron</t>
  </si>
  <si>
    <t>Iron</t>
  </si>
  <si>
    <t>&lt; 500mt</t>
  </si>
  <si>
    <t>Raw steel</t>
  </si>
  <si>
    <t>Steel mill products</t>
  </si>
  <si>
    <t>Mexico/Russia</t>
  </si>
  <si>
    <t>Primary</t>
  </si>
  <si>
    <t>Lead (mt)</t>
  </si>
  <si>
    <t>Base Bullion</t>
  </si>
  <si>
    <t>Pig &amp; Bars (Lead content)</t>
  </si>
  <si>
    <t>Venezuela</t>
  </si>
  <si>
    <t>Netherlands</t>
  </si>
  <si>
    <t>Magnesium Compounds (000 mt)</t>
  </si>
  <si>
    <t>Caustic-calcined and specified magnesias</t>
  </si>
  <si>
    <t>Refractory magnesia</t>
  </si>
  <si>
    <t>Greece</t>
  </si>
  <si>
    <t>Hong Kong</t>
  </si>
  <si>
    <t>Austrialia</t>
  </si>
  <si>
    <t>Manganese Compounds (mt)</t>
  </si>
  <si>
    <t>Nickel (mt)</t>
  </si>
  <si>
    <t>Molybdenum (mt)</t>
  </si>
  <si>
    <t>Niobium (mt)</t>
  </si>
  <si>
    <t>Platinum Group Metals (kg)</t>
  </si>
  <si>
    <t>Palladium</t>
  </si>
  <si>
    <t>Platinum</t>
  </si>
  <si>
    <t>Iridium</t>
  </si>
  <si>
    <t>Rhodium</t>
  </si>
  <si>
    <t>Iridium osmium, and ruthenium</t>
  </si>
  <si>
    <t>Osmium</t>
  </si>
  <si>
    <t>Ruthenium</t>
  </si>
  <si>
    <t>Germany/China</t>
  </si>
  <si>
    <t>REE (kg)</t>
  </si>
  <si>
    <t>Rhenium (kg)</t>
  </si>
  <si>
    <t>Philippines</t>
  </si>
  <si>
    <t>Selinium (kg)</t>
  </si>
  <si>
    <t>Silicon (000 mt)</t>
  </si>
  <si>
    <t xml:space="preserve">Brazil </t>
  </si>
  <si>
    <t xml:space="preserve">Canada    </t>
  </si>
  <si>
    <t>Silver</t>
  </si>
  <si>
    <t>Production (mt)</t>
  </si>
  <si>
    <t>Exports (kg)</t>
  </si>
  <si>
    <t>Imports (kg)</t>
  </si>
  <si>
    <t xml:space="preserve">Production </t>
  </si>
  <si>
    <t>Strontium (mt)</t>
  </si>
  <si>
    <t>Tantalum (mt)</t>
  </si>
  <si>
    <t>Tellurium (kg)</t>
  </si>
  <si>
    <t>Tin (mt)</t>
  </si>
  <si>
    <t>Titanium (mt)</t>
  </si>
  <si>
    <t>Tungsten (mt)</t>
  </si>
  <si>
    <t>Vanadium (mt)</t>
  </si>
  <si>
    <t>Czech Republic</t>
  </si>
  <si>
    <t>Swaziland</t>
  </si>
  <si>
    <t>Zinc (mt)</t>
  </si>
  <si>
    <t>Aluminum (000mt)</t>
  </si>
  <si>
    <t>Ferrochromium</t>
  </si>
  <si>
    <t>Stainless Steel</t>
  </si>
  <si>
    <t>Chromium (mt)</t>
  </si>
  <si>
    <t>Copper (mt)</t>
  </si>
  <si>
    <t xml:space="preserve">Mexico </t>
  </si>
  <si>
    <t xml:space="preserve">United Kingdom </t>
  </si>
  <si>
    <t>Magnesium (mt)</t>
  </si>
  <si>
    <t xml:space="preserve">China </t>
  </si>
  <si>
    <t xml:space="preserve">Japan </t>
  </si>
  <si>
    <t xml:space="preserve">United Kingdom   </t>
  </si>
  <si>
    <t xml:space="preserve">Austria </t>
  </si>
  <si>
    <t>Concentrates</t>
  </si>
  <si>
    <t>APT</t>
  </si>
  <si>
    <t xml:space="preserve"> --</t>
  </si>
  <si>
    <t>Vietnam</t>
  </si>
  <si>
    <t>Chromium</t>
  </si>
  <si>
    <t>Nickel</t>
  </si>
  <si>
    <t>Molybdenum</t>
  </si>
  <si>
    <t>Niobium</t>
  </si>
  <si>
    <t>Selenium</t>
  </si>
  <si>
    <t>Tellurium</t>
  </si>
  <si>
    <t>Titanium</t>
  </si>
  <si>
    <t>Vanadium</t>
  </si>
  <si>
    <t>%</t>
  </si>
  <si>
    <t>Comments</t>
  </si>
  <si>
    <t>Import sources:</t>
  </si>
  <si>
    <t>1st</t>
  </si>
  <si>
    <t xml:space="preserve">Imports </t>
  </si>
  <si>
    <t>Beryllium</t>
  </si>
  <si>
    <t>Graphite</t>
  </si>
  <si>
    <t>Iodine</t>
  </si>
  <si>
    <t>Manganese</t>
  </si>
  <si>
    <t>Mica</t>
  </si>
  <si>
    <t>Phosphate</t>
  </si>
  <si>
    <t>Silicon</t>
  </si>
  <si>
    <t>Strontium</t>
  </si>
  <si>
    <t>Sulfur</t>
  </si>
  <si>
    <t>Tantalum</t>
  </si>
  <si>
    <t>Tungsten</t>
  </si>
  <si>
    <t>Zirconium</t>
  </si>
  <si>
    <t>South Korea</t>
  </si>
  <si>
    <t>New Calendonia</t>
  </si>
  <si>
    <t>Total</t>
  </si>
  <si>
    <t>First</t>
  </si>
  <si>
    <t>Second</t>
  </si>
  <si>
    <t>Third</t>
  </si>
  <si>
    <t>Guatemala</t>
  </si>
  <si>
    <t>Sierra Leone</t>
  </si>
  <si>
    <t>Ireland</t>
  </si>
  <si>
    <t>Phillipines</t>
  </si>
  <si>
    <t>Concentration ratio</t>
  </si>
  <si>
    <t>Concetration ratio</t>
  </si>
  <si>
    <t>1</t>
  </si>
  <si>
    <t>Selenium Refinery Production</t>
  </si>
  <si>
    <t>3</t>
  </si>
  <si>
    <t>2006</t>
  </si>
  <si>
    <r>
      <t>3rd</t>
    </r>
    <r>
      <rPr>
        <b/>
        <vertAlign val="superscript"/>
        <sz val="10"/>
        <rFont val="Arial"/>
        <family val="2"/>
      </rPr>
      <t>1</t>
    </r>
  </si>
  <si>
    <t>Alumina</t>
  </si>
  <si>
    <t>Suriname</t>
  </si>
  <si>
    <t>Exports include antimonial metal, alloys, and waste and scrap.</t>
  </si>
  <si>
    <t>Imports include ores and concentrates, metal content.</t>
  </si>
  <si>
    <t>NA</t>
  </si>
  <si>
    <t>Uganda</t>
  </si>
  <si>
    <t>Burkina Faso</t>
  </si>
  <si>
    <t>Ghana</t>
  </si>
  <si>
    <t>Trinidad &amp; Tobago</t>
  </si>
  <si>
    <t>Mg compounds</t>
  </si>
  <si>
    <t>Perlite</t>
  </si>
  <si>
    <t>Crude ore mined and stockpiled for processing.</t>
  </si>
  <si>
    <t>Phosphate rock</t>
  </si>
  <si>
    <t xml:space="preserve"> </t>
  </si>
  <si>
    <t>Ilmenite</t>
  </si>
  <si>
    <t>Titaniferous slag</t>
  </si>
  <si>
    <t>Rutile, natural</t>
  </si>
  <si>
    <t>Rutile, synthetic</t>
  </si>
  <si>
    <t>Irland</t>
  </si>
  <si>
    <t>Magnesium compounds</t>
  </si>
  <si>
    <t>Commodity</t>
  </si>
  <si>
    <t>20 Year</t>
  </si>
  <si>
    <t>5 Year</t>
  </si>
  <si>
    <t>Iron ore</t>
  </si>
  <si>
    <t>Platinum-Group Metals:</t>
  </si>
  <si>
    <t>Other PGMs</t>
  </si>
  <si>
    <t>Rare earths:</t>
  </si>
  <si>
    <t xml:space="preserve">Monazite </t>
  </si>
  <si>
    <t>Top 3 Producers (Processed, 2007)</t>
  </si>
  <si>
    <t xml:space="preserve"> 2004-2009</t>
  </si>
  <si>
    <t>Processed    (% of total)</t>
  </si>
  <si>
    <t>Iron (Raw Steel)</t>
  </si>
  <si>
    <t>Chile/Belgium</t>
  </si>
  <si>
    <t>Chemical</t>
  </si>
  <si>
    <t>Ferronickel</t>
  </si>
  <si>
    <t>Metal</t>
  </si>
  <si>
    <t>Oxide</t>
  </si>
  <si>
    <t>Unspecified</t>
  </si>
  <si>
    <t>&lt;0.01%</t>
  </si>
  <si>
    <t>Top  Processors</t>
  </si>
  <si>
    <t>161,000 (APT)/9,000 (ferrotungsten)</t>
  </si>
  <si>
    <t>Russia (APT)</t>
  </si>
  <si>
    <t>Vietnam (Ferrotungsten)/Austria</t>
  </si>
  <si>
    <t>Austria and Vietnam are close in production</t>
  </si>
  <si>
    <t>Top 3 Producers (Mined, 2007)</t>
  </si>
  <si>
    <t>Mined       (% of total)</t>
  </si>
  <si>
    <t>W/O U.S. Prod</t>
  </si>
  <si>
    <t>W/U.S. Prod</t>
  </si>
  <si>
    <t>U.S.</t>
  </si>
  <si>
    <t>Ferromolybdenum Production</t>
  </si>
  <si>
    <t>Virtually all yttrium is refined in China.</t>
  </si>
  <si>
    <t>Indium (mt)</t>
  </si>
  <si>
    <t>[W/O U.S. Prod, without U.S. production; W/U.S. Prod, with U.S. production; %, percent; NA, not applicable]</t>
  </si>
  <si>
    <r>
      <t>Table 2.</t>
    </r>
    <r>
      <rPr>
        <sz val="12"/>
        <color theme="1"/>
        <rFont val="Arial Narrow"/>
        <family val="2"/>
      </rPr>
      <t xml:space="preserve"> Concentration of global production of select processed minerals and the share of production by the top three producing countries. </t>
    </r>
  </si>
  <si>
    <r>
      <t>Table 1</t>
    </r>
    <r>
      <rPr>
        <sz val="12"/>
        <color theme="1"/>
        <rFont val="Arial Narrow"/>
        <family val="2"/>
      </rPr>
      <t>. Concentration of global production of select mined minerals and the share of production by the top three producing countries.</t>
    </r>
    <r>
      <rPr>
        <vertAlign val="superscript"/>
        <sz val="12"/>
        <color theme="1"/>
        <rFont val="Arial Narrow"/>
        <family val="2"/>
      </rPr>
      <t>1,4</t>
    </r>
    <r>
      <rPr>
        <sz val="12"/>
        <color theme="1"/>
        <rFont val="Arial Narrow"/>
        <family val="2"/>
      </rPr>
      <t xml:space="preserve"> </t>
    </r>
  </si>
  <si>
    <t>Rare Earth's</t>
  </si>
  <si>
    <t>[W/O U.S. Prod, without U.S. production; W/U.S. Prod, with U.S. production; %, percent; NA, not applicable; APT, ammonium paratungstate]</t>
  </si>
  <si>
    <t>China (APT and Ferrotungsten)</t>
  </si>
  <si>
    <t>8,900 (APT)</t>
  </si>
  <si>
    <t>2,500/3,600 (estimate)</t>
  </si>
  <si>
    <r>
      <t>Table 3.</t>
    </r>
    <r>
      <rPr>
        <sz val="12"/>
        <color theme="1"/>
        <rFont val="Arial Narrow"/>
        <family val="2"/>
      </rPr>
      <t xml:space="preserve"> Global production of refined primary aluminum, the three leading producing countries, and the concentration ratio of the top three producing countries (thousand metric tons).</t>
    </r>
  </si>
  <si>
    <t xml:space="preserve">Primary Aluminum </t>
  </si>
  <si>
    <t>Year</t>
  </si>
  <si>
    <t>World refined primary production</t>
  </si>
  <si>
    <t>U.S. refined primary production</t>
  </si>
  <si>
    <r>
      <t>Table 4.</t>
    </r>
    <r>
      <rPr>
        <sz val="12"/>
        <color theme="1"/>
        <rFont val="Arial Narrow"/>
        <family val="2"/>
      </rPr>
      <t xml:space="preserve"> Global production of refined secondary aluminum, the three leading producing countries, and the concentration ratio of the top three producing countries (thousand metric tons).</t>
    </r>
  </si>
  <si>
    <t>Secondary Aluminum</t>
  </si>
  <si>
    <r>
      <t>Table 5.</t>
    </r>
    <r>
      <rPr>
        <sz val="12"/>
        <color theme="1"/>
        <rFont val="Arial Narrow"/>
        <family val="2"/>
      </rPr>
      <t xml:space="preserve"> Global production of mined anitmony, the three leading producing countries, and the concentration ratio of the top three producing countries (thousand metric tons).</t>
    </r>
  </si>
  <si>
    <r>
      <t>Table 6.</t>
    </r>
    <r>
      <rPr>
        <sz val="12"/>
        <color theme="1"/>
        <rFont val="Arial Narrow"/>
        <family val="2"/>
      </rPr>
      <t xml:space="preserve"> Global production of refined anitmony, the three leading producing countries, and the concentration ratio of the top three producing countries (thousand metric tons).</t>
    </r>
  </si>
  <si>
    <r>
      <t>Table 7.</t>
    </r>
    <r>
      <rPr>
        <sz val="12"/>
        <color theme="1"/>
        <rFont val="Arial Narrow"/>
        <family val="2"/>
      </rPr>
      <t xml:space="preserve"> Global production of mined barite, the three leading producing countries, and the concentration ratio of the top three producing countries (thousand metric tons).</t>
    </r>
  </si>
  <si>
    <r>
      <t>Table 8.</t>
    </r>
    <r>
      <rPr>
        <sz val="12"/>
        <color theme="1"/>
        <rFont val="Arial Narrow"/>
        <family val="2"/>
      </rPr>
      <t xml:space="preserve"> Global production of mined bauxite, the three leading producing countries, and the concentration ratio of the top three producing countries (thousand metric tons).</t>
    </r>
  </si>
  <si>
    <r>
      <t>Table 9.</t>
    </r>
    <r>
      <rPr>
        <sz val="12"/>
        <color theme="1"/>
        <rFont val="Arial Narrow"/>
        <family val="2"/>
      </rPr>
      <t xml:space="preserve"> Global production of mined beryllium, the three leading producing countries, and the concentration ratio of the top three producing countries (thousand metric tons).</t>
    </r>
  </si>
  <si>
    <r>
      <t>Table 10.</t>
    </r>
    <r>
      <rPr>
        <sz val="12"/>
        <color theme="1"/>
        <rFont val="Arial Narrow"/>
        <family val="2"/>
      </rPr>
      <t xml:space="preserve"> Global production of mined bismuth, the three leading producing countries, and the concentration ratio of the top three producing countries (thousand metric tons).</t>
    </r>
  </si>
  <si>
    <r>
      <t>Table 11.</t>
    </r>
    <r>
      <rPr>
        <sz val="10"/>
        <color theme="1"/>
        <rFont val="Arial Narrow"/>
        <family val="2"/>
      </rPr>
      <t xml:space="preserve"> Global production of mined boron, the three leading producing countries, and the concentration ratio of the top three producing countries (thousand metric tons).</t>
    </r>
  </si>
  <si>
    <r>
      <t>Table 12.</t>
    </r>
    <r>
      <rPr>
        <sz val="10"/>
        <color theme="1"/>
        <rFont val="Arial Narrow"/>
        <family val="2"/>
      </rPr>
      <t xml:space="preserve"> Global production of refined bromine, the three leading producing countries, and the concentration ratio of the top three producing countries (thousand metric tons).</t>
    </r>
  </si>
  <si>
    <r>
      <t>Table 13.</t>
    </r>
    <r>
      <rPr>
        <sz val="12"/>
        <color theme="1"/>
        <rFont val="Arial Narrow"/>
        <family val="2"/>
      </rPr>
      <t xml:space="preserve"> Global production of refined cadmium, the three leading producing countries, and the concentration ratio of the top three producing countries (thousand metric tons).</t>
    </r>
  </si>
  <si>
    <r>
      <t>Table 14.</t>
    </r>
    <r>
      <rPr>
        <sz val="12"/>
        <color theme="1"/>
        <rFont val="Arial Narrow"/>
        <family val="2"/>
      </rPr>
      <t xml:space="preserve"> Global production of mined chromite, the three leading producing countries, and the concentration ratio of the top three producing countries (thousand metric tons).</t>
    </r>
  </si>
  <si>
    <r>
      <t>Table 15.</t>
    </r>
    <r>
      <rPr>
        <sz val="12"/>
        <color theme="1"/>
        <rFont val="Arial Narrow"/>
        <family val="2"/>
      </rPr>
      <t xml:space="preserve"> Global production of refined ferrochromium, the three leading producing countries, and the concentration ratio of the top three producing countries (thousand metric tons).</t>
    </r>
  </si>
  <si>
    <r>
      <t>Table 16.</t>
    </r>
    <r>
      <rPr>
        <sz val="12"/>
        <color theme="1"/>
        <rFont val="Arial Narrow"/>
        <family val="2"/>
      </rPr>
      <t xml:space="preserve"> Global production of mined cobalt, the three leading producing countries, and the concentration ratio of the top three producing countries (thousand metric tons).</t>
    </r>
  </si>
  <si>
    <r>
      <t>Table 17.</t>
    </r>
    <r>
      <rPr>
        <sz val="12"/>
        <color theme="1"/>
        <rFont val="Arial Narrow"/>
        <family val="2"/>
      </rPr>
      <t xml:space="preserve"> Global production of refined cobalt, the three leading producing countries, and the concentration ratio of the top three producing countries (thousand metric tons).</t>
    </r>
  </si>
  <si>
    <t>World refined seconday  production</t>
  </si>
  <si>
    <t>World mined production</t>
  </si>
  <si>
    <t>World refined  production</t>
  </si>
  <si>
    <t>U.S. refined  production</t>
  </si>
  <si>
    <t>World mine production</t>
  </si>
  <si>
    <t>U.S. mine production</t>
  </si>
  <si>
    <t>World refined production</t>
  </si>
  <si>
    <r>
      <t>Table 18.</t>
    </r>
    <r>
      <rPr>
        <sz val="12"/>
        <color theme="1"/>
        <rFont val="Arial Narrow"/>
        <family val="2"/>
      </rPr>
      <t xml:space="preserve"> Global production of mined copper, the three leading producing countries, and the concentration ratio of the top three producing countries (thousand metric tons).</t>
    </r>
  </si>
  <si>
    <t>--</t>
  </si>
  <si>
    <r>
      <t>Table 19.</t>
    </r>
    <r>
      <rPr>
        <sz val="12"/>
        <color theme="1"/>
        <rFont val="Arial Narrow"/>
        <family val="2"/>
      </rPr>
      <t xml:space="preserve"> Global production of refined primary copper, the three leading producing countries, and the concentration ratio of the top three producing countries (thousand metric tons).</t>
    </r>
  </si>
  <si>
    <t>[--, data not available]</t>
  </si>
  <si>
    <t xml:space="preserve">Primary Copper </t>
  </si>
  <si>
    <t>World refined secondary production</t>
  </si>
  <si>
    <t>U.S. refined secondary production</t>
  </si>
  <si>
    <t xml:space="preserve">Secondary Copper </t>
  </si>
  <si>
    <r>
      <t>Table 20.</t>
    </r>
    <r>
      <rPr>
        <sz val="12"/>
        <color theme="1"/>
        <rFont val="Arial Narrow"/>
        <family val="2"/>
      </rPr>
      <t xml:space="preserve"> Global production of refined secondary copper, the three leading producing countries, and the concentration ratio of the top three producing countries (thousand metric tons).</t>
    </r>
  </si>
  <si>
    <t>World refined electrowon production</t>
  </si>
  <si>
    <t>U.S. refined electrowon production</t>
  </si>
  <si>
    <t xml:space="preserve">Electrowon Copper </t>
  </si>
  <si>
    <r>
      <t>Table 21.</t>
    </r>
    <r>
      <rPr>
        <sz val="12"/>
        <color theme="1"/>
        <rFont val="Arial Narrow"/>
        <family val="2"/>
      </rPr>
      <t xml:space="preserve"> Global production of refined electrowon copper, the three leading producing countries, and the concentration ratio of the top three producing countries (thousand metric tons).</t>
    </r>
  </si>
  <si>
    <r>
      <t>Table 22.</t>
    </r>
    <r>
      <rPr>
        <sz val="12"/>
        <color theme="1"/>
        <rFont val="Arial Narrow"/>
        <family val="2"/>
      </rPr>
      <t xml:space="preserve"> Global production of mined feldspar, the three leading producing countries, and the concentration ratio of the top three producing countries (thousand metric tons).</t>
    </r>
  </si>
  <si>
    <r>
      <t>Table 23.</t>
    </r>
    <r>
      <rPr>
        <sz val="12"/>
        <color theme="1"/>
        <rFont val="Arial Narrow"/>
        <family val="2"/>
      </rPr>
      <t xml:space="preserve"> Global production of mined fluorspar, the three leading producing countries, and the concentration ratio of the top three producing countries (thousand metric tons).</t>
    </r>
  </si>
  <si>
    <r>
      <t>Table 24.</t>
    </r>
    <r>
      <rPr>
        <sz val="12"/>
        <color theme="1"/>
        <rFont val="Arial Narrow"/>
        <family val="2"/>
      </rPr>
      <t xml:space="preserve"> Global production of refined primary gallium, the three leading producing countries, and the concentration ratio of the top three producing countries (thousand metric tons).</t>
    </r>
  </si>
  <si>
    <r>
      <t>Table 25.</t>
    </r>
    <r>
      <rPr>
        <sz val="12"/>
        <color theme="1"/>
        <rFont val="Arial Narrow"/>
        <family val="2"/>
      </rPr>
      <t xml:space="preserve"> Global production of refined primary germanium, the three leading producing countries, and the concentration ratio of the top three producing countries (thousand metric tons).</t>
    </r>
  </si>
  <si>
    <r>
      <t>Table 26.</t>
    </r>
    <r>
      <rPr>
        <sz val="12"/>
        <color theme="1"/>
        <rFont val="Arial Narrow"/>
        <family val="2"/>
      </rPr>
      <t xml:space="preserve"> Global production of mined gold, the three leading producing countries, and the concentration ratio of the top three producing countries (thousand metric tons).</t>
    </r>
  </si>
  <si>
    <r>
      <t>Table 27.</t>
    </r>
    <r>
      <rPr>
        <sz val="12"/>
        <color theme="1"/>
        <rFont val="Arial Narrow"/>
        <family val="2"/>
      </rPr>
      <t xml:space="preserve"> Global production of mined graphite, the three leading producing countries, and the concentration ratio of the top three producing countries (thousand metric tons).</t>
    </r>
  </si>
  <si>
    <r>
      <t>World refined production</t>
    </r>
    <r>
      <rPr>
        <b/>
        <vertAlign val="superscript"/>
        <sz val="10"/>
        <rFont val="Arial"/>
        <family val="2"/>
      </rPr>
      <t>1</t>
    </r>
  </si>
  <si>
    <r>
      <t>Table 28.</t>
    </r>
    <r>
      <rPr>
        <sz val="12"/>
        <color theme="1"/>
        <rFont val="Arial Narrow"/>
        <family val="2"/>
      </rPr>
      <t xml:space="preserve"> Global production of refined indium, the three leading producing countries, and the concentration ratio of the top three producing countries (thousand metric tons).</t>
    </r>
  </si>
  <si>
    <r>
      <t>World mine production</t>
    </r>
    <r>
      <rPr>
        <b/>
        <vertAlign val="superscript"/>
        <sz val="10"/>
        <rFont val="Arial"/>
        <family val="2"/>
      </rPr>
      <t>1</t>
    </r>
  </si>
  <si>
    <r>
      <t>Table 29.</t>
    </r>
    <r>
      <rPr>
        <sz val="12"/>
        <color theme="1"/>
        <rFont val="Arial Narrow"/>
        <family val="2"/>
      </rPr>
      <t xml:space="preserve"> Global production of mined iodine, the three leading producing countries, and the concentration ratio of the top three producing countries (thousand metric tons).</t>
    </r>
  </si>
  <si>
    <r>
      <t>Table 30.</t>
    </r>
    <r>
      <rPr>
        <sz val="12"/>
        <color theme="1"/>
        <rFont val="Arial Narrow"/>
        <family val="2"/>
      </rPr>
      <t xml:space="preserve"> Global production of mined iron ore, the three leading producing countries, and the concentration ratio of the top three producing countries (thousand metric tons).</t>
    </r>
  </si>
  <si>
    <r>
      <t>Table 31.</t>
    </r>
    <r>
      <rPr>
        <sz val="12"/>
        <color theme="1"/>
        <rFont val="Arial Narrow"/>
        <family val="2"/>
      </rPr>
      <t xml:space="preserve"> Global production of raw steel, the three leading producing countries, and the concentration ratio of the top three producing countries (thousand metric tons).</t>
    </r>
  </si>
  <si>
    <r>
      <t>Table 32.</t>
    </r>
    <r>
      <rPr>
        <sz val="12"/>
        <color theme="1"/>
        <rFont val="Arial Narrow"/>
        <family val="2"/>
      </rPr>
      <t xml:space="preserve"> Global production of mined lead, the three leading producing countries, and the concentration ratio of the top three producing countries (thousand metric tons).</t>
    </r>
  </si>
  <si>
    <t xml:space="preserve">Primary Lead </t>
  </si>
  <si>
    <r>
      <t>Table 33.</t>
    </r>
    <r>
      <rPr>
        <sz val="12"/>
        <color theme="1"/>
        <rFont val="Arial Narrow"/>
        <family val="2"/>
      </rPr>
      <t xml:space="preserve"> Global production of refined primary lead, the three leading producing countries, and the concentration ratio of the top three producing countries (thousand metric tons).</t>
    </r>
  </si>
  <si>
    <t xml:space="preserve">Secondary Lead </t>
  </si>
  <si>
    <r>
      <t>Table 34.</t>
    </r>
    <r>
      <rPr>
        <sz val="12"/>
        <color theme="1"/>
        <rFont val="Arial Narrow"/>
        <family val="2"/>
      </rPr>
      <t xml:space="preserve"> Global production of refined secondary lead, the three leading producing countries, and the concentration ratio of the top three producing countries (thousand metric tons).</t>
    </r>
  </si>
  <si>
    <t>Lithium (pure lithium content)</t>
  </si>
  <si>
    <r>
      <t>Table 35.</t>
    </r>
    <r>
      <rPr>
        <sz val="12"/>
        <color theme="1"/>
        <rFont val="Arial Narrow"/>
        <family val="2"/>
      </rPr>
      <t xml:space="preserve"> Global production of mined lithium, the three leading producing countries, and the concentration ratio of the top three producing countries (thousand metric tons).</t>
    </r>
  </si>
  <si>
    <r>
      <t>Czechoslovakia</t>
    </r>
    <r>
      <rPr>
        <vertAlign val="superscript"/>
        <sz val="10"/>
        <rFont val="Arial"/>
        <family val="2"/>
      </rPr>
      <t>2</t>
    </r>
  </si>
  <si>
    <r>
      <t>Table 36.</t>
    </r>
    <r>
      <rPr>
        <sz val="12"/>
        <color theme="1"/>
        <rFont val="Arial Narrow"/>
        <family val="2"/>
      </rPr>
      <t xml:space="preserve"> Global production of mined magnesium compounds, the three leading producing countries, and the concentration ratio of the top three producing countries (thousand metric tons).</t>
    </r>
  </si>
  <si>
    <t>U.S.refined primary production</t>
  </si>
  <si>
    <t>[W, withheld]</t>
  </si>
  <si>
    <r>
      <t>Table 37.</t>
    </r>
    <r>
      <rPr>
        <sz val="12"/>
        <color theme="1"/>
        <rFont val="Arial Narrow"/>
        <family val="2"/>
      </rPr>
      <t xml:space="preserve"> Global production of refined magnesium metal, the three leading producing countries, and the concentration ratio of the top three producing countries (thousand metric tons).</t>
    </r>
  </si>
  <si>
    <r>
      <t>Table 38.</t>
    </r>
    <r>
      <rPr>
        <sz val="12"/>
        <color theme="1"/>
        <rFont val="Arial Narrow"/>
        <family val="2"/>
      </rPr>
      <t xml:space="preserve"> Global production of mined manganese, the three leading producing countries, and the concentration ratio of the top three producing countries (thousand metric tons).</t>
    </r>
  </si>
  <si>
    <r>
      <t>Table 39.</t>
    </r>
    <r>
      <rPr>
        <sz val="12"/>
        <color theme="1"/>
        <rFont val="Arial Narrow"/>
        <family val="2"/>
      </rPr>
      <t xml:space="preserve"> Global production of mined ferromanganese, the three leading producing countries, and the concentration ratio of the top three producing countries (thousand metric tons).</t>
    </r>
  </si>
  <si>
    <r>
      <t>Silicomanganese, metal content</t>
    </r>
    <r>
      <rPr>
        <b/>
        <vertAlign val="superscript"/>
        <sz val="10"/>
        <rFont val="Arial"/>
        <family val="2"/>
      </rPr>
      <t>1</t>
    </r>
  </si>
  <si>
    <r>
      <t>Table 40.</t>
    </r>
    <r>
      <rPr>
        <sz val="12"/>
        <color theme="1"/>
        <rFont val="Arial Narrow"/>
        <family val="2"/>
      </rPr>
      <t xml:space="preserve"> Global production of mined silicomanganese, the three leading producing countries, and the concentration ratio of the top three producing countries (thousand metric tons).</t>
    </r>
  </si>
  <si>
    <r>
      <t>Table 41.</t>
    </r>
    <r>
      <rPr>
        <sz val="12"/>
        <color theme="1"/>
        <rFont val="Arial Narrow"/>
        <family val="2"/>
      </rPr>
      <t xml:space="preserve"> Global production of mined mercury, the three leading producing countries, and the concentration ratio of the top three producing countries (thousand metric tons).</t>
    </r>
  </si>
  <si>
    <r>
      <t>Table 42.</t>
    </r>
    <r>
      <rPr>
        <sz val="12"/>
        <color theme="1"/>
        <rFont val="Arial Narrow"/>
        <family val="2"/>
      </rPr>
      <t xml:space="preserve"> Global production of mined mica, the three leading producing countries, and the concentration ratio of the top three producing countries (thousand metric tons).</t>
    </r>
  </si>
  <si>
    <r>
      <t>Table 43.</t>
    </r>
    <r>
      <rPr>
        <sz val="12"/>
        <color theme="1"/>
        <rFont val="Arial Narrow"/>
        <family val="2"/>
      </rPr>
      <t xml:space="preserve"> Global production of mined molybdenum, the three leading producing countries, and the concentration ratio of the top three producing countries (thousand metric tons).</t>
    </r>
  </si>
  <si>
    <t>World ferromoly production</t>
  </si>
  <si>
    <r>
      <t>Table 44.</t>
    </r>
    <r>
      <rPr>
        <sz val="12"/>
        <color theme="1"/>
        <rFont val="Arial Narrow"/>
        <family val="2"/>
      </rPr>
      <t xml:space="preserve"> Global production of ferromolybdenum, the three leading producing countries, and the concentration ratio of the top three producing countries (thousand metric tons).</t>
    </r>
  </si>
  <si>
    <r>
      <t>Table 45.</t>
    </r>
    <r>
      <rPr>
        <sz val="12"/>
        <color theme="1"/>
        <rFont val="Arial Narrow"/>
        <family val="2"/>
      </rPr>
      <t xml:space="preserve"> Global production of mined nickel, the three leading producing countries, and the concentration ratio of the top three producing countries (thousand metric tons).</t>
    </r>
  </si>
  <si>
    <t>World chemical production</t>
  </si>
  <si>
    <r>
      <t>S. Africa</t>
    </r>
    <r>
      <rPr>
        <vertAlign val="superscript"/>
        <sz val="10"/>
        <rFont val="Arial"/>
        <family val="2"/>
      </rPr>
      <t>2</t>
    </r>
  </si>
  <si>
    <r>
      <t>Table 46.</t>
    </r>
    <r>
      <rPr>
        <sz val="12"/>
        <color theme="1"/>
        <rFont val="Arial Narrow"/>
        <family val="2"/>
      </rPr>
      <t xml:space="preserve"> Global production of nickel chemical, the three leading producing countries, and the concentration ratio of the top three producing countries (thousand metric tons).</t>
    </r>
  </si>
  <si>
    <t>World ferronickel production</t>
  </si>
  <si>
    <r>
      <t>Table 47.</t>
    </r>
    <r>
      <rPr>
        <sz val="12"/>
        <color theme="1"/>
        <rFont val="Arial Narrow"/>
        <family val="2"/>
      </rPr>
      <t xml:space="preserve"> Global production of ferronickel, the three leading producing countries, and the concentration ratio of the top three producing countries (thousand metric tons).</t>
    </r>
  </si>
  <si>
    <t>World metal production</t>
  </si>
  <si>
    <r>
      <t>Table 48.</t>
    </r>
    <r>
      <rPr>
        <sz val="12"/>
        <color theme="1"/>
        <rFont val="Arial Narrow"/>
        <family val="2"/>
      </rPr>
      <t xml:space="preserve"> Global production of nickel metal, the three leading producing countries, and the concentration ratio of the top three producing countries (thousand metric tons).</t>
    </r>
  </si>
  <si>
    <t>World oxide production</t>
  </si>
  <si>
    <t>[--, data not available; NA, not applicable]</t>
  </si>
  <si>
    <r>
      <t>Table 49.</t>
    </r>
    <r>
      <rPr>
        <sz val="12"/>
        <color theme="1"/>
        <rFont val="Arial Narrow"/>
        <family val="2"/>
      </rPr>
      <t xml:space="preserve"> Global production of nickel oxide, the three leading producing countries, and the concentration ratio of the top three producing countries (thousand metric tons).</t>
    </r>
  </si>
  <si>
    <t>World unspecified production</t>
  </si>
  <si>
    <r>
      <t>Table 50.</t>
    </r>
    <r>
      <rPr>
        <sz val="12"/>
        <color theme="1"/>
        <rFont val="Arial Narrow"/>
        <family val="2"/>
      </rPr>
      <t xml:space="preserve"> Global production of unspecified nickel, the three leading producing countries, and the concentration ratio of the top three producing countries (thousand metric tons).</t>
    </r>
  </si>
  <si>
    <r>
      <t>Table 51.</t>
    </r>
    <r>
      <rPr>
        <sz val="12"/>
        <color theme="1"/>
        <rFont val="Arial Narrow"/>
        <family val="2"/>
      </rPr>
      <t xml:space="preserve"> Global production of mined niobium, the three leading producing countries, and the concentration ratio of the top three producing countries (thousand metric tons).</t>
    </r>
  </si>
  <si>
    <r>
      <t>Table 52.</t>
    </r>
    <r>
      <rPr>
        <sz val="12"/>
        <color theme="1"/>
        <rFont val="Arial Narrow"/>
        <family val="2"/>
      </rPr>
      <t xml:space="preserve"> Global production of ferroniobium, the three leading producing countries, and the concentration ratio of the top three producing countries (thousand metric tons).</t>
    </r>
  </si>
  <si>
    <r>
      <t>Table 53.</t>
    </r>
    <r>
      <rPr>
        <sz val="12"/>
        <color theme="1"/>
        <rFont val="Arial Narrow"/>
        <family val="2"/>
      </rPr>
      <t xml:space="preserve"> Global production of mined phosphate rock, the three leading producing countries, and the concentration ratio of the top three producing countries (thousand metric tons of phosphorus oxide (P</t>
    </r>
    <r>
      <rPr>
        <vertAlign val="sub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>O</t>
    </r>
    <r>
      <rPr>
        <vertAlign val="subscript"/>
        <sz val="12"/>
        <color theme="1"/>
        <rFont val="Arial Narrow"/>
        <family val="2"/>
      </rPr>
      <t>5</t>
    </r>
    <r>
      <rPr>
        <sz val="12"/>
        <color theme="1"/>
        <rFont val="Arial Narrow"/>
        <family val="2"/>
      </rPr>
      <t>) equivalent).</t>
    </r>
  </si>
  <si>
    <r>
      <t>Table 54.</t>
    </r>
    <r>
      <rPr>
        <sz val="12"/>
        <color theme="1"/>
        <rFont val="Arial Narrow"/>
        <family val="2"/>
      </rPr>
      <t xml:space="preserve"> Global production of mined platinum, the three leading producing countries, and the concentration ratio of the top three producing countries (thousand metric tons).</t>
    </r>
  </si>
  <si>
    <r>
      <t>Table 55.</t>
    </r>
    <r>
      <rPr>
        <sz val="12"/>
        <color theme="1"/>
        <rFont val="Arial Narrow"/>
        <family val="2"/>
      </rPr>
      <t xml:space="preserve"> Global production of mined palladium, the three leading producing countries, and the concentration ratio of the top three producing countries (thousand metric tons).</t>
    </r>
  </si>
  <si>
    <r>
      <t>Table 56.</t>
    </r>
    <r>
      <rPr>
        <sz val="12"/>
        <color theme="1"/>
        <rFont val="Arial Narrow"/>
        <family val="2"/>
      </rPr>
      <t xml:space="preserve"> Global production of other mined platinum group metals (PGMs), the three leading producing countries, and the concentration ratio of the top three producing countries (thousand metric tons).</t>
    </r>
  </si>
  <si>
    <r>
      <t>Table 57.</t>
    </r>
    <r>
      <rPr>
        <sz val="12"/>
        <color theme="1"/>
        <rFont val="Arial Narrow"/>
        <family val="2"/>
      </rPr>
      <t xml:space="preserve"> Global production of refined potash, the three leading producing countries, and the concentration ratio of the top three producing countries (thousand metric tons of K</t>
    </r>
    <r>
      <rPr>
        <vertAlign val="sub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>O equivalent).</t>
    </r>
  </si>
  <si>
    <r>
      <t>Table 58.</t>
    </r>
    <r>
      <rPr>
        <sz val="12"/>
        <color theme="1"/>
        <rFont val="Arial Narrow"/>
        <family val="2"/>
      </rPr>
      <t xml:space="preserve"> Global production of mined rare earths, the three leading producing countries, and the concentration ratio of the top three producing countries (million metric tons).</t>
    </r>
  </si>
  <si>
    <t xml:space="preserve">Monazite Concentrate </t>
  </si>
  <si>
    <r>
      <t>Table 59.</t>
    </r>
    <r>
      <rPr>
        <sz val="12"/>
        <color theme="1"/>
        <rFont val="Arial Narrow"/>
        <family val="2"/>
      </rPr>
      <t xml:space="preserve"> Global production of mined monazite, the three leading producing countries, and the concentration ratio of the top three producing countries (million metric tons).</t>
    </r>
  </si>
  <si>
    <r>
      <t>Table 60.</t>
    </r>
    <r>
      <rPr>
        <sz val="12"/>
        <color theme="1"/>
        <rFont val="Arial Narrow"/>
        <family val="2"/>
      </rPr>
      <t xml:space="preserve"> Global production of mined rhenium, the three leading producing countries, and the concentration ratio of the top three producing countries (thousand metric tons).</t>
    </r>
  </si>
  <si>
    <r>
      <t>Table 61</t>
    </r>
    <r>
      <rPr>
        <sz val="12"/>
        <color theme="1"/>
        <rFont val="Arial Narrow"/>
        <family val="2"/>
      </rPr>
      <t>. Global production of mined selenium, the three leading producing countries, and the concentration ratio of the top three producing countries (thousand kilograms).</t>
    </r>
  </si>
  <si>
    <r>
      <t>Table 62.</t>
    </r>
    <r>
      <rPr>
        <sz val="12"/>
        <color theme="1"/>
        <rFont val="Arial Narrow"/>
        <family val="2"/>
      </rPr>
      <t xml:space="preserve"> Global production of mined silicon, the three leading producing countries, and the concentration ratio of the top three producing countries (thousand metric tons).</t>
    </r>
  </si>
  <si>
    <r>
      <t>Table 63.</t>
    </r>
    <r>
      <rPr>
        <sz val="12"/>
        <color theme="1"/>
        <rFont val="Arial Narrow"/>
        <family val="2"/>
      </rPr>
      <t xml:space="preserve"> Global production of mined ferrosilicon, the three leading producing countries, and the concentration ratio of the top three producing countries (thousand metric tons).</t>
    </r>
  </si>
  <si>
    <r>
      <t>Table 64.</t>
    </r>
    <r>
      <rPr>
        <sz val="12"/>
        <color theme="1"/>
        <rFont val="Arial Narrow"/>
        <family val="2"/>
      </rPr>
      <t xml:space="preserve"> Global production of mined silver, the three leading producing countries, and the concentration ratio of the top three producing countries (thousand metric tons).</t>
    </r>
  </si>
  <si>
    <r>
      <t>Table 65.</t>
    </r>
    <r>
      <rPr>
        <sz val="12"/>
        <color theme="1"/>
        <rFont val="Arial Narrow"/>
        <family val="2"/>
      </rPr>
      <t xml:space="preserve"> Global production of mined strontium, the three leading producing countries, and the concentration ratio of the top three producing countries (thousand metric tons).</t>
    </r>
  </si>
  <si>
    <r>
      <t>Table 66.</t>
    </r>
    <r>
      <rPr>
        <sz val="12"/>
        <color theme="1"/>
        <rFont val="Arial Narrow"/>
        <family val="2"/>
      </rPr>
      <t xml:space="preserve"> Global production of mined sulfur, the three leading producing countries, and the concentration ratio of the top three producing countries (thousand metric tons).</t>
    </r>
  </si>
  <si>
    <r>
      <t>Table 67.</t>
    </r>
    <r>
      <rPr>
        <sz val="12"/>
        <color theme="1"/>
        <rFont val="Arial Narrow"/>
        <family val="2"/>
      </rPr>
      <t xml:space="preserve"> Global production of mined tantalum, the three leading producing countries, and the concentration ratio of the top three producing countries (thousand metric tons).</t>
    </r>
  </si>
  <si>
    <r>
      <t>World refined production</t>
    </r>
    <r>
      <rPr>
        <b/>
        <vertAlign val="superscript"/>
        <sz val="10"/>
        <rFont val="Arial"/>
        <family val="2"/>
      </rPr>
      <t>1,2</t>
    </r>
  </si>
  <si>
    <r>
      <t>Table 68.</t>
    </r>
    <r>
      <rPr>
        <sz val="12"/>
        <color theme="1"/>
        <rFont val="Arial Narrow"/>
        <family val="2"/>
      </rPr>
      <t xml:space="preserve"> Global production of refined tellurium, the three leading producing countries, and the concentration ratio of the top three producing countries (thousand kilograms).</t>
    </r>
  </si>
  <si>
    <r>
      <t>Table 69.</t>
    </r>
    <r>
      <rPr>
        <sz val="12"/>
        <color theme="1"/>
        <rFont val="Arial Narrow"/>
        <family val="2"/>
      </rPr>
      <t xml:space="preserve"> Global production of mined tin, the three leading producing countries, and the concentration ratio of the top three producing countries (thousand metric tons).</t>
    </r>
  </si>
  <si>
    <t>World smelter production</t>
  </si>
  <si>
    <r>
      <t>Table 70</t>
    </r>
    <r>
      <rPr>
        <sz val="12"/>
        <color theme="1"/>
        <rFont val="Arial Narrow"/>
        <family val="2"/>
      </rPr>
      <t>. Global production of smeltered tin, the three leading producing countries, and the concentration ratio of the top three producing countries (thousand metric tons).</t>
    </r>
  </si>
  <si>
    <t>World sponge production</t>
  </si>
  <si>
    <r>
      <t>Table 71.</t>
    </r>
    <r>
      <rPr>
        <sz val="12"/>
        <color theme="1"/>
        <rFont val="Arial Narrow"/>
        <family val="2"/>
      </rPr>
      <t xml:space="preserve"> Global production of titanium sponge, the three leading producing countries, and the concentration ratio of the top three producing countries (thousand metric tons).</t>
    </r>
  </si>
  <si>
    <r>
      <t>Table 72.</t>
    </r>
    <r>
      <rPr>
        <sz val="12"/>
        <color theme="1"/>
        <rFont val="Arial Narrow"/>
        <family val="2"/>
      </rPr>
      <t xml:space="preserve"> Global production of mined tungsten concentrate, the three leading producing countries, and the concentration ratio of the top three producing countries (thousand metric tons).</t>
    </r>
  </si>
  <si>
    <t>Vanadium Production (ores, concentrates, and slag)</t>
  </si>
  <si>
    <r>
      <t>Table 73.</t>
    </r>
    <r>
      <rPr>
        <sz val="12"/>
        <color theme="1"/>
        <rFont val="Arial Narrow"/>
        <family val="2"/>
      </rPr>
      <t xml:space="preserve"> Global production of mined vanadium, the three leading producing countries, and the concentration ratio of the top three producing countries (thousand metric tons).</t>
    </r>
  </si>
  <si>
    <t>World FeV production</t>
  </si>
  <si>
    <r>
      <t>World mine production</t>
    </r>
    <r>
      <rPr>
        <b/>
        <vertAlign val="superscript"/>
        <sz val="10"/>
        <rFont val="Arial"/>
        <family val="2"/>
      </rPr>
      <t>1,2</t>
    </r>
  </si>
  <si>
    <t>Calcined equivalent.</t>
  </si>
  <si>
    <t>Crude barite, sold or used by producers.</t>
  </si>
  <si>
    <t>Mostly crude barite.</t>
  </si>
  <si>
    <t>Crude and dry.</t>
  </si>
  <si>
    <t>Ore consumption, based on mine shipments.</t>
  </si>
  <si>
    <t>Mine shipments, ore.</t>
  </si>
  <si>
    <t>Elemental bromine, Br equivalent.</t>
  </si>
  <si>
    <t>Elementla bromine, Br equivalent.</t>
  </si>
  <si>
    <t>Ores and concentrate.</t>
  </si>
  <si>
    <t>Ores and concentrate, Cu content.</t>
  </si>
  <si>
    <t>Not including nepheline syenite.</t>
  </si>
  <si>
    <t>Crude.</t>
  </si>
  <si>
    <t>Iodine, crude/resublimed.</t>
  </si>
  <si>
    <t>Iodine, crude.</t>
  </si>
  <si>
    <t>iron ore and agglomerates.</t>
  </si>
  <si>
    <t>Crude ore production.</t>
  </si>
  <si>
    <t>Concentrates, coarse ores, and fine ores.</t>
  </si>
  <si>
    <t>No imports of ores and concentrate.</t>
  </si>
  <si>
    <t>Compounds of Li content.</t>
  </si>
  <si>
    <t>Crude magnesite.</t>
  </si>
  <si>
    <t>Manganese ore (20%r or more Mn).</t>
  </si>
  <si>
    <t>Gross weight.</t>
  </si>
  <si>
    <t>Production of scrap and flake mica and ground mica.</t>
  </si>
  <si>
    <t>Exports of crude and rifted mica + mica powder and waste+ worked mica.</t>
  </si>
  <si>
    <t>Imports of crude and rifted mica + mica powder and waste + worked mica.</t>
  </si>
  <si>
    <t>Including roasted and other concentrates.</t>
  </si>
  <si>
    <t>Ores and concentrates, gross mass.</t>
  </si>
  <si>
    <t>Singapore</t>
  </si>
  <si>
    <t>Marketable phosphate rock (gross weight).</t>
  </si>
  <si>
    <t>Includes natural and synthetic tantalum ore and concentrates, Ta content.</t>
  </si>
  <si>
    <t>Concentrate.</t>
  </si>
  <si>
    <t>Mineral concentrate.</t>
  </si>
  <si>
    <t>Ores and concentrates.</t>
  </si>
  <si>
    <r>
      <t>Table 80.</t>
    </r>
    <r>
      <rPr>
        <sz val="12"/>
        <color theme="1"/>
        <rFont val="Arial Narrow"/>
        <family val="2"/>
      </rPr>
      <t xml:space="preserve"> Statistics on U.S. usage of select mined mineral commodities (thousand metric tons).</t>
    </r>
  </si>
  <si>
    <t>[--, no data; NA, not available; W, withheld; %, percent]</t>
  </si>
  <si>
    <r>
      <t>Table 81.</t>
    </r>
    <r>
      <rPr>
        <sz val="12"/>
        <color theme="1"/>
        <rFont val="Arial Narrow"/>
        <family val="2"/>
      </rPr>
      <t xml:space="preserve"> Statistics on U.S. usage of select processed mineral commodities. </t>
    </r>
  </si>
  <si>
    <t>[--, no data; mt, metric tons; kg, kilograms; NA, not available; W, withheld; %, percent]</t>
  </si>
  <si>
    <t>Apparent.</t>
  </si>
  <si>
    <t>Crude and semicrude.</t>
  </si>
  <si>
    <t>Crude, semicrude, and scrap.</t>
  </si>
  <si>
    <t>Smelter production, secondary only. Primary data witheld.</t>
  </si>
  <si>
    <t>Boric acid.</t>
  </si>
  <si>
    <t>Chromium metal.</t>
  </si>
  <si>
    <t>Chromium content.</t>
  </si>
  <si>
    <t>Scrap, gross weight.</t>
  </si>
  <si>
    <t>Contained chromium.</t>
  </si>
  <si>
    <t>Refined.</t>
  </si>
  <si>
    <t>Primary refined and old scrap.</t>
  </si>
  <si>
    <t>Refined bullion.</t>
  </si>
  <si>
    <t>Mine production.</t>
  </si>
  <si>
    <t>Unwrought.</t>
  </si>
  <si>
    <t>Steel mill products, apparent.</t>
  </si>
  <si>
    <t>European Union</t>
  </si>
  <si>
    <t>Excludes Germany and Sweden.</t>
  </si>
  <si>
    <t>Shipped by producer.</t>
  </si>
  <si>
    <t>Primary.</t>
  </si>
  <si>
    <t>Secondary, primary witheld.</t>
  </si>
  <si>
    <t>Includes metal, scrap/waste, alloys (magnesium content), and other forms (magnesium content).</t>
  </si>
  <si>
    <t>Gross weight. Wrought, unwrought, and scrap/waste.</t>
  </si>
  <si>
    <t>Reported.</t>
  </si>
  <si>
    <t>Ferromoly, contained weight.</t>
  </si>
  <si>
    <t>Recovered from purchased scrap.</t>
  </si>
  <si>
    <t>Primary and secondary.</t>
  </si>
  <si>
    <t>Niobium content.</t>
  </si>
  <si>
    <t>Ferroniobium.</t>
  </si>
  <si>
    <t>Palladium content.</t>
  </si>
  <si>
    <t>Platinum content.</t>
  </si>
  <si>
    <t>Rhodium content.</t>
  </si>
  <si>
    <t>Iridium content.</t>
  </si>
  <si>
    <t>Osmium content.</t>
  </si>
  <si>
    <t>Ruthenium content.</t>
  </si>
  <si>
    <t>Yttrium  only.</t>
  </si>
  <si>
    <t>Rare-earth metals, scandium, yttrium.</t>
  </si>
  <si>
    <t>Rare-earth metals.</t>
  </si>
  <si>
    <t>Contained.</t>
  </si>
  <si>
    <t>Refinery.</t>
  </si>
  <si>
    <t>Bullion.</t>
  </si>
  <si>
    <t>Compounds.</t>
  </si>
  <si>
    <t>Strontium metal.</t>
  </si>
  <si>
    <t>Apparent, tantalum content.</t>
  </si>
  <si>
    <t>Metal and alloys, gross weight.</t>
  </si>
  <si>
    <t>Synthetic concentrates, unwrought powders, alloys and metal, waste and scrap, and wrought.</t>
  </si>
  <si>
    <t>Primary and secondary, contained tin.</t>
  </si>
  <si>
    <t>Secondary, contained tin.</t>
  </si>
  <si>
    <t>Sponge.</t>
  </si>
  <si>
    <t>Tungsten content.</t>
  </si>
  <si>
    <t>Ferrovanadium.</t>
  </si>
  <si>
    <t>People's Republic of the Congo</t>
  </si>
  <si>
    <r>
      <t>Table 82.</t>
    </r>
    <r>
      <rPr>
        <sz val="12"/>
        <color theme="1"/>
        <rFont val="Arial Narrow"/>
        <family val="2"/>
      </rPr>
      <t xml:space="preserve"> Count of production rankings for mined minerals (2007).</t>
    </r>
  </si>
  <si>
    <r>
      <t>Table 83.</t>
    </r>
    <r>
      <rPr>
        <sz val="12"/>
        <color theme="1"/>
        <rFont val="Arial Narrow"/>
        <family val="2"/>
      </rPr>
      <t xml:space="preserve"> Count of production rankings for processed minerals (2007).</t>
    </r>
  </si>
  <si>
    <r>
      <t>Table 84.</t>
    </r>
    <r>
      <rPr>
        <sz val="12"/>
        <color theme="1"/>
        <rFont val="Arial Narrow"/>
        <family val="2"/>
      </rPr>
      <t xml:space="preserve"> Count of import rankings for mined minerals (2007).</t>
    </r>
  </si>
  <si>
    <r>
      <t>Table 85.</t>
    </r>
    <r>
      <rPr>
        <sz val="12"/>
        <color theme="1"/>
        <rFont val="Arial Narrow"/>
        <family val="2"/>
      </rPr>
      <t xml:space="preserve"> Count of import rankings for processed minerals (2007).</t>
    </r>
  </si>
  <si>
    <r>
      <t>Rhenium</t>
    </r>
    <r>
      <rPr>
        <vertAlign val="superscript"/>
        <sz val="10"/>
        <color theme="1"/>
        <rFont val="Arial"/>
        <family val="2"/>
      </rPr>
      <t>2</t>
    </r>
  </si>
  <si>
    <r>
      <t>Yttrium</t>
    </r>
    <r>
      <rPr>
        <vertAlign val="superscript"/>
        <sz val="10"/>
        <color theme="1"/>
        <rFont val="Arial"/>
        <family val="2"/>
      </rPr>
      <t>3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</si>
  <si>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Prepared by U.S. Geological Survey, National Minerals Information Center.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</si>
  <si>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Rhenium production data from 1996.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</si>
  <si>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Yttrium production data from 1994.</t>
    </r>
  </si>
  <si>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Data sources:  U.S. Bureau of Mines and U.S. Geological Survey Minerals Yearbook.</t>
    </r>
  </si>
  <si>
    <r>
      <t>Aluminum</t>
    </r>
    <r>
      <rPr>
        <vertAlign val="superscript"/>
        <sz val="10"/>
        <color theme="1"/>
        <rFont val="Arial"/>
        <family val="2"/>
      </rPr>
      <t>2</t>
    </r>
  </si>
  <si>
    <r>
      <t>Bismuth</t>
    </r>
    <r>
      <rPr>
        <vertAlign val="superscript"/>
        <sz val="10"/>
        <color theme="1"/>
        <rFont val="Arial"/>
        <family val="2"/>
      </rPr>
      <t>3</t>
    </r>
  </si>
  <si>
    <r>
      <t>Chromium</t>
    </r>
    <r>
      <rPr>
        <vertAlign val="superscript"/>
        <sz val="10"/>
        <color theme="1"/>
        <rFont val="Arial"/>
        <family val="2"/>
      </rPr>
      <t>3</t>
    </r>
  </si>
  <si>
    <r>
      <t>Copper</t>
    </r>
    <r>
      <rPr>
        <vertAlign val="superscript"/>
        <sz val="10"/>
        <color theme="1"/>
        <rFont val="Arial"/>
        <family val="2"/>
      </rPr>
      <t>4</t>
    </r>
  </si>
  <si>
    <r>
      <t>Germanium</t>
    </r>
    <r>
      <rPr>
        <vertAlign val="superscript"/>
        <sz val="10"/>
        <color theme="1"/>
        <rFont val="Arial"/>
        <family val="2"/>
      </rPr>
      <t>5</t>
    </r>
  </si>
  <si>
    <r>
      <t>Indium</t>
    </r>
    <r>
      <rPr>
        <vertAlign val="superscript"/>
        <sz val="10"/>
        <color theme="1"/>
        <rFont val="Arial"/>
        <family val="2"/>
      </rPr>
      <t>3</t>
    </r>
  </si>
  <si>
    <r>
      <t>Lead</t>
    </r>
    <r>
      <rPr>
        <vertAlign val="superscript"/>
        <sz val="10"/>
        <color theme="1"/>
        <rFont val="Arial"/>
        <family val="2"/>
      </rPr>
      <t>6</t>
    </r>
  </si>
  <si>
    <r>
      <t>Magnesium Metal</t>
    </r>
    <r>
      <rPr>
        <vertAlign val="superscript"/>
        <sz val="10"/>
        <color theme="1"/>
        <rFont val="Arial"/>
        <family val="2"/>
      </rPr>
      <t>3</t>
    </r>
  </si>
  <si>
    <r>
      <t>Molybdenum</t>
    </r>
    <r>
      <rPr>
        <vertAlign val="superscript"/>
        <sz val="10"/>
        <color theme="1"/>
        <rFont val="Arial"/>
        <family val="2"/>
      </rPr>
      <t>7</t>
    </r>
  </si>
  <si>
    <r>
      <t>Nickel</t>
    </r>
    <r>
      <rPr>
        <vertAlign val="superscript"/>
        <sz val="10"/>
        <color theme="1"/>
        <rFont val="Arial"/>
        <family val="2"/>
      </rPr>
      <t>8</t>
    </r>
  </si>
  <si>
    <r>
      <t>Platinum-Group Metals</t>
    </r>
    <r>
      <rPr>
        <vertAlign val="superscript"/>
        <sz val="10"/>
        <color theme="1"/>
        <rFont val="Arial"/>
        <family val="2"/>
      </rPr>
      <t>9</t>
    </r>
  </si>
  <si>
    <r>
      <t>Rhenium</t>
    </r>
    <r>
      <rPr>
        <vertAlign val="superscript"/>
        <sz val="10"/>
        <color theme="1"/>
        <rFont val="Arial"/>
        <family val="2"/>
      </rPr>
      <t>10</t>
    </r>
  </si>
  <si>
    <r>
      <t>Selenium</t>
    </r>
    <r>
      <rPr>
        <vertAlign val="superscript"/>
        <sz val="10"/>
        <color theme="1"/>
        <rFont val="Arial"/>
        <family val="2"/>
      </rPr>
      <t>3</t>
    </r>
  </si>
  <si>
    <r>
      <t>Strontium</t>
    </r>
    <r>
      <rPr>
        <vertAlign val="superscript"/>
        <sz val="10"/>
        <color theme="1"/>
        <rFont val="Arial"/>
        <family val="2"/>
      </rPr>
      <t>11</t>
    </r>
  </si>
  <si>
    <r>
      <t>Tellurium</t>
    </r>
    <r>
      <rPr>
        <vertAlign val="superscript"/>
        <sz val="10"/>
        <color theme="1"/>
        <rFont val="Arial"/>
        <family val="2"/>
      </rPr>
      <t>3</t>
    </r>
  </si>
  <si>
    <r>
      <t>Titanium</t>
    </r>
    <r>
      <rPr>
        <vertAlign val="superscript"/>
        <sz val="10"/>
        <color theme="1"/>
        <rFont val="Arial"/>
        <family val="2"/>
      </rPr>
      <t>3,12</t>
    </r>
  </si>
  <si>
    <r>
      <t>Tungsten</t>
    </r>
    <r>
      <rPr>
        <vertAlign val="superscript"/>
        <sz val="10"/>
        <color theme="1"/>
        <rFont val="Arial"/>
        <family val="2"/>
      </rPr>
      <t>13</t>
    </r>
  </si>
  <si>
    <r>
      <t>Vanadium</t>
    </r>
    <r>
      <rPr>
        <vertAlign val="superscript"/>
        <sz val="10"/>
        <color theme="1"/>
        <rFont val="Arial"/>
        <family val="2"/>
      </rPr>
      <t>7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</si>
  <si>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Prepared by U.S. Geological Survey, National Minerals Information Center. Source: U.S. Geological Survey Minerals Yearbooks (1994 - 2010).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</si>
  <si>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Includes primary and secondary aluminum production.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</si>
  <si>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U.S. is withheld and not included in total mine production.</t>
    </r>
  </si>
  <si>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Includes primary, secondary, and electrowan copper production.</t>
    </r>
  </si>
  <si>
    <r>
      <rPr>
        <vertAlign val="super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Top 2 producers account for over 50% of total production.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</si>
  <si>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Includes primary and secondary lead production.</t>
    </r>
  </si>
  <si>
    <r>
      <rPr>
        <vertAlign val="super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>Data begins in 2003.</t>
    </r>
  </si>
  <si>
    <r>
      <rPr>
        <vertAlign val="super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>China and Finland report chemical and "unspecified" together. This accounts for chemical concentration greater than one, and the omission of the third largest "unspecified" producer.</t>
    </r>
  </si>
  <si>
    <r>
      <rPr>
        <vertAlign val="super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South Africa and Russia are the top processors. Additional processing occurs in Great Britain, Norway, and the U.S. There is also secondary refining in Belgium, Germany, and Japan.</t>
    </r>
  </si>
  <si>
    <r>
      <rPr>
        <vertAlign val="super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Rhenium production in Chile (plant capacity of 30,000 t/yr), Kazakhstan, Armenia, Germany, and Russia. No capacity/output data avialable, other than Chile.</t>
    </r>
  </si>
  <si>
    <r>
      <rPr>
        <vertAlign val="super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Top three processors are China, Mexico, and Germany. Capacity data may be available in the future.</t>
    </r>
  </si>
  <si>
    <r>
      <rPr>
        <vertAlign val="superscript"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 xml:space="preserve">Titanium sponge. Data from U.S. Geological Survey Mineral Commodity Summaries. Data starts in 1994, growth rates are for 16 and 5 years. </t>
    </r>
  </si>
  <si>
    <r>
      <rPr>
        <vertAlign val="superscript"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Tungsten</t>
    </r>
  </si>
  <si>
    <t>Capacity in tons per year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</si>
  <si>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not included in total world mine production.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</si>
  <si>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not included in total world refined production afer 1997.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</si>
  <si>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not included in total world mine production afer 1997.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</si>
  <si>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Top two producers account for more than 50 percent of total production.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</si>
  <si>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was not included in total world refined production.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</si>
  <si>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was not included in total world mine production from 2006 to 2010.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</si>
  <si>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All production for Czechoslovakia in 1992 came from Slovakia.</t>
    </r>
  </si>
  <si>
    <r>
      <t>World refined primary production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</si>
  <si>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was not included in total world mine production between 1999 and 2010.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</si>
  <si>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Estimated based on the typical percentage of manganese content.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</si>
  <si>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Includes nickel sulfate plus exported metal in concentrate.</t>
    </r>
  </si>
  <si>
    <r>
      <t>Finland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</si>
  <si>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China and Finland are both chemical and unspecified. 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</si>
  <si>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Total of East and West Germany.</t>
    </r>
  </si>
  <si>
    <r>
      <t>Germany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</si>
  <si>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Brazil and Sri Lanka each produced 0.2 million metric tons.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</si>
  <si>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No data for China, but it is assumed that China is the leading producer.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</si>
  <si>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No data collected in 1991.</t>
    </r>
  </si>
  <si>
    <r>
      <t>1990</t>
    </r>
    <r>
      <rPr>
        <vertAlign val="superscript"/>
        <sz val="10"/>
        <color theme="1"/>
        <rFont val="Arial"/>
        <family val="2"/>
      </rPr>
      <t>1</t>
    </r>
  </si>
  <si>
    <r>
      <t>1991</t>
    </r>
    <r>
      <rPr>
        <vertAlign val="superscript"/>
        <sz val="10"/>
        <color theme="1"/>
        <rFont val="Arial"/>
        <family val="2"/>
      </rPr>
      <t>2</t>
    </r>
  </si>
  <si>
    <r>
      <t>1992</t>
    </r>
    <r>
      <rPr>
        <vertAlign val="superscript"/>
        <sz val="10"/>
        <color theme="1"/>
        <rFont val="Arial"/>
        <family val="2"/>
      </rPr>
      <t>1</t>
    </r>
  </si>
  <si>
    <r>
      <t>1993</t>
    </r>
    <r>
      <rPr>
        <vertAlign val="superscript"/>
        <sz val="10"/>
        <color theme="1"/>
        <rFont val="Arial"/>
        <family val="2"/>
      </rPr>
      <t>1</t>
    </r>
  </si>
  <si>
    <r>
      <t>1998</t>
    </r>
    <r>
      <rPr>
        <vertAlign val="superscript"/>
        <sz val="10"/>
        <color theme="1"/>
        <rFont val="Arial"/>
        <family val="2"/>
      </rPr>
      <t>1</t>
    </r>
  </si>
  <si>
    <r>
      <t>1997</t>
    </r>
    <r>
      <rPr>
        <vertAlign val="superscript"/>
        <sz val="10"/>
        <color theme="1"/>
        <rFont val="Arial"/>
        <family val="2"/>
      </rPr>
      <t>1</t>
    </r>
  </si>
  <si>
    <r>
      <t>1996</t>
    </r>
    <r>
      <rPr>
        <vertAlign val="superscript"/>
        <sz val="10"/>
        <color theme="1"/>
        <rFont val="Arial"/>
        <family val="2"/>
      </rPr>
      <t>1</t>
    </r>
  </si>
  <si>
    <r>
      <t>1995</t>
    </r>
    <r>
      <rPr>
        <vertAlign val="superscript"/>
        <sz val="10"/>
        <color theme="1"/>
        <rFont val="Arial"/>
        <family val="2"/>
      </rPr>
      <t>1</t>
    </r>
  </si>
  <si>
    <r>
      <t>1994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</si>
  <si>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No data collected in 1991.</t>
    </r>
  </si>
  <si>
    <r>
      <t>1991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</si>
  <si>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Canada listed as shipments.</t>
    </r>
  </si>
  <si>
    <r>
      <t>Australia/Canada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</si>
  <si>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Total does not include data from some major producers.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</si>
  <si>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Production in former Soviet Republics: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</si>
  <si>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The United States was the third highest producer at 102,000 metric tons (1990) and 103,000 metric tons (1991).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</si>
  <si>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MCS, Mineral Commodity Summaries are available at http://minerals.usgs.gov/minerals/pubs/mcs/.</t>
    </r>
  </si>
  <si>
    <r>
      <t>Based on MCS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import sources</t>
    </r>
  </si>
  <si>
    <t>Growth rate %</t>
  </si>
  <si>
    <t>Three country concentration ratio</t>
  </si>
  <si>
    <t>Raw production</t>
  </si>
  <si>
    <t>U.S. raw production</t>
  </si>
  <si>
    <t>World raw production</t>
  </si>
  <si>
    <r>
      <t>Ferromanganese, metal content</t>
    </r>
    <r>
      <rPr>
        <b/>
        <vertAlign val="superscript"/>
        <sz val="10"/>
        <rFont val="Arial"/>
        <family val="2"/>
      </rPr>
      <t>1</t>
    </r>
  </si>
  <si>
    <t>[ferromoly, ferromolybdenum]</t>
  </si>
  <si>
    <t>Unspecified Nickel Production</t>
  </si>
  <si>
    <t>[Fmr Sov Rep, Former Soviet Republics]</t>
  </si>
  <si>
    <r>
      <t>Brazil/Sri Lanka</t>
    </r>
    <r>
      <rPr>
        <vertAlign val="superscript"/>
        <sz val="10"/>
        <color theme="1"/>
        <rFont val="Arial"/>
        <family val="2"/>
      </rPr>
      <t>1</t>
    </r>
  </si>
  <si>
    <t>[Data not reported until the 2000 Minerals Yearbook (U.S. Geological Survey, 1996 - 2012a)]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</si>
  <si>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was not included in total world mine production after 1996.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</si>
  <si>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U.S. data is withheld and was not included in total world mine production.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</si>
  <si>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is withheld and was not included in total world mine production.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</si>
  <si>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data withheld and was not included in total world mine production.</t>
    </r>
  </si>
  <si>
    <t>[FeV, ferrovanadium]</t>
  </si>
  <si>
    <r>
      <t>Table 74.</t>
    </r>
    <r>
      <rPr>
        <sz val="12"/>
        <color theme="1"/>
        <rFont val="Arial Narrow"/>
        <family val="2"/>
      </rPr>
      <t xml:space="preserve"> Global production of ferrovanadium, the three leading producing countries, and the concentration ratio of the top three producing countries (thousand metric tons).</t>
    </r>
  </si>
  <si>
    <r>
      <t>Table 75.</t>
    </r>
    <r>
      <rPr>
        <sz val="12"/>
        <color theme="1"/>
        <rFont val="Arial Narrow"/>
        <family val="2"/>
      </rPr>
      <t xml:space="preserve"> Global production of mined yttrium, the three leading producing countries, and the concentration ratio of the top three producing countries (metric tons).</t>
    </r>
  </si>
  <si>
    <r>
      <t>Table 76.</t>
    </r>
    <r>
      <rPr>
        <sz val="12"/>
        <color theme="1"/>
        <rFont val="Arial Narrow"/>
        <family val="2"/>
      </rPr>
      <t xml:space="preserve"> Global production of refined yttrium, the three leading producing countries, and the concentration ratio of the top three producing countries.</t>
    </r>
  </si>
  <si>
    <r>
      <t>Table 77.</t>
    </r>
    <r>
      <rPr>
        <sz val="12"/>
        <color theme="1"/>
        <rFont val="Arial Narrow"/>
        <family val="2"/>
      </rPr>
      <t xml:space="preserve"> Global production of mined zinc, the three leading producing countries, and the concentration ratio of the top three producing countries (thousand metric tons).</t>
    </r>
  </si>
  <si>
    <r>
      <t>Table 78.</t>
    </r>
    <r>
      <rPr>
        <sz val="12"/>
        <color theme="1"/>
        <rFont val="Arial Narrow"/>
        <family val="2"/>
      </rPr>
      <t xml:space="preserve"> Global production of smeltered zinc, three leading producing countries, and the concentration ratio of the top three producing countries (thousand metric tons).</t>
    </r>
  </si>
  <si>
    <r>
      <t>Table 79.</t>
    </r>
    <r>
      <rPr>
        <sz val="12"/>
        <color theme="1"/>
        <rFont val="Arial Narrow"/>
        <family val="2"/>
      </rPr>
      <t xml:space="preserve"> Global production of mined zirconium, the three leading producing countries, and the concentration ratio of the top three producing countries (thousand metric tons).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</si>
  <si>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U.S. production data is withheld and was not included in world mine production after 1992.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</si>
</sst>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00_);_(* \(#,##0.000\);_(* &quot;-&quot;??_);_(@_)"/>
    <numFmt numFmtId="168" formatCode="0.0%"/>
    <numFmt numFmtId="169" formatCode="_(* #,##0.00000_);_(* \(#,##0.00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b/>
      <vertAlign val="superscript"/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vertAlign val="superscript"/>
      <sz val="12"/>
      <color theme="1"/>
      <name val="Arial Narrow"/>
      <family val="2"/>
    </font>
    <font>
      <sz val="10"/>
      <color theme="1"/>
      <name val="Times New Roman"/>
      <family val="1"/>
    </font>
    <font>
      <vertAlign val="subscript"/>
      <sz val="12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6">
    <xf numFmtId="0" fontId="0" fillId="0" borderId="0" xfId="0"/>
    <xf numFmtId="43" fontId="4" fillId="0" borderId="0" xfId="1" applyFont="1" applyBorder="1"/>
    <xf numFmtId="43" fontId="3" fillId="0" borderId="0" xfId="1" applyFont="1" applyBorder="1"/>
    <xf numFmtId="43" fontId="3" fillId="0" borderId="0" xfId="1" applyFont="1" applyBorder="1" applyAlignment="1"/>
    <xf numFmtId="43" fontId="3" fillId="0" borderId="0" xfId="1" applyFont="1" applyBorder="1" applyAlignment="1">
      <alignment horizontal="right"/>
    </xf>
    <xf numFmtId="43" fontId="5" fillId="0" borderId="0" xfId="1" applyFont="1" applyBorder="1"/>
    <xf numFmtId="43" fontId="5" fillId="0" borderId="0" xfId="1" applyFont="1" applyBorder="1" applyAlignment="1">
      <alignment horizontal="right"/>
    </xf>
    <xf numFmtId="49" fontId="5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2" fillId="0" borderId="0" xfId="0" applyFont="1"/>
    <xf numFmtId="49" fontId="3" fillId="0" borderId="0" xfId="1" applyNumberFormat="1" applyFont="1" applyBorder="1" applyAlignment="1">
      <alignment horizontal="center" vertical="center" wrapText="1"/>
    </xf>
    <xf numFmtId="0" fontId="0" fillId="0" borderId="0" xfId="0" applyFont="1"/>
    <xf numFmtId="49" fontId="3" fillId="0" borderId="1" xfId="1" applyNumberFormat="1" applyFont="1" applyBorder="1" applyAlignment="1">
      <alignment horizontal="center" vertical="center" wrapText="1"/>
    </xf>
    <xf numFmtId="43" fontId="3" fillId="0" borderId="0" xfId="1" applyFont="1" applyAlignment="1"/>
    <xf numFmtId="43" fontId="3" fillId="0" borderId="0" xfId="1" applyFont="1" applyFill="1" applyBorder="1" applyAlignment="1">
      <alignment horizontal="right"/>
    </xf>
    <xf numFmtId="43" fontId="3" fillId="0" borderId="0" xfId="1" applyFont="1" applyAlignment="1">
      <alignment horizontal="right"/>
    </xf>
    <xf numFmtId="43" fontId="3" fillId="0" borderId="0" xfId="1" quotePrefix="1" applyFont="1" applyFill="1" applyBorder="1" applyAlignment="1">
      <alignment horizontal="right"/>
    </xf>
    <xf numFmtId="43" fontId="5" fillId="0" borderId="1" xfId="1" applyFont="1" applyBorder="1" applyAlignment="1"/>
    <xf numFmtId="43" fontId="2" fillId="0" borderId="0" xfId="1" applyFont="1"/>
    <xf numFmtId="43" fontId="2" fillId="0" borderId="0" xfId="1" applyNumberFormat="1" applyFont="1"/>
    <xf numFmtId="0" fontId="0" fillId="0" borderId="0" xfId="0" applyAlignment="1">
      <alignment horizontal="left"/>
    </xf>
    <xf numFmtId="165" fontId="0" fillId="0" borderId="0" xfId="1" applyNumberFormat="1" applyFont="1"/>
    <xf numFmtId="164" fontId="3" fillId="0" borderId="0" xfId="1" applyNumberFormat="1" applyFont="1" applyAlignment="1"/>
    <xf numFmtId="164" fontId="3" fillId="0" borderId="0" xfId="1" quotePrefix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5" fontId="3" fillId="0" borderId="0" xfId="1" applyNumberFormat="1" applyFont="1" applyAlignment="1"/>
    <xf numFmtId="165" fontId="3" fillId="0" borderId="0" xfId="1" quotePrefix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5" fontId="3" fillId="0" borderId="0" xfId="1" applyNumberFormat="1" applyFont="1" applyAlignment="1">
      <alignment horizontal="right"/>
    </xf>
    <xf numFmtId="43" fontId="3" fillId="0" borderId="0" xfId="1" applyNumberFormat="1" applyFont="1" applyAlignment="1"/>
    <xf numFmtId="43" fontId="3" fillId="0" borderId="0" xfId="1" applyNumberFormat="1" applyFont="1" applyAlignment="1">
      <alignment horizontal="right"/>
    </xf>
    <xf numFmtId="43" fontId="3" fillId="0" borderId="0" xfId="1" quotePrefix="1" applyNumberFormat="1" applyFont="1" applyFill="1" applyBorder="1" applyAlignment="1">
      <alignment horizontal="right"/>
    </xf>
    <xf numFmtId="43" fontId="3" fillId="0" borderId="0" xfId="1" applyNumberFormat="1" applyFont="1" applyFill="1" applyBorder="1" applyAlignment="1">
      <alignment horizontal="right"/>
    </xf>
    <xf numFmtId="43" fontId="5" fillId="0" borderId="0" xfId="1" applyFont="1" applyBorder="1" applyAlignment="1">
      <alignment horizontal="center"/>
    </xf>
    <xf numFmtId="49" fontId="0" fillId="0" borderId="0" xfId="0" applyNumberFormat="1"/>
    <xf numFmtId="0" fontId="5" fillId="0" borderId="0" xfId="1" applyNumberFormat="1" applyFont="1" applyBorder="1"/>
    <xf numFmtId="49" fontId="3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wrapText="1"/>
    </xf>
    <xf numFmtId="49" fontId="3" fillId="0" borderId="0" xfId="1" applyNumberFormat="1" applyFont="1" applyFill="1" applyBorder="1" applyAlignment="1">
      <alignment horizontal="center" wrapText="1"/>
    </xf>
    <xf numFmtId="43" fontId="3" fillId="0" borderId="0" xfId="1" applyFont="1" applyFill="1" applyAlignment="1"/>
    <xf numFmtId="43" fontId="3" fillId="0" borderId="0" xfId="1" applyFont="1" applyFill="1" applyAlignment="1">
      <alignment horizontal="right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Fill="1"/>
    <xf numFmtId="43" fontId="3" fillId="0" borderId="0" xfId="1" applyFont="1" applyBorder="1" applyAlignment="1">
      <alignment horizontal="left"/>
    </xf>
    <xf numFmtId="2" fontId="0" fillId="0" borderId="0" xfId="0" applyNumberFormat="1"/>
    <xf numFmtId="3" fontId="0" fillId="0" borderId="0" xfId="0" applyNumberFormat="1"/>
    <xf numFmtId="43" fontId="5" fillId="0" borderId="0" xfId="1" applyFont="1" applyBorder="1" applyAlignment="1">
      <alignment horizontal="center"/>
    </xf>
    <xf numFmtId="49" fontId="5" fillId="0" borderId="2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66" fontId="3" fillId="0" borderId="0" xfId="1" applyNumberFormat="1" applyFont="1" applyAlignment="1">
      <alignment horizontal="right"/>
    </xf>
    <xf numFmtId="166" fontId="3" fillId="0" borderId="0" xfId="1" quotePrefix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 applyBorder="1" applyAlignment="1">
      <alignment horizontal="center"/>
    </xf>
    <xf numFmtId="49" fontId="5" fillId="0" borderId="4" xfId="1" applyNumberFormat="1" applyFont="1" applyBorder="1" applyAlignment="1">
      <alignment horizontal="center" vertical="center" wrapText="1"/>
    </xf>
    <xf numFmtId="43" fontId="1" fillId="0" borderId="0" xfId="1" applyFont="1" applyAlignment="1">
      <alignment horizontal="center"/>
    </xf>
    <xf numFmtId="43" fontId="1" fillId="0" borderId="0" xfId="1" applyFont="1"/>
    <xf numFmtId="0" fontId="0" fillId="0" borderId="0" xfId="0" applyBorder="1"/>
    <xf numFmtId="43" fontId="0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167" fontId="5" fillId="0" borderId="0" xfId="1" applyNumberFormat="1" applyFont="1" applyBorder="1" applyAlignment="1">
      <alignment horizontal="right"/>
    </xf>
    <xf numFmtId="167" fontId="5" fillId="0" borderId="0" xfId="1" applyNumberFormat="1" applyFont="1" applyBorder="1" applyAlignment="1">
      <alignment horizontal="center"/>
    </xf>
    <xf numFmtId="167" fontId="5" fillId="0" borderId="1" xfId="1" applyNumberFormat="1" applyFont="1" applyBorder="1" applyAlignment="1">
      <alignment horizontal="center" vertical="center" wrapText="1"/>
    </xf>
    <xf numFmtId="167" fontId="1" fillId="0" borderId="0" xfId="1" applyNumberFormat="1" applyFont="1"/>
    <xf numFmtId="167" fontId="3" fillId="0" borderId="0" xfId="1" applyNumberFormat="1" applyFont="1" applyBorder="1" applyAlignment="1">
      <alignment horizontal="center" vertical="center" wrapText="1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43" fontId="3" fillId="0" borderId="0" xfId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8" fontId="0" fillId="0" borderId="0" xfId="2" applyNumberFormat="1" applyFont="1"/>
    <xf numFmtId="43" fontId="9" fillId="0" borderId="0" xfId="1" applyFont="1" applyBorder="1"/>
    <xf numFmtId="49" fontId="2" fillId="0" borderId="0" xfId="1" applyNumberFormat="1" applyFont="1" applyAlignment="1">
      <alignment horizontal="center"/>
    </xf>
    <xf numFmtId="49" fontId="1" fillId="0" borderId="0" xfId="1" applyNumberFormat="1" applyFont="1"/>
    <xf numFmtId="43" fontId="1" fillId="0" borderId="0" xfId="1" applyFont="1" applyAlignment="1">
      <alignment horizontal="left" indent="1"/>
    </xf>
    <xf numFmtId="49" fontId="5" fillId="0" borderId="0" xfId="1" applyNumberFormat="1" applyFont="1" applyBorder="1" applyAlignment="1">
      <alignment horizontal="center" vertical="center" wrapText="1"/>
    </xf>
    <xf numFmtId="43" fontId="4" fillId="0" borderId="0" xfId="1" applyFont="1" applyBorder="1" applyAlignment="1">
      <alignment horizontal="center" wrapText="1"/>
    </xf>
    <xf numFmtId="43" fontId="4" fillId="0" borderId="0" xfId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43" fontId="0" fillId="0" borderId="0" xfId="1" applyFont="1" applyBorder="1"/>
    <xf numFmtId="43" fontId="2" fillId="0" borderId="0" xfId="1" applyFont="1" applyBorder="1"/>
    <xf numFmtId="0" fontId="0" fillId="0" borderId="0" xfId="0" applyFont="1" applyBorder="1"/>
    <xf numFmtId="43" fontId="5" fillId="0" borderId="0" xfId="1" applyFont="1" applyBorder="1" applyAlignment="1"/>
    <xf numFmtId="0" fontId="0" fillId="0" borderId="0" xfId="0" applyAlignment="1">
      <alignment horizontal="center"/>
    </xf>
    <xf numFmtId="43" fontId="4" fillId="0" borderId="0" xfId="1" applyFont="1" applyBorder="1" applyAlignment="1">
      <alignment horizontal="center" wrapText="1"/>
    </xf>
    <xf numFmtId="43" fontId="5" fillId="0" borderId="0" xfId="1" applyFont="1" applyBorder="1" applyAlignment="1">
      <alignment horizontal="center"/>
    </xf>
    <xf numFmtId="49" fontId="2" fillId="0" borderId="0" xfId="1" applyNumberFormat="1" applyFont="1"/>
    <xf numFmtId="49" fontId="9" fillId="0" borderId="0" xfId="1" applyNumberFormat="1" applyFont="1" applyBorder="1"/>
    <xf numFmtId="43" fontId="5" fillId="0" borderId="1" xfId="1" applyFont="1" applyFill="1" applyBorder="1" applyAlignment="1">
      <alignment horizontal="center"/>
    </xf>
    <xf numFmtId="43" fontId="5" fillId="0" borderId="10" xfId="1" applyFont="1" applyBorder="1" applyAlignment="1">
      <alignment horizontal="center" vertical="center" wrapText="1"/>
    </xf>
    <xf numFmtId="43" fontId="5" fillId="0" borderId="0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5" fillId="0" borderId="3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 wrapText="1"/>
    </xf>
    <xf numFmtId="43" fontId="5" fillId="0" borderId="5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67" fontId="5" fillId="0" borderId="3" xfId="1" applyNumberFormat="1" applyFont="1" applyBorder="1" applyAlignment="1">
      <alignment horizontal="center" vertical="center" wrapText="1"/>
    </xf>
    <xf numFmtId="43" fontId="5" fillId="0" borderId="2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43" fontId="5" fillId="0" borderId="0" xfId="1" applyFont="1" applyBorder="1" applyAlignment="1">
      <alignment horizontal="center"/>
    </xf>
    <xf numFmtId="43" fontId="4" fillId="0" borderId="0" xfId="1" applyFont="1" applyBorder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17" fillId="0" borderId="0" xfId="0" applyFont="1"/>
    <xf numFmtId="43" fontId="4" fillId="0" borderId="0" xfId="1" applyFont="1" applyBorder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43" fontId="0" fillId="0" borderId="0" xfId="1" quotePrefix="1" applyFont="1" applyAlignment="1">
      <alignment horizontal="center"/>
    </xf>
    <xf numFmtId="49" fontId="3" fillId="0" borderId="0" xfId="1" applyNumberFormat="1" applyFont="1" applyBorder="1" applyAlignment="1">
      <alignment horizontal="center" vertical="center"/>
    </xf>
    <xf numFmtId="43" fontId="3" fillId="0" borderId="0" xfId="1" quotePrefix="1" applyFont="1" applyFill="1" applyBorder="1" applyAlignment="1">
      <alignment horizontal="center"/>
    </xf>
    <xf numFmtId="0" fontId="3" fillId="0" borderId="0" xfId="1" applyNumberFormat="1" applyFont="1" applyAlignment="1"/>
    <xf numFmtId="49" fontId="4" fillId="0" borderId="0" xfId="1" applyNumberFormat="1" applyFont="1" applyBorder="1" applyAlignment="1"/>
    <xf numFmtId="164" fontId="3" fillId="0" borderId="0" xfId="1" applyNumberFormat="1" applyFont="1" applyAlignment="1">
      <alignment horizontal="right"/>
    </xf>
    <xf numFmtId="43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43" fontId="19" fillId="0" borderId="0" xfId="1" applyFont="1" applyAlignment="1">
      <alignment horizontal="center"/>
    </xf>
    <xf numFmtId="43" fontId="20" fillId="0" borderId="9" xfId="1" applyFont="1" applyBorder="1" applyAlignment="1">
      <alignment horizontal="center" vertical="center" wrapText="1"/>
    </xf>
    <xf numFmtId="0" fontId="20" fillId="0" borderId="9" xfId="1" applyNumberFormat="1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43" fontId="20" fillId="0" borderId="10" xfId="1" applyFont="1" applyBorder="1" applyAlignment="1">
      <alignment horizontal="center" vertical="center" wrapText="1"/>
    </xf>
    <xf numFmtId="168" fontId="19" fillId="0" borderId="0" xfId="2" applyNumberFormat="1" applyFont="1" applyAlignment="1">
      <alignment horizontal="left"/>
    </xf>
    <xf numFmtId="2" fontId="19" fillId="0" borderId="0" xfId="2" applyNumberFormat="1" applyFont="1" applyAlignment="1">
      <alignment horizontal="center"/>
    </xf>
    <xf numFmtId="10" fontId="19" fillId="0" borderId="0" xfId="2" applyNumberFormat="1" applyFont="1" applyAlignment="1">
      <alignment horizontal="center"/>
    </xf>
    <xf numFmtId="168" fontId="19" fillId="0" borderId="0" xfId="2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indent="1"/>
    </xf>
    <xf numFmtId="9" fontId="19" fillId="0" borderId="0" xfId="2" applyFont="1" applyAlignment="1">
      <alignment horizontal="center"/>
    </xf>
    <xf numFmtId="0" fontId="19" fillId="0" borderId="0" xfId="0" applyFont="1"/>
    <xf numFmtId="168" fontId="19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39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43" fontId="19" fillId="0" borderId="0" xfId="0" applyNumberFormat="1" applyFont="1" applyAlignment="1">
      <alignment horizontal="center"/>
    </xf>
    <xf numFmtId="39" fontId="19" fillId="0" borderId="0" xfId="1" applyNumberFormat="1" applyFont="1" applyAlignment="1">
      <alignment horizontal="center"/>
    </xf>
    <xf numFmtId="10" fontId="19" fillId="0" borderId="0" xfId="1" applyNumberFormat="1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10" fontId="19" fillId="0" borderId="0" xfId="0" applyNumberFormat="1" applyFont="1" applyFill="1" applyAlignment="1">
      <alignment horizontal="center"/>
    </xf>
    <xf numFmtId="43" fontId="19" fillId="0" borderId="0" xfId="0" applyNumberFormat="1" applyFont="1" applyFill="1" applyAlignment="1">
      <alignment horizontal="center"/>
    </xf>
    <xf numFmtId="168" fontId="19" fillId="0" borderId="0" xfId="2" applyNumberFormat="1" applyFont="1" applyFill="1" applyAlignment="1">
      <alignment horizontal="center"/>
    </xf>
    <xf numFmtId="168" fontId="19" fillId="0" borderId="0" xfId="0" applyNumberFormat="1" applyFont="1" applyFill="1" applyAlignment="1">
      <alignment horizontal="center"/>
    </xf>
    <xf numFmtId="43" fontId="19" fillId="0" borderId="0" xfId="0" applyNumberFormat="1" applyFont="1" applyAlignment="1">
      <alignment horizontal="right"/>
    </xf>
    <xf numFmtId="43" fontId="19" fillId="0" borderId="0" xfId="0" applyNumberFormat="1" applyFont="1"/>
    <xf numFmtId="43" fontId="20" fillId="0" borderId="0" xfId="1" applyNumberFormat="1" applyFont="1"/>
    <xf numFmtId="0" fontId="19" fillId="0" borderId="6" xfId="0" applyFont="1" applyBorder="1"/>
    <xf numFmtId="3" fontId="19" fillId="0" borderId="0" xfId="0" applyNumberFormat="1" applyFont="1"/>
    <xf numFmtId="3" fontId="3" fillId="0" borderId="0" xfId="1" applyNumberFormat="1" applyFont="1" applyBorder="1" applyAlignment="1">
      <alignment horizontal="center" vertical="center" wrapText="1"/>
    </xf>
    <xf numFmtId="166" fontId="19" fillId="0" borderId="0" xfId="1" applyNumberFormat="1" applyFont="1"/>
    <xf numFmtId="3" fontId="19" fillId="0" borderId="0" xfId="1" applyNumberFormat="1" applyFont="1" applyAlignment="1">
      <alignment wrapText="1"/>
    </xf>
    <xf numFmtId="0" fontId="19" fillId="0" borderId="0" xfId="0" applyFont="1" applyAlignment="1"/>
    <xf numFmtId="0" fontId="20" fillId="0" borderId="0" xfId="0" applyFont="1"/>
    <xf numFmtId="165" fontId="19" fillId="0" borderId="0" xfId="1" applyNumberFormat="1" applyFont="1"/>
    <xf numFmtId="43" fontId="19" fillId="0" borderId="0" xfId="1" applyFont="1"/>
    <xf numFmtId="43" fontId="19" fillId="0" borderId="0" xfId="1" applyFont="1" applyBorder="1"/>
    <xf numFmtId="2" fontId="19" fillId="0" borderId="0" xfId="0" applyNumberFormat="1" applyFont="1"/>
    <xf numFmtId="0" fontId="2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3" fontId="19" fillId="0" borderId="0" xfId="1" applyNumberFormat="1" applyFont="1"/>
    <xf numFmtId="43" fontId="19" fillId="0" borderId="0" xfId="1" quotePrefix="1" applyFont="1" applyAlignment="1">
      <alignment horizontal="center"/>
    </xf>
    <xf numFmtId="167" fontId="19" fillId="0" borderId="0" xfId="1" applyNumberFormat="1" applyFont="1"/>
    <xf numFmtId="167" fontId="19" fillId="0" borderId="0" xfId="1" applyNumberFormat="1" applyFont="1" applyAlignment="1">
      <alignment horizontal="center"/>
    </xf>
    <xf numFmtId="49" fontId="19" fillId="0" borderId="0" xfId="1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center"/>
    </xf>
    <xf numFmtId="43" fontId="19" fillId="0" borderId="0" xfId="1" applyFont="1" applyAlignment="1">
      <alignment horizontal="left"/>
    </xf>
    <xf numFmtId="43" fontId="20" fillId="0" borderId="0" xfId="1" applyFont="1" applyBorder="1"/>
    <xf numFmtId="166" fontId="19" fillId="0" borderId="0" xfId="0" applyNumberFormat="1" applyFont="1"/>
    <xf numFmtId="0" fontId="19" fillId="0" borderId="0" xfId="0" applyFont="1" applyBorder="1"/>
    <xf numFmtId="43" fontId="20" fillId="0" borderId="0" xfId="1" applyNumberFormat="1" applyFont="1" applyBorder="1"/>
    <xf numFmtId="0" fontId="19" fillId="0" borderId="0" xfId="0" applyFont="1" applyFill="1" applyBorder="1" applyAlignment="1">
      <alignment horizontal="center"/>
    </xf>
    <xf numFmtId="43" fontId="19" fillId="0" borderId="0" xfId="1" applyNumberFormat="1" applyFont="1" applyFill="1"/>
    <xf numFmtId="0" fontId="19" fillId="0" borderId="0" xfId="1" applyNumberFormat="1" applyFont="1" applyFill="1" applyAlignment="1">
      <alignment horizontal="center"/>
    </xf>
    <xf numFmtId="43" fontId="19" fillId="0" borderId="0" xfId="1" applyFont="1" applyFill="1"/>
    <xf numFmtId="43" fontId="19" fillId="0" borderId="0" xfId="1" applyFont="1" applyFill="1" applyAlignment="1">
      <alignment horizontal="center"/>
    </xf>
    <xf numFmtId="43" fontId="20" fillId="0" borderId="0" xfId="1" applyNumberFormat="1" applyFont="1" applyFill="1" applyBorder="1"/>
    <xf numFmtId="0" fontId="19" fillId="0" borderId="0" xfId="1" applyNumberFormat="1" applyFont="1"/>
    <xf numFmtId="43" fontId="20" fillId="0" borderId="0" xfId="1" applyFont="1"/>
    <xf numFmtId="0" fontId="19" fillId="0" borderId="0" xfId="1" applyNumberFormat="1" applyFont="1" applyAlignment="1">
      <alignment horizontal="right"/>
    </xf>
    <xf numFmtId="165" fontId="19" fillId="0" borderId="0" xfId="0" applyNumberFormat="1" applyFont="1"/>
    <xf numFmtId="49" fontId="19" fillId="0" borderId="0" xfId="1" applyNumberFormat="1" applyFont="1"/>
    <xf numFmtId="49" fontId="19" fillId="0" borderId="0" xfId="0" applyNumberFormat="1" applyFont="1"/>
    <xf numFmtId="0" fontId="19" fillId="0" borderId="0" xfId="0" applyFont="1" applyFill="1" applyBorder="1" applyAlignment="1">
      <alignment horizontal="left"/>
    </xf>
    <xf numFmtId="49" fontId="19" fillId="0" borderId="0" xfId="0" applyNumberFormat="1" applyFont="1" applyAlignment="1">
      <alignment horizontal="left"/>
    </xf>
    <xf numFmtId="164" fontId="19" fillId="0" borderId="0" xfId="1" applyNumberFormat="1" applyFont="1"/>
    <xf numFmtId="166" fontId="3" fillId="0" borderId="0" xfId="1" quotePrefix="1" applyNumberFormat="1" applyFont="1" applyFill="1" applyBorder="1" applyAlignment="1"/>
    <xf numFmtId="3" fontId="19" fillId="0" borderId="0" xfId="0" applyNumberFormat="1" applyFont="1" applyAlignment="1">
      <alignment horizontal="center"/>
    </xf>
    <xf numFmtId="3" fontId="19" fillId="0" borderId="0" xfId="1" applyNumberFormat="1" applyFont="1" applyAlignment="1">
      <alignment horizontal="center" wrapText="1"/>
    </xf>
    <xf numFmtId="3" fontId="19" fillId="0" borderId="0" xfId="0" applyNumberFormat="1" applyFont="1" applyAlignment="1">
      <alignment horizontal="center" vertical="center"/>
    </xf>
    <xf numFmtId="166" fontId="19" fillId="0" borderId="0" xfId="1" applyNumberFormat="1" applyFont="1" applyAlignment="1"/>
    <xf numFmtId="166" fontId="3" fillId="0" borderId="0" xfId="1" applyNumberFormat="1" applyFont="1" applyFill="1" applyBorder="1" applyAlignment="1"/>
    <xf numFmtId="166" fontId="19" fillId="0" borderId="0" xfId="0" applyNumberFormat="1" applyFont="1" applyAlignment="1"/>
    <xf numFmtId="0" fontId="19" fillId="0" borderId="0" xfId="0" applyNumberFormat="1" applyFont="1"/>
    <xf numFmtId="49" fontId="20" fillId="0" borderId="0" xfId="1" applyNumberFormat="1" applyFont="1" applyAlignment="1">
      <alignment horizontal="left"/>
    </xf>
    <xf numFmtId="49" fontId="20" fillId="0" borderId="0" xfId="1" applyNumberFormat="1" applyFont="1" applyAlignment="1">
      <alignment horizontal="center"/>
    </xf>
    <xf numFmtId="49" fontId="20" fillId="0" borderId="0" xfId="1" applyNumberFormat="1" applyFont="1" applyAlignment="1">
      <alignment horizontal="left" indent="1"/>
    </xf>
    <xf numFmtId="165" fontId="19" fillId="0" borderId="0" xfId="1" applyNumberFormat="1" applyFont="1" applyAlignment="1">
      <alignment horizontal="center"/>
    </xf>
    <xf numFmtId="165" fontId="19" fillId="0" borderId="0" xfId="1" quotePrefix="1" applyNumberFormat="1" applyFont="1" applyAlignment="1">
      <alignment horizontal="center"/>
    </xf>
    <xf numFmtId="49" fontId="20" fillId="0" borderId="0" xfId="1" applyNumberFormat="1" applyFont="1" applyAlignment="1">
      <alignment horizontal="left" indent="2"/>
    </xf>
    <xf numFmtId="43" fontId="19" fillId="0" borderId="0" xfId="1" quotePrefix="1" applyFont="1" applyAlignment="1">
      <alignment horizontal="right"/>
    </xf>
    <xf numFmtId="43" fontId="19" fillId="0" borderId="0" xfId="1" applyFont="1" applyAlignment="1">
      <alignment horizontal="right"/>
    </xf>
    <xf numFmtId="49" fontId="19" fillId="0" borderId="0" xfId="1" applyNumberFormat="1" applyFont="1" applyAlignment="1">
      <alignment horizontal="left"/>
    </xf>
    <xf numFmtId="49" fontId="20" fillId="0" borderId="0" xfId="1" applyNumberFormat="1" applyFont="1"/>
    <xf numFmtId="165" fontId="19" fillId="0" borderId="0" xfId="1" applyNumberFormat="1" applyFont="1" applyAlignment="1">
      <alignment horizontal="right"/>
    </xf>
    <xf numFmtId="169" fontId="19" fillId="0" borderId="0" xfId="1" applyNumberFormat="1" applyFont="1" applyAlignment="1">
      <alignment horizontal="center"/>
    </xf>
    <xf numFmtId="43" fontId="19" fillId="0" borderId="0" xfId="1" applyNumberFormat="1" applyFont="1" applyAlignment="1">
      <alignment horizontal="center"/>
    </xf>
    <xf numFmtId="43" fontId="3" fillId="0" borderId="0" xfId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167" fontId="19" fillId="0" borderId="0" xfId="1" quotePrefix="1" applyNumberFormat="1" applyFont="1" applyAlignment="1">
      <alignment horizontal="center"/>
    </xf>
    <xf numFmtId="0" fontId="3" fillId="0" borderId="0" xfId="0" applyFont="1" applyBorder="1" applyAlignment="1" applyProtection="1">
      <alignment horizontal="right" vertical="center" justifyLastLine="1"/>
      <protection locked="0"/>
    </xf>
    <xf numFmtId="0" fontId="3" fillId="0" borderId="0" xfId="0" applyNumberFormat="1" applyFont="1" applyBorder="1" applyAlignment="1" applyProtection="1">
      <alignment horizontal="right" vertical="center" justifyLastLine="1"/>
      <protection locked="0"/>
    </xf>
    <xf numFmtId="43" fontId="19" fillId="0" borderId="0" xfId="1" applyFont="1" applyBorder="1" applyAlignment="1">
      <alignment horizontal="center"/>
    </xf>
    <xf numFmtId="165" fontId="3" fillId="0" borderId="0" xfId="1" applyNumberFormat="1" applyFont="1" applyBorder="1" applyAlignment="1" applyProtection="1">
      <alignment horizontal="center" vertical="center" justifyLastLine="1"/>
      <protection locked="0"/>
    </xf>
    <xf numFmtId="165" fontId="19" fillId="0" borderId="0" xfId="1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 indent="2"/>
    </xf>
    <xf numFmtId="0" fontId="20" fillId="0" borderId="0" xfId="0" applyFont="1" applyFill="1" applyAlignment="1">
      <alignment horizontal="left" indent="1"/>
    </xf>
    <xf numFmtId="43" fontId="20" fillId="0" borderId="0" xfId="1" applyFont="1" applyAlignment="1">
      <alignment horizontal="left" indent="1"/>
    </xf>
    <xf numFmtId="168" fontId="19" fillId="0" borderId="0" xfId="2" applyNumberFormat="1" applyFont="1"/>
    <xf numFmtId="43" fontId="20" fillId="0" borderId="0" xfId="1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22" fillId="0" borderId="0" xfId="0" applyFont="1" applyAlignment="1">
      <alignment horizontal="center"/>
    </xf>
    <xf numFmtId="168" fontId="22" fillId="0" borderId="0" xfId="2" applyNumberFormat="1" applyFont="1"/>
    <xf numFmtId="43" fontId="19" fillId="0" borderId="0" xfId="1" applyFont="1" applyAlignment="1">
      <alignment horizontal="left" indent="1"/>
    </xf>
    <xf numFmtId="49" fontId="19" fillId="0" borderId="0" xfId="1" applyNumberFormat="1" applyFont="1" applyAlignment="1">
      <alignment horizontal="left" indent="1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left" vertical="center" indent="1"/>
      <protection locked="0"/>
    </xf>
    <xf numFmtId="0" fontId="3" fillId="0" borderId="0" xfId="0" applyFont="1" applyBorder="1" applyAlignment="1" applyProtection="1">
      <alignment horizontal="left" vertical="center" indent="1"/>
      <protection locked="0"/>
    </xf>
    <xf numFmtId="0" fontId="19" fillId="0" borderId="0" xfId="0" applyFont="1" applyAlignment="1">
      <alignment horizontal="right"/>
    </xf>
    <xf numFmtId="0" fontId="19" fillId="0" borderId="7" xfId="0" applyFont="1" applyBorder="1"/>
    <xf numFmtId="0" fontId="19" fillId="0" borderId="7" xfId="0" applyFont="1" applyBorder="1" applyAlignment="1">
      <alignment horizontal="center"/>
    </xf>
    <xf numFmtId="49" fontId="21" fillId="0" borderId="0" xfId="1" applyNumberFormat="1" applyFont="1" applyAlignment="1">
      <alignment horizontal="center"/>
    </xf>
    <xf numFmtId="43" fontId="19" fillId="0" borderId="0" xfId="1" applyFont="1" applyAlignment="1">
      <alignment horizontal="center" wrapText="1"/>
    </xf>
    <xf numFmtId="0" fontId="19" fillId="0" borderId="0" xfId="0" applyFont="1" applyAlignment="1">
      <alignment horizontal="center"/>
    </xf>
    <xf numFmtId="168" fontId="4" fillId="0" borderId="0" xfId="2" applyNumberFormat="1" applyFont="1" applyBorder="1" applyAlignment="1">
      <alignment vertical="center"/>
    </xf>
    <xf numFmtId="168" fontId="1" fillId="0" borderId="0" xfId="2" applyNumberFormat="1" applyFont="1" applyAlignment="1">
      <alignment horizontal="center"/>
    </xf>
    <xf numFmtId="168" fontId="20" fillId="0" borderId="0" xfId="2" applyNumberFormat="1" applyFont="1" applyAlignment="1">
      <alignment horizontal="center"/>
    </xf>
    <xf numFmtId="168" fontId="19" fillId="0" borderId="0" xfId="2" applyNumberFormat="1" applyFont="1" applyAlignment="1">
      <alignment horizontal="right"/>
    </xf>
    <xf numFmtId="168" fontId="3" fillId="0" borderId="0" xfId="2" applyNumberFormat="1" applyFont="1" applyBorder="1" applyAlignment="1" applyProtection="1">
      <alignment horizontal="center" vertical="center"/>
      <protection locked="0"/>
    </xf>
    <xf numFmtId="168" fontId="19" fillId="0" borderId="0" xfId="2" applyNumberFormat="1" applyFont="1" applyBorder="1" applyAlignment="1">
      <alignment horizontal="right"/>
    </xf>
    <xf numFmtId="168" fontId="3" fillId="0" borderId="0" xfId="2" applyNumberFormat="1" applyFont="1" applyBorder="1" applyAlignment="1" applyProtection="1">
      <alignment horizontal="right" vertical="center" justifyLastLine="1"/>
      <protection locked="0"/>
    </xf>
    <xf numFmtId="168" fontId="19" fillId="0" borderId="0" xfId="2" applyNumberFormat="1" applyFont="1" applyBorder="1" applyAlignment="1">
      <alignment horizontal="center"/>
    </xf>
    <xf numFmtId="168" fontId="3" fillId="0" borderId="0" xfId="2" applyNumberFormat="1" applyFont="1" applyBorder="1" applyAlignment="1" applyProtection="1">
      <alignment horizontal="center" vertical="center" justifyLastLine="1"/>
      <protection locked="0"/>
    </xf>
    <xf numFmtId="168" fontId="3" fillId="0" borderId="0" xfId="2" applyNumberFormat="1" applyFont="1" applyAlignment="1">
      <alignment horizontal="center"/>
    </xf>
    <xf numFmtId="9" fontId="19" fillId="0" borderId="0" xfId="2" applyNumberFormat="1" applyFont="1" applyAlignment="1">
      <alignment horizontal="center"/>
    </xf>
    <xf numFmtId="9" fontId="19" fillId="0" borderId="0" xfId="2" applyNumberFormat="1" applyFont="1" applyAlignment="1">
      <alignment horizontal="right"/>
    </xf>
    <xf numFmtId="168" fontId="19" fillId="0" borderId="0" xfId="2" quotePrefix="1" applyNumberFormat="1" applyFont="1" applyAlignment="1">
      <alignment horizontal="right"/>
    </xf>
    <xf numFmtId="9" fontId="19" fillId="0" borderId="0" xfId="2" quotePrefix="1" applyNumberFormat="1" applyFont="1" applyAlignment="1">
      <alignment horizontal="right"/>
    </xf>
    <xf numFmtId="168" fontId="19" fillId="0" borderId="0" xfId="0" applyNumberFormat="1" applyFont="1"/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43" fontId="20" fillId="0" borderId="5" xfId="1" applyFont="1" applyBorder="1" applyAlignment="1">
      <alignment horizontal="center" vertical="center"/>
    </xf>
    <xf numFmtId="43" fontId="20" fillId="0" borderId="4" xfId="1" applyFont="1" applyBorder="1" applyAlignment="1">
      <alignment horizontal="center" vertical="center"/>
    </xf>
    <xf numFmtId="43" fontId="20" fillId="0" borderId="5" xfId="1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43" fontId="5" fillId="0" borderId="3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 wrapText="1"/>
    </xf>
    <xf numFmtId="43" fontId="5" fillId="0" borderId="5" xfId="1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19" fillId="0" borderId="11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/>
    </xf>
    <xf numFmtId="0" fontId="19" fillId="0" borderId="1" xfId="0" applyFont="1" applyBorder="1" applyAlignment="1"/>
    <xf numFmtId="49" fontId="5" fillId="0" borderId="4" xfId="1" applyNumberFormat="1" applyFont="1" applyBorder="1" applyAlignment="1">
      <alignment horizontal="center" vertical="center" wrapText="1"/>
    </xf>
    <xf numFmtId="49" fontId="5" fillId="0" borderId="5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67" fontId="5" fillId="0" borderId="3" xfId="1" applyNumberFormat="1" applyFont="1" applyBorder="1" applyAlignment="1">
      <alignment horizontal="center" vertical="center" wrapText="1"/>
    </xf>
    <xf numFmtId="43" fontId="5" fillId="0" borderId="2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9" fontId="3" fillId="0" borderId="3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4" fillId="0" borderId="1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9900"/>
      <color rgb="FFFFFF00"/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61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Bismuth!$A$8:$A$28</c:f>
              <c:strCach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strCache>
            </c:strRef>
          </c:cat>
          <c:val>
            <c:numRef>
              <c:f>Bismuth!$I$8:$I$28</c:f>
              <c:numCache>
                <c:formatCode>_(* #,##0.00_);_(* \(#,##0.00\);_(* "-"??_);_(@_)</c:formatCode>
                <c:ptCount val="21"/>
                <c:pt idx="0">
                  <c:v>0.68255813953488387</c:v>
                </c:pt>
                <c:pt idx="1">
                  <c:v>0.71238390092879256</c:v>
                </c:pt>
                <c:pt idx="2">
                  <c:v>0.75853658536585367</c:v>
                </c:pt>
                <c:pt idx="3">
                  <c:v>0.83042253521126752</c:v>
                </c:pt>
                <c:pt idx="4">
                  <c:v>0.84076246334310845</c:v>
                </c:pt>
                <c:pt idx="5">
                  <c:v>0.76822157434402327</c:v>
                </c:pt>
                <c:pt idx="6">
                  <c:v>0.74444444444444435</c:v>
                </c:pt>
                <c:pt idx="7">
                  <c:v>0.76284403669724765</c:v>
                </c:pt>
                <c:pt idx="8">
                  <c:v>0.82340966921119585</c:v>
                </c:pt>
                <c:pt idx="9">
                  <c:v>0.86995884773662546</c:v>
                </c:pt>
                <c:pt idx="10">
                  <c:v>0.8505263157894738</c:v>
                </c:pt>
                <c:pt idx="11">
                  <c:v>0.86078431372549025</c:v>
                </c:pt>
                <c:pt idx="12">
                  <c:v>0.89695652173913043</c:v>
                </c:pt>
                <c:pt idx="13">
                  <c:v>0.88235294117647056</c:v>
                </c:pt>
                <c:pt idx="14">
                  <c:v>0.90428571428571436</c:v>
                </c:pt>
                <c:pt idx="15">
                  <c:v>0.91148148148148134</c:v>
                </c:pt>
                <c:pt idx="16">
                  <c:v>0.88551724137931043</c:v>
                </c:pt>
                <c:pt idx="17">
                  <c:v>0.91129032258064513</c:v>
                </c:pt>
                <c:pt idx="18">
                  <c:v>0.93815789473684208</c:v>
                </c:pt>
                <c:pt idx="19">
                  <c:v>0.94626506024096368</c:v>
                </c:pt>
                <c:pt idx="20">
                  <c:v>0.949438202247191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3808"/>
        <c:axId val="107465344"/>
      </c:lineChart>
      <c:catAx>
        <c:axId val="1074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5344"/>
        <c:crosses val="autoZero"/>
        <c:auto val="1"/>
        <c:lblAlgn val="ctr"/>
        <c:lblOffset val="100"/>
        <c:noMultiLvlLbl val="0"/>
      </c:catAx>
      <c:valAx>
        <c:axId val="107465344"/>
        <c:scaling>
          <c:orientation val="minMax"/>
          <c:min val="0.6000000000000006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746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7</xdr:col>
      <xdr:colOff>828675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zoomScaleNormal="100" workbookViewId="0">
      <selection activeCell="A90" sqref="A90"/>
    </sheetView>
  </sheetViews>
  <sheetFormatPr defaultRowHeight="15" x14ac:dyDescent="0.25"/>
  <cols>
    <col min="1" max="1" width="20.140625" customWidth="1"/>
    <col min="2" max="3" width="15.7109375" style="61" customWidth="1"/>
    <col min="4" max="5" width="11.28515625" style="61" bestFit="1" customWidth="1"/>
    <col min="6" max="11" width="12.7109375" style="85" customWidth="1"/>
  </cols>
  <sheetData>
    <row r="1" spans="1:11" ht="15" customHeight="1" x14ac:dyDescent="0.25">
      <c r="A1" s="108" t="s">
        <v>360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5" customHeight="1" x14ac:dyDescent="0.25">
      <c r="A2" s="110" t="s">
        <v>358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ht="15.75" x14ac:dyDescent="0.25">
      <c r="A3" s="109"/>
      <c r="B3" s="86"/>
      <c r="C3" s="86"/>
      <c r="D3" s="86"/>
      <c r="E3" s="86"/>
      <c r="F3" s="86"/>
      <c r="G3" s="86"/>
      <c r="H3" s="86"/>
      <c r="I3" s="86"/>
    </row>
    <row r="4" spans="1:11" x14ac:dyDescent="0.25">
      <c r="A4" s="90"/>
      <c r="B4" s="127"/>
      <c r="C4" s="127"/>
      <c r="D4" s="128"/>
      <c r="E4" s="128"/>
      <c r="F4" s="263" t="s">
        <v>350</v>
      </c>
      <c r="G4" s="263"/>
      <c r="H4" s="263"/>
      <c r="I4" s="263"/>
      <c r="J4" s="264"/>
      <c r="K4" s="264"/>
    </row>
    <row r="5" spans="1:11" x14ac:dyDescent="0.25">
      <c r="A5" s="265" t="s">
        <v>326</v>
      </c>
      <c r="B5" s="267" t="s">
        <v>649</v>
      </c>
      <c r="C5" s="268"/>
      <c r="D5" s="269" t="s">
        <v>648</v>
      </c>
      <c r="E5" s="270"/>
      <c r="F5" s="271" t="s">
        <v>275</v>
      </c>
      <c r="G5" s="272"/>
      <c r="H5" s="273" t="s">
        <v>32</v>
      </c>
      <c r="I5" s="272"/>
      <c r="J5" s="273" t="s">
        <v>33</v>
      </c>
      <c r="K5" s="272"/>
    </row>
    <row r="6" spans="1:11" ht="25.5" x14ac:dyDescent="0.25">
      <c r="A6" s="266"/>
      <c r="B6" s="129" t="s">
        <v>335</v>
      </c>
      <c r="C6" s="130">
        <v>2007</v>
      </c>
      <c r="D6" s="131" t="s">
        <v>327</v>
      </c>
      <c r="E6" s="132" t="s">
        <v>328</v>
      </c>
      <c r="F6" s="104" t="s">
        <v>3</v>
      </c>
      <c r="G6" s="97" t="s">
        <v>351</v>
      </c>
      <c r="H6" s="91" t="s">
        <v>3</v>
      </c>
      <c r="I6" s="97" t="s">
        <v>351</v>
      </c>
      <c r="J6" s="91" t="s">
        <v>3</v>
      </c>
      <c r="K6" s="97" t="s">
        <v>351</v>
      </c>
    </row>
    <row r="7" spans="1:11" s="72" customFormat="1" x14ac:dyDescent="0.25">
      <c r="A7" s="133" t="s">
        <v>10</v>
      </c>
      <c r="B7" s="134">
        <v>0.94599999999999995</v>
      </c>
      <c r="C7" s="134">
        <v>0.94656111111111119</v>
      </c>
      <c r="D7" s="135">
        <v>2.4772438233957139E-2</v>
      </c>
      <c r="E7" s="135">
        <v>-2.1865775872276005E-2</v>
      </c>
      <c r="F7" s="136" t="s">
        <v>22</v>
      </c>
      <c r="G7" s="136">
        <v>0.90559999999999996</v>
      </c>
      <c r="H7" s="136" t="s">
        <v>23</v>
      </c>
      <c r="I7" s="136">
        <v>2.1600000000000001E-2</v>
      </c>
      <c r="J7" s="136" t="s">
        <v>24</v>
      </c>
      <c r="K7" s="136">
        <v>1.9400000000000001E-2</v>
      </c>
    </row>
    <row r="8" spans="1:11" s="72" customFormat="1" x14ac:dyDescent="0.25">
      <c r="A8" s="133" t="s">
        <v>11</v>
      </c>
      <c r="B8" s="134">
        <v>0.73160000000000003</v>
      </c>
      <c r="C8" s="134">
        <v>0.75738125802310641</v>
      </c>
      <c r="D8" s="135">
        <v>5.4298111653903192E-3</v>
      </c>
      <c r="E8" s="135">
        <v>-3.961084304775131E-2</v>
      </c>
      <c r="F8" s="136" t="s">
        <v>22</v>
      </c>
      <c r="G8" s="136">
        <v>0.564826700898588</v>
      </c>
      <c r="H8" s="136" t="s">
        <v>49</v>
      </c>
      <c r="I8" s="136">
        <v>0.12836970474967899</v>
      </c>
      <c r="J8" s="136" t="s">
        <v>90</v>
      </c>
      <c r="K8" s="136">
        <v>6.4184852374839493E-2</v>
      </c>
    </row>
    <row r="9" spans="1:11" s="72" customFormat="1" x14ac:dyDescent="0.25">
      <c r="A9" s="133" t="s">
        <v>135</v>
      </c>
      <c r="B9" s="134">
        <v>0.5978</v>
      </c>
      <c r="C9" s="134">
        <v>0.57773872549019611</v>
      </c>
      <c r="D9" s="135">
        <v>2.7918971086331901E-2</v>
      </c>
      <c r="E9" s="135">
        <v>1.9453013097845862E-2</v>
      </c>
      <c r="F9" s="136" t="s">
        <v>27</v>
      </c>
      <c r="G9" s="136">
        <v>0.30587554900000002</v>
      </c>
      <c r="H9" s="136" t="s">
        <v>22</v>
      </c>
      <c r="I9" s="136">
        <v>0.1470522235</v>
      </c>
      <c r="J9" s="136" t="s">
        <v>28</v>
      </c>
      <c r="K9" s="136">
        <v>0.12480735294117599</v>
      </c>
    </row>
    <row r="10" spans="1:11" x14ac:dyDescent="0.25">
      <c r="A10" s="137" t="s">
        <v>277</v>
      </c>
      <c r="B10" s="134">
        <v>0.14934309384536959</v>
      </c>
      <c r="C10" s="134">
        <v>0.1245412844036697</v>
      </c>
      <c r="D10" s="135">
        <v>-3.3522373001737549E-2</v>
      </c>
      <c r="E10" s="135">
        <v>7.9873241190466793E-3</v>
      </c>
      <c r="F10" s="138" t="s">
        <v>22</v>
      </c>
      <c r="G10" s="136">
        <v>0.11467889908256899</v>
      </c>
      <c r="H10" s="138" t="s">
        <v>62</v>
      </c>
      <c r="I10" s="136">
        <v>7.1100917431192604E-3</v>
      </c>
      <c r="J10" s="138" t="s">
        <v>133</v>
      </c>
      <c r="K10" s="136">
        <v>2.7522935779816498E-3</v>
      </c>
    </row>
    <row r="11" spans="1:11" x14ac:dyDescent="0.25">
      <c r="A11" s="137" t="s">
        <v>12</v>
      </c>
      <c r="B11" s="134">
        <v>0.91616628578415948</v>
      </c>
      <c r="C11" s="134">
        <v>0.91129032258064513</v>
      </c>
      <c r="D11" s="135">
        <v>4.5023321268248484E-2</v>
      </c>
      <c r="E11" s="135">
        <v>8.9775064658225157E-2</v>
      </c>
      <c r="F11" s="138" t="s">
        <v>22</v>
      </c>
      <c r="G11" s="136">
        <v>0.56451612903225801</v>
      </c>
      <c r="H11" s="138" t="s">
        <v>73</v>
      </c>
      <c r="I11" s="136">
        <v>0.19354838709677419</v>
      </c>
      <c r="J11" s="138" t="s">
        <v>44</v>
      </c>
      <c r="K11" s="136">
        <v>0.15322580645161288</v>
      </c>
    </row>
    <row r="12" spans="1:11" x14ac:dyDescent="0.25">
      <c r="A12" s="137" t="s">
        <v>13</v>
      </c>
      <c r="B12" s="134">
        <v>0.72440260977611626</v>
      </c>
      <c r="C12" s="134">
        <v>0.79190476190476189</v>
      </c>
      <c r="D12" s="135">
        <v>1.2895735801575547E-2</v>
      </c>
      <c r="E12" s="135">
        <v>-5.3508911731634856E-2</v>
      </c>
      <c r="F12" s="128" t="s">
        <v>71</v>
      </c>
      <c r="G12" s="136">
        <v>0.50666666666666671</v>
      </c>
      <c r="H12" s="138" t="s">
        <v>128</v>
      </c>
      <c r="I12" s="136">
        <v>0.15952380952380951</v>
      </c>
      <c r="J12" s="138" t="s">
        <v>78</v>
      </c>
      <c r="K12" s="136">
        <v>0.12571428571428572</v>
      </c>
    </row>
    <row r="13" spans="1:11" x14ac:dyDescent="0.25">
      <c r="A13" s="137" t="s">
        <v>264</v>
      </c>
      <c r="B13" s="134">
        <v>0.73692275487970116</v>
      </c>
      <c r="C13" s="134">
        <v>0.72725580786026189</v>
      </c>
      <c r="D13" s="135">
        <v>1.9175954787427729E-2</v>
      </c>
      <c r="E13" s="135">
        <v>1.0395032848342645E-3</v>
      </c>
      <c r="F13" s="138" t="s">
        <v>118</v>
      </c>
      <c r="G13" s="136">
        <v>0.42126454148471615</v>
      </c>
      <c r="H13" s="138" t="s">
        <v>79</v>
      </c>
      <c r="I13" s="136">
        <v>0.16101310043668121</v>
      </c>
      <c r="J13" s="138" t="s">
        <v>49</v>
      </c>
      <c r="K13" s="136">
        <v>0.14497816593886462</v>
      </c>
    </row>
    <row r="14" spans="1:11" x14ac:dyDescent="0.25">
      <c r="A14" s="137" t="s">
        <v>15</v>
      </c>
      <c r="B14" s="134">
        <v>0.61093619621357043</v>
      </c>
      <c r="C14" s="134">
        <v>0.58167832167832167</v>
      </c>
      <c r="D14" s="135">
        <v>2.7164252215208018E-2</v>
      </c>
      <c r="E14" s="135">
        <v>2.0888097246817727E-2</v>
      </c>
      <c r="F14" s="12" t="s">
        <v>30</v>
      </c>
      <c r="G14" s="136">
        <v>0.35524475524475502</v>
      </c>
      <c r="H14" s="136" t="s">
        <v>38</v>
      </c>
      <c r="I14" s="136">
        <v>0.121538461538462</v>
      </c>
      <c r="J14" s="138" t="s">
        <v>36</v>
      </c>
      <c r="K14" s="136">
        <v>0.10489510489510501</v>
      </c>
    </row>
    <row r="15" spans="1:11" x14ac:dyDescent="0.25">
      <c r="A15" s="137" t="s">
        <v>16</v>
      </c>
      <c r="B15" s="128"/>
      <c r="C15" s="128"/>
      <c r="D15" s="128"/>
      <c r="E15" s="128"/>
      <c r="F15" s="138"/>
      <c r="G15" s="138"/>
      <c r="H15" s="138"/>
      <c r="I15" s="138"/>
      <c r="J15" s="138"/>
      <c r="K15" s="138"/>
    </row>
    <row r="16" spans="1:11" x14ac:dyDescent="0.25">
      <c r="A16" s="139" t="s">
        <v>352</v>
      </c>
      <c r="B16" s="134">
        <v>0.48688433579574225</v>
      </c>
      <c r="C16" s="134">
        <v>0.48721785714285715</v>
      </c>
      <c r="D16" s="128" t="s">
        <v>310</v>
      </c>
      <c r="E16" s="128" t="s">
        <v>310</v>
      </c>
      <c r="F16" s="138" t="s">
        <v>78</v>
      </c>
      <c r="G16" s="136">
        <v>0.36084415584415586</v>
      </c>
      <c r="H16" s="138" t="s">
        <v>44</v>
      </c>
      <c r="I16" s="136">
        <v>6.6113961038961042E-2</v>
      </c>
      <c r="J16" s="138" t="s">
        <v>22</v>
      </c>
      <c r="K16" s="136">
        <v>6.0259740259740263E-2</v>
      </c>
    </row>
    <row r="17" spans="1:11" x14ac:dyDescent="0.25">
      <c r="A17" s="139" t="s">
        <v>353</v>
      </c>
      <c r="B17" s="134">
        <v>0.5</v>
      </c>
      <c r="C17" s="134">
        <v>0.5</v>
      </c>
      <c r="D17" s="135">
        <v>2.8660933970261704E-2</v>
      </c>
      <c r="E17" s="135">
        <v>1.1721951492754235E-2</v>
      </c>
      <c r="F17" s="138" t="s">
        <v>78</v>
      </c>
      <c r="G17" s="136">
        <v>0.36084415584415586</v>
      </c>
      <c r="H17" s="138" t="s">
        <v>354</v>
      </c>
      <c r="I17" s="136">
        <v>7.5999999999999998E-2</v>
      </c>
      <c r="J17" s="138" t="s">
        <v>44</v>
      </c>
      <c r="K17" s="136">
        <v>6.6113961038961042E-2</v>
      </c>
    </row>
    <row r="18" spans="1:11" x14ac:dyDescent="0.25">
      <c r="A18" s="137" t="s">
        <v>17</v>
      </c>
      <c r="B18" s="134">
        <v>0.54446289153569838</v>
      </c>
      <c r="C18" s="134">
        <v>0.5929672558139536</v>
      </c>
      <c r="D18" s="135">
        <v>6.1063712918999702E-2</v>
      </c>
      <c r="E18" s="135">
        <v>3.1310306477545069E-2</v>
      </c>
      <c r="F18" s="138" t="s">
        <v>71</v>
      </c>
      <c r="G18" s="136">
        <v>0.3045951627906977</v>
      </c>
      <c r="H18" s="138" t="s">
        <v>140</v>
      </c>
      <c r="I18" s="136">
        <v>0.19534883720930232</v>
      </c>
      <c r="J18" s="138" t="s">
        <v>22</v>
      </c>
      <c r="K18" s="136">
        <v>9.3023255813953487E-2</v>
      </c>
    </row>
    <row r="19" spans="1:11" x14ac:dyDescent="0.25">
      <c r="A19" s="137" t="s">
        <v>18</v>
      </c>
      <c r="B19" s="134">
        <v>0.77115465434868735</v>
      </c>
      <c r="C19" s="134">
        <v>0.78322862129144843</v>
      </c>
      <c r="D19" s="135">
        <v>4.0403145878458169E-3</v>
      </c>
      <c r="E19" s="135">
        <v>6.9911150754888851E-3</v>
      </c>
      <c r="F19" s="128" t="s">
        <v>22</v>
      </c>
      <c r="G19" s="136">
        <v>0.55846422338568935</v>
      </c>
      <c r="H19" s="128" t="s">
        <v>73</v>
      </c>
      <c r="I19" s="136">
        <v>0.16282722513089004</v>
      </c>
      <c r="J19" s="138" t="s">
        <v>150</v>
      </c>
      <c r="K19" s="136">
        <v>6.1937172774869105E-2</v>
      </c>
    </row>
    <row r="20" spans="1:11" x14ac:dyDescent="0.25">
      <c r="A20" s="137" t="s">
        <v>21</v>
      </c>
      <c r="B20" s="134">
        <v>0.33026340388977876</v>
      </c>
      <c r="C20" s="134">
        <v>0.32584745762711864</v>
      </c>
      <c r="D20" s="135">
        <v>-4.2996148870166895E-3</v>
      </c>
      <c r="E20" s="135">
        <v>-4.1335581602166327E-2</v>
      </c>
      <c r="F20" s="136" t="s">
        <v>22</v>
      </c>
      <c r="G20" s="136">
        <v>0.11652542372881357</v>
      </c>
      <c r="H20" s="136" t="s">
        <v>27</v>
      </c>
      <c r="I20" s="136">
        <v>0.10466101694915254</v>
      </c>
      <c r="J20" s="138" t="s">
        <v>118</v>
      </c>
      <c r="K20" s="136">
        <v>0.10466101694915254</v>
      </c>
    </row>
    <row r="21" spans="1:11" x14ac:dyDescent="0.25">
      <c r="A21" s="137" t="s">
        <v>278</v>
      </c>
      <c r="B21" s="134">
        <v>0.82813677301512456</v>
      </c>
      <c r="C21" s="134">
        <v>0.907354054054054</v>
      </c>
      <c r="D21" s="135">
        <v>7.1096748901950946E-3</v>
      </c>
      <c r="E21" s="135">
        <v>1.1388135473898942E-2</v>
      </c>
      <c r="F21" s="136" t="s">
        <v>22</v>
      </c>
      <c r="G21" s="136">
        <v>0.72072072072072069</v>
      </c>
      <c r="H21" s="136" t="s">
        <v>49</v>
      </c>
      <c r="I21" s="136">
        <v>0.11711711711711711</v>
      </c>
      <c r="J21" s="138" t="s">
        <v>28</v>
      </c>
      <c r="K21" s="136">
        <v>6.9516216216216217E-2</v>
      </c>
    </row>
    <row r="22" spans="1:11" x14ac:dyDescent="0.25">
      <c r="A22" s="137" t="s">
        <v>155</v>
      </c>
      <c r="B22" s="134">
        <v>0.82136660444656151</v>
      </c>
      <c r="C22" s="134">
        <v>0.82258064516129037</v>
      </c>
      <c r="D22" s="135">
        <v>7.9606602208456057E-2</v>
      </c>
      <c r="E22" s="135">
        <v>-2.0959200902342379E-2</v>
      </c>
      <c r="F22" s="136" t="s">
        <v>22</v>
      </c>
      <c r="G22" s="136">
        <v>0.61290322580645162</v>
      </c>
      <c r="H22" s="136" t="s">
        <v>153</v>
      </c>
      <c r="I22" s="136">
        <v>0.11290322580645162</v>
      </c>
      <c r="J22" s="138" t="s">
        <v>29</v>
      </c>
      <c r="K22" s="136">
        <v>9.6774193548387094E-2</v>
      </c>
    </row>
    <row r="23" spans="1:11" x14ac:dyDescent="0.25">
      <c r="A23" s="137" t="s">
        <v>279</v>
      </c>
      <c r="B23" s="134">
        <v>0.94725947523166987</v>
      </c>
      <c r="C23" s="134">
        <v>0.96292775665399233</v>
      </c>
      <c r="D23" s="135">
        <v>2.9286422285868641E-2</v>
      </c>
      <c r="E23" s="135">
        <v>1.4658264779644048E-2</v>
      </c>
      <c r="F23" s="136" t="s">
        <v>78</v>
      </c>
      <c r="G23" s="136">
        <v>0.58832699619771867</v>
      </c>
      <c r="H23" s="136" t="s">
        <v>29</v>
      </c>
      <c r="I23" s="136">
        <v>0.3529277566539924</v>
      </c>
      <c r="J23" s="138" t="s">
        <v>22</v>
      </c>
      <c r="K23" s="136">
        <v>2.1673003802281366E-2</v>
      </c>
    </row>
    <row r="24" spans="1:11" x14ac:dyDescent="0.25">
      <c r="A24" s="137" t="s">
        <v>329</v>
      </c>
      <c r="B24" s="134">
        <v>0.6004144909378123</v>
      </c>
      <c r="C24" s="134">
        <v>0.61168598130841123</v>
      </c>
      <c r="D24" s="135">
        <v>3.6684155603084134E-2</v>
      </c>
      <c r="E24" s="135">
        <v>5.6571959806526184E-2</v>
      </c>
      <c r="F24" s="136" t="s">
        <v>28</v>
      </c>
      <c r="G24" s="136">
        <v>0.22009719626168225</v>
      </c>
      <c r="H24" s="136" t="s">
        <v>22</v>
      </c>
      <c r="I24" s="136">
        <v>0.21775700934579439</v>
      </c>
      <c r="J24" s="138" t="s">
        <v>27</v>
      </c>
      <c r="K24" s="136">
        <v>0.17383177570093458</v>
      </c>
    </row>
    <row r="25" spans="1:11" x14ac:dyDescent="0.25">
      <c r="A25" s="137" t="s">
        <v>160</v>
      </c>
      <c r="B25" s="134">
        <v>0.63763900365223947</v>
      </c>
      <c r="C25" s="134">
        <v>0.63982634408602146</v>
      </c>
      <c r="D25" s="135">
        <v>7.3299237737769474E-3</v>
      </c>
      <c r="E25" s="135">
        <v>2.3639477463271552E-2</v>
      </c>
      <c r="F25" s="136" t="s">
        <v>22</v>
      </c>
      <c r="G25" s="136">
        <v>0.37903225806451613</v>
      </c>
      <c r="H25" s="136" t="s">
        <v>27</v>
      </c>
      <c r="I25" s="136">
        <v>0.17231182795698924</v>
      </c>
      <c r="J25" s="138" t="s">
        <v>44</v>
      </c>
      <c r="K25" s="136">
        <v>8.8482258064516123E-2</v>
      </c>
    </row>
    <row r="26" spans="1:11" x14ac:dyDescent="0.25">
      <c r="A26" s="137" t="s">
        <v>161</v>
      </c>
      <c r="B26" s="134">
        <v>0.76497352091518678</v>
      </c>
      <c r="C26" s="134">
        <v>0.81472868217054262</v>
      </c>
      <c r="D26" s="135">
        <v>6.5354387966920058E-2</v>
      </c>
      <c r="E26" s="135">
        <v>-1.8120651481689065E-2</v>
      </c>
      <c r="F26" s="136" t="s">
        <v>78</v>
      </c>
      <c r="G26" s="136">
        <v>0.43023255813953487</v>
      </c>
      <c r="H26" s="136" t="s">
        <v>27</v>
      </c>
      <c r="I26" s="136">
        <v>0.26782945736434111</v>
      </c>
      <c r="J26" s="138" t="s">
        <v>22</v>
      </c>
      <c r="K26" s="136">
        <v>0.11666666666666665</v>
      </c>
    </row>
    <row r="27" spans="1:11" x14ac:dyDescent="0.25">
      <c r="A27" s="137" t="s">
        <v>280</v>
      </c>
      <c r="B27" s="134">
        <v>0.5395943126435454</v>
      </c>
      <c r="C27" s="134">
        <v>0.58959537572254339</v>
      </c>
      <c r="D27" s="135">
        <v>8.6926385831584962E-3</v>
      </c>
      <c r="E27" s="135">
        <v>-3.9541401435182477E-3</v>
      </c>
      <c r="F27" s="136" t="s">
        <v>118</v>
      </c>
      <c r="G27" s="136">
        <v>0.2146985962014864</v>
      </c>
      <c r="H27" s="136" t="s">
        <v>27</v>
      </c>
      <c r="I27" s="136">
        <v>0.20974401321222133</v>
      </c>
      <c r="J27" s="138" t="s">
        <v>22</v>
      </c>
      <c r="K27" s="136">
        <v>0.16515276630883569</v>
      </c>
    </row>
    <row r="28" spans="1:11" x14ac:dyDescent="0.25">
      <c r="A28" s="137" t="s">
        <v>168</v>
      </c>
      <c r="B28" s="134">
        <v>0.91089950649038587</v>
      </c>
      <c r="C28" s="134">
        <v>0.91666666666666674</v>
      </c>
      <c r="D28" s="135">
        <v>-3.6229540255817705E-2</v>
      </c>
      <c r="E28" s="135">
        <v>5.2161718884977448E-2</v>
      </c>
      <c r="F28" s="136" t="s">
        <v>22</v>
      </c>
      <c r="G28" s="136">
        <v>0.66666666666666674</v>
      </c>
      <c r="H28" s="136" t="s">
        <v>81</v>
      </c>
      <c r="I28" s="136">
        <v>0.20833333333333334</v>
      </c>
      <c r="J28" s="138" t="s">
        <v>24</v>
      </c>
      <c r="K28" s="136">
        <v>4.1666666666666671E-2</v>
      </c>
    </row>
    <row r="29" spans="1:11" x14ac:dyDescent="0.25">
      <c r="A29" s="137" t="s">
        <v>315</v>
      </c>
      <c r="B29" s="134">
        <v>0.74558467721785959</v>
      </c>
      <c r="C29" s="134">
        <v>0.78829586206896562</v>
      </c>
      <c r="D29" s="135">
        <v>2.7883996553382362E-2</v>
      </c>
      <c r="E29" s="135">
        <v>3.6682005013054075E-2</v>
      </c>
      <c r="F29" s="136" t="s">
        <v>22</v>
      </c>
      <c r="G29" s="136">
        <v>0.68965517241379315</v>
      </c>
      <c r="H29" s="136" t="s">
        <v>24</v>
      </c>
      <c r="I29" s="136">
        <v>5.9113300492610835E-2</v>
      </c>
      <c r="J29" s="138" t="s">
        <v>71</v>
      </c>
      <c r="K29" s="136">
        <v>3.9527389162561571E-2</v>
      </c>
    </row>
    <row r="30" spans="1:11" x14ac:dyDescent="0.25">
      <c r="A30" s="137" t="s">
        <v>281</v>
      </c>
      <c r="B30" s="134">
        <v>0.78075300396371994</v>
      </c>
      <c r="C30" s="134">
        <v>0.81839285714285714</v>
      </c>
      <c r="D30" s="135">
        <v>8.0455841593560784E-2</v>
      </c>
      <c r="E30" s="135">
        <v>0.23225657647992581</v>
      </c>
      <c r="F30" s="136" t="s">
        <v>22</v>
      </c>
      <c r="G30" s="136">
        <v>0.64285714285714302</v>
      </c>
      <c r="H30" s="136" t="s">
        <v>24</v>
      </c>
      <c r="I30" s="136">
        <v>8.9285714285714302E-2</v>
      </c>
      <c r="J30" s="138" t="s">
        <v>39</v>
      </c>
      <c r="K30" s="136">
        <v>6.3794642857142897E-2</v>
      </c>
    </row>
    <row r="31" spans="1:11" x14ac:dyDescent="0.25">
      <c r="A31" s="137" t="s">
        <v>266</v>
      </c>
      <c r="B31" s="128"/>
      <c r="C31" s="128"/>
      <c r="D31" s="128"/>
      <c r="E31" s="128"/>
      <c r="F31" s="138"/>
      <c r="G31" s="138"/>
      <c r="H31" s="138"/>
      <c r="I31" s="138"/>
      <c r="J31" s="138"/>
      <c r="K31" s="138"/>
    </row>
    <row r="32" spans="1:11" x14ac:dyDescent="0.25">
      <c r="A32" s="139" t="s">
        <v>352</v>
      </c>
      <c r="B32" s="134">
        <v>0.6</v>
      </c>
      <c r="C32" s="134">
        <v>0.60258215962441308</v>
      </c>
      <c r="D32" s="128" t="s">
        <v>310</v>
      </c>
      <c r="E32" s="128" t="s">
        <v>310</v>
      </c>
      <c r="F32" s="136" t="s">
        <v>22</v>
      </c>
      <c r="G32" s="136">
        <v>0.315</v>
      </c>
      <c r="H32" s="136" t="s">
        <v>78</v>
      </c>
      <c r="I32" s="136">
        <v>0.21199999999999999</v>
      </c>
      <c r="J32" s="138" t="s">
        <v>44</v>
      </c>
      <c r="K32" s="136">
        <v>7.8591549295774638E-2</v>
      </c>
    </row>
    <row r="33" spans="1:11" x14ac:dyDescent="0.25">
      <c r="A33" s="139" t="s">
        <v>353</v>
      </c>
      <c r="B33" s="134">
        <v>0.8</v>
      </c>
      <c r="C33" s="134">
        <v>0.79</v>
      </c>
      <c r="D33" s="135">
        <v>2.8085958497749086E-2</v>
      </c>
      <c r="E33" s="135">
        <v>3.5084644564123302E-2</v>
      </c>
      <c r="F33" s="136" t="s">
        <v>22</v>
      </c>
      <c r="G33" s="136">
        <v>0.315</v>
      </c>
      <c r="H33" s="136" t="s">
        <v>354</v>
      </c>
      <c r="I33" s="136">
        <v>0.26900000000000002</v>
      </c>
      <c r="J33" s="136" t="s">
        <v>78</v>
      </c>
      <c r="K33" s="136">
        <v>0.21199999999999999</v>
      </c>
    </row>
    <row r="34" spans="1:11" x14ac:dyDescent="0.25">
      <c r="A34" s="137" t="s">
        <v>265</v>
      </c>
      <c r="B34" s="134">
        <v>0.45442359362466728</v>
      </c>
      <c r="C34" s="134">
        <v>0.45729940119760476</v>
      </c>
      <c r="D34" s="135">
        <v>1.8306354621752563E-2</v>
      </c>
      <c r="E34" s="135">
        <v>-8.3577182648966186E-3</v>
      </c>
      <c r="F34" s="136" t="s">
        <v>24</v>
      </c>
      <c r="G34" s="136">
        <v>0.16752694610778443</v>
      </c>
      <c r="H34" s="136" t="s">
        <v>38</v>
      </c>
      <c r="I34" s="136">
        <v>0.15264670658682633</v>
      </c>
      <c r="J34" s="138" t="s">
        <v>55</v>
      </c>
      <c r="K34" s="136">
        <v>0.137125748502994</v>
      </c>
    </row>
    <row r="35" spans="1:11" x14ac:dyDescent="0.25">
      <c r="A35" s="137" t="s">
        <v>267</v>
      </c>
      <c r="B35" s="134">
        <v>0.99550557604298018</v>
      </c>
      <c r="C35" s="134">
        <v>0.99651612903225806</v>
      </c>
      <c r="D35" s="135">
        <v>7.324274339798964E-2</v>
      </c>
      <c r="E35" s="135">
        <v>7.8536072623584863E-2</v>
      </c>
      <c r="F35" s="136" t="s">
        <v>28</v>
      </c>
      <c r="G35" s="136">
        <v>0.9236612903225806</v>
      </c>
      <c r="H35" s="136" t="s">
        <v>38</v>
      </c>
      <c r="I35" s="136">
        <v>6.995161290322581E-2</v>
      </c>
      <c r="J35" s="138" t="s">
        <v>61</v>
      </c>
      <c r="K35" s="136">
        <v>2.9032258064516131E-3</v>
      </c>
    </row>
    <row r="36" spans="1:11" x14ac:dyDescent="0.25">
      <c r="A36" s="137" t="s">
        <v>330</v>
      </c>
      <c r="B36" s="134"/>
      <c r="C36" s="134"/>
      <c r="D36" s="128"/>
      <c r="E36" s="128"/>
      <c r="F36" s="138"/>
      <c r="G36" s="138"/>
      <c r="H36" s="138"/>
      <c r="I36" s="138"/>
      <c r="J36" s="138"/>
      <c r="K36" s="138"/>
    </row>
    <row r="37" spans="1:11" x14ac:dyDescent="0.25">
      <c r="A37" s="139" t="s">
        <v>219</v>
      </c>
      <c r="B37" s="134">
        <v>0.94143495978378278</v>
      </c>
      <c r="C37" s="134">
        <v>0.93751196172248807</v>
      </c>
      <c r="D37" s="135">
        <v>1.791474559574513E-2</v>
      </c>
      <c r="E37" s="135">
        <v>-2.7012919775320499E-2</v>
      </c>
      <c r="F37" s="136" t="s">
        <v>118</v>
      </c>
      <c r="G37" s="136">
        <v>0.77004784688995209</v>
      </c>
      <c r="H37" s="136" t="s">
        <v>24</v>
      </c>
      <c r="I37" s="136">
        <v>0.12918660287081341</v>
      </c>
      <c r="J37" s="136" t="s">
        <v>38</v>
      </c>
      <c r="K37" s="136">
        <v>3.8277511961722487E-2</v>
      </c>
    </row>
    <row r="38" spans="1:11" x14ac:dyDescent="0.25">
      <c r="A38" s="139" t="s">
        <v>218</v>
      </c>
      <c r="B38" s="134">
        <v>0.87462938048675054</v>
      </c>
      <c r="C38" s="134">
        <v>0.87237668161434978</v>
      </c>
      <c r="D38" s="135">
        <v>1.8294500009309989E-2</v>
      </c>
      <c r="E38" s="135">
        <v>-2.1254911401220711E-2</v>
      </c>
      <c r="F38" s="136" t="s">
        <v>24</v>
      </c>
      <c r="G38" s="136">
        <v>0.43408071748878924</v>
      </c>
      <c r="H38" s="136" t="s">
        <v>118</v>
      </c>
      <c r="I38" s="136">
        <v>0.37506726457399103</v>
      </c>
      <c r="J38" s="136" t="s">
        <v>38</v>
      </c>
      <c r="K38" s="136">
        <v>6.3228699551569512E-2</v>
      </c>
    </row>
    <row r="39" spans="1:11" x14ac:dyDescent="0.25">
      <c r="A39" s="139" t="s">
        <v>331</v>
      </c>
      <c r="B39" s="134">
        <v>0.98470043525502027</v>
      </c>
      <c r="C39" s="134">
        <v>0.97927135678391974</v>
      </c>
      <c r="D39" s="135">
        <v>4.8994515795892424E-2</v>
      </c>
      <c r="E39" s="135">
        <v>-1.8427352638459515E-2</v>
      </c>
      <c r="F39" s="136" t="s">
        <v>118</v>
      </c>
      <c r="G39" s="136">
        <v>0.74685929648241212</v>
      </c>
      <c r="H39" s="136" t="s">
        <v>24</v>
      </c>
      <c r="I39" s="136">
        <v>0.18216080402010051</v>
      </c>
      <c r="J39" s="136" t="s">
        <v>38</v>
      </c>
      <c r="K39" s="136">
        <v>5.0251256281407038E-2</v>
      </c>
    </row>
    <row r="40" spans="1:11" x14ac:dyDescent="0.25">
      <c r="A40" s="137" t="s">
        <v>282</v>
      </c>
      <c r="B40" s="128"/>
      <c r="C40" s="128"/>
      <c r="D40" s="128"/>
      <c r="E40" s="128"/>
      <c r="F40" s="138"/>
      <c r="G40" s="138"/>
      <c r="H40" s="138"/>
      <c r="I40" s="138"/>
      <c r="J40" s="138"/>
      <c r="K40" s="138"/>
    </row>
    <row r="41" spans="1:11" x14ac:dyDescent="0.25">
      <c r="A41" s="139" t="s">
        <v>352</v>
      </c>
      <c r="B41" s="134">
        <v>0.51331579611898792</v>
      </c>
      <c r="C41" s="134">
        <v>0.55511811023622049</v>
      </c>
      <c r="D41" s="128"/>
      <c r="E41" s="128"/>
      <c r="F41" s="136" t="s">
        <v>22</v>
      </c>
      <c r="G41" s="136">
        <v>0.297244094488189</v>
      </c>
      <c r="H41" s="136" t="s">
        <v>90</v>
      </c>
      <c r="I41" s="136">
        <v>0.17519685039370078</v>
      </c>
      <c r="J41" s="138" t="s">
        <v>24</v>
      </c>
      <c r="K41" s="136">
        <v>8.2677165354330714E-2</v>
      </c>
    </row>
    <row r="42" spans="1:11" x14ac:dyDescent="0.25">
      <c r="A42" s="139" t="s">
        <v>353</v>
      </c>
      <c r="B42" s="134">
        <v>0.62</v>
      </c>
      <c r="C42" s="134">
        <v>0.64</v>
      </c>
      <c r="D42" s="135">
        <v>-4.9739280182514722E-4</v>
      </c>
      <c r="E42" s="135">
        <v>1.2883350374880198E-2</v>
      </c>
      <c r="F42" s="136" t="s">
        <v>22</v>
      </c>
      <c r="G42" s="136">
        <v>0.297244094488189</v>
      </c>
      <c r="H42" s="136" t="s">
        <v>90</v>
      </c>
      <c r="I42" s="136">
        <v>0.17519685039370078</v>
      </c>
      <c r="J42" s="138" t="s">
        <v>354</v>
      </c>
      <c r="K42" s="136">
        <v>0.16700000000000001</v>
      </c>
    </row>
    <row r="43" spans="1:11" x14ac:dyDescent="0.25">
      <c r="A43" s="133" t="s">
        <v>124</v>
      </c>
      <c r="B43" s="134">
        <v>0.61503538220270071</v>
      </c>
      <c r="C43" s="134">
        <v>0.65378151260504191</v>
      </c>
      <c r="D43" s="135">
        <v>-1.3864639056976991E-2</v>
      </c>
      <c r="E43" s="135">
        <v>-9.2536163438670216E-2</v>
      </c>
      <c r="F43" s="136" t="s">
        <v>38</v>
      </c>
      <c r="G43" s="136">
        <v>0.31064425770308118</v>
      </c>
      <c r="H43" s="136" t="s">
        <v>24</v>
      </c>
      <c r="I43" s="136">
        <v>0.20392156862745098</v>
      </c>
      <c r="J43" s="138" t="s">
        <v>85</v>
      </c>
      <c r="K43" s="136">
        <v>0.13921568627450978</v>
      </c>
    </row>
    <row r="44" spans="1:11" x14ac:dyDescent="0.25">
      <c r="A44" s="137" t="s">
        <v>332</v>
      </c>
      <c r="B44" s="134">
        <v>0.99832799601186506</v>
      </c>
      <c r="C44" s="134">
        <v>0.99475806451612914</v>
      </c>
      <c r="D44" s="135">
        <v>4.012365388545347E-2</v>
      </c>
      <c r="E44" s="135">
        <v>1.5880958611351526E-2</v>
      </c>
      <c r="F44" s="136" t="s">
        <v>22</v>
      </c>
      <c r="G44" s="136">
        <v>0.967741935483871</v>
      </c>
      <c r="H44" s="136" t="s">
        <v>49</v>
      </c>
      <c r="I44" s="136">
        <v>2.1774193548387097E-2</v>
      </c>
      <c r="J44" s="138" t="s">
        <v>28</v>
      </c>
      <c r="K44" s="136">
        <v>5.2419354838709681E-3</v>
      </c>
    </row>
    <row r="45" spans="1:11" x14ac:dyDescent="0.25">
      <c r="A45" s="139" t="s">
        <v>333</v>
      </c>
      <c r="B45" s="134">
        <v>0.99975704567541301</v>
      </c>
      <c r="C45" s="134">
        <v>0.99854227405247808</v>
      </c>
      <c r="D45" s="135">
        <v>-6.2836256957428116E-2</v>
      </c>
      <c r="E45" s="135">
        <v>1.6037772721183563E-2</v>
      </c>
      <c r="F45" s="136" t="s">
        <v>49</v>
      </c>
      <c r="G45" s="136">
        <v>0.7288629737609329</v>
      </c>
      <c r="H45" s="136" t="s">
        <v>28</v>
      </c>
      <c r="I45" s="136">
        <v>0.17055393586005829</v>
      </c>
      <c r="J45" s="138" t="s">
        <v>50</v>
      </c>
      <c r="K45" s="136">
        <v>9.9125364431486881E-2</v>
      </c>
    </row>
    <row r="46" spans="1:11" x14ac:dyDescent="0.25">
      <c r="A46" s="137" t="s">
        <v>574</v>
      </c>
      <c r="B46" s="128"/>
      <c r="C46" s="128"/>
      <c r="D46" s="128"/>
      <c r="E46" s="128"/>
      <c r="F46" s="138"/>
      <c r="G46" s="138"/>
      <c r="H46" s="138"/>
      <c r="I46" s="138"/>
      <c r="J46" s="138"/>
      <c r="K46" s="138"/>
    </row>
    <row r="47" spans="1:11" x14ac:dyDescent="0.25">
      <c r="A47" s="139" t="s">
        <v>352</v>
      </c>
      <c r="B47" s="134">
        <v>0.71212979370459439</v>
      </c>
      <c r="C47" s="134">
        <v>0.73</v>
      </c>
      <c r="D47" s="128" t="s">
        <v>310</v>
      </c>
      <c r="E47" s="128" t="s">
        <v>310</v>
      </c>
      <c r="F47" s="136" t="s">
        <v>78</v>
      </c>
      <c r="G47" s="136">
        <v>0.4821052631578947</v>
      </c>
      <c r="H47" s="136" t="s">
        <v>79</v>
      </c>
      <c r="I47" s="136">
        <v>0.11578947368421053</v>
      </c>
      <c r="J47" s="138" t="s">
        <v>44</v>
      </c>
      <c r="K47" s="136">
        <v>0.10526315789473684</v>
      </c>
    </row>
    <row r="48" spans="1:11" x14ac:dyDescent="0.25">
      <c r="A48" s="139" t="s">
        <v>353</v>
      </c>
      <c r="B48" s="134">
        <v>0.77</v>
      </c>
      <c r="C48" s="134">
        <v>0.74</v>
      </c>
      <c r="D48" s="135">
        <v>9.2130539628543451E-2</v>
      </c>
      <c r="E48" s="135">
        <v>-4.6950431467424059E-3</v>
      </c>
      <c r="F48" s="136" t="s">
        <v>78</v>
      </c>
      <c r="G48" s="136">
        <v>0.4821052631578947</v>
      </c>
      <c r="H48" s="136" t="s">
        <v>354</v>
      </c>
      <c r="I48" s="136">
        <v>0.15</v>
      </c>
      <c r="J48" s="136" t="s">
        <v>79</v>
      </c>
      <c r="K48" s="136">
        <v>0.11578947368421053</v>
      </c>
    </row>
    <row r="49" spans="1:11" x14ac:dyDescent="0.25">
      <c r="A49" s="137" t="s">
        <v>268</v>
      </c>
      <c r="B49" s="134">
        <v>0.7417236802380115</v>
      </c>
      <c r="C49" s="134">
        <v>0.75254545454545452</v>
      </c>
      <c r="D49" s="135">
        <v>1.0702971223492286E-2</v>
      </c>
      <c r="E49" s="135">
        <v>1.6292098624930862E-2</v>
      </c>
      <c r="F49" s="136" t="s">
        <v>29</v>
      </c>
      <c r="G49" s="136">
        <v>0.36618181818181822</v>
      </c>
      <c r="H49" s="136" t="s">
        <v>57</v>
      </c>
      <c r="I49" s="136">
        <v>0.29545454545454547</v>
      </c>
      <c r="J49" s="138" t="s">
        <v>58</v>
      </c>
      <c r="K49" s="136">
        <v>9.0909090909090912E-2</v>
      </c>
    </row>
    <row r="50" spans="1:11" x14ac:dyDescent="0.25">
      <c r="A50" s="137" t="s">
        <v>283</v>
      </c>
      <c r="B50" s="134">
        <v>0.7562045961873215</v>
      </c>
      <c r="C50" s="134">
        <v>0.76817233658452555</v>
      </c>
      <c r="D50" s="135">
        <v>4.5269215394512896E-2</v>
      </c>
      <c r="E50" s="135">
        <v>3.0303965664113974E-2</v>
      </c>
      <c r="F50" s="136" t="s">
        <v>22</v>
      </c>
      <c r="G50" s="136">
        <v>0.59389013989270423</v>
      </c>
      <c r="H50" s="136" t="s">
        <v>97</v>
      </c>
      <c r="I50" s="136">
        <v>9.113757710684281E-2</v>
      </c>
      <c r="J50" s="138" t="s">
        <v>28</v>
      </c>
      <c r="K50" s="136">
        <v>8.3144619584978596E-2</v>
      </c>
    </row>
    <row r="51" spans="1:11" x14ac:dyDescent="0.25">
      <c r="A51" s="137" t="s">
        <v>233</v>
      </c>
      <c r="B51" s="134">
        <v>0.43732700374806144</v>
      </c>
      <c r="C51" s="134">
        <v>0.44850961538461542</v>
      </c>
      <c r="D51" s="135">
        <v>1.4181606149807902E-2</v>
      </c>
      <c r="E51" s="135">
        <v>1.1281049835639045E-2</v>
      </c>
      <c r="F51" s="136" t="s">
        <v>44</v>
      </c>
      <c r="G51" s="136">
        <v>0.16798076923076924</v>
      </c>
      <c r="H51" s="136" t="s">
        <v>73</v>
      </c>
      <c r="I51" s="136">
        <v>0.15072115384615384</v>
      </c>
      <c r="J51" s="138" t="s">
        <v>22</v>
      </c>
      <c r="K51" s="136">
        <v>0.12980769230769232</v>
      </c>
    </row>
    <row r="52" spans="1:11" x14ac:dyDescent="0.25">
      <c r="A52" s="137" t="s">
        <v>284</v>
      </c>
      <c r="B52" s="134">
        <v>0.93358181744677993</v>
      </c>
      <c r="C52" s="134">
        <v>0.97104247104247099</v>
      </c>
      <c r="D52" s="135">
        <v>2.5870254539493542E-2</v>
      </c>
      <c r="E52" s="135">
        <v>-4.7053670076901311E-2</v>
      </c>
      <c r="F52" s="136" t="s">
        <v>22</v>
      </c>
      <c r="G52" s="136">
        <v>0.36679536679536678</v>
      </c>
      <c r="H52" s="136" t="s">
        <v>72</v>
      </c>
      <c r="I52" s="136">
        <v>0.36293436293436293</v>
      </c>
      <c r="J52" s="138" t="s">
        <v>73</v>
      </c>
      <c r="K52" s="136">
        <v>0.2413127413127413</v>
      </c>
    </row>
    <row r="53" spans="1:11" x14ac:dyDescent="0.25">
      <c r="A53" s="137" t="s">
        <v>285</v>
      </c>
      <c r="B53" s="128"/>
      <c r="C53" s="128"/>
      <c r="D53" s="128"/>
      <c r="E53" s="128"/>
      <c r="F53" s="138"/>
      <c r="G53" s="138"/>
      <c r="H53" s="138"/>
      <c r="I53" s="138"/>
      <c r="J53" s="138"/>
      <c r="K53" s="138"/>
    </row>
    <row r="54" spans="1:11" x14ac:dyDescent="0.25">
      <c r="A54" s="139" t="s">
        <v>352</v>
      </c>
      <c r="B54" s="134">
        <v>0.3494166031505026</v>
      </c>
      <c r="C54" s="134">
        <v>0.35630498533724342</v>
      </c>
      <c r="D54" s="128" t="s">
        <v>310</v>
      </c>
      <c r="E54" s="128" t="s">
        <v>310</v>
      </c>
      <c r="F54" s="136" t="s">
        <v>38</v>
      </c>
      <c r="G54" s="136">
        <v>0.12888563049853372</v>
      </c>
      <c r="H54" s="136" t="s">
        <v>22</v>
      </c>
      <c r="I54" s="136">
        <v>0.12404692082111438</v>
      </c>
      <c r="J54" s="138" t="s">
        <v>24</v>
      </c>
      <c r="K54" s="136">
        <v>0.1033724340175953</v>
      </c>
    </row>
    <row r="55" spans="1:11" x14ac:dyDescent="0.25">
      <c r="A55" s="139" t="s">
        <v>353</v>
      </c>
      <c r="B55" s="134">
        <v>0.38</v>
      </c>
      <c r="C55" s="134">
        <v>0.39</v>
      </c>
      <c r="D55" s="135">
        <v>7.7871041181520884E-3</v>
      </c>
      <c r="E55" s="135">
        <v>-2.0612660614631739E-3</v>
      </c>
      <c r="F55" s="136" t="s">
        <v>354</v>
      </c>
      <c r="G55" s="136">
        <v>0.13300000000000001</v>
      </c>
      <c r="H55" s="136" t="s">
        <v>38</v>
      </c>
      <c r="I55" s="136">
        <v>0.12888563049853372</v>
      </c>
      <c r="J55" s="136" t="s">
        <v>22</v>
      </c>
      <c r="K55" s="136">
        <v>0.12404692082111438</v>
      </c>
    </row>
    <row r="56" spans="1:11" x14ac:dyDescent="0.25">
      <c r="A56" s="137" t="s">
        <v>286</v>
      </c>
      <c r="B56" s="134">
        <v>0.77840312163829262</v>
      </c>
      <c r="C56" s="134">
        <v>0.84977064220183485</v>
      </c>
      <c r="D56" s="135">
        <v>2.664189015116758E-2</v>
      </c>
      <c r="E56" s="135">
        <v>-0.13455565746582154</v>
      </c>
      <c r="F56" s="136" t="s">
        <v>27</v>
      </c>
      <c r="G56" s="136">
        <v>0.50573394495412849</v>
      </c>
      <c r="H56" s="136" t="s">
        <v>28</v>
      </c>
      <c r="I56" s="136">
        <v>0.20642201834862386</v>
      </c>
      <c r="J56" s="138" t="s">
        <v>63</v>
      </c>
      <c r="K56" s="136">
        <v>0.13761467889908258</v>
      </c>
    </row>
    <row r="57" spans="1:11" x14ac:dyDescent="0.25">
      <c r="A57" s="137" t="s">
        <v>269</v>
      </c>
      <c r="B57" s="134">
        <v>0.90495193872295321</v>
      </c>
      <c r="C57" s="134">
        <v>0.88709677419354838</v>
      </c>
      <c r="D57" s="135">
        <v>3.3070906039048387E-2</v>
      </c>
      <c r="E57" s="135">
        <v>2.9205293371891816E-2</v>
      </c>
      <c r="F57" s="136" t="s">
        <v>29</v>
      </c>
      <c r="G57" s="136">
        <v>0.33064516129032256</v>
      </c>
      <c r="H57" s="136" t="s">
        <v>44</v>
      </c>
      <c r="I57" s="136">
        <v>0.28225806451612906</v>
      </c>
      <c r="J57" s="138" t="s">
        <v>24</v>
      </c>
      <c r="K57" s="136">
        <v>0.27419354838709675</v>
      </c>
    </row>
    <row r="58" spans="1:11" x14ac:dyDescent="0.25">
      <c r="A58" s="137" t="s">
        <v>125</v>
      </c>
      <c r="B58" s="134">
        <v>0.82139873026426591</v>
      </c>
      <c r="C58" s="134">
        <v>0.8344186046511628</v>
      </c>
      <c r="D58" s="135">
        <v>8.1590515873148917E-3</v>
      </c>
      <c r="E58" s="135">
        <v>-2.5602126757419907E-2</v>
      </c>
      <c r="F58" s="136" t="s">
        <v>22</v>
      </c>
      <c r="G58" s="136">
        <v>0.42567567567567566</v>
      </c>
      <c r="H58" s="136" t="s">
        <v>55</v>
      </c>
      <c r="I58" s="136">
        <v>0.26486486486486488</v>
      </c>
      <c r="J58" s="138" t="s">
        <v>44</v>
      </c>
      <c r="K58" s="136">
        <v>0.14239864864864865</v>
      </c>
    </row>
    <row r="59" spans="1:11" x14ac:dyDescent="0.25">
      <c r="A59" s="137" t="s">
        <v>287</v>
      </c>
      <c r="B59" s="134">
        <v>0.90544029258067982</v>
      </c>
      <c r="C59" s="134">
        <v>0.86155268022181142</v>
      </c>
      <c r="D59" s="135">
        <v>8.3577855354990405E-3</v>
      </c>
      <c r="E59" s="135">
        <v>5.9785064365844853E-3</v>
      </c>
      <c r="F59" s="136" t="s">
        <v>22</v>
      </c>
      <c r="G59" s="136">
        <v>0.75785582255083173</v>
      </c>
      <c r="H59" s="136" t="s">
        <v>24</v>
      </c>
      <c r="I59" s="136">
        <v>6.0998151571164505E-2</v>
      </c>
      <c r="J59" s="138" t="s">
        <v>38</v>
      </c>
      <c r="K59" s="136">
        <v>4.2698706099815159E-2</v>
      </c>
    </row>
    <row r="60" spans="1:11" x14ac:dyDescent="0.25">
      <c r="A60" s="137" t="s">
        <v>271</v>
      </c>
      <c r="B60" s="134">
        <v>0.98048534679573296</v>
      </c>
      <c r="C60" s="134">
        <v>0.98258620689655163</v>
      </c>
      <c r="D60" s="135">
        <v>2.0530301330505596E-2</v>
      </c>
      <c r="E60" s="135">
        <v>-1.8214267225403091E-2</v>
      </c>
      <c r="F60" s="136" t="s">
        <v>118</v>
      </c>
      <c r="G60" s="136">
        <v>0.40499999999999997</v>
      </c>
      <c r="H60" s="136" t="s">
        <v>22</v>
      </c>
      <c r="I60" s="136">
        <v>0.32758620689655171</v>
      </c>
      <c r="J60" s="138" t="s">
        <v>24</v>
      </c>
      <c r="K60" s="136">
        <v>0.25</v>
      </c>
    </row>
    <row r="61" spans="1:11" x14ac:dyDescent="0.25">
      <c r="A61" s="137" t="s">
        <v>575</v>
      </c>
      <c r="B61" s="134">
        <v>0.99470090840396885</v>
      </c>
      <c r="C61" s="134">
        <v>0.99662921348314604</v>
      </c>
      <c r="D61" s="135">
        <v>0.16917412833814915</v>
      </c>
      <c r="E61" s="135">
        <v>7.9188442089541011E-2</v>
      </c>
      <c r="F61" s="136" t="s">
        <v>22</v>
      </c>
      <c r="G61" s="136">
        <v>0.9887640449438202</v>
      </c>
      <c r="H61" s="136" t="s">
        <v>49</v>
      </c>
      <c r="I61" s="136">
        <v>6.1797752808988764E-3</v>
      </c>
      <c r="J61" s="138" t="s">
        <v>28</v>
      </c>
      <c r="K61" s="136">
        <v>1.6853932584269663E-3</v>
      </c>
    </row>
    <row r="62" spans="1:11" x14ac:dyDescent="0.25">
      <c r="A62" s="137" t="s">
        <v>127</v>
      </c>
      <c r="B62" s="134">
        <v>0.527857544687936</v>
      </c>
      <c r="C62" s="134">
        <v>0.54530454545454554</v>
      </c>
      <c r="D62" s="135">
        <v>2.2693743396138055E-2</v>
      </c>
      <c r="E62" s="135">
        <v>2.2924556626030324E-2</v>
      </c>
      <c r="F62" s="136" t="s">
        <v>22</v>
      </c>
      <c r="G62" s="136">
        <v>0.27636363636363637</v>
      </c>
      <c r="H62" s="136" t="s">
        <v>27</v>
      </c>
      <c r="I62" s="136">
        <v>0.13763636363636364</v>
      </c>
      <c r="J62" s="138" t="s">
        <v>44</v>
      </c>
      <c r="K62" s="136">
        <v>0.13130454545454545</v>
      </c>
    </row>
    <row r="63" spans="1:11" x14ac:dyDescent="0.25">
      <c r="A63" s="137" t="s">
        <v>288</v>
      </c>
      <c r="B63" s="134">
        <v>0.84802370760036272</v>
      </c>
      <c r="C63" s="134">
        <v>0.81276595744680846</v>
      </c>
      <c r="D63" s="135">
        <v>1.6417469085677983E-2</v>
      </c>
      <c r="E63" s="135">
        <v>2.168079166422654E-2</v>
      </c>
      <c r="F63" s="136" t="s">
        <v>27</v>
      </c>
      <c r="G63" s="136">
        <v>0.42624113475177305</v>
      </c>
      <c r="H63" s="136" t="s">
        <v>118</v>
      </c>
      <c r="I63" s="136">
        <v>0.28723404255319152</v>
      </c>
      <c r="J63" s="138" t="s">
        <v>22</v>
      </c>
      <c r="K63" s="136">
        <v>9.9290780141843976E-2</v>
      </c>
    </row>
    <row r="64" spans="1:11" x14ac:dyDescent="0.25">
      <c r="A64" s="138"/>
      <c r="B64" s="140"/>
      <c r="C64" s="140"/>
      <c r="D64" s="128"/>
      <c r="E64" s="128"/>
      <c r="F64" s="138"/>
      <c r="G64" s="138"/>
      <c r="H64" s="138"/>
      <c r="I64" s="138"/>
      <c r="J64" s="138"/>
      <c r="K64" s="138"/>
    </row>
    <row r="65" spans="1:11" x14ac:dyDescent="0.25">
      <c r="A65" s="137" t="s">
        <v>576</v>
      </c>
      <c r="B65" s="140"/>
      <c r="C65" s="140"/>
      <c r="D65" s="128"/>
      <c r="E65" s="128"/>
      <c r="F65" s="138"/>
      <c r="G65" s="138"/>
      <c r="H65" s="138"/>
      <c r="I65" s="138"/>
      <c r="J65" s="138"/>
      <c r="K65" s="138"/>
    </row>
    <row r="66" spans="1:11" x14ac:dyDescent="0.25">
      <c r="A66" s="141" t="s">
        <v>577</v>
      </c>
      <c r="B66" s="140"/>
      <c r="C66" s="140"/>
      <c r="D66" s="128"/>
      <c r="E66" s="128"/>
      <c r="F66" s="138"/>
      <c r="G66" s="138"/>
      <c r="H66" s="138"/>
      <c r="I66" s="138"/>
      <c r="J66" s="138"/>
      <c r="K66" s="138"/>
    </row>
    <row r="67" spans="1:11" x14ac:dyDescent="0.25">
      <c r="A67" s="141" t="s">
        <v>578</v>
      </c>
      <c r="B67" s="128"/>
      <c r="C67" s="128"/>
      <c r="D67" s="128"/>
      <c r="E67" s="128"/>
      <c r="F67" s="138"/>
      <c r="G67" s="138"/>
      <c r="H67" s="138"/>
      <c r="I67" s="138"/>
      <c r="J67" s="138"/>
      <c r="K67" s="138"/>
    </row>
    <row r="68" spans="1:11" x14ac:dyDescent="0.25">
      <c r="A68" s="137" t="s">
        <v>579</v>
      </c>
      <c r="B68" s="128"/>
      <c r="C68" s="128"/>
      <c r="D68" s="128"/>
      <c r="E68" s="128"/>
      <c r="F68" s="138"/>
      <c r="G68" s="138"/>
      <c r="H68" s="138"/>
      <c r="I68" s="138"/>
      <c r="J68" s="138"/>
      <c r="K68" s="138"/>
    </row>
    <row r="69" spans="1:11" x14ac:dyDescent="0.25">
      <c r="A69" s="85"/>
    </row>
    <row r="70" spans="1:11" x14ac:dyDescent="0.25">
      <c r="A70" s="85"/>
    </row>
    <row r="71" spans="1:11" x14ac:dyDescent="0.25">
      <c r="A71" s="85"/>
    </row>
    <row r="72" spans="1:11" x14ac:dyDescent="0.25">
      <c r="A72" s="85"/>
    </row>
    <row r="73" spans="1:11" x14ac:dyDescent="0.25">
      <c r="A73" s="85"/>
    </row>
    <row r="74" spans="1:11" x14ac:dyDescent="0.25">
      <c r="A74" s="85"/>
    </row>
    <row r="75" spans="1:11" x14ac:dyDescent="0.25">
      <c r="A75" s="85"/>
    </row>
    <row r="76" spans="1:11" x14ac:dyDescent="0.25">
      <c r="A76" s="85"/>
    </row>
    <row r="77" spans="1:11" x14ac:dyDescent="0.25">
      <c r="A77" s="85"/>
    </row>
    <row r="78" spans="1:11" x14ac:dyDescent="0.25">
      <c r="A78" s="85"/>
    </row>
    <row r="79" spans="1:11" x14ac:dyDescent="0.25">
      <c r="A79" s="85"/>
    </row>
    <row r="80" spans="1:11" x14ac:dyDescent="0.25">
      <c r="A80" s="85"/>
    </row>
    <row r="81" spans="1:1" x14ac:dyDescent="0.25">
      <c r="A81" s="85"/>
    </row>
    <row r="82" spans="1:1" x14ac:dyDescent="0.25">
      <c r="A82" s="85"/>
    </row>
    <row r="83" spans="1:1" x14ac:dyDescent="0.25">
      <c r="A83" s="85"/>
    </row>
    <row r="84" spans="1:1" x14ac:dyDescent="0.25">
      <c r="A84" s="85"/>
    </row>
  </sheetData>
  <mergeCells count="7">
    <mergeCell ref="F4:K4"/>
    <mergeCell ref="A5:A6"/>
    <mergeCell ref="B5:C5"/>
    <mergeCell ref="D5:E5"/>
    <mergeCell ref="F5:G5"/>
    <mergeCell ref="H5:I5"/>
    <mergeCell ref="J5:K5"/>
  </mergeCells>
  <pageMargins left="0.7" right="0.7" top="0.75" bottom="0.75" header="0.3" footer="0.3"/>
  <pageSetup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3.710937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11" ht="15" customHeight="1" x14ac:dyDescent="0.25">
      <c r="A1" s="112" t="s">
        <v>380</v>
      </c>
      <c r="B1" s="111"/>
      <c r="C1" s="111"/>
      <c r="D1" s="111"/>
      <c r="E1" s="111"/>
      <c r="F1" s="111"/>
      <c r="G1" s="111"/>
      <c r="H1" s="111"/>
      <c r="I1" s="111"/>
    </row>
    <row r="2" spans="1:11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</row>
    <row r="3" spans="1:11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11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11" x14ac:dyDescent="0.25">
      <c r="A5" s="105"/>
      <c r="B5" s="283" t="s">
        <v>14</v>
      </c>
      <c r="C5" s="283"/>
      <c r="D5" s="283"/>
      <c r="E5" s="283"/>
      <c r="F5" s="283"/>
      <c r="G5" s="283"/>
      <c r="H5" s="283"/>
      <c r="I5" s="283"/>
    </row>
    <row r="6" spans="1:11" s="11" customFormat="1" x14ac:dyDescent="0.25">
      <c r="A6" s="101"/>
      <c r="B6" s="282" t="s">
        <v>392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11" s="11" customFormat="1" ht="25.5" customHeight="1" x14ac:dyDescent="0.25">
      <c r="A7" s="100" t="s">
        <v>368</v>
      </c>
      <c r="B7" s="281"/>
      <c r="C7" s="281"/>
      <c r="D7" s="100" t="s">
        <v>9</v>
      </c>
      <c r="E7" s="98" t="s">
        <v>3</v>
      </c>
      <c r="F7" s="100" t="s">
        <v>9</v>
      </c>
      <c r="G7" s="98" t="s">
        <v>3</v>
      </c>
      <c r="H7" s="100" t="s">
        <v>9</v>
      </c>
      <c r="I7" s="100" t="s">
        <v>3</v>
      </c>
    </row>
    <row r="8" spans="1:11" x14ac:dyDescent="0.25">
      <c r="A8" s="138">
        <v>1990</v>
      </c>
      <c r="B8" s="167">
        <v>390</v>
      </c>
      <c r="C8" s="167">
        <v>0.46923076923076923</v>
      </c>
      <c r="D8" s="167">
        <v>130</v>
      </c>
      <c r="E8" s="12" t="s">
        <v>141</v>
      </c>
      <c r="F8" s="167">
        <v>28</v>
      </c>
      <c r="G8" s="12" t="s">
        <v>101</v>
      </c>
      <c r="H8" s="167">
        <v>25</v>
      </c>
      <c r="I8" s="128" t="s">
        <v>37</v>
      </c>
      <c r="J8" s="59"/>
      <c r="K8" s="10"/>
    </row>
    <row r="9" spans="1:11" x14ac:dyDescent="0.25">
      <c r="A9" s="138">
        <v>1991</v>
      </c>
      <c r="B9" s="167">
        <v>391.9</v>
      </c>
      <c r="C9" s="167">
        <v>0.48047971421280938</v>
      </c>
      <c r="D9" s="167">
        <v>135</v>
      </c>
      <c r="E9" s="12" t="s">
        <v>141</v>
      </c>
      <c r="F9" s="167">
        <v>29.3</v>
      </c>
      <c r="G9" s="12" t="s">
        <v>101</v>
      </c>
      <c r="H9" s="167">
        <v>24</v>
      </c>
      <c r="I9" s="128" t="s">
        <v>37</v>
      </c>
      <c r="J9" s="59"/>
      <c r="K9" s="10"/>
    </row>
    <row r="10" spans="1:11" x14ac:dyDescent="0.25">
      <c r="A10" s="138">
        <v>1992</v>
      </c>
      <c r="B10" s="167">
        <v>397</v>
      </c>
      <c r="C10" s="167">
        <v>0.4574307304785894</v>
      </c>
      <c r="D10" s="167">
        <v>135</v>
      </c>
      <c r="E10" s="12" t="s">
        <v>141</v>
      </c>
      <c r="F10" s="167">
        <v>29.9</v>
      </c>
      <c r="G10" s="12" t="s">
        <v>101</v>
      </c>
      <c r="H10" s="167">
        <v>16.7</v>
      </c>
      <c r="I10" s="128" t="s">
        <v>22</v>
      </c>
      <c r="J10" s="59"/>
      <c r="K10" s="10"/>
    </row>
    <row r="11" spans="1:11" x14ac:dyDescent="0.25">
      <c r="A11" s="138">
        <v>1993</v>
      </c>
      <c r="B11" s="167">
        <v>392</v>
      </c>
      <c r="C11" s="167">
        <v>0.47704081632653061</v>
      </c>
      <c r="D11" s="167">
        <v>135</v>
      </c>
      <c r="E11" s="12" t="s">
        <v>141</v>
      </c>
      <c r="F11" s="167">
        <v>27.4</v>
      </c>
      <c r="G11" s="12" t="s">
        <v>101</v>
      </c>
      <c r="H11" s="167">
        <v>24.6</v>
      </c>
      <c r="I11" s="128" t="s">
        <v>22</v>
      </c>
      <c r="J11" s="59"/>
      <c r="K11" s="10"/>
    </row>
    <row r="12" spans="1:11" x14ac:dyDescent="0.25">
      <c r="A12" s="138">
        <v>1994</v>
      </c>
      <c r="B12" s="167">
        <v>421</v>
      </c>
      <c r="C12" s="167">
        <v>0.47553444180522564</v>
      </c>
      <c r="D12" s="167">
        <v>135</v>
      </c>
      <c r="E12" s="12" t="s">
        <v>141</v>
      </c>
      <c r="F12" s="167">
        <v>33.799999999999997</v>
      </c>
      <c r="G12" s="12" t="s">
        <v>101</v>
      </c>
      <c r="H12" s="167">
        <v>31.4</v>
      </c>
      <c r="I12" s="12" t="s">
        <v>22</v>
      </c>
      <c r="J12" s="59"/>
      <c r="K12" s="10"/>
    </row>
    <row r="13" spans="1:11" x14ac:dyDescent="0.25">
      <c r="A13" s="138">
        <v>1995</v>
      </c>
      <c r="B13" s="167">
        <v>432</v>
      </c>
      <c r="C13" s="167">
        <v>0.43726851851851856</v>
      </c>
      <c r="D13" s="167">
        <v>130</v>
      </c>
      <c r="E13" s="12" t="s">
        <v>141</v>
      </c>
      <c r="F13" s="167">
        <v>32.700000000000003</v>
      </c>
      <c r="G13" s="128" t="s">
        <v>101</v>
      </c>
      <c r="H13" s="167">
        <v>26.2</v>
      </c>
      <c r="I13" s="128" t="s">
        <v>22</v>
      </c>
      <c r="J13" s="59"/>
      <c r="K13" s="10"/>
    </row>
    <row r="14" spans="1:11" x14ac:dyDescent="0.25">
      <c r="A14" s="138">
        <v>1996</v>
      </c>
      <c r="B14" s="167">
        <v>483</v>
      </c>
      <c r="C14" s="167">
        <v>0.48033126293995865</v>
      </c>
      <c r="D14" s="167">
        <v>160</v>
      </c>
      <c r="E14" s="12" t="s">
        <v>141</v>
      </c>
      <c r="F14" s="167">
        <v>41.4</v>
      </c>
      <c r="G14" s="128" t="s">
        <v>22</v>
      </c>
      <c r="H14" s="167">
        <v>30.6</v>
      </c>
      <c r="I14" s="128" t="s">
        <v>101</v>
      </c>
      <c r="J14" s="59"/>
      <c r="K14" s="10"/>
    </row>
    <row r="15" spans="1:11" x14ac:dyDescent="0.25">
      <c r="A15" s="138">
        <v>1997</v>
      </c>
      <c r="B15" s="167">
        <v>542</v>
      </c>
      <c r="C15" s="167">
        <v>0.49022140221402211</v>
      </c>
      <c r="D15" s="167">
        <v>180</v>
      </c>
      <c r="E15" s="12" t="s">
        <v>141</v>
      </c>
      <c r="F15" s="167">
        <v>50.1</v>
      </c>
      <c r="G15" s="128" t="s">
        <v>22</v>
      </c>
      <c r="H15" s="167">
        <v>35.6</v>
      </c>
      <c r="I15" s="128" t="s">
        <v>101</v>
      </c>
      <c r="J15" s="59"/>
      <c r="K15" s="10"/>
    </row>
    <row r="16" spans="1:11" x14ac:dyDescent="0.25">
      <c r="A16" s="138">
        <v>1998</v>
      </c>
      <c r="B16" s="167">
        <v>521</v>
      </c>
      <c r="C16" s="167">
        <v>0.50115163147792696</v>
      </c>
      <c r="D16" s="167">
        <v>185.2</v>
      </c>
      <c r="E16" s="12" t="s">
        <v>141</v>
      </c>
      <c r="F16" s="167">
        <v>40</v>
      </c>
      <c r="G16" s="12" t="s">
        <v>22</v>
      </c>
      <c r="H16" s="167">
        <v>35.9</v>
      </c>
      <c r="I16" s="128" t="s">
        <v>101</v>
      </c>
      <c r="J16" s="59"/>
      <c r="K16" s="10"/>
    </row>
    <row r="17" spans="1:11" x14ac:dyDescent="0.25">
      <c r="A17" s="138">
        <v>1999</v>
      </c>
      <c r="B17" s="167">
        <v>547</v>
      </c>
      <c r="C17" s="167">
        <v>0.50822669104204754</v>
      </c>
      <c r="D17" s="167">
        <v>181</v>
      </c>
      <c r="E17" s="12" t="s">
        <v>141</v>
      </c>
      <c r="F17" s="167">
        <v>55</v>
      </c>
      <c r="G17" s="12" t="s">
        <v>101</v>
      </c>
      <c r="H17" s="167">
        <v>42</v>
      </c>
      <c r="I17" s="128" t="s">
        <v>22</v>
      </c>
      <c r="J17" s="59"/>
      <c r="K17" s="10"/>
    </row>
    <row r="18" spans="1:11" x14ac:dyDescent="0.25">
      <c r="A18" s="138">
        <v>2000</v>
      </c>
      <c r="B18" s="167">
        <v>542</v>
      </c>
      <c r="C18" s="167">
        <v>0.52398523985239853</v>
      </c>
      <c r="D18" s="167">
        <v>210</v>
      </c>
      <c r="E18" s="12" t="s">
        <v>141</v>
      </c>
      <c r="F18" s="167">
        <v>42</v>
      </c>
      <c r="G18" s="12" t="s">
        <v>22</v>
      </c>
      <c r="H18" s="167">
        <v>32</v>
      </c>
      <c r="I18" s="128" t="s">
        <v>101</v>
      </c>
      <c r="J18" s="59"/>
      <c r="K18" s="10"/>
    </row>
    <row r="19" spans="1:11" x14ac:dyDescent="0.25">
      <c r="A19" s="138">
        <v>2001</v>
      </c>
      <c r="B19" s="167">
        <v>523</v>
      </c>
      <c r="C19" s="167">
        <v>0.5372848948374761</v>
      </c>
      <c r="D19" s="167">
        <v>206</v>
      </c>
      <c r="E19" s="12" t="s">
        <v>141</v>
      </c>
      <c r="F19" s="167">
        <v>40</v>
      </c>
      <c r="G19" s="12" t="s">
        <v>22</v>
      </c>
      <c r="H19" s="167">
        <v>35</v>
      </c>
      <c r="I19" s="128" t="s">
        <v>101</v>
      </c>
      <c r="J19" s="59"/>
      <c r="K19" s="10"/>
    </row>
    <row r="20" spans="1:11" x14ac:dyDescent="0.25">
      <c r="A20" s="138">
        <v>2002</v>
      </c>
      <c r="B20" s="167">
        <v>540</v>
      </c>
      <c r="C20" s="167">
        <v>0.52407407407407403</v>
      </c>
      <c r="D20" s="167">
        <v>206</v>
      </c>
      <c r="E20" s="12" t="s">
        <v>141</v>
      </c>
      <c r="F20" s="167">
        <v>42</v>
      </c>
      <c r="G20" s="12" t="s">
        <v>22</v>
      </c>
      <c r="H20" s="167">
        <v>35</v>
      </c>
      <c r="I20" s="128" t="s">
        <v>101</v>
      </c>
      <c r="J20" s="59"/>
      <c r="K20" s="10"/>
    </row>
    <row r="21" spans="1:11" x14ac:dyDescent="0.25">
      <c r="A21" s="138">
        <v>2003</v>
      </c>
      <c r="B21" s="167">
        <v>494</v>
      </c>
      <c r="C21" s="167">
        <v>0.54858299595141702</v>
      </c>
      <c r="D21" s="167">
        <v>176</v>
      </c>
      <c r="E21" s="12" t="s">
        <v>141</v>
      </c>
      <c r="F21" s="167">
        <v>75</v>
      </c>
      <c r="G21" s="12" t="s">
        <v>22</v>
      </c>
      <c r="H21" s="167">
        <v>20</v>
      </c>
      <c r="I21" s="128" t="s">
        <v>29</v>
      </c>
      <c r="J21" s="59"/>
      <c r="K21" s="10"/>
    </row>
    <row r="22" spans="1:11" x14ac:dyDescent="0.25">
      <c r="A22" s="138">
        <v>2004</v>
      </c>
      <c r="B22" s="167">
        <v>565</v>
      </c>
      <c r="C22" s="167">
        <v>0.55929203539823014</v>
      </c>
      <c r="D22" s="167">
        <v>202</v>
      </c>
      <c r="E22" s="12" t="s">
        <v>141</v>
      </c>
      <c r="F22" s="167">
        <v>80</v>
      </c>
      <c r="G22" s="12" t="s">
        <v>22</v>
      </c>
      <c r="H22" s="167">
        <v>34</v>
      </c>
      <c r="I22" s="128" t="s">
        <v>142</v>
      </c>
      <c r="J22" s="59"/>
      <c r="K22" s="10"/>
    </row>
    <row r="23" spans="1:11" x14ac:dyDescent="0.25">
      <c r="A23" s="138">
        <v>2005</v>
      </c>
      <c r="B23" s="167">
        <v>631</v>
      </c>
      <c r="C23" s="167">
        <v>0.59904912836767032</v>
      </c>
      <c r="D23" s="167">
        <v>207</v>
      </c>
      <c r="E23" s="12" t="s">
        <v>141</v>
      </c>
      <c r="F23" s="167">
        <v>105</v>
      </c>
      <c r="G23" s="12" t="s">
        <v>22</v>
      </c>
      <c r="H23" s="167">
        <v>66</v>
      </c>
      <c r="I23" s="128" t="s">
        <v>142</v>
      </c>
      <c r="J23" s="59"/>
      <c r="K23" s="10"/>
    </row>
    <row r="24" spans="1:11" x14ac:dyDescent="0.25">
      <c r="A24" s="138">
        <v>2006</v>
      </c>
      <c r="B24" s="167">
        <v>671</v>
      </c>
      <c r="C24" s="167">
        <v>0.55513114754098358</v>
      </c>
      <c r="D24" s="167">
        <v>179.49299999999999</v>
      </c>
      <c r="E24" s="12" t="s">
        <v>141</v>
      </c>
      <c r="F24" s="167">
        <v>124</v>
      </c>
      <c r="G24" s="12" t="s">
        <v>22</v>
      </c>
      <c r="H24" s="167">
        <v>69</v>
      </c>
      <c r="I24" s="128" t="s">
        <v>142</v>
      </c>
      <c r="J24" s="59"/>
      <c r="K24" s="10"/>
    </row>
    <row r="25" spans="1:11" x14ac:dyDescent="0.25">
      <c r="A25" s="138" t="s">
        <v>4</v>
      </c>
      <c r="B25" s="167">
        <v>415</v>
      </c>
      <c r="C25" s="167">
        <v>0.91928915662650601</v>
      </c>
      <c r="D25" s="167">
        <v>159.39500000000001</v>
      </c>
      <c r="E25" s="12" t="s">
        <v>141</v>
      </c>
      <c r="F25" s="167">
        <v>137</v>
      </c>
      <c r="G25" s="12" t="s">
        <v>22</v>
      </c>
      <c r="H25" s="167">
        <v>85.11</v>
      </c>
      <c r="I25" s="128" t="s">
        <v>142</v>
      </c>
      <c r="J25" s="59"/>
      <c r="K25" s="10"/>
    </row>
    <row r="26" spans="1:11" x14ac:dyDescent="0.25">
      <c r="A26" s="138" t="s">
        <v>5</v>
      </c>
      <c r="B26" s="167">
        <v>415</v>
      </c>
      <c r="C26" s="167">
        <v>0.92540240963855414</v>
      </c>
      <c r="D26" s="167">
        <v>164.042</v>
      </c>
      <c r="E26" s="12" t="s">
        <v>141</v>
      </c>
      <c r="F26" s="167">
        <v>135</v>
      </c>
      <c r="G26" s="12" t="s">
        <v>22</v>
      </c>
      <c r="H26" s="167">
        <v>85</v>
      </c>
      <c r="I26" s="128" t="s">
        <v>142</v>
      </c>
      <c r="J26" s="59"/>
      <c r="K26" s="10"/>
    </row>
    <row r="27" spans="1:11" x14ac:dyDescent="0.25">
      <c r="A27" s="138" t="s">
        <v>6</v>
      </c>
      <c r="B27" s="167">
        <v>378</v>
      </c>
      <c r="C27" s="167">
        <v>0.91981216931216925</v>
      </c>
      <c r="D27" s="167">
        <v>127.68899999999999</v>
      </c>
      <c r="E27" s="12" t="s">
        <v>141</v>
      </c>
      <c r="F27" s="167">
        <v>140</v>
      </c>
      <c r="G27" s="12" t="s">
        <v>22</v>
      </c>
      <c r="H27" s="167">
        <v>80</v>
      </c>
      <c r="I27" s="128" t="s">
        <v>142</v>
      </c>
      <c r="J27" s="59"/>
      <c r="K27" s="10"/>
    </row>
    <row r="28" spans="1:11" x14ac:dyDescent="0.25">
      <c r="A28" s="138" t="s">
        <v>7</v>
      </c>
      <c r="B28" s="167">
        <v>450</v>
      </c>
      <c r="C28" s="167">
        <v>0.93333333333333335</v>
      </c>
      <c r="D28" s="167">
        <v>185</v>
      </c>
      <c r="E28" s="12" t="s">
        <v>141</v>
      </c>
      <c r="F28" s="167">
        <v>150</v>
      </c>
      <c r="G28" s="12" t="s">
        <v>22</v>
      </c>
      <c r="H28" s="167">
        <v>85</v>
      </c>
      <c r="I28" s="128" t="s">
        <v>142</v>
      </c>
      <c r="J28" s="59"/>
      <c r="K28" s="10"/>
    </row>
    <row r="29" spans="1:11" x14ac:dyDescent="0.25">
      <c r="E29" s="10"/>
      <c r="F29" s="54"/>
    </row>
    <row r="30" spans="1:11" x14ac:dyDescent="0.25">
      <c r="E30" s="10"/>
      <c r="F30" s="54"/>
    </row>
    <row r="31" spans="1:11" x14ac:dyDescent="0.25">
      <c r="E31" s="10"/>
      <c r="F31" s="54"/>
    </row>
    <row r="32" spans="1:11" x14ac:dyDescent="0.25">
      <c r="E32" s="10"/>
      <c r="F32" s="54"/>
    </row>
  </sheetData>
  <mergeCells count="6"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3.57031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10" ht="15" customHeight="1" x14ac:dyDescent="0.25">
      <c r="A1" s="278" t="s">
        <v>381</v>
      </c>
      <c r="B1" s="278"/>
      <c r="C1" s="278"/>
      <c r="D1" s="278"/>
      <c r="E1" s="278"/>
      <c r="F1" s="278"/>
      <c r="G1" s="278"/>
      <c r="H1" s="278"/>
      <c r="I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10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10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10" x14ac:dyDescent="0.25">
      <c r="A5" s="105"/>
      <c r="B5" s="283" t="s">
        <v>143</v>
      </c>
      <c r="C5" s="283"/>
      <c r="D5" s="283"/>
      <c r="E5" s="283"/>
      <c r="F5" s="283"/>
      <c r="G5" s="283"/>
      <c r="H5" s="283"/>
      <c r="I5" s="287"/>
    </row>
    <row r="6" spans="1:10" s="11" customFormat="1" ht="15" customHeight="1" x14ac:dyDescent="0.25">
      <c r="A6" s="101"/>
      <c r="B6" s="282" t="s">
        <v>392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10" s="11" customFormat="1" ht="25.5" x14ac:dyDescent="0.25">
      <c r="A7" s="100" t="s">
        <v>368</v>
      </c>
      <c r="B7" s="281"/>
      <c r="C7" s="281"/>
      <c r="D7" s="100" t="s">
        <v>9</v>
      </c>
      <c r="E7" s="98" t="s">
        <v>3</v>
      </c>
      <c r="F7" s="100" t="s">
        <v>9</v>
      </c>
      <c r="G7" s="98" t="s">
        <v>3</v>
      </c>
      <c r="H7" s="100" t="s">
        <v>9</v>
      </c>
      <c r="I7" s="100" t="s">
        <v>3</v>
      </c>
    </row>
    <row r="8" spans="1:10" x14ac:dyDescent="0.25">
      <c r="A8" s="138">
        <v>1990</v>
      </c>
      <c r="B8" s="169">
        <v>20.2</v>
      </c>
      <c r="C8" s="167">
        <v>0.35693069306930691</v>
      </c>
      <c r="D8" s="167">
        <v>2.8</v>
      </c>
      <c r="E8" s="128" t="s">
        <v>37</v>
      </c>
      <c r="F8" s="167">
        <v>2.4500000000000002</v>
      </c>
      <c r="G8" s="128" t="s">
        <v>29</v>
      </c>
      <c r="H8" s="167">
        <v>1.96</v>
      </c>
      <c r="I8" s="128" t="s">
        <v>149</v>
      </c>
      <c r="J8" s="46"/>
    </row>
    <row r="9" spans="1:10" x14ac:dyDescent="0.25">
      <c r="A9" s="138">
        <v>1991</v>
      </c>
      <c r="B9" s="169">
        <v>20.9</v>
      </c>
      <c r="C9" s="167">
        <v>0.34545454545454546</v>
      </c>
      <c r="D9" s="167">
        <v>2.89</v>
      </c>
      <c r="E9" s="128" t="s">
        <v>29</v>
      </c>
      <c r="F9" s="167">
        <v>2.5</v>
      </c>
      <c r="G9" s="128" t="s">
        <v>37</v>
      </c>
      <c r="H9" s="167">
        <v>1.83</v>
      </c>
      <c r="I9" s="128" t="s">
        <v>38</v>
      </c>
      <c r="J9" s="46"/>
    </row>
    <row r="10" spans="1:10" x14ac:dyDescent="0.25">
      <c r="A10" s="138">
        <v>1992</v>
      </c>
      <c r="B10" s="169">
        <v>19.899999999999999</v>
      </c>
      <c r="C10" s="167">
        <v>0.32663316582914576</v>
      </c>
      <c r="D10" s="167">
        <v>2.99</v>
      </c>
      <c r="E10" s="128" t="s">
        <v>29</v>
      </c>
      <c r="F10" s="167">
        <v>1.96</v>
      </c>
      <c r="G10" s="128" t="s">
        <v>38</v>
      </c>
      <c r="H10" s="167">
        <v>1.55</v>
      </c>
      <c r="I10" s="128" t="s">
        <v>149</v>
      </c>
      <c r="J10" s="46"/>
    </row>
    <row r="11" spans="1:10" x14ac:dyDescent="0.25">
      <c r="A11" s="138">
        <v>1993</v>
      </c>
      <c r="B11" s="169">
        <v>18.399999999999999</v>
      </c>
      <c r="C11" s="167">
        <v>0.34456521739130441</v>
      </c>
      <c r="D11" s="167">
        <v>2.83</v>
      </c>
      <c r="E11" s="128" t="s">
        <v>29</v>
      </c>
      <c r="F11" s="167">
        <v>1.94</v>
      </c>
      <c r="G11" s="128" t="s">
        <v>38</v>
      </c>
      <c r="H11" s="167">
        <v>1.57</v>
      </c>
      <c r="I11" s="128" t="s">
        <v>149</v>
      </c>
      <c r="J11" s="46"/>
    </row>
    <row r="12" spans="1:10" x14ac:dyDescent="0.25">
      <c r="A12" s="138">
        <v>1994</v>
      </c>
      <c r="B12" s="169">
        <v>18.2</v>
      </c>
      <c r="C12" s="167">
        <v>0.34945054945054943</v>
      </c>
      <c r="D12" s="167">
        <v>2.63</v>
      </c>
      <c r="E12" s="128" t="s">
        <v>29</v>
      </c>
      <c r="F12" s="167">
        <v>2.17</v>
      </c>
      <c r="G12" s="128" t="s">
        <v>38</v>
      </c>
      <c r="H12" s="167">
        <v>1.56</v>
      </c>
      <c r="I12" s="128" t="s">
        <v>149</v>
      </c>
      <c r="J12" s="46"/>
    </row>
    <row r="13" spans="1:10" x14ac:dyDescent="0.25">
      <c r="A13" s="138">
        <v>1995</v>
      </c>
      <c r="B13" s="169">
        <v>20.100000000000001</v>
      </c>
      <c r="C13" s="167">
        <v>0.33383084577114425</v>
      </c>
      <c r="D13" s="167">
        <v>2.65</v>
      </c>
      <c r="E13" s="128" t="s">
        <v>29</v>
      </c>
      <c r="F13" s="167">
        <v>2.35</v>
      </c>
      <c r="G13" s="128" t="s">
        <v>38</v>
      </c>
      <c r="H13" s="167">
        <v>1.71</v>
      </c>
      <c r="I13" s="128" t="s">
        <v>149</v>
      </c>
      <c r="J13" s="46"/>
    </row>
    <row r="14" spans="1:10" x14ac:dyDescent="0.25">
      <c r="A14" s="138">
        <v>1996</v>
      </c>
      <c r="B14" s="169">
        <v>18.899999999999999</v>
      </c>
      <c r="C14" s="167">
        <v>0.34179894179894182</v>
      </c>
      <c r="D14" s="167">
        <v>2.54</v>
      </c>
      <c r="E14" s="128" t="s">
        <v>29</v>
      </c>
      <c r="F14" s="167">
        <v>2.34</v>
      </c>
      <c r="G14" s="128" t="s">
        <v>38</v>
      </c>
      <c r="H14" s="167">
        <v>1.58</v>
      </c>
      <c r="I14" s="128" t="s">
        <v>149</v>
      </c>
      <c r="J14" s="46"/>
    </row>
    <row r="15" spans="1:10" x14ac:dyDescent="0.25">
      <c r="A15" s="138">
        <v>1997</v>
      </c>
      <c r="B15" s="169">
        <v>20.3</v>
      </c>
      <c r="C15" s="167">
        <v>0.33448275862068966</v>
      </c>
      <c r="D15" s="167">
        <v>2.4700000000000002</v>
      </c>
      <c r="E15" s="128" t="s">
        <v>29</v>
      </c>
      <c r="F15" s="167">
        <v>2.2599999999999998</v>
      </c>
      <c r="G15" s="128" t="s">
        <v>149</v>
      </c>
      <c r="H15" s="167">
        <v>2.06</v>
      </c>
      <c r="I15" s="128" t="s">
        <v>57</v>
      </c>
      <c r="J15" s="46"/>
    </row>
    <row r="16" spans="1:10" x14ac:dyDescent="0.25">
      <c r="A16" s="138">
        <v>1998</v>
      </c>
      <c r="B16" s="169">
        <v>20.2</v>
      </c>
      <c r="C16" s="167">
        <v>0.32460396039603961</v>
      </c>
      <c r="D16" s="167">
        <v>2.3370000000000002</v>
      </c>
      <c r="E16" s="128" t="s">
        <v>29</v>
      </c>
      <c r="F16" s="167">
        <v>2.13</v>
      </c>
      <c r="G16" s="128" t="s">
        <v>38</v>
      </c>
      <c r="H16" s="167">
        <v>2.09</v>
      </c>
      <c r="I16" s="128" t="s">
        <v>149</v>
      </c>
      <c r="J16" s="46"/>
    </row>
    <row r="17" spans="1:10" x14ac:dyDescent="0.25">
      <c r="A17" s="138">
        <v>1999</v>
      </c>
      <c r="B17" s="169">
        <v>20.2</v>
      </c>
      <c r="C17" s="167">
        <v>0.32811881188118808</v>
      </c>
      <c r="D17" s="167">
        <v>2.5670000000000002</v>
      </c>
      <c r="E17" s="128" t="s">
        <v>29</v>
      </c>
      <c r="F17" s="167">
        <v>2.15</v>
      </c>
      <c r="G17" s="128" t="s">
        <v>38</v>
      </c>
      <c r="H17" s="167">
        <v>1.911</v>
      </c>
      <c r="I17" s="128" t="s">
        <v>149</v>
      </c>
      <c r="J17" s="46"/>
    </row>
    <row r="18" spans="1:10" x14ac:dyDescent="0.25">
      <c r="A18" s="138">
        <v>2000</v>
      </c>
      <c r="B18" s="169">
        <v>20.3</v>
      </c>
      <c r="C18" s="167">
        <v>0.33413793103448275</v>
      </c>
      <c r="D18" s="167">
        <v>2.472</v>
      </c>
      <c r="E18" s="128" t="s">
        <v>29</v>
      </c>
      <c r="F18" s="167">
        <v>2.37</v>
      </c>
      <c r="G18" s="128" t="s">
        <v>38</v>
      </c>
      <c r="H18" s="167">
        <v>1.9410000000000001</v>
      </c>
      <c r="I18" s="128" t="s">
        <v>149</v>
      </c>
      <c r="J18" s="46"/>
    </row>
    <row r="19" spans="1:10" x14ac:dyDescent="0.25">
      <c r="A19" s="138">
        <v>2001</v>
      </c>
      <c r="B19" s="169">
        <v>19</v>
      </c>
      <c r="C19" s="167">
        <v>0.36052631578947364</v>
      </c>
      <c r="D19" s="167">
        <v>2.5099999999999998</v>
      </c>
      <c r="E19" s="128" t="s">
        <v>38</v>
      </c>
      <c r="F19" s="167">
        <v>2.46</v>
      </c>
      <c r="G19" s="128" t="s">
        <v>29</v>
      </c>
      <c r="H19" s="167">
        <v>1.88</v>
      </c>
      <c r="I19" s="128" t="s">
        <v>79</v>
      </c>
      <c r="J19" s="46"/>
    </row>
    <row r="20" spans="1:10" x14ac:dyDescent="0.25">
      <c r="A20" s="138">
        <v>2002</v>
      </c>
      <c r="B20" s="169">
        <v>17.8</v>
      </c>
      <c r="C20" s="167">
        <v>0.377191011235955</v>
      </c>
      <c r="D20" s="167">
        <v>2.444</v>
      </c>
      <c r="E20" s="128" t="s">
        <v>29</v>
      </c>
      <c r="F20" s="167">
        <v>2.44</v>
      </c>
      <c r="G20" s="128" t="s">
        <v>38</v>
      </c>
      <c r="H20" s="167">
        <v>1.83</v>
      </c>
      <c r="I20" s="128" t="s">
        <v>79</v>
      </c>
      <c r="J20" s="46"/>
    </row>
    <row r="21" spans="1:10" x14ac:dyDescent="0.25">
      <c r="A21" s="138">
        <v>2003</v>
      </c>
      <c r="B21" s="169">
        <v>18.399999999999999</v>
      </c>
      <c r="C21" s="167">
        <v>0.40163043478260874</v>
      </c>
      <c r="D21" s="167">
        <v>2.71</v>
      </c>
      <c r="E21" s="128" t="s">
        <v>38</v>
      </c>
      <c r="F21" s="167">
        <v>2.5</v>
      </c>
      <c r="G21" s="128" t="s">
        <v>29</v>
      </c>
      <c r="H21" s="167">
        <v>2.1800000000000002</v>
      </c>
      <c r="I21" s="128" t="s">
        <v>79</v>
      </c>
      <c r="J21" s="46"/>
    </row>
    <row r="22" spans="1:10" x14ac:dyDescent="0.25">
      <c r="A22" s="138">
        <v>2004</v>
      </c>
      <c r="B22" s="169">
        <v>18.7</v>
      </c>
      <c r="C22" s="167">
        <v>0.39518716577540103</v>
      </c>
      <c r="D22" s="167">
        <v>2.8</v>
      </c>
      <c r="E22" s="128" t="s">
        <v>38</v>
      </c>
      <c r="F22" s="167">
        <v>2.36</v>
      </c>
      <c r="G22" s="128" t="s">
        <v>79</v>
      </c>
      <c r="H22" s="167">
        <v>2.23</v>
      </c>
      <c r="I22" s="128" t="s">
        <v>29</v>
      </c>
      <c r="J22" s="46"/>
    </row>
    <row r="23" spans="1:10" x14ac:dyDescent="0.25">
      <c r="A23" s="138">
        <v>2005</v>
      </c>
      <c r="B23" s="169">
        <v>20.2</v>
      </c>
      <c r="C23" s="167">
        <v>0.39009900990099011</v>
      </c>
      <c r="D23" s="167">
        <v>3</v>
      </c>
      <c r="E23" s="128" t="s">
        <v>38</v>
      </c>
      <c r="F23" s="167">
        <v>2.58</v>
      </c>
      <c r="G23" s="128" t="s">
        <v>79</v>
      </c>
      <c r="H23" s="167">
        <v>2.2999999999999998</v>
      </c>
      <c r="I23" s="128" t="s">
        <v>29</v>
      </c>
      <c r="J23" s="46"/>
    </row>
    <row r="24" spans="1:10" x14ac:dyDescent="0.25">
      <c r="A24" s="138">
        <v>2006</v>
      </c>
      <c r="B24" s="169">
        <v>19.899999999999999</v>
      </c>
      <c r="C24" s="167">
        <v>0.47236180904522618</v>
      </c>
      <c r="D24" s="167">
        <v>3.79</v>
      </c>
      <c r="E24" s="128" t="s">
        <v>38</v>
      </c>
      <c r="F24" s="167">
        <v>3.32</v>
      </c>
      <c r="G24" s="128" t="s">
        <v>79</v>
      </c>
      <c r="H24" s="167">
        <v>2.29</v>
      </c>
      <c r="I24" s="128" t="s">
        <v>29</v>
      </c>
      <c r="J24" s="46"/>
    </row>
    <row r="25" spans="1:10" x14ac:dyDescent="0.25">
      <c r="A25" s="138" t="s">
        <v>4</v>
      </c>
      <c r="B25" s="169">
        <v>19.399999999999999</v>
      </c>
      <c r="C25" s="167">
        <v>0.47216494845360829</v>
      </c>
      <c r="D25" s="167">
        <v>4.21</v>
      </c>
      <c r="E25" s="128" t="s">
        <v>38</v>
      </c>
      <c r="F25" s="167">
        <v>2.85</v>
      </c>
      <c r="G25" s="128" t="s">
        <v>79</v>
      </c>
      <c r="H25" s="167">
        <v>2.1</v>
      </c>
      <c r="I25" s="128" t="s">
        <v>22</v>
      </c>
      <c r="J25" s="46"/>
    </row>
    <row r="26" spans="1:10" x14ac:dyDescent="0.25">
      <c r="A26" s="138" t="s">
        <v>5</v>
      </c>
      <c r="B26" s="169">
        <v>22.8</v>
      </c>
      <c r="C26" s="167">
        <v>0.53377192982456134</v>
      </c>
      <c r="D26" s="167">
        <v>6.96</v>
      </c>
      <c r="E26" s="128" t="s">
        <v>38</v>
      </c>
      <c r="F26" s="167">
        <v>3.09</v>
      </c>
      <c r="G26" s="128" t="s">
        <v>79</v>
      </c>
      <c r="H26" s="167">
        <v>2.12</v>
      </c>
      <c r="I26" s="128" t="s">
        <v>29</v>
      </c>
      <c r="J26" s="46"/>
    </row>
    <row r="27" spans="1:10" x14ac:dyDescent="0.25">
      <c r="A27" s="138" t="s">
        <v>6</v>
      </c>
      <c r="B27" s="169">
        <v>20.8</v>
      </c>
      <c r="C27" s="167">
        <v>0.54423076923076918</v>
      </c>
      <c r="D27" s="167">
        <v>7</v>
      </c>
      <c r="E27" s="128" t="s">
        <v>38</v>
      </c>
      <c r="F27" s="167">
        <v>2.5</v>
      </c>
      <c r="G27" s="128" t="s">
        <v>79</v>
      </c>
      <c r="H27" s="167">
        <v>1.82</v>
      </c>
      <c r="I27" s="128" t="s">
        <v>29</v>
      </c>
      <c r="J27" s="46"/>
    </row>
    <row r="28" spans="1:10" x14ac:dyDescent="0.25">
      <c r="A28" s="138" t="s">
        <v>7</v>
      </c>
      <c r="B28" s="169">
        <v>21.1</v>
      </c>
      <c r="C28" s="167">
        <v>0.55687203791469186</v>
      </c>
      <c r="D28" s="167">
        <v>7.2</v>
      </c>
      <c r="E28" s="128" t="s">
        <v>38</v>
      </c>
      <c r="F28" s="167">
        <v>2.5</v>
      </c>
      <c r="G28" s="128" t="s">
        <v>79</v>
      </c>
      <c r="H28" s="167">
        <v>2.0499999999999998</v>
      </c>
      <c r="I28" s="128" t="s">
        <v>29</v>
      </c>
      <c r="J28" s="46"/>
    </row>
    <row r="29" spans="1:10" x14ac:dyDescent="0.25">
      <c r="B29" s="10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2.7109375" customWidth="1"/>
    <col min="3" max="3" width="13.7109375" customWidth="1"/>
    <col min="4" max="4" width="12.7109375" style="85" customWidth="1"/>
    <col min="5" max="5" width="13.28515625" style="59" bestFit="1" customWidth="1"/>
    <col min="6" max="6" width="12.7109375" style="58" customWidth="1"/>
    <col min="7" max="7" width="12.7109375" customWidth="1"/>
    <col min="8" max="8" width="12.7109375" style="85" customWidth="1"/>
    <col min="9" max="9" width="13.28515625" customWidth="1"/>
    <col min="10" max="10" width="2.7109375" customWidth="1"/>
    <col min="11" max="11" width="13.28515625" customWidth="1"/>
    <col min="12" max="12" width="12.7109375" customWidth="1"/>
    <col min="13" max="13" width="14" style="59" customWidth="1"/>
    <col min="14" max="14" width="12.7109375" style="58" customWidth="1"/>
    <col min="15" max="15" width="12.7109375" style="59" customWidth="1"/>
    <col min="16" max="16" width="12.7109375" style="58" customWidth="1"/>
    <col min="17" max="17" width="12.7109375" style="59" customWidth="1"/>
    <col min="18" max="18" width="12.7109375" style="58" customWidth="1"/>
    <col min="19" max="19" width="12.7109375" customWidth="1"/>
    <col min="20" max="20" width="2.7109375" customWidth="1"/>
  </cols>
  <sheetData>
    <row r="1" spans="1:19" ht="15" customHeight="1" x14ac:dyDescent="0.25">
      <c r="A1" s="278" t="s">
        <v>382</v>
      </c>
      <c r="B1" s="278"/>
      <c r="C1" s="278"/>
      <c r="D1" s="278"/>
      <c r="E1" s="278"/>
      <c r="F1" s="278"/>
      <c r="G1" s="278"/>
      <c r="H1" s="278"/>
      <c r="I1" s="278"/>
      <c r="J1" s="4"/>
      <c r="K1" s="278" t="s">
        <v>383</v>
      </c>
      <c r="L1" s="278"/>
      <c r="M1" s="278"/>
      <c r="N1" s="278"/>
      <c r="O1" s="278"/>
      <c r="P1" s="278"/>
      <c r="Q1" s="278"/>
      <c r="R1" s="278"/>
      <c r="S1" s="278"/>
    </row>
    <row r="2" spans="1:1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2"/>
      <c r="I3" s="6"/>
      <c r="J3" s="6"/>
      <c r="K3" s="5"/>
      <c r="L3" s="87"/>
    </row>
    <row r="4" spans="1:19" x14ac:dyDescent="0.25">
      <c r="A4" s="5"/>
      <c r="B4" s="2"/>
      <c r="I4" s="6"/>
      <c r="J4" s="6"/>
      <c r="K4" s="5"/>
      <c r="L4" s="87"/>
    </row>
    <row r="5" spans="1:19" x14ac:dyDescent="0.25">
      <c r="A5" s="105"/>
      <c r="B5" s="263" t="s">
        <v>144</v>
      </c>
      <c r="C5" s="263"/>
      <c r="D5" s="263"/>
      <c r="E5" s="263"/>
      <c r="F5" s="263"/>
      <c r="G5" s="263"/>
      <c r="H5" s="263"/>
      <c r="I5" s="263"/>
      <c r="J5" s="170"/>
      <c r="K5" s="105"/>
      <c r="L5" s="263" t="s">
        <v>145</v>
      </c>
      <c r="M5" s="263"/>
      <c r="N5" s="263"/>
      <c r="O5" s="263"/>
      <c r="P5" s="263"/>
      <c r="Q5" s="263"/>
      <c r="R5" s="263"/>
      <c r="S5" s="263"/>
    </row>
    <row r="6" spans="1:19" s="11" customFormat="1" ht="15" customHeight="1" x14ac:dyDescent="0.25">
      <c r="A6" s="101"/>
      <c r="B6" s="282" t="s">
        <v>414</v>
      </c>
      <c r="C6" s="280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99"/>
      <c r="K6" s="101"/>
      <c r="L6" s="282" t="s">
        <v>412</v>
      </c>
      <c r="M6" s="280" t="s">
        <v>299</v>
      </c>
      <c r="N6" s="271" t="s">
        <v>275</v>
      </c>
      <c r="O6" s="271"/>
      <c r="P6" s="279" t="s">
        <v>32</v>
      </c>
      <c r="Q6" s="279"/>
      <c r="R6" s="279" t="s">
        <v>33</v>
      </c>
      <c r="S6" s="279"/>
    </row>
    <row r="7" spans="1:19" s="11" customFormat="1" ht="25.5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100" t="s">
        <v>9</v>
      </c>
      <c r="O7" s="98" t="s">
        <v>3</v>
      </c>
      <c r="P7" s="100" t="s">
        <v>9</v>
      </c>
      <c r="Q7" s="98" t="s">
        <v>3</v>
      </c>
      <c r="R7" s="100" t="s">
        <v>9</v>
      </c>
      <c r="S7" s="100" t="s">
        <v>3</v>
      </c>
    </row>
    <row r="8" spans="1:19" x14ac:dyDescent="0.25">
      <c r="A8" s="138">
        <v>1990</v>
      </c>
      <c r="B8" s="167">
        <v>3960</v>
      </c>
      <c r="C8" s="167">
        <v>0.71742424242424252</v>
      </c>
      <c r="D8" s="167">
        <v>1386</v>
      </c>
      <c r="E8" s="128" t="s">
        <v>118</v>
      </c>
      <c r="F8" s="167">
        <v>1140</v>
      </c>
      <c r="G8" s="128" t="s">
        <v>37</v>
      </c>
      <c r="H8" s="167">
        <v>315</v>
      </c>
      <c r="I8" s="128" t="s">
        <v>49</v>
      </c>
      <c r="J8" s="168"/>
      <c r="K8" s="138">
        <v>1990</v>
      </c>
      <c r="L8" s="167">
        <v>1885</v>
      </c>
      <c r="M8" s="167">
        <v>0.54641909814323608</v>
      </c>
      <c r="N8" s="167">
        <v>510</v>
      </c>
      <c r="O8" s="128" t="s">
        <v>118</v>
      </c>
      <c r="P8" s="167">
        <v>350</v>
      </c>
      <c r="Q8" s="128" t="s">
        <v>37</v>
      </c>
      <c r="R8" s="167">
        <v>170</v>
      </c>
      <c r="S8" s="128" t="s">
        <v>22</v>
      </c>
    </row>
    <row r="9" spans="1:19" x14ac:dyDescent="0.25">
      <c r="A9" s="138">
        <v>1991</v>
      </c>
      <c r="B9" s="167">
        <v>3990</v>
      </c>
      <c r="C9" s="167">
        <v>0.73984962406015042</v>
      </c>
      <c r="D9" s="167">
        <v>1530</v>
      </c>
      <c r="E9" s="128" t="s">
        <v>118</v>
      </c>
      <c r="F9" s="167">
        <v>1140</v>
      </c>
      <c r="G9" s="128" t="s">
        <v>37</v>
      </c>
      <c r="H9" s="167">
        <v>282</v>
      </c>
      <c r="I9" s="128" t="s">
        <v>49</v>
      </c>
      <c r="J9" s="167"/>
      <c r="K9" s="138">
        <v>1991</v>
      </c>
      <c r="L9" s="167">
        <v>1940</v>
      </c>
      <c r="M9" s="167">
        <v>0.57474226804123707</v>
      </c>
      <c r="N9" s="167">
        <v>575</v>
      </c>
      <c r="O9" s="128" t="s">
        <v>118</v>
      </c>
      <c r="P9" s="167">
        <v>350</v>
      </c>
      <c r="Q9" s="128" t="s">
        <v>37</v>
      </c>
      <c r="R9" s="167">
        <v>190</v>
      </c>
      <c r="S9" s="128" t="s">
        <v>22</v>
      </c>
    </row>
    <row r="10" spans="1:19" x14ac:dyDescent="0.25">
      <c r="A10" s="138">
        <v>1992</v>
      </c>
      <c r="B10" s="167">
        <v>3330</v>
      </c>
      <c r="C10" s="167">
        <v>0.71531531531531534</v>
      </c>
      <c r="D10" s="167">
        <v>1008</v>
      </c>
      <c r="E10" s="128" t="s">
        <v>118</v>
      </c>
      <c r="F10" s="167">
        <v>1050</v>
      </c>
      <c r="G10" s="128" t="s">
        <v>79</v>
      </c>
      <c r="H10" s="167">
        <v>324</v>
      </c>
      <c r="I10" s="128" t="s">
        <v>49</v>
      </c>
      <c r="J10" s="167"/>
      <c r="K10" s="138">
        <v>1992</v>
      </c>
      <c r="L10" s="167">
        <v>1810</v>
      </c>
      <c r="M10" s="167">
        <v>0.43674033149171265</v>
      </c>
      <c r="N10" s="167">
        <v>385.5</v>
      </c>
      <c r="O10" s="128" t="s">
        <v>118</v>
      </c>
      <c r="P10" s="167">
        <v>200</v>
      </c>
      <c r="Q10" s="128" t="s">
        <v>79</v>
      </c>
      <c r="R10" s="167">
        <v>205</v>
      </c>
      <c r="S10" s="128" t="s">
        <v>22</v>
      </c>
    </row>
    <row r="11" spans="1:19" x14ac:dyDescent="0.25">
      <c r="A11" s="138">
        <v>1993</v>
      </c>
      <c r="B11" s="167">
        <v>2790</v>
      </c>
      <c r="C11" s="167">
        <v>0.72473118279569892</v>
      </c>
      <c r="D11" s="167">
        <v>852</v>
      </c>
      <c r="E11" s="128" t="s">
        <v>118</v>
      </c>
      <c r="F11" s="167">
        <v>870</v>
      </c>
      <c r="G11" s="128" t="s">
        <v>79</v>
      </c>
      <c r="H11" s="167">
        <v>300</v>
      </c>
      <c r="I11" s="128" t="s">
        <v>49</v>
      </c>
      <c r="J11" s="167"/>
      <c r="K11" s="138">
        <v>1993</v>
      </c>
      <c r="L11" s="167">
        <v>1635</v>
      </c>
      <c r="M11" s="167">
        <v>0.46911314984709485</v>
      </c>
      <c r="N11" s="167">
        <v>417</v>
      </c>
      <c r="O11" s="128" t="s">
        <v>118</v>
      </c>
      <c r="P11" s="167">
        <v>164</v>
      </c>
      <c r="Q11" s="128" t="s">
        <v>79</v>
      </c>
      <c r="R11" s="167">
        <v>186</v>
      </c>
      <c r="S11" s="128" t="s">
        <v>22</v>
      </c>
    </row>
    <row r="12" spans="1:19" x14ac:dyDescent="0.25">
      <c r="A12" s="138">
        <v>1994</v>
      </c>
      <c r="B12" s="167">
        <v>3120</v>
      </c>
      <c r="C12" s="167">
        <v>0.63932692307692307</v>
      </c>
      <c r="D12" s="167">
        <v>1092</v>
      </c>
      <c r="E12" s="128" t="s">
        <v>118</v>
      </c>
      <c r="F12" s="167">
        <v>630</v>
      </c>
      <c r="G12" s="128" t="s">
        <v>79</v>
      </c>
      <c r="H12" s="167">
        <v>272.7</v>
      </c>
      <c r="I12" s="128" t="s">
        <v>49</v>
      </c>
      <c r="J12" s="167"/>
      <c r="K12" s="138">
        <v>1994</v>
      </c>
      <c r="L12" s="167">
        <v>1850</v>
      </c>
      <c r="M12" s="167">
        <v>0.49810810810810813</v>
      </c>
      <c r="N12" s="167">
        <v>550</v>
      </c>
      <c r="O12" s="128" t="s">
        <v>118</v>
      </c>
      <c r="P12" s="167">
        <v>186.5</v>
      </c>
      <c r="Q12" s="128" t="s">
        <v>79</v>
      </c>
      <c r="R12" s="167">
        <v>185</v>
      </c>
      <c r="S12" s="128" t="s">
        <v>22</v>
      </c>
    </row>
    <row r="13" spans="1:19" x14ac:dyDescent="0.25">
      <c r="A13" s="138">
        <v>1995</v>
      </c>
      <c r="B13" s="167">
        <v>4200</v>
      </c>
      <c r="C13" s="167">
        <v>0.64642857142857135</v>
      </c>
      <c r="D13" s="167">
        <v>1527</v>
      </c>
      <c r="E13" s="128" t="s">
        <v>118</v>
      </c>
      <c r="F13" s="167">
        <v>726</v>
      </c>
      <c r="G13" s="128" t="s">
        <v>79</v>
      </c>
      <c r="H13" s="167">
        <v>462</v>
      </c>
      <c r="I13" s="128" t="s">
        <v>49</v>
      </c>
      <c r="J13" s="167"/>
      <c r="K13" s="138">
        <v>1995</v>
      </c>
      <c r="L13" s="167">
        <v>2355</v>
      </c>
      <c r="M13" s="167">
        <v>0.5375796178343949</v>
      </c>
      <c r="N13" s="167">
        <v>760</v>
      </c>
      <c r="O13" s="128" t="s">
        <v>118</v>
      </c>
      <c r="P13" s="167">
        <v>256</v>
      </c>
      <c r="Q13" s="128" t="s">
        <v>79</v>
      </c>
      <c r="R13" s="167">
        <v>250</v>
      </c>
      <c r="S13" s="128" t="s">
        <v>22</v>
      </c>
    </row>
    <row r="14" spans="1:19" x14ac:dyDescent="0.25">
      <c r="A14" s="138">
        <v>1996</v>
      </c>
      <c r="B14" s="167">
        <v>3480</v>
      </c>
      <c r="C14" s="167">
        <v>0.65786250000000002</v>
      </c>
      <c r="D14" s="167">
        <v>1523.3999999999999</v>
      </c>
      <c r="E14" s="128" t="s">
        <v>118</v>
      </c>
      <c r="F14" s="167">
        <v>408.96149999999994</v>
      </c>
      <c r="G14" s="128" t="s">
        <v>49</v>
      </c>
      <c r="H14" s="167">
        <v>357</v>
      </c>
      <c r="I14" s="128" t="s">
        <v>79</v>
      </c>
      <c r="J14" s="167"/>
      <c r="K14" s="138">
        <v>1996</v>
      </c>
      <c r="L14" s="167">
        <v>1975</v>
      </c>
      <c r="M14" s="167">
        <v>0.57037974683544301</v>
      </c>
      <c r="N14" s="167">
        <v>739</v>
      </c>
      <c r="O14" s="128" t="s">
        <v>118</v>
      </c>
      <c r="P14" s="167">
        <v>176</v>
      </c>
      <c r="Q14" s="128" t="s">
        <v>79</v>
      </c>
      <c r="R14" s="167">
        <v>211.5</v>
      </c>
      <c r="S14" s="128" t="s">
        <v>22</v>
      </c>
    </row>
    <row r="15" spans="1:19" x14ac:dyDescent="0.25">
      <c r="A15" s="138">
        <v>1997</v>
      </c>
      <c r="B15" s="167">
        <v>4110</v>
      </c>
      <c r="C15" s="167">
        <v>0.68053642335766418</v>
      </c>
      <c r="D15" s="167">
        <v>1848.6</v>
      </c>
      <c r="E15" s="128" t="s">
        <v>118</v>
      </c>
      <c r="F15" s="167">
        <v>539.49</v>
      </c>
      <c r="G15" s="128" t="s">
        <v>79</v>
      </c>
      <c r="H15" s="167">
        <v>408.91469999999998</v>
      </c>
      <c r="I15" s="128" t="s">
        <v>49</v>
      </c>
      <c r="J15" s="167"/>
      <c r="K15" s="138">
        <v>1997</v>
      </c>
      <c r="L15" s="167">
        <v>2415</v>
      </c>
      <c r="M15" s="167">
        <v>0.62515527950310557</v>
      </c>
      <c r="N15" s="167">
        <v>969.75</v>
      </c>
      <c r="O15" s="128" t="s">
        <v>118</v>
      </c>
      <c r="P15" s="167">
        <v>300</v>
      </c>
      <c r="Q15" s="128" t="s">
        <v>79</v>
      </c>
      <c r="R15" s="167">
        <v>240</v>
      </c>
      <c r="S15" s="128" t="s">
        <v>22</v>
      </c>
    </row>
    <row r="16" spans="1:19" x14ac:dyDescent="0.25">
      <c r="A16" s="138">
        <v>1998</v>
      </c>
      <c r="B16" s="167">
        <v>4020</v>
      </c>
      <c r="C16" s="167">
        <v>0.70104552238805962</v>
      </c>
      <c r="D16" s="167">
        <v>1944</v>
      </c>
      <c r="E16" s="128" t="s">
        <v>118</v>
      </c>
      <c r="F16" s="167">
        <v>480.81</v>
      </c>
      <c r="G16" s="128" t="s">
        <v>79</v>
      </c>
      <c r="H16" s="167">
        <v>393.39299999999997</v>
      </c>
      <c r="I16" s="128" t="s">
        <v>49</v>
      </c>
      <c r="J16" s="167"/>
      <c r="K16" s="138">
        <v>1998</v>
      </c>
      <c r="L16" s="167">
        <v>2375</v>
      </c>
      <c r="M16" s="167">
        <v>0.62827368421052621</v>
      </c>
      <c r="N16" s="167">
        <v>1012.65</v>
      </c>
      <c r="O16" s="128" t="s">
        <v>118</v>
      </c>
      <c r="P16" s="167">
        <v>267.5</v>
      </c>
      <c r="Q16" s="128" t="s">
        <v>79</v>
      </c>
      <c r="R16" s="167">
        <v>212</v>
      </c>
      <c r="S16" s="128" t="s">
        <v>22</v>
      </c>
    </row>
    <row r="17" spans="1:19" x14ac:dyDescent="0.25">
      <c r="A17" s="138">
        <v>1999</v>
      </c>
      <c r="B17" s="167">
        <v>4260</v>
      </c>
      <c r="C17" s="167">
        <v>0.75319830985915492</v>
      </c>
      <c r="D17" s="167">
        <v>2045.115</v>
      </c>
      <c r="E17" s="128" t="s">
        <v>118</v>
      </c>
      <c r="F17" s="167">
        <v>721.68</v>
      </c>
      <c r="G17" s="128" t="s">
        <v>79</v>
      </c>
      <c r="H17" s="167">
        <v>441.82980000000003</v>
      </c>
      <c r="I17" s="128" t="s">
        <v>49</v>
      </c>
      <c r="J17" s="167"/>
      <c r="K17" s="138">
        <v>1999</v>
      </c>
      <c r="L17" s="167">
        <v>2500</v>
      </c>
      <c r="M17" s="167">
        <v>0.65735299999999997</v>
      </c>
      <c r="N17" s="167">
        <v>1077.6010000000001</v>
      </c>
      <c r="O17" s="128" t="s">
        <v>118</v>
      </c>
      <c r="P17" s="167">
        <v>365.78149999999999</v>
      </c>
      <c r="Q17" s="128" t="s">
        <v>79</v>
      </c>
      <c r="R17" s="167">
        <v>200</v>
      </c>
      <c r="S17" s="128" t="s">
        <v>22</v>
      </c>
    </row>
    <row r="18" spans="1:19" x14ac:dyDescent="0.25">
      <c r="A18" s="138">
        <v>2000</v>
      </c>
      <c r="B18" s="167">
        <v>4410</v>
      </c>
      <c r="C18" s="167">
        <v>0.76023877551020402</v>
      </c>
      <c r="D18" s="167">
        <v>1986.6</v>
      </c>
      <c r="E18" s="128" t="s">
        <v>118</v>
      </c>
      <c r="F18" s="167">
        <v>781.9799999999999</v>
      </c>
      <c r="G18" s="128" t="s">
        <v>79</v>
      </c>
      <c r="H18" s="167">
        <v>584.07299999999998</v>
      </c>
      <c r="I18" s="128" t="s">
        <v>49</v>
      </c>
      <c r="J18" s="167"/>
      <c r="K18" s="138">
        <v>2000</v>
      </c>
      <c r="L18" s="167">
        <v>2875</v>
      </c>
      <c r="M18" s="167">
        <v>0.66500208695652174</v>
      </c>
      <c r="N18" s="167">
        <v>1287</v>
      </c>
      <c r="O18" s="128" t="s">
        <v>118</v>
      </c>
      <c r="P18" s="167">
        <v>399.88099999999997</v>
      </c>
      <c r="Q18" s="128" t="s">
        <v>79</v>
      </c>
      <c r="R18" s="167">
        <v>225</v>
      </c>
      <c r="S18" s="128" t="s">
        <v>22</v>
      </c>
    </row>
    <row r="19" spans="1:19" x14ac:dyDescent="0.25">
      <c r="A19" s="138">
        <v>2001</v>
      </c>
      <c r="B19" s="167">
        <v>3660</v>
      </c>
      <c r="C19" s="167">
        <v>0.75619950819672144</v>
      </c>
      <c r="D19" s="167">
        <v>1650.6030000000001</v>
      </c>
      <c r="E19" s="128" t="s">
        <v>118</v>
      </c>
      <c r="F19" s="167">
        <v>613.71</v>
      </c>
      <c r="G19" s="128" t="s">
        <v>79</v>
      </c>
      <c r="H19" s="167">
        <v>503.37719999999996</v>
      </c>
      <c r="I19" s="128" t="s">
        <v>49</v>
      </c>
      <c r="J19" s="167"/>
      <c r="K19" s="138">
        <v>2001</v>
      </c>
      <c r="L19" s="167">
        <v>2340</v>
      </c>
      <c r="M19" s="167">
        <v>0.68651709401709393</v>
      </c>
      <c r="N19" s="167">
        <v>1070.5</v>
      </c>
      <c r="O19" s="128" t="s">
        <v>118</v>
      </c>
      <c r="P19" s="167">
        <v>380.95</v>
      </c>
      <c r="Q19" s="128" t="s">
        <v>79</v>
      </c>
      <c r="R19" s="167">
        <v>155</v>
      </c>
      <c r="S19" s="128" t="s">
        <v>22</v>
      </c>
    </row>
    <row r="20" spans="1:19" x14ac:dyDescent="0.25">
      <c r="A20" s="138">
        <v>2002</v>
      </c>
      <c r="B20" s="167">
        <v>4380</v>
      </c>
      <c r="C20" s="167">
        <v>0.78792623287671237</v>
      </c>
      <c r="D20" s="167">
        <v>1930.7238</v>
      </c>
      <c r="E20" s="128" t="s">
        <v>118</v>
      </c>
      <c r="F20" s="167">
        <v>809.57310000000007</v>
      </c>
      <c r="G20" s="128" t="s">
        <v>49</v>
      </c>
      <c r="H20" s="167">
        <v>710.82</v>
      </c>
      <c r="I20" s="128" t="s">
        <v>79</v>
      </c>
      <c r="J20" s="167"/>
      <c r="K20" s="138">
        <v>2002</v>
      </c>
      <c r="L20" s="167">
        <v>2525</v>
      </c>
      <c r="M20" s="167">
        <v>0.69642019801980193</v>
      </c>
      <c r="N20" s="167">
        <v>1175.5609999999999</v>
      </c>
      <c r="O20" s="128" t="s">
        <v>118</v>
      </c>
      <c r="P20" s="167">
        <v>417.9</v>
      </c>
      <c r="Q20" s="128" t="s">
        <v>79</v>
      </c>
      <c r="R20" s="167">
        <v>165</v>
      </c>
      <c r="S20" s="128" t="s">
        <v>22</v>
      </c>
    </row>
    <row r="21" spans="1:19" x14ac:dyDescent="0.25">
      <c r="A21" s="138">
        <v>2003</v>
      </c>
      <c r="B21" s="167">
        <v>4650</v>
      </c>
      <c r="C21" s="167">
        <v>0.809238129032258</v>
      </c>
      <c r="D21" s="167">
        <v>2221.6172999999999</v>
      </c>
      <c r="E21" s="128" t="s">
        <v>118</v>
      </c>
      <c r="F21" s="167">
        <v>878.34</v>
      </c>
      <c r="G21" s="128" t="s">
        <v>79</v>
      </c>
      <c r="H21" s="167">
        <v>663</v>
      </c>
      <c r="I21" s="128" t="s">
        <v>49</v>
      </c>
      <c r="J21" s="167"/>
      <c r="K21" s="138">
        <v>2003</v>
      </c>
      <c r="L21" s="167">
        <v>3035</v>
      </c>
      <c r="M21" s="167">
        <v>0.7093904448105437</v>
      </c>
      <c r="N21" s="167">
        <v>1406.5</v>
      </c>
      <c r="O21" s="128" t="s">
        <v>118</v>
      </c>
      <c r="P21" s="167">
        <v>496.5</v>
      </c>
      <c r="Q21" s="128" t="s">
        <v>79</v>
      </c>
      <c r="R21" s="167">
        <v>250</v>
      </c>
      <c r="S21" s="128" t="s">
        <v>22</v>
      </c>
    </row>
    <row r="22" spans="1:19" x14ac:dyDescent="0.25">
      <c r="A22" s="138">
        <v>2004</v>
      </c>
      <c r="B22" s="167">
        <v>5370</v>
      </c>
      <c r="C22" s="167">
        <v>0.77726502793296093</v>
      </c>
      <c r="D22" s="167">
        <v>2303.1</v>
      </c>
      <c r="E22" s="128" t="s">
        <v>118</v>
      </c>
      <c r="F22" s="167">
        <v>986.12999999999988</v>
      </c>
      <c r="G22" s="128" t="s">
        <v>79</v>
      </c>
      <c r="H22" s="167">
        <v>884.68319999999994</v>
      </c>
      <c r="I22" s="128" t="s">
        <v>49</v>
      </c>
      <c r="J22" s="167"/>
      <c r="K22" s="138">
        <v>2004</v>
      </c>
      <c r="L22" s="167">
        <v>3295</v>
      </c>
      <c r="M22" s="167">
        <v>0.86282139605462815</v>
      </c>
      <c r="N22" s="167">
        <v>1982.5</v>
      </c>
      <c r="O22" s="128" t="s">
        <v>118</v>
      </c>
      <c r="P22" s="167">
        <v>540.49649999999997</v>
      </c>
      <c r="Q22" s="128" t="s">
        <v>79</v>
      </c>
      <c r="R22" s="167">
        <v>320</v>
      </c>
      <c r="S22" s="128" t="s">
        <v>22</v>
      </c>
    </row>
    <row r="23" spans="1:19" x14ac:dyDescent="0.25">
      <c r="A23" s="138">
        <v>2005</v>
      </c>
      <c r="B23" s="167">
        <v>5760</v>
      </c>
      <c r="C23" s="167">
        <v>0.74939604166666651</v>
      </c>
      <c r="D23" s="167">
        <v>2265.6</v>
      </c>
      <c r="E23" s="128" t="s">
        <v>118</v>
      </c>
      <c r="F23" s="167">
        <v>1074.3725999999999</v>
      </c>
      <c r="G23" s="128" t="s">
        <v>79</v>
      </c>
      <c r="H23" s="167">
        <v>976.54859999999985</v>
      </c>
      <c r="I23" s="128" t="s">
        <v>49</v>
      </c>
      <c r="J23" s="167"/>
      <c r="K23" s="138">
        <v>2005</v>
      </c>
      <c r="L23" s="167">
        <v>3445</v>
      </c>
      <c r="M23" s="167">
        <v>0.69929869375907105</v>
      </c>
      <c r="N23" s="167">
        <v>1406</v>
      </c>
      <c r="O23" s="128" t="s">
        <v>118</v>
      </c>
      <c r="P23" s="167">
        <v>578.08399999999995</v>
      </c>
      <c r="Q23" s="128" t="s">
        <v>79</v>
      </c>
      <c r="R23" s="167">
        <v>425</v>
      </c>
      <c r="S23" s="128" t="s">
        <v>22</v>
      </c>
    </row>
    <row r="24" spans="1:19" x14ac:dyDescent="0.25">
      <c r="A24" s="138">
        <v>2006</v>
      </c>
      <c r="B24" s="167">
        <v>5910</v>
      </c>
      <c r="C24" s="167">
        <v>0.7301930964467005</v>
      </c>
      <c r="D24" s="167">
        <v>2225.4978000000001</v>
      </c>
      <c r="E24" s="128" t="s">
        <v>118</v>
      </c>
      <c r="F24" s="167">
        <v>1080.1199999999999</v>
      </c>
      <c r="G24" s="128" t="s">
        <v>49</v>
      </c>
      <c r="H24" s="167">
        <v>1009.8234</v>
      </c>
      <c r="I24" s="128" t="s">
        <v>79</v>
      </c>
      <c r="J24" s="167"/>
      <c r="K24" s="138">
        <v>2006</v>
      </c>
      <c r="L24" s="167">
        <v>3670</v>
      </c>
      <c r="M24" s="167">
        <v>0.71253405994550412</v>
      </c>
      <c r="N24" s="167">
        <v>1515</v>
      </c>
      <c r="O24" s="128" t="s">
        <v>118</v>
      </c>
      <c r="P24" s="167">
        <v>600</v>
      </c>
      <c r="Q24" s="128" t="s">
        <v>79</v>
      </c>
      <c r="R24" s="167">
        <v>500</v>
      </c>
      <c r="S24" s="128" t="s">
        <v>22</v>
      </c>
    </row>
    <row r="25" spans="1:19" x14ac:dyDescent="0.25">
      <c r="A25" s="138" t="s">
        <v>4</v>
      </c>
      <c r="B25" s="167">
        <v>6870</v>
      </c>
      <c r="C25" s="167">
        <v>0.72725580786026189</v>
      </c>
      <c r="D25" s="167">
        <v>2894.0873999999999</v>
      </c>
      <c r="E25" s="128" t="s">
        <v>118</v>
      </c>
      <c r="F25" s="167">
        <v>1106.1599999999999</v>
      </c>
      <c r="G25" s="128" t="s">
        <v>79</v>
      </c>
      <c r="H25" s="167">
        <v>996</v>
      </c>
      <c r="I25" s="128" t="s">
        <v>49</v>
      </c>
      <c r="J25" s="167"/>
      <c r="K25" s="138" t="s">
        <v>4</v>
      </c>
      <c r="L25" s="167">
        <v>4185</v>
      </c>
      <c r="M25" s="167">
        <v>0.73590633213859014</v>
      </c>
      <c r="N25" s="167">
        <v>1776</v>
      </c>
      <c r="O25" s="128" t="s">
        <v>118</v>
      </c>
      <c r="P25" s="167">
        <v>653.76800000000003</v>
      </c>
      <c r="Q25" s="128" t="s">
        <v>79</v>
      </c>
      <c r="R25" s="167">
        <v>650</v>
      </c>
      <c r="S25" s="128" t="s">
        <v>22</v>
      </c>
    </row>
    <row r="26" spans="1:19" x14ac:dyDescent="0.25">
      <c r="A26" s="138" t="s">
        <v>5</v>
      </c>
      <c r="B26" s="167">
        <v>7230</v>
      </c>
      <c r="C26" s="167">
        <v>0.71417593360995846</v>
      </c>
      <c r="D26" s="167">
        <v>2904.7919999999999</v>
      </c>
      <c r="E26" s="128" t="s">
        <v>118</v>
      </c>
      <c r="F26" s="167">
        <v>1170</v>
      </c>
      <c r="G26" s="128" t="s">
        <v>49</v>
      </c>
      <c r="H26" s="167">
        <v>1088.7</v>
      </c>
      <c r="I26" s="128" t="s">
        <v>79</v>
      </c>
      <c r="J26" s="167"/>
      <c r="K26" s="138" t="s">
        <v>5</v>
      </c>
      <c r="L26" s="167">
        <v>4030</v>
      </c>
      <c r="M26" s="167">
        <v>0.7430911910669975</v>
      </c>
      <c r="N26" s="167">
        <v>1634.5</v>
      </c>
      <c r="O26" s="128" t="s">
        <v>118</v>
      </c>
      <c r="P26" s="167">
        <v>750</v>
      </c>
      <c r="Q26" s="128" t="s">
        <v>22</v>
      </c>
      <c r="R26" s="167">
        <v>610.15750000000003</v>
      </c>
      <c r="S26" s="128" t="s">
        <v>79</v>
      </c>
    </row>
    <row r="27" spans="1:19" x14ac:dyDescent="0.25">
      <c r="A27" s="138" t="s">
        <v>6</v>
      </c>
      <c r="B27" s="167">
        <v>5790</v>
      </c>
      <c r="C27" s="167">
        <v>0.723250621761658</v>
      </c>
      <c r="D27" s="167">
        <v>2059.6619999999998</v>
      </c>
      <c r="E27" s="128" t="s">
        <v>118</v>
      </c>
      <c r="F27" s="167">
        <v>1128</v>
      </c>
      <c r="G27" s="128" t="s">
        <v>49</v>
      </c>
      <c r="H27" s="167">
        <v>999.95910000000003</v>
      </c>
      <c r="I27" s="128" t="s">
        <v>79</v>
      </c>
      <c r="J27" s="167"/>
      <c r="K27" s="138" t="s">
        <v>6</v>
      </c>
      <c r="L27" s="167">
        <v>3500</v>
      </c>
      <c r="M27" s="167">
        <v>0.77857142857142858</v>
      </c>
      <c r="N27" s="167">
        <v>1400</v>
      </c>
      <c r="O27" s="128" t="s">
        <v>118</v>
      </c>
      <c r="P27" s="167">
        <v>775</v>
      </c>
      <c r="Q27" s="128" t="s">
        <v>22</v>
      </c>
      <c r="R27" s="167">
        <v>550</v>
      </c>
      <c r="S27" s="128" t="s">
        <v>79</v>
      </c>
    </row>
    <row r="28" spans="1:19" x14ac:dyDescent="0.25">
      <c r="A28" s="141" t="s">
        <v>614</v>
      </c>
      <c r="B28" s="141"/>
      <c r="C28" s="141"/>
      <c r="D28" s="138"/>
      <c r="E28" s="167"/>
      <c r="F28" s="128"/>
      <c r="G28" s="141"/>
      <c r="H28" s="138"/>
      <c r="I28" s="141"/>
      <c r="J28" s="141"/>
      <c r="K28" s="141" t="s">
        <v>613</v>
      </c>
      <c r="L28" s="141"/>
      <c r="M28" s="167"/>
      <c r="N28" s="128"/>
      <c r="O28" s="167"/>
      <c r="P28" s="128"/>
      <c r="Q28" s="167"/>
      <c r="R28" s="128"/>
      <c r="S28" s="141"/>
    </row>
  </sheetData>
  <mergeCells count="14">
    <mergeCell ref="P6:Q6"/>
    <mergeCell ref="R6:S6"/>
    <mergeCell ref="A1:I2"/>
    <mergeCell ref="K1:S2"/>
    <mergeCell ref="B5:I5"/>
    <mergeCell ref="L5:S5"/>
    <mergeCell ref="C6:C7"/>
    <mergeCell ref="D6:E6"/>
    <mergeCell ref="F6:G6"/>
    <mergeCell ref="H6:I6"/>
    <mergeCell ref="M6:M7"/>
    <mergeCell ref="N6:O6"/>
    <mergeCell ref="B6:B7"/>
    <mergeCell ref="L6:L7"/>
  </mergeCells>
  <pageMargins left="0.7" right="0.7" top="0.75" bottom="0.75" header="0.3" footer="0.3"/>
  <pageSetup scale="76" orientation="portrait" r:id="rId1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Normal="100" zoomScaleSheetLayoutView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7109375" customWidth="1"/>
    <col min="4" max="9" width="13.28515625" customWidth="1"/>
    <col min="10" max="10" width="2.85546875" customWidth="1"/>
    <col min="11" max="12" width="13.28515625" customWidth="1"/>
    <col min="13" max="13" width="14.140625" customWidth="1"/>
    <col min="14" max="19" width="13.28515625" customWidth="1"/>
  </cols>
  <sheetData>
    <row r="1" spans="1:19" ht="15" customHeight="1" x14ac:dyDescent="0.25">
      <c r="A1" s="278" t="s">
        <v>384</v>
      </c>
      <c r="B1" s="278"/>
      <c r="C1" s="278"/>
      <c r="D1" s="278"/>
      <c r="E1" s="278"/>
      <c r="F1" s="278"/>
      <c r="G1" s="278"/>
      <c r="H1" s="278"/>
      <c r="I1" s="278"/>
      <c r="J1" s="4"/>
      <c r="K1" s="278" t="s">
        <v>385</v>
      </c>
      <c r="L1" s="278"/>
      <c r="M1" s="278"/>
      <c r="N1" s="278"/>
      <c r="O1" s="278"/>
      <c r="P1" s="278"/>
      <c r="Q1" s="278"/>
      <c r="R1" s="278"/>
      <c r="S1" s="278"/>
    </row>
    <row r="2" spans="1:1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6"/>
      <c r="C3" s="6"/>
      <c r="D3" s="6"/>
      <c r="E3" s="6"/>
      <c r="F3" s="6"/>
      <c r="H3" s="6"/>
      <c r="I3" s="6"/>
      <c r="J3" s="6"/>
      <c r="K3" s="6"/>
      <c r="L3" s="6"/>
      <c r="M3" s="6"/>
    </row>
    <row r="4" spans="1:19" x14ac:dyDescent="0.25">
      <c r="A4" s="5"/>
      <c r="B4" s="6"/>
      <c r="C4" s="6"/>
      <c r="D4" s="6"/>
      <c r="E4" s="6"/>
      <c r="F4" s="6"/>
      <c r="H4" s="6"/>
      <c r="I4" s="6"/>
      <c r="J4" s="6"/>
      <c r="K4" s="6"/>
      <c r="L4" s="6"/>
      <c r="M4" s="6"/>
    </row>
    <row r="5" spans="1:19" x14ac:dyDescent="0.25">
      <c r="A5" s="105"/>
      <c r="B5" s="283" t="s">
        <v>40</v>
      </c>
      <c r="C5" s="283"/>
      <c r="D5" s="283"/>
      <c r="E5" s="283"/>
      <c r="F5" s="283"/>
      <c r="G5" s="283"/>
      <c r="H5" s="283"/>
      <c r="I5" s="283"/>
      <c r="J5" s="105"/>
      <c r="K5" s="283" t="s">
        <v>15</v>
      </c>
      <c r="L5" s="283"/>
      <c r="M5" s="283"/>
      <c r="N5" s="283"/>
      <c r="O5" s="283"/>
      <c r="P5" s="283"/>
      <c r="Q5" s="283"/>
      <c r="R5" s="283"/>
      <c r="S5" s="19"/>
    </row>
    <row r="6" spans="1:19" s="13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12"/>
      <c r="K6" s="101"/>
      <c r="L6" s="282" t="s">
        <v>392</v>
      </c>
      <c r="M6" s="282" t="s">
        <v>299</v>
      </c>
      <c r="N6" s="271" t="s">
        <v>275</v>
      </c>
      <c r="O6" s="271"/>
      <c r="P6" s="279" t="s">
        <v>32</v>
      </c>
      <c r="Q6" s="279"/>
      <c r="R6" s="279" t="s">
        <v>33</v>
      </c>
      <c r="S6" s="279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12"/>
      <c r="K7" s="100" t="s">
        <v>368</v>
      </c>
      <c r="L7" s="281"/>
      <c r="M7" s="281"/>
      <c r="N7" s="100" t="s">
        <v>9</v>
      </c>
      <c r="O7" s="100" t="s">
        <v>3</v>
      </c>
      <c r="P7" s="100" t="s">
        <v>9</v>
      </c>
      <c r="Q7" s="100" t="s">
        <v>3</v>
      </c>
      <c r="R7" s="100" t="s">
        <v>9</v>
      </c>
      <c r="S7" s="100" t="s">
        <v>3</v>
      </c>
    </row>
    <row r="8" spans="1:19" x14ac:dyDescent="0.25">
      <c r="A8" s="138">
        <v>1990</v>
      </c>
      <c r="B8" s="167">
        <v>42.3</v>
      </c>
      <c r="C8" s="167">
        <v>0.74468085106382986</v>
      </c>
      <c r="D8" s="15">
        <v>19</v>
      </c>
      <c r="E8" s="12" t="s">
        <v>35</v>
      </c>
      <c r="F8" s="15">
        <v>7</v>
      </c>
      <c r="G8" s="12" t="s">
        <v>36</v>
      </c>
      <c r="H8" s="15">
        <v>5.5</v>
      </c>
      <c r="I8" s="167" t="s">
        <v>37</v>
      </c>
      <c r="J8" s="168"/>
      <c r="K8" s="171">
        <v>1990</v>
      </c>
      <c r="L8" s="15">
        <v>27.3</v>
      </c>
      <c r="M8" s="172">
        <v>0.76630036630036635</v>
      </c>
      <c r="N8" s="15">
        <v>9.9499999999999993</v>
      </c>
      <c r="O8" s="12" t="s">
        <v>35</v>
      </c>
      <c r="P8" s="15">
        <v>6.3</v>
      </c>
      <c r="Q8" s="12" t="s">
        <v>37</v>
      </c>
      <c r="R8" s="15">
        <v>4.67</v>
      </c>
      <c r="S8" s="167" t="s">
        <v>36</v>
      </c>
    </row>
    <row r="9" spans="1:19" x14ac:dyDescent="0.25">
      <c r="A9" s="138">
        <v>1991</v>
      </c>
      <c r="B9" s="167">
        <v>33.299999999999997</v>
      </c>
      <c r="C9" s="167">
        <v>0.68150150150150157</v>
      </c>
      <c r="D9" s="15">
        <v>9.9</v>
      </c>
      <c r="E9" s="12" t="s">
        <v>35</v>
      </c>
      <c r="F9" s="15">
        <v>6.9939999999999998</v>
      </c>
      <c r="G9" s="12" t="s">
        <v>36</v>
      </c>
      <c r="H9" s="15">
        <v>5.8</v>
      </c>
      <c r="I9" s="167" t="s">
        <v>37</v>
      </c>
      <c r="J9" s="168"/>
      <c r="K9" s="171">
        <v>1991</v>
      </c>
      <c r="L9" s="15">
        <v>25.2</v>
      </c>
      <c r="M9" s="172">
        <v>0.72837301587301595</v>
      </c>
      <c r="N9" s="15">
        <v>8.1140000000000008</v>
      </c>
      <c r="O9" s="12" t="s">
        <v>35</v>
      </c>
      <c r="P9" s="15">
        <v>5.5</v>
      </c>
      <c r="Q9" s="12" t="s">
        <v>37</v>
      </c>
      <c r="R9" s="15">
        <v>4.7409999999999997</v>
      </c>
      <c r="S9" s="167" t="s">
        <v>36</v>
      </c>
    </row>
    <row r="10" spans="1:19" x14ac:dyDescent="0.25">
      <c r="A10" s="138">
        <v>1992</v>
      </c>
      <c r="B10" s="167">
        <v>28</v>
      </c>
      <c r="C10" s="167">
        <v>0.63257142857142856</v>
      </c>
      <c r="D10" s="15">
        <v>6.91</v>
      </c>
      <c r="E10" s="12" t="s">
        <v>36</v>
      </c>
      <c r="F10" s="167">
        <v>5.7</v>
      </c>
      <c r="G10" s="12" t="s">
        <v>35</v>
      </c>
      <c r="H10" s="15">
        <v>5.1020000000000003</v>
      </c>
      <c r="I10" s="167" t="s">
        <v>38</v>
      </c>
      <c r="J10" s="168"/>
      <c r="K10" s="171">
        <v>1992</v>
      </c>
      <c r="L10" s="15">
        <v>21.5</v>
      </c>
      <c r="M10" s="172">
        <v>0.64865116279069768</v>
      </c>
      <c r="N10" s="15">
        <v>5.0490000000000004</v>
      </c>
      <c r="O10" s="12" t="s">
        <v>35</v>
      </c>
      <c r="P10" s="15">
        <v>4.7969999999999997</v>
      </c>
      <c r="Q10" s="12" t="s">
        <v>36</v>
      </c>
      <c r="R10" s="15">
        <v>4.0999999999999996</v>
      </c>
      <c r="S10" s="167" t="s">
        <v>24</v>
      </c>
    </row>
    <row r="11" spans="1:19" x14ac:dyDescent="0.25">
      <c r="A11" s="138">
        <v>1993</v>
      </c>
      <c r="B11" s="167">
        <v>21.9</v>
      </c>
      <c r="C11" s="167">
        <v>0.61406392694063938</v>
      </c>
      <c r="D11" s="15">
        <v>5.1079999999999997</v>
      </c>
      <c r="E11" s="12" t="s">
        <v>38</v>
      </c>
      <c r="F11" s="15">
        <v>4.84</v>
      </c>
      <c r="G11" s="12" t="s">
        <v>36</v>
      </c>
      <c r="H11" s="15">
        <v>3.5</v>
      </c>
      <c r="I11" s="167" t="s">
        <v>24</v>
      </c>
      <c r="J11" s="168"/>
      <c r="K11" s="171">
        <v>1993</v>
      </c>
      <c r="L11" s="15">
        <v>16.600000000000001</v>
      </c>
      <c r="M11" s="172">
        <v>0.60843373493975894</v>
      </c>
      <c r="N11" s="15">
        <v>3.7050000000000001</v>
      </c>
      <c r="O11" s="12" t="s">
        <v>36</v>
      </c>
      <c r="P11" s="15">
        <v>3.7</v>
      </c>
      <c r="Q11" s="12" t="s">
        <v>24</v>
      </c>
      <c r="R11" s="15">
        <v>2.6949999999999998</v>
      </c>
      <c r="S11" s="167" t="s">
        <v>38</v>
      </c>
    </row>
    <row r="12" spans="1:19" x14ac:dyDescent="0.25">
      <c r="A12" s="138">
        <v>1994</v>
      </c>
      <c r="B12" s="167">
        <v>18</v>
      </c>
      <c r="C12" s="167">
        <v>0.6036111111111111</v>
      </c>
      <c r="D12" s="15">
        <v>4.2649999999999997</v>
      </c>
      <c r="E12" s="12" t="s">
        <v>38</v>
      </c>
      <c r="F12" s="15">
        <v>3.6</v>
      </c>
      <c r="G12" s="12" t="s">
        <v>36</v>
      </c>
      <c r="H12" s="15">
        <v>3</v>
      </c>
      <c r="I12" s="167" t="s">
        <v>24</v>
      </c>
      <c r="J12" s="168"/>
      <c r="K12" s="171">
        <v>1994</v>
      </c>
      <c r="L12" s="15">
        <v>20</v>
      </c>
      <c r="M12" s="172">
        <v>0.51554999999999995</v>
      </c>
      <c r="N12" s="15">
        <v>4.34</v>
      </c>
      <c r="O12" s="12" t="s">
        <v>24</v>
      </c>
      <c r="P12" s="15">
        <v>3</v>
      </c>
      <c r="Q12" s="12" t="s">
        <v>39</v>
      </c>
      <c r="R12" s="15">
        <v>2.9710000000000001</v>
      </c>
      <c r="S12" s="167" t="s">
        <v>38</v>
      </c>
    </row>
    <row r="13" spans="1:19" x14ac:dyDescent="0.25">
      <c r="A13" s="138">
        <v>1995</v>
      </c>
      <c r="B13" s="167">
        <v>24.5</v>
      </c>
      <c r="C13" s="167">
        <v>0.60191836734693882</v>
      </c>
      <c r="D13" s="15">
        <v>5.3390000000000004</v>
      </c>
      <c r="E13" s="12" t="s">
        <v>38</v>
      </c>
      <c r="F13" s="15">
        <v>5.9080000000000004</v>
      </c>
      <c r="G13" s="12" t="s">
        <v>36</v>
      </c>
      <c r="H13" s="15">
        <v>3.5</v>
      </c>
      <c r="I13" s="167" t="s">
        <v>24</v>
      </c>
      <c r="J13" s="168"/>
      <c r="K13" s="171">
        <v>1995</v>
      </c>
      <c r="L13" s="15">
        <v>23.3</v>
      </c>
      <c r="M13" s="172">
        <v>0.48437768240343354</v>
      </c>
      <c r="N13" s="15">
        <v>3.577</v>
      </c>
      <c r="O13" s="12" t="s">
        <v>36</v>
      </c>
      <c r="P13" s="15">
        <v>3.2589999999999999</v>
      </c>
      <c r="Q13" s="12" t="s">
        <v>38</v>
      </c>
      <c r="R13" s="15">
        <v>4.45</v>
      </c>
      <c r="S13" s="167" t="s">
        <v>24</v>
      </c>
    </row>
    <row r="14" spans="1:19" x14ac:dyDescent="0.25">
      <c r="A14" s="138">
        <v>1996</v>
      </c>
      <c r="B14" s="167">
        <v>26.2</v>
      </c>
      <c r="C14" s="167">
        <v>0.60965648854961829</v>
      </c>
      <c r="D14" s="15">
        <v>6.9589999999999996</v>
      </c>
      <c r="E14" s="12" t="s">
        <v>36</v>
      </c>
      <c r="F14" s="15">
        <v>5.7140000000000004</v>
      </c>
      <c r="G14" s="12" t="s">
        <v>38</v>
      </c>
      <c r="H14" s="167">
        <v>3.3</v>
      </c>
      <c r="I14" s="167" t="s">
        <v>24</v>
      </c>
      <c r="J14" s="168"/>
      <c r="K14" s="171">
        <v>1996</v>
      </c>
      <c r="L14" s="15">
        <v>25.6</v>
      </c>
      <c r="M14" s="172">
        <v>0.50671875</v>
      </c>
      <c r="N14" s="15">
        <v>4.6120000000000001</v>
      </c>
      <c r="O14" s="12" t="s">
        <v>36</v>
      </c>
      <c r="P14" s="15">
        <v>4.2</v>
      </c>
      <c r="Q14" s="12" t="s">
        <v>24</v>
      </c>
      <c r="R14" s="15">
        <v>4.16</v>
      </c>
      <c r="S14" s="167" t="s">
        <v>39</v>
      </c>
    </row>
    <row r="15" spans="1:19" x14ac:dyDescent="0.25">
      <c r="A15" s="138">
        <v>1997</v>
      </c>
      <c r="B15" s="167">
        <v>27.4</v>
      </c>
      <c r="C15" s="167">
        <v>0.55642335766423356</v>
      </c>
      <c r="D15" s="15">
        <v>6.0369999999999999</v>
      </c>
      <c r="E15" s="12" t="s">
        <v>36</v>
      </c>
      <c r="F15" s="15">
        <v>5.7089999999999996</v>
      </c>
      <c r="G15" s="12" t="s">
        <v>38</v>
      </c>
      <c r="H15" s="15">
        <v>3.5</v>
      </c>
      <c r="I15" s="167" t="s">
        <v>30</v>
      </c>
      <c r="J15" s="168"/>
      <c r="K15" s="171">
        <v>1997</v>
      </c>
      <c r="L15" s="15">
        <v>27.1</v>
      </c>
      <c r="M15" s="172">
        <v>0.49826568265682647</v>
      </c>
      <c r="N15" s="15">
        <v>5</v>
      </c>
      <c r="O15" s="12" t="s">
        <v>39</v>
      </c>
      <c r="P15" s="15">
        <v>4.4029999999999996</v>
      </c>
      <c r="Q15" s="12" t="s">
        <v>36</v>
      </c>
      <c r="R15" s="15">
        <v>4.0999999999999996</v>
      </c>
      <c r="S15" s="167" t="s">
        <v>24</v>
      </c>
    </row>
    <row r="16" spans="1:19" x14ac:dyDescent="0.25">
      <c r="A16" s="138">
        <v>1998</v>
      </c>
      <c r="B16" s="167">
        <v>35.299999999999997</v>
      </c>
      <c r="C16" s="167">
        <v>0.59662889518413598</v>
      </c>
      <c r="D16" s="15">
        <v>11.9</v>
      </c>
      <c r="E16" s="12" t="s">
        <v>36</v>
      </c>
      <c r="F16" s="15">
        <v>5.8609999999999998</v>
      </c>
      <c r="G16" s="12" t="s">
        <v>38</v>
      </c>
      <c r="H16" s="15">
        <v>3.3</v>
      </c>
      <c r="I16" s="167" t="s">
        <v>27</v>
      </c>
      <c r="J16" s="168"/>
      <c r="K16" s="171">
        <v>1998</v>
      </c>
      <c r="L16" s="15">
        <v>31.4</v>
      </c>
      <c r="M16" s="172">
        <v>0.46184713375796177</v>
      </c>
      <c r="N16" s="15">
        <v>5.25</v>
      </c>
      <c r="O16" s="12" t="s">
        <v>39</v>
      </c>
      <c r="P16" s="15">
        <v>4.8369999999999997</v>
      </c>
      <c r="Q16" s="12" t="s">
        <v>36</v>
      </c>
      <c r="R16" s="15">
        <v>4.415</v>
      </c>
      <c r="S16" s="167" t="s">
        <v>38</v>
      </c>
    </row>
    <row r="17" spans="1:19" x14ac:dyDescent="0.25">
      <c r="A17" s="138">
        <v>1999</v>
      </c>
      <c r="B17" s="167">
        <v>32.700000000000003</v>
      </c>
      <c r="C17" s="167">
        <v>0.54932721712538224</v>
      </c>
      <c r="D17" s="15">
        <v>7</v>
      </c>
      <c r="E17" s="12" t="s">
        <v>30</v>
      </c>
      <c r="F17" s="15">
        <v>5.3230000000000004</v>
      </c>
      <c r="G17" s="12" t="s">
        <v>38</v>
      </c>
      <c r="H17" s="15">
        <v>5.64</v>
      </c>
      <c r="I17" s="167" t="s">
        <v>36</v>
      </c>
      <c r="J17" s="168"/>
      <c r="K17" s="171">
        <v>1999</v>
      </c>
      <c r="L17" s="15">
        <v>33.1</v>
      </c>
      <c r="M17" s="172">
        <v>0.47371601208459213</v>
      </c>
      <c r="N17" s="15">
        <v>6.2</v>
      </c>
      <c r="O17" s="12" t="s">
        <v>39</v>
      </c>
      <c r="P17" s="15">
        <v>5.18</v>
      </c>
      <c r="Q17" s="12" t="s">
        <v>30</v>
      </c>
      <c r="R17" s="15">
        <v>4.3</v>
      </c>
      <c r="S17" s="167" t="s">
        <v>24</v>
      </c>
    </row>
    <row r="18" spans="1:19" x14ac:dyDescent="0.25">
      <c r="A18" s="138">
        <v>2000</v>
      </c>
      <c r="B18" s="167">
        <v>37.9</v>
      </c>
      <c r="C18" s="167">
        <v>0.57778364116094993</v>
      </c>
      <c r="D18" s="15">
        <v>11</v>
      </c>
      <c r="E18" s="12" t="s">
        <v>30</v>
      </c>
      <c r="F18" s="15">
        <v>5.6</v>
      </c>
      <c r="G18" s="12" t="s">
        <v>27</v>
      </c>
      <c r="H18" s="15">
        <v>5.298</v>
      </c>
      <c r="I18" s="167" t="s">
        <v>38</v>
      </c>
      <c r="J18" s="168"/>
      <c r="K18" s="171">
        <v>2000</v>
      </c>
      <c r="L18" s="15">
        <v>36</v>
      </c>
      <c r="M18" s="172">
        <v>0.45733333333333337</v>
      </c>
      <c r="N18" s="15">
        <v>7.7</v>
      </c>
      <c r="O18" s="12" t="s">
        <v>39</v>
      </c>
      <c r="P18" s="15">
        <v>4.4000000000000004</v>
      </c>
      <c r="Q18" s="12" t="s">
        <v>24</v>
      </c>
      <c r="R18" s="15">
        <v>4.3639999999999999</v>
      </c>
      <c r="S18" s="167" t="s">
        <v>38</v>
      </c>
    </row>
    <row r="19" spans="1:19" x14ac:dyDescent="0.25">
      <c r="A19" s="138">
        <v>2001</v>
      </c>
      <c r="B19" s="167">
        <v>44.8</v>
      </c>
      <c r="C19" s="167">
        <v>0.4380803571428572</v>
      </c>
      <c r="D19" s="15">
        <v>8</v>
      </c>
      <c r="E19" s="12" t="s">
        <v>36</v>
      </c>
      <c r="F19" s="15">
        <v>6.3</v>
      </c>
      <c r="G19" s="12" t="s">
        <v>27</v>
      </c>
      <c r="H19" s="15">
        <v>5.3259999999999996</v>
      </c>
      <c r="I19" s="167" t="s">
        <v>38</v>
      </c>
      <c r="J19" s="168"/>
      <c r="K19" s="171">
        <v>2001</v>
      </c>
      <c r="L19" s="15">
        <v>38.700000000000003</v>
      </c>
      <c r="M19" s="172">
        <v>0.45883720930232547</v>
      </c>
      <c r="N19" s="15">
        <v>8.1</v>
      </c>
      <c r="O19" s="12" t="s">
        <v>39</v>
      </c>
      <c r="P19" s="15">
        <v>5</v>
      </c>
      <c r="Q19" s="12" t="s">
        <v>24</v>
      </c>
      <c r="R19" s="15">
        <v>4.657</v>
      </c>
      <c r="S19" s="167" t="s">
        <v>36</v>
      </c>
    </row>
    <row r="20" spans="1:19" x14ac:dyDescent="0.25">
      <c r="A20" s="138">
        <v>2002</v>
      </c>
      <c r="B20" s="167">
        <v>52.2</v>
      </c>
      <c r="C20" s="167">
        <v>0.6015325670498084</v>
      </c>
      <c r="D20" s="18">
        <v>14.6</v>
      </c>
      <c r="E20" s="12" t="s">
        <v>30</v>
      </c>
      <c r="F20" s="16">
        <v>10</v>
      </c>
      <c r="G20" s="12" t="s">
        <v>36</v>
      </c>
      <c r="H20" s="18">
        <v>6.8</v>
      </c>
      <c r="I20" s="167" t="s">
        <v>27</v>
      </c>
      <c r="J20" s="168"/>
      <c r="K20" s="171">
        <v>2002</v>
      </c>
      <c r="L20" s="16">
        <v>40.799999999999997</v>
      </c>
      <c r="M20" s="172">
        <v>0.3513480392156863</v>
      </c>
      <c r="N20" s="15">
        <v>1.47</v>
      </c>
      <c r="O20" s="12" t="s">
        <v>22</v>
      </c>
      <c r="P20" s="16">
        <v>8.24</v>
      </c>
      <c r="Q20" s="12" t="s">
        <v>39</v>
      </c>
      <c r="R20" s="18">
        <v>4.625</v>
      </c>
      <c r="S20" s="167" t="s">
        <v>38</v>
      </c>
    </row>
    <row r="21" spans="1:19" x14ac:dyDescent="0.25">
      <c r="A21" s="138">
        <v>2003</v>
      </c>
      <c r="B21" s="167">
        <v>52.9</v>
      </c>
      <c r="C21" s="167">
        <v>0.6068052930056711</v>
      </c>
      <c r="D21" s="16">
        <v>14.8</v>
      </c>
      <c r="E21" s="12" t="s">
        <v>30</v>
      </c>
      <c r="F21" s="16">
        <v>11.3</v>
      </c>
      <c r="G21" s="12" t="s">
        <v>36</v>
      </c>
      <c r="H21" s="16">
        <v>6</v>
      </c>
      <c r="I21" s="167" t="s">
        <v>27</v>
      </c>
      <c r="J21" s="168"/>
      <c r="K21" s="171">
        <v>2003</v>
      </c>
      <c r="L21" s="17">
        <v>43.2</v>
      </c>
      <c r="M21" s="172">
        <v>0.45159722222222221</v>
      </c>
      <c r="N21" s="17">
        <v>7.9889999999999999</v>
      </c>
      <c r="O21" s="12" t="s">
        <v>39</v>
      </c>
      <c r="P21" s="17">
        <v>6.62</v>
      </c>
      <c r="Q21" s="12" t="s">
        <v>36</v>
      </c>
      <c r="R21" s="17">
        <v>4.9000000000000004</v>
      </c>
      <c r="S21" s="167" t="s">
        <v>24</v>
      </c>
    </row>
    <row r="22" spans="1:19" x14ac:dyDescent="0.25">
      <c r="A22" s="138">
        <v>2004</v>
      </c>
      <c r="B22" s="167">
        <v>60.3</v>
      </c>
      <c r="C22" s="167">
        <v>0.59369817578772799</v>
      </c>
      <c r="D22" s="17">
        <v>20.2</v>
      </c>
      <c r="E22" s="12" t="s">
        <v>30</v>
      </c>
      <c r="F22" s="17">
        <v>10</v>
      </c>
      <c r="G22" s="12" t="s">
        <v>36</v>
      </c>
      <c r="H22" s="17">
        <v>5.6</v>
      </c>
      <c r="I22" s="167" t="s">
        <v>27</v>
      </c>
      <c r="J22" s="168"/>
      <c r="K22" s="171">
        <v>2004</v>
      </c>
      <c r="L22" s="18">
        <v>48.5</v>
      </c>
      <c r="M22" s="172">
        <v>0.36323711340206177</v>
      </c>
      <c r="N22" s="17">
        <v>4.58</v>
      </c>
      <c r="O22" s="12" t="s">
        <v>22</v>
      </c>
      <c r="P22" s="18">
        <v>7.8929999999999998</v>
      </c>
      <c r="Q22" s="12" t="s">
        <v>39</v>
      </c>
      <c r="R22" s="18">
        <v>5.1440000000000001</v>
      </c>
      <c r="S22" s="167" t="s">
        <v>38</v>
      </c>
    </row>
    <row r="23" spans="1:19" x14ac:dyDescent="0.25">
      <c r="A23" s="138">
        <v>2005</v>
      </c>
      <c r="B23" s="167">
        <v>65.2</v>
      </c>
      <c r="C23" s="167">
        <v>0.60429447852760731</v>
      </c>
      <c r="D23" s="18">
        <v>24.5</v>
      </c>
      <c r="E23" s="12" t="s">
        <v>30</v>
      </c>
      <c r="F23" s="18">
        <v>9.3000000000000007</v>
      </c>
      <c r="G23" s="12" t="s">
        <v>36</v>
      </c>
      <c r="H23" s="18">
        <v>5.6</v>
      </c>
      <c r="I23" s="167" t="s">
        <v>27</v>
      </c>
      <c r="J23" s="168"/>
      <c r="K23" s="171">
        <v>2005</v>
      </c>
      <c r="L23" s="18">
        <v>54.1</v>
      </c>
      <c r="M23" s="172">
        <v>0.39913123844731979</v>
      </c>
      <c r="N23" s="18">
        <v>8</v>
      </c>
      <c r="O23" s="12" t="s">
        <v>22</v>
      </c>
      <c r="P23" s="18">
        <v>8.1709999999999994</v>
      </c>
      <c r="Q23" s="12" t="s">
        <v>39</v>
      </c>
      <c r="R23" s="18">
        <v>5.4219999999999997</v>
      </c>
      <c r="S23" s="167" t="s">
        <v>36</v>
      </c>
    </row>
    <row r="24" spans="1:19" x14ac:dyDescent="0.25">
      <c r="A24" s="138">
        <v>2006</v>
      </c>
      <c r="B24" s="167">
        <v>68.900000000000006</v>
      </c>
      <c r="C24" s="167">
        <v>0.59651669085631343</v>
      </c>
      <c r="D24" s="18">
        <v>27.1</v>
      </c>
      <c r="E24" s="12" t="s">
        <v>30</v>
      </c>
      <c r="F24" s="18">
        <v>8</v>
      </c>
      <c r="G24" s="12" t="s">
        <v>36</v>
      </c>
      <c r="H24" s="18">
        <v>6</v>
      </c>
      <c r="I24" s="167" t="s">
        <v>27</v>
      </c>
      <c r="J24" s="168"/>
      <c r="K24" s="171">
        <v>2006</v>
      </c>
      <c r="L24" s="18">
        <v>53.8</v>
      </c>
      <c r="M24" s="172">
        <v>0.49219330855018589</v>
      </c>
      <c r="N24" s="18">
        <v>12.7</v>
      </c>
      <c r="O24" s="12" t="s">
        <v>22</v>
      </c>
      <c r="P24" s="18">
        <v>8.5820000000000007</v>
      </c>
      <c r="Q24" s="12" t="s">
        <v>39</v>
      </c>
      <c r="R24" s="18">
        <v>5.1980000000000004</v>
      </c>
      <c r="S24" s="167" t="s">
        <v>38</v>
      </c>
    </row>
    <row r="25" spans="1:19" x14ac:dyDescent="0.25">
      <c r="A25" s="138" t="s">
        <v>4</v>
      </c>
      <c r="B25" s="167">
        <v>71.5</v>
      </c>
      <c r="C25" s="167">
        <v>0.58167832167832167</v>
      </c>
      <c r="D25" s="167">
        <v>25.4</v>
      </c>
      <c r="E25" s="12" t="s">
        <v>30</v>
      </c>
      <c r="F25" s="167">
        <v>8.69</v>
      </c>
      <c r="G25" s="12" t="s">
        <v>38</v>
      </c>
      <c r="H25" s="167">
        <v>7.5</v>
      </c>
      <c r="I25" s="167" t="s">
        <v>36</v>
      </c>
      <c r="J25" s="168"/>
      <c r="K25" s="171" t="s">
        <v>4</v>
      </c>
      <c r="L25" s="167">
        <v>53.3</v>
      </c>
      <c r="M25" s="172">
        <v>0.52514071294559095</v>
      </c>
      <c r="N25" s="167">
        <v>13.2</v>
      </c>
      <c r="O25" s="12" t="s">
        <v>22</v>
      </c>
      <c r="P25" s="167">
        <v>9.17</v>
      </c>
      <c r="Q25" s="12" t="s">
        <v>39</v>
      </c>
      <c r="R25" s="167">
        <v>5.62</v>
      </c>
      <c r="S25" s="167" t="s">
        <v>38</v>
      </c>
    </row>
    <row r="26" spans="1:19" x14ac:dyDescent="0.25">
      <c r="A26" s="138" t="s">
        <v>5</v>
      </c>
      <c r="B26" s="167">
        <v>76.3</v>
      </c>
      <c r="C26" s="167">
        <v>0.63106159895150726</v>
      </c>
      <c r="D26" s="167">
        <v>32.299999999999997</v>
      </c>
      <c r="E26" s="12" t="s">
        <v>30</v>
      </c>
      <c r="F26" s="167">
        <v>8.9499999999999993</v>
      </c>
      <c r="G26" s="12" t="s">
        <v>38</v>
      </c>
      <c r="H26" s="167">
        <v>6.9</v>
      </c>
      <c r="I26" s="167" t="s">
        <v>36</v>
      </c>
      <c r="J26" s="168"/>
      <c r="K26" s="171" t="s">
        <v>5</v>
      </c>
      <c r="L26" s="16">
        <v>57.2</v>
      </c>
      <c r="M26" s="172">
        <v>0.58548951048951048</v>
      </c>
      <c r="N26" s="167">
        <v>18.2</v>
      </c>
      <c r="O26" s="12" t="s">
        <v>22</v>
      </c>
      <c r="P26" s="167">
        <v>9.65</v>
      </c>
      <c r="Q26" s="12" t="s">
        <v>39</v>
      </c>
      <c r="R26" s="167">
        <v>5.64</v>
      </c>
      <c r="S26" s="167" t="s">
        <v>38</v>
      </c>
    </row>
    <row r="27" spans="1:19" x14ac:dyDescent="0.25">
      <c r="A27" s="138" t="s">
        <v>6</v>
      </c>
      <c r="B27" s="167">
        <v>72.3</v>
      </c>
      <c r="C27" s="167">
        <v>0.65836791147994467</v>
      </c>
      <c r="D27" s="167">
        <v>35.5</v>
      </c>
      <c r="E27" s="12" t="s">
        <v>30</v>
      </c>
      <c r="F27" s="167">
        <v>6.1</v>
      </c>
      <c r="G27" s="12" t="s">
        <v>24</v>
      </c>
      <c r="H27" s="167">
        <v>6</v>
      </c>
      <c r="I27" s="167" t="s">
        <v>22</v>
      </c>
      <c r="J27" s="168"/>
      <c r="K27" s="171" t="s">
        <v>6</v>
      </c>
      <c r="L27" s="16">
        <v>59.8</v>
      </c>
      <c r="M27" s="172">
        <v>0.61839464882943151</v>
      </c>
      <c r="N27" s="167">
        <v>23.1</v>
      </c>
      <c r="O27" s="12" t="s">
        <v>22</v>
      </c>
      <c r="P27" s="167">
        <v>8.9600000000000009</v>
      </c>
      <c r="Q27" s="12" t="s">
        <v>39</v>
      </c>
      <c r="R27" s="167">
        <v>4.92</v>
      </c>
      <c r="S27" s="167" t="s">
        <v>38</v>
      </c>
    </row>
    <row r="28" spans="1:19" x14ac:dyDescent="0.25">
      <c r="J28" s="60"/>
    </row>
  </sheetData>
  <mergeCells count="14">
    <mergeCell ref="A1:I2"/>
    <mergeCell ref="K1:S2"/>
    <mergeCell ref="B5:I5"/>
    <mergeCell ref="K5:R5"/>
    <mergeCell ref="D6:E6"/>
    <mergeCell ref="F6:G6"/>
    <mergeCell ref="H6:I6"/>
    <mergeCell ref="C6:C7"/>
    <mergeCell ref="M6:M7"/>
    <mergeCell ref="N6:O6"/>
    <mergeCell ref="P6:Q6"/>
    <mergeCell ref="R6:S6"/>
    <mergeCell ref="B6:B7"/>
    <mergeCell ref="L6:L7"/>
  </mergeCells>
  <pageMargins left="0.7" right="0.7" top="0.75" bottom="0.75" header="0.3" footer="0.3"/>
  <pageSetup scale="99" orientation="landscape" r:id="rId1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opLeftCell="Z1"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3" width="12.7109375" customWidth="1"/>
    <col min="4" max="4" width="13.7109375" customWidth="1"/>
    <col min="5" max="5" width="12.7109375" style="8" customWidth="1"/>
    <col min="6" max="6" width="12.7109375" style="59" customWidth="1"/>
    <col min="7" max="7" width="12.7109375" style="58" customWidth="1"/>
    <col min="8" max="8" width="12.7109375" customWidth="1"/>
    <col min="9" max="9" width="12.7109375" style="8" customWidth="1"/>
    <col min="10" max="10" width="13.28515625" customWidth="1"/>
    <col min="11" max="11" width="2.7109375" customWidth="1"/>
    <col min="12" max="12" width="13.28515625" customWidth="1"/>
    <col min="13" max="14" width="13.42578125" customWidth="1"/>
    <col min="15" max="15" width="13.42578125" style="59" customWidth="1"/>
    <col min="16" max="20" width="12.7109375" style="59" customWidth="1"/>
    <col min="21" max="21" width="12.7109375" customWidth="1"/>
    <col min="22" max="22" width="2.7109375" customWidth="1"/>
    <col min="23" max="23" width="13.28515625" customWidth="1"/>
    <col min="24" max="25" width="12.7109375" customWidth="1"/>
    <col min="26" max="26" width="13.42578125" style="59" customWidth="1"/>
    <col min="27" max="27" width="12.7109375" style="58" customWidth="1"/>
    <col min="28" max="28" width="12.7109375" style="59" customWidth="1"/>
    <col min="29" max="29" width="12.7109375" style="58" customWidth="1"/>
    <col min="30" max="30" width="12.7109375" style="59" customWidth="1"/>
    <col min="31" max="31" width="12.7109375" style="58" customWidth="1"/>
    <col min="32" max="32" width="12.7109375" customWidth="1"/>
    <col min="33" max="33" width="2.7109375" customWidth="1"/>
    <col min="34" max="34" width="13.28515625" customWidth="1"/>
    <col min="35" max="36" width="12.7109375" customWidth="1"/>
    <col min="37" max="37" width="13.7109375" style="59" customWidth="1"/>
    <col min="38" max="38" width="12.7109375" style="58" customWidth="1"/>
    <col min="39" max="39" width="12.7109375" style="59" customWidth="1"/>
    <col min="40" max="40" width="12.7109375" style="58" customWidth="1"/>
    <col min="41" max="41" width="12.7109375" style="59" customWidth="1"/>
    <col min="42" max="42" width="12.7109375" style="58" customWidth="1"/>
    <col min="43" max="43" width="12.7109375" customWidth="1"/>
    <col min="44" max="44" width="10.5703125" bestFit="1" customWidth="1"/>
  </cols>
  <sheetData>
    <row r="1" spans="1:44" ht="15" customHeight="1" x14ac:dyDescent="0.25">
      <c r="A1" s="278" t="s">
        <v>393</v>
      </c>
      <c r="B1" s="278"/>
      <c r="C1" s="278"/>
      <c r="D1" s="278"/>
      <c r="E1" s="278"/>
      <c r="F1" s="278"/>
      <c r="G1" s="278"/>
      <c r="H1" s="278"/>
      <c r="I1" s="278"/>
      <c r="J1" s="278"/>
      <c r="K1" s="4"/>
      <c r="L1" s="278" t="s">
        <v>395</v>
      </c>
      <c r="M1" s="278"/>
      <c r="N1" s="278"/>
      <c r="O1" s="278"/>
      <c r="P1" s="278"/>
      <c r="Q1" s="278"/>
      <c r="R1" s="278"/>
      <c r="S1" s="278"/>
      <c r="T1" s="278"/>
      <c r="U1" s="278"/>
      <c r="W1" s="278" t="s">
        <v>401</v>
      </c>
      <c r="X1" s="278"/>
      <c r="Y1" s="278"/>
      <c r="Z1" s="278"/>
      <c r="AA1" s="278"/>
      <c r="AB1" s="278"/>
      <c r="AC1" s="278"/>
      <c r="AD1" s="278"/>
      <c r="AE1" s="278"/>
      <c r="AF1" s="278"/>
      <c r="AH1" s="278" t="s">
        <v>405</v>
      </c>
      <c r="AI1" s="278"/>
      <c r="AJ1" s="278"/>
      <c r="AK1" s="278"/>
      <c r="AL1" s="278"/>
      <c r="AM1" s="278"/>
      <c r="AN1" s="278"/>
      <c r="AO1" s="278"/>
      <c r="AP1" s="278"/>
      <c r="AQ1" s="278"/>
    </row>
    <row r="2" spans="1:44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6"/>
      <c r="L2" s="278"/>
      <c r="M2" s="278"/>
      <c r="N2" s="278"/>
      <c r="O2" s="278"/>
      <c r="P2" s="278"/>
      <c r="Q2" s="278"/>
      <c r="R2" s="278"/>
      <c r="S2" s="278"/>
      <c r="T2" s="278"/>
      <c r="U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</row>
    <row r="3" spans="1:44" x14ac:dyDescent="0.25">
      <c r="A3" s="5"/>
      <c r="B3" s="2"/>
      <c r="C3" s="2"/>
      <c r="J3" s="6"/>
      <c r="K3" s="6"/>
      <c r="L3" s="110" t="s">
        <v>396</v>
      </c>
      <c r="M3" s="48"/>
      <c r="N3" s="48"/>
      <c r="W3" s="110" t="s">
        <v>396</v>
      </c>
      <c r="X3" s="48"/>
      <c r="Y3" s="48"/>
      <c r="AH3" s="110" t="s">
        <v>448</v>
      </c>
      <c r="AI3" s="48"/>
      <c r="AJ3" s="48"/>
    </row>
    <row r="4" spans="1:44" x14ac:dyDescent="0.25">
      <c r="A4" s="5"/>
      <c r="B4" s="2"/>
      <c r="C4" s="2"/>
      <c r="J4" s="6"/>
      <c r="K4" s="6"/>
      <c r="L4" s="5"/>
      <c r="M4" s="48"/>
      <c r="N4" s="48"/>
      <c r="W4" s="5"/>
      <c r="X4" s="48"/>
      <c r="Y4" s="48"/>
      <c r="AH4" s="5"/>
      <c r="AI4" s="48"/>
      <c r="AJ4" s="48"/>
    </row>
    <row r="5" spans="1:44" x14ac:dyDescent="0.25">
      <c r="A5" s="105"/>
      <c r="B5" s="263" t="s">
        <v>146</v>
      </c>
      <c r="C5" s="263"/>
      <c r="D5" s="263"/>
      <c r="E5" s="263"/>
      <c r="F5" s="263"/>
      <c r="G5" s="263"/>
      <c r="H5" s="263"/>
      <c r="I5" s="263"/>
      <c r="J5" s="263"/>
      <c r="K5" s="170"/>
      <c r="L5" s="105"/>
      <c r="M5" s="263" t="s">
        <v>397</v>
      </c>
      <c r="N5" s="263"/>
      <c r="O5" s="263"/>
      <c r="P5" s="263"/>
      <c r="Q5" s="263"/>
      <c r="R5" s="263"/>
      <c r="S5" s="263"/>
      <c r="T5" s="263"/>
      <c r="U5" s="263"/>
      <c r="V5" s="141"/>
      <c r="W5" s="105"/>
      <c r="X5" s="263" t="s">
        <v>400</v>
      </c>
      <c r="Y5" s="263"/>
      <c r="Z5" s="263"/>
      <c r="AA5" s="263"/>
      <c r="AB5" s="263"/>
      <c r="AC5" s="263"/>
      <c r="AD5" s="263"/>
      <c r="AE5" s="263"/>
      <c r="AF5" s="263"/>
      <c r="AG5" s="141"/>
      <c r="AH5" s="105"/>
      <c r="AI5" s="263" t="s">
        <v>404</v>
      </c>
      <c r="AJ5" s="263"/>
      <c r="AK5" s="263"/>
      <c r="AL5" s="263"/>
      <c r="AM5" s="263"/>
      <c r="AN5" s="263"/>
      <c r="AO5" s="263"/>
      <c r="AP5" s="263"/>
      <c r="AQ5" s="263"/>
    </row>
    <row r="6" spans="1:44" s="11" customFormat="1" ht="15" customHeight="1" x14ac:dyDescent="0.25">
      <c r="A6" s="101"/>
      <c r="B6" s="282" t="s">
        <v>390</v>
      </c>
      <c r="C6" s="282" t="s">
        <v>391</v>
      </c>
      <c r="D6" s="280" t="s">
        <v>299</v>
      </c>
      <c r="E6" s="271" t="s">
        <v>275</v>
      </c>
      <c r="F6" s="271"/>
      <c r="G6" s="279" t="s">
        <v>32</v>
      </c>
      <c r="H6" s="279"/>
      <c r="I6" s="279" t="s">
        <v>33</v>
      </c>
      <c r="J6" s="279"/>
      <c r="K6" s="99"/>
      <c r="L6" s="101"/>
      <c r="M6" s="282" t="s">
        <v>369</v>
      </c>
      <c r="N6" s="282" t="s">
        <v>370</v>
      </c>
      <c r="O6" s="280" t="s">
        <v>299</v>
      </c>
      <c r="P6" s="271" t="s">
        <v>275</v>
      </c>
      <c r="Q6" s="271"/>
      <c r="R6" s="279" t="s">
        <v>32</v>
      </c>
      <c r="S6" s="279"/>
      <c r="T6" s="279" t="s">
        <v>33</v>
      </c>
      <c r="U6" s="279"/>
      <c r="V6" s="165"/>
      <c r="W6" s="101"/>
      <c r="X6" s="282" t="s">
        <v>398</v>
      </c>
      <c r="Y6" s="282" t="s">
        <v>399</v>
      </c>
      <c r="Z6" s="280" t="s">
        <v>299</v>
      </c>
      <c r="AA6" s="271" t="s">
        <v>275</v>
      </c>
      <c r="AB6" s="271"/>
      <c r="AC6" s="279" t="s">
        <v>32</v>
      </c>
      <c r="AD6" s="279"/>
      <c r="AE6" s="279" t="s">
        <v>33</v>
      </c>
      <c r="AF6" s="279"/>
      <c r="AG6" s="165"/>
      <c r="AH6" s="101"/>
      <c r="AI6" s="282" t="s">
        <v>402</v>
      </c>
      <c r="AJ6" s="282" t="s">
        <v>403</v>
      </c>
      <c r="AK6" s="280" t="s">
        <v>299</v>
      </c>
      <c r="AL6" s="271" t="s">
        <v>275</v>
      </c>
      <c r="AM6" s="271"/>
      <c r="AN6" s="279" t="s">
        <v>32</v>
      </c>
      <c r="AO6" s="279"/>
      <c r="AP6" s="279" t="s">
        <v>33</v>
      </c>
      <c r="AQ6" s="279"/>
    </row>
    <row r="7" spans="1:44" s="11" customFormat="1" ht="38.25" customHeight="1" x14ac:dyDescent="0.25">
      <c r="A7" s="100" t="s">
        <v>368</v>
      </c>
      <c r="B7" s="281"/>
      <c r="C7" s="281"/>
      <c r="D7" s="281"/>
      <c r="E7" s="100" t="s">
        <v>8</v>
      </c>
      <c r="F7" s="98" t="s">
        <v>3</v>
      </c>
      <c r="G7" s="100" t="s">
        <v>8</v>
      </c>
      <c r="H7" s="98" t="s">
        <v>3</v>
      </c>
      <c r="I7" s="100" t="s">
        <v>8</v>
      </c>
      <c r="J7" s="100" t="s">
        <v>3</v>
      </c>
      <c r="K7" s="99"/>
      <c r="L7" s="100" t="s">
        <v>368</v>
      </c>
      <c r="M7" s="281"/>
      <c r="N7" s="281"/>
      <c r="O7" s="281"/>
      <c r="P7" s="100" t="s">
        <v>136</v>
      </c>
      <c r="Q7" s="98" t="s">
        <v>3</v>
      </c>
      <c r="R7" s="100" t="s">
        <v>136</v>
      </c>
      <c r="S7" s="98" t="s">
        <v>3</v>
      </c>
      <c r="T7" s="100" t="s">
        <v>136</v>
      </c>
      <c r="U7" s="100" t="s">
        <v>3</v>
      </c>
      <c r="V7" s="165"/>
      <c r="W7" s="100" t="s">
        <v>368</v>
      </c>
      <c r="X7" s="281"/>
      <c r="Y7" s="281"/>
      <c r="Z7" s="281"/>
      <c r="AA7" s="100" t="s">
        <v>137</v>
      </c>
      <c r="AB7" s="98" t="s">
        <v>3</v>
      </c>
      <c r="AC7" s="100" t="s">
        <v>137</v>
      </c>
      <c r="AD7" s="98" t="s">
        <v>3</v>
      </c>
      <c r="AE7" s="100" t="s">
        <v>137</v>
      </c>
      <c r="AF7" s="100" t="s">
        <v>3</v>
      </c>
      <c r="AG7" s="165"/>
      <c r="AH7" s="100" t="s">
        <v>368</v>
      </c>
      <c r="AI7" s="281"/>
      <c r="AJ7" s="281"/>
      <c r="AK7" s="281"/>
      <c r="AL7" s="100" t="s">
        <v>147</v>
      </c>
      <c r="AM7" s="98" t="s">
        <v>3</v>
      </c>
      <c r="AN7" s="100" t="s">
        <v>147</v>
      </c>
      <c r="AO7" s="98" t="s">
        <v>3</v>
      </c>
      <c r="AP7" s="100" t="s">
        <v>147</v>
      </c>
      <c r="AQ7" s="100" t="s">
        <v>3</v>
      </c>
    </row>
    <row r="8" spans="1:44" x14ac:dyDescent="0.25">
      <c r="A8" s="138">
        <v>1990</v>
      </c>
      <c r="B8" s="167">
        <v>9035.5</v>
      </c>
      <c r="C8" s="167">
        <v>1587.7</v>
      </c>
      <c r="D8" s="167">
        <f t="shared" ref="D8:D28" si="0">(+E8/B8)+(+G8/B8)+(+I8/B8)</f>
        <v>0.39643627912124402</v>
      </c>
      <c r="E8" s="167">
        <v>1588</v>
      </c>
      <c r="F8" s="128" t="s">
        <v>78</v>
      </c>
      <c r="G8" s="167">
        <v>1200</v>
      </c>
      <c r="H8" s="128" t="s">
        <v>37</v>
      </c>
      <c r="I8" s="167">
        <v>794</v>
      </c>
      <c r="J8" s="128" t="s">
        <v>38</v>
      </c>
      <c r="K8" s="167"/>
      <c r="L8" s="138">
        <v>1990</v>
      </c>
      <c r="M8" s="167">
        <v>8587.4</v>
      </c>
      <c r="N8" s="167">
        <v>1180</v>
      </c>
      <c r="O8" s="167">
        <f t="shared" ref="O8:O28" si="1">(+P8/M8)+(+R8/M8)+(+T8/M8)</f>
        <v>0.4331928173836086</v>
      </c>
      <c r="P8" s="4">
        <v>1350</v>
      </c>
      <c r="Q8" s="167" t="s">
        <v>37</v>
      </c>
      <c r="R8" s="4">
        <v>1190</v>
      </c>
      <c r="S8" s="167" t="s">
        <v>78</v>
      </c>
      <c r="T8" s="167">
        <v>1180</v>
      </c>
      <c r="U8" s="167" t="s">
        <v>29</v>
      </c>
      <c r="V8" s="141"/>
      <c r="W8" s="138">
        <v>1990</v>
      </c>
      <c r="X8" s="167">
        <v>1740</v>
      </c>
      <c r="Y8" s="167">
        <v>441</v>
      </c>
      <c r="Z8" s="167">
        <f t="shared" ref="Z8:Z28" si="2">(+AA8/X8)+(+AC8/X8)+(+AE8/X8)</f>
        <v>0.32298850574712645</v>
      </c>
      <c r="AA8" s="4">
        <v>272</v>
      </c>
      <c r="AB8" s="128" t="s">
        <v>148</v>
      </c>
      <c r="AC8" s="4">
        <v>160</v>
      </c>
      <c r="AD8" s="128" t="s">
        <v>22</v>
      </c>
      <c r="AE8" s="167">
        <v>130</v>
      </c>
      <c r="AF8" s="128" t="s">
        <v>37</v>
      </c>
      <c r="AG8" s="141"/>
      <c r="AH8" s="138">
        <v>1990</v>
      </c>
      <c r="AI8" s="167">
        <v>472.59999999999997</v>
      </c>
      <c r="AJ8" s="167">
        <v>393</v>
      </c>
      <c r="AK8" s="167">
        <f>(+AL8/AI8)+(+AN8/AI8)</f>
        <v>0.1684299619128227</v>
      </c>
      <c r="AL8" s="4">
        <v>52.7</v>
      </c>
      <c r="AM8" s="128" t="s">
        <v>36</v>
      </c>
      <c r="AN8" s="4">
        <v>26.9</v>
      </c>
      <c r="AO8" s="128" t="s">
        <v>73</v>
      </c>
      <c r="AP8" s="173" t="s">
        <v>394</v>
      </c>
      <c r="AQ8" s="128" t="s">
        <v>310</v>
      </c>
      <c r="AR8" s="10"/>
    </row>
    <row r="9" spans="1:44" x14ac:dyDescent="0.25">
      <c r="A9" s="138">
        <v>1991</v>
      </c>
      <c r="B9" s="167">
        <v>9090</v>
      </c>
      <c r="C9" s="167">
        <v>1630</v>
      </c>
      <c r="D9" s="167">
        <f t="shared" si="0"/>
        <v>0.40968096809680965</v>
      </c>
      <c r="E9" s="167">
        <v>1814</v>
      </c>
      <c r="F9" s="128" t="s">
        <v>78</v>
      </c>
      <c r="G9" s="167">
        <v>1100</v>
      </c>
      <c r="H9" s="128" t="s">
        <v>37</v>
      </c>
      <c r="I9" s="167">
        <v>810</v>
      </c>
      <c r="J9" s="128" t="s">
        <v>38</v>
      </c>
      <c r="K9" s="167"/>
      <c r="L9" s="138">
        <v>1991</v>
      </c>
      <c r="M9" s="167">
        <v>8471.5</v>
      </c>
      <c r="N9" s="167">
        <v>1140</v>
      </c>
      <c r="O9" s="167">
        <f t="shared" si="1"/>
        <v>0.42731511538688538</v>
      </c>
      <c r="P9" s="4">
        <v>1250</v>
      </c>
      <c r="Q9" s="167" t="s">
        <v>37</v>
      </c>
      <c r="R9" s="4">
        <v>1230</v>
      </c>
      <c r="S9" s="167" t="s">
        <v>78</v>
      </c>
      <c r="T9" s="167">
        <v>1140</v>
      </c>
      <c r="U9" s="167" t="s">
        <v>29</v>
      </c>
      <c r="V9" s="141"/>
      <c r="W9" s="138">
        <v>1991</v>
      </c>
      <c r="X9" s="167">
        <v>1710</v>
      </c>
      <c r="Y9" s="167">
        <v>418</v>
      </c>
      <c r="Z9" s="167">
        <f t="shared" si="2"/>
        <v>0.34988304093567252</v>
      </c>
      <c r="AA9" s="4">
        <v>318.3</v>
      </c>
      <c r="AB9" s="128" t="s">
        <v>148</v>
      </c>
      <c r="AC9" s="4">
        <v>160</v>
      </c>
      <c r="AD9" s="128" t="s">
        <v>22</v>
      </c>
      <c r="AE9" s="167">
        <v>120</v>
      </c>
      <c r="AF9" s="128" t="s">
        <v>37</v>
      </c>
      <c r="AG9" s="141"/>
      <c r="AH9" s="138">
        <v>1991</v>
      </c>
      <c r="AI9" s="167">
        <v>518.5</v>
      </c>
      <c r="AJ9" s="167">
        <v>441</v>
      </c>
      <c r="AK9" s="167">
        <f t="shared" ref="AK9:AK10" si="3">(+AL9/AI9)+(+AN9/AI9)</f>
        <v>0.14946962391513982</v>
      </c>
      <c r="AL9" s="4">
        <v>45.4</v>
      </c>
      <c r="AM9" s="128" t="s">
        <v>36</v>
      </c>
      <c r="AN9" s="4">
        <v>32.1</v>
      </c>
      <c r="AO9" s="128" t="s">
        <v>73</v>
      </c>
      <c r="AP9" s="173" t="s">
        <v>394</v>
      </c>
      <c r="AQ9" s="128" t="s">
        <v>310</v>
      </c>
      <c r="AR9" s="10"/>
    </row>
    <row r="10" spans="1:44" x14ac:dyDescent="0.25">
      <c r="A10" s="138">
        <v>1992</v>
      </c>
      <c r="B10" s="167">
        <v>9490</v>
      </c>
      <c r="C10" s="167">
        <v>1762</v>
      </c>
      <c r="D10" s="167">
        <f t="shared" si="0"/>
        <v>0.35824025289778716</v>
      </c>
      <c r="E10" s="167">
        <v>1932.7</v>
      </c>
      <c r="F10" s="128" t="s">
        <v>78</v>
      </c>
      <c r="G10" s="167">
        <v>768</v>
      </c>
      <c r="H10" s="128" t="s">
        <v>38</v>
      </c>
      <c r="I10" s="167">
        <v>699</v>
      </c>
      <c r="J10" s="128" t="s">
        <v>24</v>
      </c>
      <c r="K10" s="167"/>
      <c r="L10" s="138">
        <v>1992</v>
      </c>
      <c r="M10" s="167">
        <v>8796.4</v>
      </c>
      <c r="N10" s="167">
        <v>1210</v>
      </c>
      <c r="O10" s="167">
        <f t="shared" si="1"/>
        <v>0.31088854531399207</v>
      </c>
      <c r="P10" s="167">
        <v>1242</v>
      </c>
      <c r="Q10" s="167" t="s">
        <v>78</v>
      </c>
      <c r="R10" s="167">
        <v>967.7</v>
      </c>
      <c r="S10" s="167" t="s">
        <v>29</v>
      </c>
      <c r="T10" s="167">
        <v>525</v>
      </c>
      <c r="U10" s="167" t="s">
        <v>24</v>
      </c>
      <c r="V10" s="141"/>
      <c r="W10" s="138">
        <v>1992</v>
      </c>
      <c r="X10" s="167">
        <v>1830</v>
      </c>
      <c r="Y10" s="167">
        <v>433</v>
      </c>
      <c r="Z10" s="167">
        <f t="shared" si="2"/>
        <v>0.3765573770491803</v>
      </c>
      <c r="AA10" s="128">
        <v>345.4</v>
      </c>
      <c r="AB10" s="128" t="s">
        <v>57</v>
      </c>
      <c r="AC10" s="167">
        <v>229</v>
      </c>
      <c r="AD10" s="128" t="s">
        <v>22</v>
      </c>
      <c r="AE10" s="128">
        <v>114.7</v>
      </c>
      <c r="AF10" s="128" t="s">
        <v>29</v>
      </c>
      <c r="AG10" s="141"/>
      <c r="AH10" s="138">
        <v>1992</v>
      </c>
      <c r="AI10" s="167">
        <v>573.6</v>
      </c>
      <c r="AJ10" s="167">
        <v>502</v>
      </c>
      <c r="AK10" s="167">
        <f t="shared" si="3"/>
        <v>0.12482566248256624</v>
      </c>
      <c r="AL10" s="167">
        <v>43.7</v>
      </c>
      <c r="AM10" s="128" t="s">
        <v>36</v>
      </c>
      <c r="AN10" s="167">
        <v>27.9</v>
      </c>
      <c r="AO10" s="128" t="s">
        <v>73</v>
      </c>
      <c r="AP10" s="173" t="s">
        <v>394</v>
      </c>
      <c r="AQ10" s="128" t="s">
        <v>310</v>
      </c>
      <c r="AR10" s="10"/>
    </row>
    <row r="11" spans="1:44" x14ac:dyDescent="0.25">
      <c r="A11" s="138">
        <v>1993</v>
      </c>
      <c r="B11" s="167">
        <v>9420</v>
      </c>
      <c r="C11" s="167">
        <v>1813</v>
      </c>
      <c r="D11" s="167">
        <f t="shared" si="0"/>
        <v>0.35774946921443734</v>
      </c>
      <c r="E11" s="167">
        <v>2055</v>
      </c>
      <c r="F11" s="128" t="s">
        <v>78</v>
      </c>
      <c r="G11" s="167">
        <v>731</v>
      </c>
      <c r="H11" s="128" t="s">
        <v>38</v>
      </c>
      <c r="I11" s="167">
        <v>584</v>
      </c>
      <c r="J11" s="128" t="s">
        <v>24</v>
      </c>
      <c r="K11" s="167"/>
      <c r="L11" s="138">
        <v>1993</v>
      </c>
      <c r="M11" s="167">
        <v>8992.07</v>
      </c>
      <c r="N11" s="167">
        <v>1300</v>
      </c>
      <c r="O11" s="167">
        <f t="shared" si="1"/>
        <v>0.32128308609697215</v>
      </c>
      <c r="P11" s="167">
        <v>1268</v>
      </c>
      <c r="Q11" s="167" t="s">
        <v>78</v>
      </c>
      <c r="R11" s="167">
        <v>1099</v>
      </c>
      <c r="S11" s="167" t="s">
        <v>29</v>
      </c>
      <c r="T11" s="167">
        <v>522</v>
      </c>
      <c r="U11" s="167" t="s">
        <v>24</v>
      </c>
      <c r="V11" s="141"/>
      <c r="W11" s="138">
        <v>1993</v>
      </c>
      <c r="X11" s="167">
        <v>1750</v>
      </c>
      <c r="Y11" s="167">
        <v>460</v>
      </c>
      <c r="Z11" s="167">
        <f t="shared" si="2"/>
        <v>0.40542857142857147</v>
      </c>
      <c r="AA11" s="167">
        <v>361.5</v>
      </c>
      <c r="AB11" s="128" t="s">
        <v>57</v>
      </c>
      <c r="AC11" s="167">
        <v>245</v>
      </c>
      <c r="AD11" s="128" t="s">
        <v>22</v>
      </c>
      <c r="AE11" s="167">
        <v>103</v>
      </c>
      <c r="AF11" s="128" t="s">
        <v>149</v>
      </c>
      <c r="AG11" s="141"/>
      <c r="AH11" s="138">
        <v>1993</v>
      </c>
      <c r="AI11" s="167">
        <v>586.92700000000002</v>
      </c>
      <c r="AJ11" s="167">
        <v>491</v>
      </c>
      <c r="AK11" s="167">
        <f t="shared" ref="AK11:AK28" si="4">(+AL11/AI11)+(+AN11/AI11)+(+AP11/AI11)</f>
        <v>0.15883917420735458</v>
      </c>
      <c r="AL11" s="167">
        <v>48.844999999999999</v>
      </c>
      <c r="AM11" s="128" t="s">
        <v>36</v>
      </c>
      <c r="AN11" s="167">
        <v>24.082000000000001</v>
      </c>
      <c r="AO11" s="128" t="s">
        <v>73</v>
      </c>
      <c r="AP11" s="167">
        <v>20.3</v>
      </c>
      <c r="AQ11" s="128" t="s">
        <v>44</v>
      </c>
      <c r="AR11" s="10"/>
    </row>
    <row r="12" spans="1:44" x14ac:dyDescent="0.25">
      <c r="A12" s="138">
        <v>1994</v>
      </c>
      <c r="B12" s="167">
        <v>9490</v>
      </c>
      <c r="C12" s="167">
        <v>1820</v>
      </c>
      <c r="D12" s="167">
        <f t="shared" si="0"/>
        <v>0.35932560590094836</v>
      </c>
      <c r="E12" s="167">
        <v>2220</v>
      </c>
      <c r="F12" s="128" t="s">
        <v>78</v>
      </c>
      <c r="G12" s="167">
        <v>617</v>
      </c>
      <c r="H12" s="128" t="s">
        <v>38</v>
      </c>
      <c r="I12" s="167">
        <v>573</v>
      </c>
      <c r="J12" s="128" t="s">
        <v>24</v>
      </c>
      <c r="K12" s="167"/>
      <c r="L12" s="138">
        <v>1994</v>
      </c>
      <c r="M12" s="167">
        <v>8682.4</v>
      </c>
      <c r="N12" s="167">
        <v>1350</v>
      </c>
      <c r="O12" s="167">
        <f t="shared" si="1"/>
        <v>0.29998617893669954</v>
      </c>
      <c r="P12" s="167">
        <v>1076.4000000000001</v>
      </c>
      <c r="Q12" s="167" t="s">
        <v>78</v>
      </c>
      <c r="R12" s="167">
        <v>1026</v>
      </c>
      <c r="S12" s="167" t="s">
        <v>29</v>
      </c>
      <c r="T12" s="167">
        <v>502.2</v>
      </c>
      <c r="U12" s="167" t="s">
        <v>38</v>
      </c>
      <c r="V12" s="141"/>
      <c r="W12" s="138">
        <v>1994</v>
      </c>
      <c r="X12" s="167">
        <v>1670</v>
      </c>
      <c r="Y12" s="167">
        <v>392</v>
      </c>
      <c r="Z12" s="167">
        <f t="shared" si="2"/>
        <v>0.45089820359281441</v>
      </c>
      <c r="AA12" s="167">
        <v>339</v>
      </c>
      <c r="AB12" s="128" t="s">
        <v>57</v>
      </c>
      <c r="AC12" s="167">
        <v>254</v>
      </c>
      <c r="AD12" s="128" t="s">
        <v>22</v>
      </c>
      <c r="AE12" s="167">
        <v>160</v>
      </c>
      <c r="AF12" s="128" t="s">
        <v>149</v>
      </c>
      <c r="AG12" s="141"/>
      <c r="AH12" s="138">
        <v>1994</v>
      </c>
      <c r="AI12" s="167">
        <v>806.59899999999993</v>
      </c>
      <c r="AJ12" s="167">
        <v>493</v>
      </c>
      <c r="AK12" s="167">
        <f t="shared" si="4"/>
        <v>0.3646161227574049</v>
      </c>
      <c r="AL12" s="167">
        <v>201</v>
      </c>
      <c r="AM12" s="128" t="s">
        <v>78</v>
      </c>
      <c r="AN12" s="167">
        <v>67.3</v>
      </c>
      <c r="AO12" s="128" t="s">
        <v>36</v>
      </c>
      <c r="AP12" s="167">
        <v>25.798999999999999</v>
      </c>
      <c r="AQ12" s="128" t="s">
        <v>73</v>
      </c>
      <c r="AR12" s="10"/>
    </row>
    <row r="13" spans="1:44" x14ac:dyDescent="0.25">
      <c r="A13" s="138">
        <v>1995</v>
      </c>
      <c r="B13" s="167">
        <v>10100</v>
      </c>
      <c r="C13" s="167">
        <v>1850</v>
      </c>
      <c r="D13" s="167">
        <f t="shared" si="0"/>
        <v>0.37029702970297029</v>
      </c>
      <c r="E13" s="167">
        <v>2489</v>
      </c>
      <c r="F13" s="128" t="s">
        <v>78</v>
      </c>
      <c r="G13" s="167">
        <v>726</v>
      </c>
      <c r="H13" s="128" t="s">
        <v>38</v>
      </c>
      <c r="I13" s="167">
        <v>525</v>
      </c>
      <c r="J13" s="128" t="s">
        <v>24</v>
      </c>
      <c r="K13" s="167"/>
      <c r="L13" s="138">
        <v>1995</v>
      </c>
      <c r="M13" s="167">
        <v>8874.39</v>
      </c>
      <c r="N13" s="167">
        <v>1390</v>
      </c>
      <c r="O13" s="167">
        <f t="shared" si="1"/>
        <v>0.31686684943979249</v>
      </c>
      <c r="P13" s="167">
        <v>1119</v>
      </c>
      <c r="Q13" s="167" t="s">
        <v>78</v>
      </c>
      <c r="R13" s="167">
        <v>1081</v>
      </c>
      <c r="S13" s="167" t="s">
        <v>29</v>
      </c>
      <c r="T13" s="167">
        <v>612</v>
      </c>
      <c r="U13" s="167" t="s">
        <v>22</v>
      </c>
      <c r="V13" s="141"/>
      <c r="W13" s="138">
        <v>1995</v>
      </c>
      <c r="X13" s="167">
        <v>1970</v>
      </c>
      <c r="Y13" s="167">
        <v>352</v>
      </c>
      <c r="Z13" s="167">
        <f t="shared" si="2"/>
        <v>0.50558375634517772</v>
      </c>
      <c r="AA13" s="167">
        <v>467</v>
      </c>
      <c r="AB13" s="128" t="s">
        <v>22</v>
      </c>
      <c r="AC13" s="167">
        <v>369</v>
      </c>
      <c r="AD13" s="128" t="s">
        <v>57</v>
      </c>
      <c r="AE13" s="167">
        <v>160</v>
      </c>
      <c r="AF13" s="128" t="s">
        <v>149</v>
      </c>
      <c r="AG13" s="141"/>
      <c r="AH13" s="138">
        <v>1995</v>
      </c>
      <c r="AI13" s="167">
        <v>1048.6100000000001</v>
      </c>
      <c r="AJ13" s="167">
        <v>539</v>
      </c>
      <c r="AK13" s="167">
        <f t="shared" si="4"/>
        <v>0.45147194857954809</v>
      </c>
      <c r="AL13" s="167">
        <v>372.5</v>
      </c>
      <c r="AM13" s="128" t="s">
        <v>78</v>
      </c>
      <c r="AN13" s="167">
        <v>62</v>
      </c>
      <c r="AO13" s="128" t="s">
        <v>36</v>
      </c>
      <c r="AP13" s="167">
        <v>38.917999999999999</v>
      </c>
      <c r="AQ13" s="128" t="s">
        <v>73</v>
      </c>
      <c r="AR13" s="10"/>
    </row>
    <row r="14" spans="1:44" x14ac:dyDescent="0.25">
      <c r="A14" s="138">
        <v>1996</v>
      </c>
      <c r="B14" s="167">
        <v>11000</v>
      </c>
      <c r="C14" s="167">
        <v>1920</v>
      </c>
      <c r="D14" s="167">
        <f t="shared" si="0"/>
        <v>0.3955818181818182</v>
      </c>
      <c r="E14" s="167">
        <v>3116</v>
      </c>
      <c r="F14" s="128" t="s">
        <v>78</v>
      </c>
      <c r="G14" s="167">
        <v>688.4</v>
      </c>
      <c r="H14" s="128" t="s">
        <v>38</v>
      </c>
      <c r="I14" s="167">
        <v>547</v>
      </c>
      <c r="J14" s="128" t="s">
        <v>27</v>
      </c>
      <c r="K14" s="167"/>
      <c r="L14" s="138">
        <v>1996</v>
      </c>
      <c r="M14" s="167">
        <v>10700</v>
      </c>
      <c r="N14" s="167">
        <v>1430</v>
      </c>
      <c r="O14" s="167">
        <f t="shared" si="1"/>
        <v>0.27523364485981305</v>
      </c>
      <c r="P14" s="167">
        <v>1140.5</v>
      </c>
      <c r="Q14" s="167" t="s">
        <v>29</v>
      </c>
      <c r="R14" s="167">
        <v>1112.5</v>
      </c>
      <c r="S14" s="167" t="s">
        <v>78</v>
      </c>
      <c r="T14" s="167">
        <v>692</v>
      </c>
      <c r="U14" s="167" t="s">
        <v>22</v>
      </c>
      <c r="V14" s="141"/>
      <c r="W14" s="138">
        <v>1996</v>
      </c>
      <c r="X14" s="167">
        <v>1980</v>
      </c>
      <c r="Y14" s="167">
        <v>345</v>
      </c>
      <c r="Z14" s="167">
        <f t="shared" si="2"/>
        <v>0.47777777777777775</v>
      </c>
      <c r="AA14" s="167">
        <v>428</v>
      </c>
      <c r="AB14" s="128" t="s">
        <v>22</v>
      </c>
      <c r="AC14" s="167">
        <v>355</v>
      </c>
      <c r="AD14" s="128" t="s">
        <v>57</v>
      </c>
      <c r="AE14" s="167">
        <v>163</v>
      </c>
      <c r="AF14" s="128" t="s">
        <v>149</v>
      </c>
      <c r="AG14" s="141"/>
      <c r="AH14" s="138">
        <v>1996</v>
      </c>
      <c r="AI14" s="167">
        <v>1410</v>
      </c>
      <c r="AJ14" s="167">
        <v>574</v>
      </c>
      <c r="AK14" s="167">
        <f t="shared" si="4"/>
        <v>0.55453900709219861</v>
      </c>
      <c r="AL14" s="167">
        <v>635.70000000000005</v>
      </c>
      <c r="AM14" s="128" t="s">
        <v>78</v>
      </c>
      <c r="AN14" s="167">
        <v>88.2</v>
      </c>
      <c r="AO14" s="128" t="s">
        <v>44</v>
      </c>
      <c r="AP14" s="167">
        <v>58</v>
      </c>
      <c r="AQ14" s="128" t="s">
        <v>36</v>
      </c>
      <c r="AR14" s="10"/>
    </row>
    <row r="15" spans="1:44" x14ac:dyDescent="0.25">
      <c r="A15" s="138">
        <v>1997</v>
      </c>
      <c r="B15" s="167">
        <v>11400</v>
      </c>
      <c r="C15" s="167">
        <v>1940</v>
      </c>
      <c r="D15" s="167">
        <f t="shared" si="0"/>
        <v>0.40410526315789475</v>
      </c>
      <c r="E15" s="167">
        <v>3392</v>
      </c>
      <c r="F15" s="128" t="s">
        <v>78</v>
      </c>
      <c r="G15" s="167">
        <v>656.8</v>
      </c>
      <c r="H15" s="128" t="s">
        <v>38</v>
      </c>
      <c r="I15" s="167">
        <v>558</v>
      </c>
      <c r="J15" s="128" t="s">
        <v>27</v>
      </c>
      <c r="K15" s="167"/>
      <c r="L15" s="138">
        <v>1997</v>
      </c>
      <c r="M15" s="167">
        <v>11400</v>
      </c>
      <c r="N15" s="167">
        <v>1480</v>
      </c>
      <c r="O15" s="167">
        <f t="shared" si="1"/>
        <v>0.28016666666666667</v>
      </c>
      <c r="P15" s="167">
        <v>1235.5999999999999</v>
      </c>
      <c r="Q15" s="167" t="s">
        <v>78</v>
      </c>
      <c r="R15" s="167">
        <v>1157.3</v>
      </c>
      <c r="S15" s="167" t="s">
        <v>29</v>
      </c>
      <c r="T15" s="167">
        <v>801</v>
      </c>
      <c r="U15" s="167" t="s">
        <v>22</v>
      </c>
      <c r="V15" s="141"/>
      <c r="W15" s="138">
        <v>1997</v>
      </c>
      <c r="X15" s="167">
        <v>2090</v>
      </c>
      <c r="Y15" s="167">
        <v>396</v>
      </c>
      <c r="Z15" s="167">
        <f t="shared" si="2"/>
        <v>0.44870813397129183</v>
      </c>
      <c r="AA15" s="167">
        <v>379</v>
      </c>
      <c r="AB15" s="128" t="s">
        <v>22</v>
      </c>
      <c r="AC15" s="167">
        <v>375.8</v>
      </c>
      <c r="AD15" s="128" t="s">
        <v>57</v>
      </c>
      <c r="AE15" s="167">
        <v>183</v>
      </c>
      <c r="AF15" s="128" t="s">
        <v>149</v>
      </c>
      <c r="AG15" s="141"/>
      <c r="AH15" s="138">
        <v>1997</v>
      </c>
      <c r="AI15" s="167">
        <v>1700.7</v>
      </c>
      <c r="AJ15" s="167">
        <v>586</v>
      </c>
      <c r="AK15" s="167">
        <f t="shared" si="4"/>
        <v>0.61410007643911324</v>
      </c>
      <c r="AL15" s="167">
        <v>881</v>
      </c>
      <c r="AM15" s="128" t="s">
        <v>78</v>
      </c>
      <c r="AN15" s="167">
        <v>99.7</v>
      </c>
      <c r="AO15" s="128" t="s">
        <v>44</v>
      </c>
      <c r="AP15" s="167">
        <v>63.7</v>
      </c>
      <c r="AQ15" s="128" t="s">
        <v>36</v>
      </c>
      <c r="AR15" s="10"/>
    </row>
    <row r="16" spans="1:44" x14ac:dyDescent="0.25">
      <c r="A16" s="138">
        <v>1998</v>
      </c>
      <c r="B16" s="167">
        <v>12100</v>
      </c>
      <c r="C16" s="167">
        <v>1860</v>
      </c>
      <c r="D16" s="167">
        <f t="shared" si="0"/>
        <v>0.42760330578512395</v>
      </c>
      <c r="E16" s="167">
        <v>3687</v>
      </c>
      <c r="F16" s="128" t="s">
        <v>78</v>
      </c>
      <c r="G16" s="167">
        <v>781</v>
      </c>
      <c r="H16" s="128" t="s">
        <v>55</v>
      </c>
      <c r="I16" s="167">
        <v>706</v>
      </c>
      <c r="J16" s="128" t="s">
        <v>38</v>
      </c>
      <c r="K16" s="167"/>
      <c r="L16" s="138">
        <v>1998</v>
      </c>
      <c r="M16" s="167">
        <v>12150</v>
      </c>
      <c r="N16" s="167">
        <v>1530</v>
      </c>
      <c r="O16" s="167">
        <f t="shared" si="1"/>
        <v>0.26717415637860087</v>
      </c>
      <c r="P16" s="167">
        <v>1226.9000000000001</v>
      </c>
      <c r="Q16" s="167" t="s">
        <v>78</v>
      </c>
      <c r="R16" s="167">
        <v>1149.2660000000001</v>
      </c>
      <c r="S16" s="167" t="s">
        <v>29</v>
      </c>
      <c r="T16" s="167">
        <v>870</v>
      </c>
      <c r="U16" s="167" t="s">
        <v>22</v>
      </c>
      <c r="V16" s="141"/>
      <c r="W16" s="138">
        <v>1998</v>
      </c>
      <c r="X16" s="167">
        <v>1990</v>
      </c>
      <c r="Y16" s="167">
        <v>349</v>
      </c>
      <c r="Z16" s="167">
        <f t="shared" si="2"/>
        <v>0.47487437185929648</v>
      </c>
      <c r="AA16" s="167">
        <v>421</v>
      </c>
      <c r="AB16" s="128" t="s">
        <v>57</v>
      </c>
      <c r="AC16" s="167">
        <v>341</v>
      </c>
      <c r="AD16" s="128" t="s">
        <v>22</v>
      </c>
      <c r="AE16" s="167">
        <v>183</v>
      </c>
      <c r="AF16" s="128" t="s">
        <v>149</v>
      </c>
      <c r="AG16" s="141"/>
      <c r="AH16" s="138">
        <v>1998</v>
      </c>
      <c r="AI16" s="167">
        <v>2050</v>
      </c>
      <c r="AJ16" s="167">
        <v>609</v>
      </c>
      <c r="AK16" s="167">
        <f t="shared" si="4"/>
        <v>0.62953463414634148</v>
      </c>
      <c r="AL16" s="167">
        <v>1108</v>
      </c>
      <c r="AM16" s="128" t="s">
        <v>78</v>
      </c>
      <c r="AN16" s="167">
        <v>101.837</v>
      </c>
      <c r="AO16" s="128" t="s">
        <v>44</v>
      </c>
      <c r="AP16" s="167">
        <v>80.709000000000003</v>
      </c>
      <c r="AQ16" s="128" t="s">
        <v>36</v>
      </c>
      <c r="AR16" s="10"/>
    </row>
    <row r="17" spans="1:44" x14ac:dyDescent="0.25">
      <c r="A17" s="138">
        <v>1999</v>
      </c>
      <c r="B17" s="167">
        <v>12800</v>
      </c>
      <c r="C17" s="167">
        <v>1600</v>
      </c>
      <c r="D17" s="167">
        <f t="shared" si="0"/>
        <v>0.46062499999999995</v>
      </c>
      <c r="E17" s="167">
        <v>4391</v>
      </c>
      <c r="F17" s="128" t="s">
        <v>78</v>
      </c>
      <c r="G17" s="167">
        <v>766</v>
      </c>
      <c r="H17" s="128" t="s">
        <v>55</v>
      </c>
      <c r="I17" s="167">
        <v>739</v>
      </c>
      <c r="J17" s="128" t="s">
        <v>27</v>
      </c>
      <c r="K17" s="167"/>
      <c r="L17" s="138">
        <v>1999</v>
      </c>
      <c r="M17" s="167">
        <v>12710</v>
      </c>
      <c r="N17" s="167">
        <v>1300</v>
      </c>
      <c r="O17" s="167">
        <f t="shared" si="1"/>
        <v>0.2640084972462628</v>
      </c>
      <c r="P17" s="167">
        <v>1304.3</v>
      </c>
      <c r="Q17" s="167" t="s">
        <v>78</v>
      </c>
      <c r="R17" s="167">
        <v>1215.248</v>
      </c>
      <c r="S17" s="167" t="s">
        <v>29</v>
      </c>
      <c r="T17" s="167">
        <v>836</v>
      </c>
      <c r="U17" s="167" t="s">
        <v>22</v>
      </c>
      <c r="V17" s="141"/>
      <c r="W17" s="138">
        <v>1999</v>
      </c>
      <c r="X17" s="167">
        <v>1920</v>
      </c>
      <c r="Y17" s="167">
        <v>230</v>
      </c>
      <c r="Z17" s="167">
        <f t="shared" si="2"/>
        <v>0.50989583333333333</v>
      </c>
      <c r="AA17" s="167">
        <v>454</v>
      </c>
      <c r="AB17" s="128" t="s">
        <v>57</v>
      </c>
      <c r="AC17" s="167">
        <v>338</v>
      </c>
      <c r="AD17" s="128" t="s">
        <v>22</v>
      </c>
      <c r="AE17" s="167">
        <v>187</v>
      </c>
      <c r="AF17" s="128" t="s">
        <v>149</v>
      </c>
      <c r="AG17" s="141"/>
      <c r="AH17" s="138">
        <v>1999</v>
      </c>
      <c r="AI17" s="167">
        <v>2310</v>
      </c>
      <c r="AJ17" s="167">
        <v>586</v>
      </c>
      <c r="AK17" s="167">
        <f t="shared" si="4"/>
        <v>0.66524891774891781</v>
      </c>
      <c r="AL17" s="167">
        <v>1362.1</v>
      </c>
      <c r="AM17" s="128" t="s">
        <v>78</v>
      </c>
      <c r="AN17" s="167">
        <v>114.425</v>
      </c>
      <c r="AO17" s="128" t="s">
        <v>44</v>
      </c>
      <c r="AP17" s="167">
        <v>60.2</v>
      </c>
      <c r="AQ17" s="128" t="s">
        <v>36</v>
      </c>
      <c r="AR17" s="10"/>
    </row>
    <row r="18" spans="1:44" x14ac:dyDescent="0.25">
      <c r="A18" s="138">
        <v>2000</v>
      </c>
      <c r="B18" s="167">
        <v>13300</v>
      </c>
      <c r="C18" s="167">
        <v>1440</v>
      </c>
      <c r="D18" s="167">
        <f t="shared" si="0"/>
        <v>0.48443609022556389</v>
      </c>
      <c r="E18" s="167">
        <v>4602</v>
      </c>
      <c r="F18" s="128" t="s">
        <v>78</v>
      </c>
      <c r="G18" s="167">
        <v>1012</v>
      </c>
      <c r="H18" s="128" t="s">
        <v>55</v>
      </c>
      <c r="I18" s="167">
        <v>829</v>
      </c>
      <c r="J18" s="128" t="s">
        <v>27</v>
      </c>
      <c r="K18" s="167"/>
      <c r="L18" s="138">
        <v>2000</v>
      </c>
      <c r="M18" s="167">
        <v>12930</v>
      </c>
      <c r="N18" s="167">
        <v>1030</v>
      </c>
      <c r="O18" s="167">
        <f t="shared" si="1"/>
        <v>0.27933882443928848</v>
      </c>
      <c r="P18" s="167">
        <v>1295.7</v>
      </c>
      <c r="Q18" s="167" t="s">
        <v>78</v>
      </c>
      <c r="R18" s="167">
        <v>1292.3510000000001</v>
      </c>
      <c r="S18" s="167" t="s">
        <v>29</v>
      </c>
      <c r="T18" s="167">
        <v>1023.8</v>
      </c>
      <c r="U18" s="167" t="s">
        <v>22</v>
      </c>
      <c r="V18" s="141"/>
      <c r="W18" s="138">
        <v>2000</v>
      </c>
      <c r="X18" s="167">
        <v>1960</v>
      </c>
      <c r="Y18" s="167">
        <v>208</v>
      </c>
      <c r="Z18" s="167">
        <f t="shared" si="2"/>
        <v>0.5262244897959184</v>
      </c>
      <c r="AA18" s="167">
        <v>464.4</v>
      </c>
      <c r="AB18" s="128" t="s">
        <v>57</v>
      </c>
      <c r="AC18" s="167">
        <v>347</v>
      </c>
      <c r="AD18" s="128" t="s">
        <v>22</v>
      </c>
      <c r="AE18" s="167">
        <v>220</v>
      </c>
      <c r="AF18" s="128" t="s">
        <v>24</v>
      </c>
      <c r="AG18" s="141"/>
      <c r="AH18" s="138">
        <v>2000</v>
      </c>
      <c r="AI18" s="167">
        <v>2330</v>
      </c>
      <c r="AJ18" s="167">
        <v>566</v>
      </c>
      <c r="AK18" s="167">
        <f t="shared" si="4"/>
        <v>0.667601287553648</v>
      </c>
      <c r="AL18" s="167">
        <v>1372.6</v>
      </c>
      <c r="AM18" s="128" t="s">
        <v>78</v>
      </c>
      <c r="AN18" s="167">
        <v>127.31100000000001</v>
      </c>
      <c r="AO18" s="128" t="s">
        <v>44</v>
      </c>
      <c r="AP18" s="167">
        <v>55.6</v>
      </c>
      <c r="AQ18" s="128" t="s">
        <v>73</v>
      </c>
      <c r="AR18" s="10"/>
    </row>
    <row r="19" spans="1:44" x14ac:dyDescent="0.25">
      <c r="A19" s="138">
        <v>2001</v>
      </c>
      <c r="B19" s="167">
        <v>13700</v>
      </c>
      <c r="C19" s="167">
        <v>1340</v>
      </c>
      <c r="D19" s="167">
        <f t="shared" si="0"/>
        <v>0.48839416058394164</v>
      </c>
      <c r="E19" s="167">
        <v>4739</v>
      </c>
      <c r="F19" s="128" t="s">
        <v>78</v>
      </c>
      <c r="G19" s="167">
        <v>1081</v>
      </c>
      <c r="H19" s="128" t="s">
        <v>55</v>
      </c>
      <c r="I19" s="167">
        <v>871</v>
      </c>
      <c r="J19" s="128" t="s">
        <v>27</v>
      </c>
      <c r="K19" s="167"/>
      <c r="L19" s="138">
        <v>2001</v>
      </c>
      <c r="M19" s="167">
        <v>13900</v>
      </c>
      <c r="N19" s="167">
        <v>1000</v>
      </c>
      <c r="O19" s="167">
        <f t="shared" si="1"/>
        <v>0.27691834532374104</v>
      </c>
      <c r="P19" s="167">
        <v>1344</v>
      </c>
      <c r="Q19" s="167" t="s">
        <v>78</v>
      </c>
      <c r="R19" s="167">
        <v>1287.165</v>
      </c>
      <c r="S19" s="167" t="s">
        <v>29</v>
      </c>
      <c r="T19" s="167">
        <v>1218</v>
      </c>
      <c r="U19" s="167" t="s">
        <v>22</v>
      </c>
      <c r="V19" s="141"/>
      <c r="W19" s="138">
        <v>2001</v>
      </c>
      <c r="X19" s="167">
        <v>1760</v>
      </c>
      <c r="Y19" s="167">
        <v>172</v>
      </c>
      <c r="Z19" s="167">
        <f t="shared" si="2"/>
        <v>0.50335227272727268</v>
      </c>
      <c r="AA19" s="167">
        <v>341.4</v>
      </c>
      <c r="AB19" s="128" t="s">
        <v>57</v>
      </c>
      <c r="AC19" s="167">
        <v>300</v>
      </c>
      <c r="AD19" s="128" t="s">
        <v>22</v>
      </c>
      <c r="AE19" s="167">
        <v>244.5</v>
      </c>
      <c r="AF19" s="128" t="s">
        <v>24</v>
      </c>
      <c r="AG19" s="141"/>
      <c r="AH19" s="138">
        <v>2001</v>
      </c>
      <c r="AI19" s="167">
        <v>2600</v>
      </c>
      <c r="AJ19" s="167">
        <v>628</v>
      </c>
      <c r="AK19" s="167">
        <f t="shared" si="4"/>
        <v>0.67243807692307689</v>
      </c>
      <c r="AL19" s="167">
        <v>1538.2</v>
      </c>
      <c r="AM19" s="128" t="s">
        <v>78</v>
      </c>
      <c r="AN19" s="167">
        <v>131.13900000000001</v>
      </c>
      <c r="AO19" s="128" t="s">
        <v>44</v>
      </c>
      <c r="AP19" s="167">
        <v>79</v>
      </c>
      <c r="AQ19" s="128" t="s">
        <v>36</v>
      </c>
      <c r="AR19" s="10"/>
    </row>
    <row r="20" spans="1:44" x14ac:dyDescent="0.25">
      <c r="A20" s="138">
        <v>2002</v>
      </c>
      <c r="B20" s="167">
        <v>13600</v>
      </c>
      <c r="C20" s="167">
        <v>1140</v>
      </c>
      <c r="D20" s="167">
        <f t="shared" si="0"/>
        <v>0.48680367647058825</v>
      </c>
      <c r="E20" s="167">
        <v>4581</v>
      </c>
      <c r="F20" s="128" t="s">
        <v>78</v>
      </c>
      <c r="G20" s="167">
        <v>1171.73</v>
      </c>
      <c r="H20" s="128" t="s">
        <v>55</v>
      </c>
      <c r="I20" s="167">
        <v>867.8</v>
      </c>
      <c r="J20" s="128" t="s">
        <v>27</v>
      </c>
      <c r="K20" s="167"/>
      <c r="L20" s="138">
        <v>2002</v>
      </c>
      <c r="M20" s="167">
        <v>11200</v>
      </c>
      <c r="N20" s="167">
        <v>841</v>
      </c>
      <c r="O20" s="167">
        <f t="shared" si="1"/>
        <v>0.33564383928571428</v>
      </c>
      <c r="P20" s="167">
        <v>1300</v>
      </c>
      <c r="Q20" s="167" t="s">
        <v>22</v>
      </c>
      <c r="R20" s="167">
        <v>1248.0999999999999</v>
      </c>
      <c r="S20" s="167" t="s">
        <v>78</v>
      </c>
      <c r="T20" s="167">
        <v>1211.1110000000001</v>
      </c>
      <c r="U20" s="167" t="s">
        <v>29</v>
      </c>
      <c r="V20" s="141"/>
      <c r="W20" s="138">
        <v>2002</v>
      </c>
      <c r="X20" s="167">
        <v>1730</v>
      </c>
      <c r="Y20" s="167">
        <v>69.900000000000006</v>
      </c>
      <c r="Z20" s="167">
        <f t="shared" si="2"/>
        <v>0.54034161849710982</v>
      </c>
      <c r="AA20" s="167">
        <v>368.791</v>
      </c>
      <c r="AB20" s="128" t="s">
        <v>57</v>
      </c>
      <c r="AC20" s="167">
        <v>350</v>
      </c>
      <c r="AD20" s="128" t="s">
        <v>22</v>
      </c>
      <c r="AE20" s="167">
        <v>216</v>
      </c>
      <c r="AF20" s="128" t="s">
        <v>149</v>
      </c>
      <c r="AG20" s="141"/>
      <c r="AH20" s="138">
        <v>2002</v>
      </c>
      <c r="AI20" s="167">
        <v>2670</v>
      </c>
      <c r="AJ20" s="167">
        <v>601</v>
      </c>
      <c r="AK20" s="167">
        <f t="shared" si="4"/>
        <v>0.69455692883895126</v>
      </c>
      <c r="AL20" s="167">
        <v>1602</v>
      </c>
      <c r="AM20" s="128" t="s">
        <v>78</v>
      </c>
      <c r="AN20" s="167">
        <v>156.46700000000001</v>
      </c>
      <c r="AO20" s="128" t="s">
        <v>44</v>
      </c>
      <c r="AP20" s="167">
        <v>96</v>
      </c>
      <c r="AQ20" s="128" t="s">
        <v>27</v>
      </c>
      <c r="AR20" s="10"/>
    </row>
    <row r="21" spans="1:44" x14ac:dyDescent="0.25">
      <c r="A21" s="138">
        <v>2003</v>
      </c>
      <c r="B21" s="167">
        <v>13800</v>
      </c>
      <c r="C21" s="167">
        <v>1120</v>
      </c>
      <c r="D21" s="167">
        <f t="shared" si="0"/>
        <v>0.4907688405797101</v>
      </c>
      <c r="E21" s="167">
        <v>4904.2</v>
      </c>
      <c r="F21" s="128" t="s">
        <v>78</v>
      </c>
      <c r="G21" s="167">
        <v>1005.83</v>
      </c>
      <c r="H21" s="128" t="s">
        <v>55</v>
      </c>
      <c r="I21" s="167">
        <v>862.58</v>
      </c>
      <c r="J21" s="128" t="s">
        <v>44</v>
      </c>
      <c r="K21" s="167"/>
      <c r="L21" s="138">
        <v>2003</v>
      </c>
      <c r="M21" s="167">
        <v>10800</v>
      </c>
      <c r="N21" s="167">
        <v>662</v>
      </c>
      <c r="O21" s="167">
        <f t="shared" si="1"/>
        <v>0.3639377777777778</v>
      </c>
      <c r="P21" s="167">
        <v>1430</v>
      </c>
      <c r="Q21" s="167" t="s">
        <v>22</v>
      </c>
      <c r="R21" s="167">
        <v>1251.7280000000001</v>
      </c>
      <c r="S21" s="167" t="s">
        <v>29</v>
      </c>
      <c r="T21" s="167">
        <v>1248.8</v>
      </c>
      <c r="U21" s="167" t="s">
        <v>78</v>
      </c>
      <c r="V21" s="141"/>
      <c r="W21" s="138">
        <v>2003</v>
      </c>
      <c r="X21" s="167">
        <v>1780</v>
      </c>
      <c r="Y21" s="167">
        <v>53.3</v>
      </c>
      <c r="Z21" s="167">
        <f t="shared" si="2"/>
        <v>0.53703651685393261</v>
      </c>
      <c r="AA21" s="167">
        <v>430</v>
      </c>
      <c r="AB21" s="128" t="s">
        <v>22</v>
      </c>
      <c r="AC21" s="167">
        <v>310.92500000000001</v>
      </c>
      <c r="AD21" s="128" t="s">
        <v>57</v>
      </c>
      <c r="AE21" s="167">
        <v>215</v>
      </c>
      <c r="AF21" s="128" t="s">
        <v>149</v>
      </c>
      <c r="AG21" s="141"/>
      <c r="AH21" s="138">
        <v>2003</v>
      </c>
      <c r="AI21" s="167">
        <v>2720</v>
      </c>
      <c r="AJ21" s="167">
        <v>591</v>
      </c>
      <c r="AK21" s="167">
        <f t="shared" si="4"/>
        <v>0.71077132352941164</v>
      </c>
      <c r="AL21" s="167">
        <v>1653.1</v>
      </c>
      <c r="AM21" s="128" t="s">
        <v>78</v>
      </c>
      <c r="AN21" s="167">
        <v>171.19800000000001</v>
      </c>
      <c r="AO21" s="128" t="s">
        <v>44</v>
      </c>
      <c r="AP21" s="167">
        <v>109</v>
      </c>
      <c r="AQ21" s="128" t="s">
        <v>36</v>
      </c>
      <c r="AR21" s="10"/>
    </row>
    <row r="22" spans="1:44" x14ac:dyDescent="0.25">
      <c r="A22" s="138">
        <v>2004</v>
      </c>
      <c r="B22" s="167">
        <v>14700</v>
      </c>
      <c r="C22" s="167">
        <v>1160</v>
      </c>
      <c r="D22" s="167">
        <f t="shared" si="0"/>
        <v>0.49674625850340137</v>
      </c>
      <c r="E22" s="167">
        <v>5412.5</v>
      </c>
      <c r="F22" s="128" t="s">
        <v>78</v>
      </c>
      <c r="G22" s="167">
        <v>1035.57</v>
      </c>
      <c r="H22" s="128" t="s">
        <v>44</v>
      </c>
      <c r="I22" s="167">
        <v>854.1</v>
      </c>
      <c r="J22" s="128" t="s">
        <v>27</v>
      </c>
      <c r="K22" s="167"/>
      <c r="L22" s="138">
        <v>2004</v>
      </c>
      <c r="M22" s="167">
        <v>11100</v>
      </c>
      <c r="N22" s="167">
        <v>671</v>
      </c>
      <c r="O22" s="167">
        <f t="shared" si="1"/>
        <v>0.35845864864864868</v>
      </c>
      <c r="P22" s="167">
        <v>1590</v>
      </c>
      <c r="Q22" s="167" t="s">
        <v>22</v>
      </c>
      <c r="R22" s="3">
        <v>1200.4000000000001</v>
      </c>
      <c r="S22" s="167" t="s">
        <v>78</v>
      </c>
      <c r="T22" s="3">
        <v>1188.491</v>
      </c>
      <c r="U22" s="167" t="s">
        <v>29</v>
      </c>
      <c r="V22" s="141"/>
      <c r="W22" s="138">
        <v>2004</v>
      </c>
      <c r="X22" s="167">
        <v>2080</v>
      </c>
      <c r="Y22" s="167">
        <v>50.8</v>
      </c>
      <c r="Z22" s="167">
        <f t="shared" si="2"/>
        <v>0.58940192307692307</v>
      </c>
      <c r="AA22" s="167">
        <v>620</v>
      </c>
      <c r="AB22" s="128" t="s">
        <v>22</v>
      </c>
      <c r="AC22" s="167">
        <v>368.95600000000002</v>
      </c>
      <c r="AD22" s="128" t="s">
        <v>57</v>
      </c>
      <c r="AE22" s="167">
        <v>237</v>
      </c>
      <c r="AF22" s="128" t="s">
        <v>24</v>
      </c>
      <c r="AG22" s="141"/>
      <c r="AH22" s="138">
        <v>2004</v>
      </c>
      <c r="AI22" s="167">
        <v>2710</v>
      </c>
      <c r="AJ22" s="167">
        <v>584</v>
      </c>
      <c r="AK22" s="167">
        <f t="shared" si="4"/>
        <v>0.71118081180811821</v>
      </c>
      <c r="AL22" s="167">
        <v>1636.3</v>
      </c>
      <c r="AM22" s="128" t="s">
        <v>78</v>
      </c>
      <c r="AN22" s="167">
        <v>167</v>
      </c>
      <c r="AO22" s="128" t="s">
        <v>44</v>
      </c>
      <c r="AP22" s="167">
        <v>124</v>
      </c>
      <c r="AQ22" s="128" t="s">
        <v>36</v>
      </c>
      <c r="AR22" s="10"/>
    </row>
    <row r="23" spans="1:44" x14ac:dyDescent="0.25">
      <c r="A23" s="138">
        <v>2005</v>
      </c>
      <c r="B23" s="167">
        <v>15000</v>
      </c>
      <c r="C23" s="167">
        <v>1140</v>
      </c>
      <c r="D23" s="167">
        <f t="shared" si="0"/>
        <v>0.49302666666666667</v>
      </c>
      <c r="E23" s="167">
        <v>5320.5</v>
      </c>
      <c r="F23" s="128" t="s">
        <v>78</v>
      </c>
      <c r="G23" s="167">
        <v>1065</v>
      </c>
      <c r="H23" s="128" t="s">
        <v>55</v>
      </c>
      <c r="I23" s="167">
        <v>1009.9</v>
      </c>
      <c r="J23" s="128" t="s">
        <v>44</v>
      </c>
      <c r="K23" s="167"/>
      <c r="L23" s="138">
        <v>2005</v>
      </c>
      <c r="M23" s="167">
        <v>11800</v>
      </c>
      <c r="N23" s="167">
        <v>654</v>
      </c>
      <c r="O23" s="167">
        <f t="shared" si="1"/>
        <v>0.36811864406779665</v>
      </c>
      <c r="P23" s="167">
        <v>1865</v>
      </c>
      <c r="Q23" s="167" t="s">
        <v>22</v>
      </c>
      <c r="R23" s="167">
        <v>1239.4000000000001</v>
      </c>
      <c r="S23" s="167" t="s">
        <v>78</v>
      </c>
      <c r="T23" s="167">
        <v>1239.4000000000001</v>
      </c>
      <c r="U23" s="167" t="s">
        <v>29</v>
      </c>
      <c r="V23" s="141"/>
      <c r="W23" s="138">
        <v>2005</v>
      </c>
      <c r="X23" s="167">
        <v>2140</v>
      </c>
      <c r="Y23" s="167">
        <v>47.2</v>
      </c>
      <c r="Z23" s="167">
        <f t="shared" si="2"/>
        <v>0.62775700934579426</v>
      </c>
      <c r="AA23" s="167">
        <v>750</v>
      </c>
      <c r="AB23" s="128" t="s">
        <v>22</v>
      </c>
      <c r="AC23" s="167">
        <v>344.4</v>
      </c>
      <c r="AD23" s="128" t="s">
        <v>57</v>
      </c>
      <c r="AE23" s="167">
        <v>249</v>
      </c>
      <c r="AF23" s="128" t="s">
        <v>24</v>
      </c>
      <c r="AG23" s="141"/>
      <c r="AH23" s="138">
        <v>2005</v>
      </c>
      <c r="AI23" s="167">
        <v>2690</v>
      </c>
      <c r="AJ23" s="167">
        <v>554</v>
      </c>
      <c r="AK23" s="167">
        <f t="shared" si="4"/>
        <v>0.70822676579925647</v>
      </c>
      <c r="AL23" s="167">
        <v>1584.6</v>
      </c>
      <c r="AM23" s="128" t="s">
        <v>78</v>
      </c>
      <c r="AN23" s="167">
        <v>155</v>
      </c>
      <c r="AO23" s="128" t="s">
        <v>44</v>
      </c>
      <c r="AP23" s="167">
        <v>165.53</v>
      </c>
      <c r="AQ23" s="128" t="s">
        <v>36</v>
      </c>
      <c r="AR23" s="10"/>
    </row>
    <row r="24" spans="1:44" x14ac:dyDescent="0.25">
      <c r="A24" s="138">
        <v>2006</v>
      </c>
      <c r="B24" s="167">
        <v>15100</v>
      </c>
      <c r="C24" s="167">
        <v>1200</v>
      </c>
      <c r="D24" s="167">
        <f t="shared" si="0"/>
        <v>0.48226966887417222</v>
      </c>
      <c r="E24" s="167">
        <v>5360.8</v>
      </c>
      <c r="F24" s="128" t="s">
        <v>78</v>
      </c>
      <c r="G24" s="167">
        <v>1048.472</v>
      </c>
      <c r="H24" s="128" t="s">
        <v>44</v>
      </c>
      <c r="I24" s="167">
        <v>873</v>
      </c>
      <c r="J24" s="128" t="s">
        <v>22</v>
      </c>
      <c r="K24" s="167"/>
      <c r="L24" s="138">
        <v>2006</v>
      </c>
      <c r="M24" s="167">
        <v>11900</v>
      </c>
      <c r="N24" s="167">
        <v>675</v>
      </c>
      <c r="O24" s="167">
        <f t="shared" si="1"/>
        <v>0.38055352941176468</v>
      </c>
      <c r="P24" s="167">
        <v>2000</v>
      </c>
      <c r="Q24" s="167" t="s">
        <v>22</v>
      </c>
      <c r="R24" s="167">
        <v>1409.087</v>
      </c>
      <c r="S24" s="167" t="s">
        <v>29</v>
      </c>
      <c r="T24" s="167">
        <v>1119.5</v>
      </c>
      <c r="U24" s="167" t="s">
        <v>78</v>
      </c>
      <c r="V24" s="141"/>
      <c r="W24" s="138">
        <v>2006</v>
      </c>
      <c r="X24" s="167">
        <v>2560</v>
      </c>
      <c r="Y24" s="167">
        <v>44.8</v>
      </c>
      <c r="Z24" s="167">
        <f t="shared" si="2"/>
        <v>0.64921874999999996</v>
      </c>
      <c r="AA24" s="167">
        <v>1000</v>
      </c>
      <c r="AB24" s="128" t="s">
        <v>22</v>
      </c>
      <c r="AC24" s="167">
        <v>350</v>
      </c>
      <c r="AD24" s="128" t="s">
        <v>57</v>
      </c>
      <c r="AE24" s="167">
        <v>312</v>
      </c>
      <c r="AF24" s="128" t="s">
        <v>24</v>
      </c>
      <c r="AG24" s="141"/>
      <c r="AH24" s="138">
        <v>2006</v>
      </c>
      <c r="AI24" s="167">
        <v>2830</v>
      </c>
      <c r="AJ24" s="167">
        <v>530</v>
      </c>
      <c r="AK24" s="167">
        <f t="shared" si="4"/>
        <v>0.72221590106007072</v>
      </c>
      <c r="AL24" s="167">
        <v>1692</v>
      </c>
      <c r="AM24" s="128" t="s">
        <v>78</v>
      </c>
      <c r="AN24" s="167">
        <v>178</v>
      </c>
      <c r="AO24" s="128" t="s">
        <v>36</v>
      </c>
      <c r="AP24" s="167">
        <v>173.87100000000001</v>
      </c>
      <c r="AQ24" s="128" t="s">
        <v>44</v>
      </c>
      <c r="AR24" s="10"/>
    </row>
    <row r="25" spans="1:44" x14ac:dyDescent="0.25">
      <c r="A25" s="138" t="s">
        <v>4</v>
      </c>
      <c r="B25" s="167">
        <v>15400</v>
      </c>
      <c r="C25" s="167">
        <v>1170</v>
      </c>
      <c r="D25" s="167">
        <f t="shared" si="0"/>
        <v>0.48721785714285715</v>
      </c>
      <c r="E25" s="167">
        <v>5557</v>
      </c>
      <c r="F25" s="128" t="s">
        <v>78</v>
      </c>
      <c r="G25" s="167">
        <v>1018.155</v>
      </c>
      <c r="H25" s="128" t="s">
        <v>44</v>
      </c>
      <c r="I25" s="167">
        <v>928</v>
      </c>
      <c r="J25" s="128" t="s">
        <v>22</v>
      </c>
      <c r="K25" s="167"/>
      <c r="L25" s="138" t="s">
        <v>4</v>
      </c>
      <c r="M25" s="167">
        <v>12200</v>
      </c>
      <c r="N25" s="167">
        <v>764</v>
      </c>
      <c r="O25" s="167">
        <f t="shared" si="1"/>
        <v>0.39936967213114749</v>
      </c>
      <c r="P25" s="167">
        <v>2400</v>
      </c>
      <c r="Q25" s="167" t="s">
        <v>22</v>
      </c>
      <c r="R25" s="167">
        <v>1367.31</v>
      </c>
      <c r="S25" s="167" t="s">
        <v>29</v>
      </c>
      <c r="T25" s="167">
        <v>1105</v>
      </c>
      <c r="U25" s="167" t="s">
        <v>78</v>
      </c>
      <c r="V25" s="141"/>
      <c r="W25" s="138" t="s">
        <v>4</v>
      </c>
      <c r="X25" s="167">
        <v>2770</v>
      </c>
      <c r="Y25" s="167">
        <v>46</v>
      </c>
      <c r="Z25" s="167">
        <f t="shared" si="2"/>
        <v>0.66888628158844765</v>
      </c>
      <c r="AA25" s="167">
        <v>1200</v>
      </c>
      <c r="AB25" s="128" t="s">
        <v>22</v>
      </c>
      <c r="AC25" s="167">
        <v>363.815</v>
      </c>
      <c r="AD25" s="128" t="s">
        <v>57</v>
      </c>
      <c r="AE25" s="167">
        <v>289</v>
      </c>
      <c r="AF25" s="128" t="s">
        <v>24</v>
      </c>
      <c r="AG25" s="141"/>
      <c r="AH25" s="138" t="s">
        <v>4</v>
      </c>
      <c r="AI25" s="167">
        <v>2980</v>
      </c>
      <c r="AJ25" s="167">
        <v>504</v>
      </c>
      <c r="AK25" s="167">
        <f t="shared" si="4"/>
        <v>0.73963691275167787</v>
      </c>
      <c r="AL25" s="167">
        <v>1832</v>
      </c>
      <c r="AM25" s="128" t="s">
        <v>78</v>
      </c>
      <c r="AN25" s="167">
        <v>200</v>
      </c>
      <c r="AO25" s="128" t="s">
        <v>36</v>
      </c>
      <c r="AP25" s="167">
        <v>172.11799999999999</v>
      </c>
      <c r="AQ25" s="128" t="s">
        <v>44</v>
      </c>
      <c r="AR25" s="10"/>
    </row>
    <row r="26" spans="1:44" x14ac:dyDescent="0.25">
      <c r="A26" s="138" t="s">
        <v>5</v>
      </c>
      <c r="B26" s="167">
        <v>15400</v>
      </c>
      <c r="C26" s="167">
        <v>1310</v>
      </c>
      <c r="D26" s="167">
        <f t="shared" si="0"/>
        <v>0.48736292207792209</v>
      </c>
      <c r="E26" s="167">
        <v>5327.6</v>
      </c>
      <c r="F26" s="128" t="s">
        <v>78</v>
      </c>
      <c r="G26" s="167">
        <v>1107.789</v>
      </c>
      <c r="H26" s="128" t="s">
        <v>44</v>
      </c>
      <c r="I26" s="167">
        <v>1070</v>
      </c>
      <c r="J26" s="128" t="s">
        <v>22</v>
      </c>
      <c r="K26" s="167"/>
      <c r="L26" s="138" t="s">
        <v>5</v>
      </c>
      <c r="M26" s="167">
        <v>12400</v>
      </c>
      <c r="N26" s="167">
        <v>713</v>
      </c>
      <c r="O26" s="167">
        <f t="shared" si="1"/>
        <v>0.41558951612903222</v>
      </c>
      <c r="P26" s="167">
        <v>2700</v>
      </c>
      <c r="Q26" s="167" t="s">
        <v>22</v>
      </c>
      <c r="R26" s="167">
        <v>1366.31</v>
      </c>
      <c r="S26" s="167" t="s">
        <v>29</v>
      </c>
      <c r="T26" s="167">
        <v>1087</v>
      </c>
      <c r="U26" s="167" t="s">
        <v>78</v>
      </c>
      <c r="V26" s="141"/>
      <c r="W26" s="138" t="s">
        <v>5</v>
      </c>
      <c r="X26" s="167">
        <v>2780</v>
      </c>
      <c r="Y26" s="167">
        <v>53.8</v>
      </c>
      <c r="Z26" s="167">
        <f t="shared" si="2"/>
        <v>0.6616187050359712</v>
      </c>
      <c r="AA26" s="167">
        <v>1200</v>
      </c>
      <c r="AB26" s="128" t="s">
        <v>22</v>
      </c>
      <c r="AC26" s="167">
        <v>389.3</v>
      </c>
      <c r="AD26" s="128" t="s">
        <v>57</v>
      </c>
      <c r="AE26" s="167">
        <v>250</v>
      </c>
      <c r="AF26" s="128" t="s">
        <v>24</v>
      </c>
      <c r="AG26" s="141"/>
      <c r="AH26" s="138" t="s">
        <v>5</v>
      </c>
      <c r="AI26" s="167">
        <v>3080</v>
      </c>
      <c r="AJ26" s="167">
        <v>507</v>
      </c>
      <c r="AK26" s="167">
        <f t="shared" si="4"/>
        <v>0.74872662337662332</v>
      </c>
      <c r="AL26" s="167">
        <v>1971</v>
      </c>
      <c r="AM26" s="128" t="s">
        <v>78</v>
      </c>
      <c r="AN26" s="167">
        <v>175</v>
      </c>
      <c r="AO26" s="128" t="s">
        <v>36</v>
      </c>
      <c r="AP26" s="167">
        <v>160.078</v>
      </c>
      <c r="AQ26" s="128" t="s">
        <v>44</v>
      </c>
      <c r="AR26" s="10"/>
    </row>
    <row r="27" spans="1:44" x14ac:dyDescent="0.25">
      <c r="A27" s="138" t="s">
        <v>6</v>
      </c>
      <c r="B27" s="167">
        <v>15900</v>
      </c>
      <c r="C27" s="167">
        <v>1180</v>
      </c>
      <c r="D27" s="167">
        <f t="shared" si="0"/>
        <v>0.47468264150943396</v>
      </c>
      <c r="E27" s="167">
        <v>5394</v>
      </c>
      <c r="F27" s="128" t="s">
        <v>78</v>
      </c>
      <c r="G27" s="167">
        <v>1113.454</v>
      </c>
      <c r="H27" s="128" t="s">
        <v>44</v>
      </c>
      <c r="I27" s="167">
        <v>1040</v>
      </c>
      <c r="J27" s="128" t="s">
        <v>22</v>
      </c>
      <c r="K27" s="167"/>
      <c r="L27" s="138" t="s">
        <v>6</v>
      </c>
      <c r="M27" s="167">
        <v>12300</v>
      </c>
      <c r="N27" s="167">
        <v>636</v>
      </c>
      <c r="O27" s="167">
        <f t="shared" si="1"/>
        <v>0.4233286991869919</v>
      </c>
      <c r="P27" s="167">
        <v>2750</v>
      </c>
      <c r="Q27" s="167" t="s">
        <v>22</v>
      </c>
      <c r="R27" s="167">
        <v>1297.943</v>
      </c>
      <c r="S27" s="167" t="s">
        <v>29</v>
      </c>
      <c r="T27" s="167">
        <v>1159</v>
      </c>
      <c r="U27" s="167" t="s">
        <v>78</v>
      </c>
      <c r="V27" s="141"/>
      <c r="W27" s="138" t="s">
        <v>6</v>
      </c>
      <c r="X27" s="167">
        <v>2880</v>
      </c>
      <c r="Y27" s="167">
        <v>46.4</v>
      </c>
      <c r="Z27" s="167">
        <f t="shared" si="2"/>
        <v>0.7044097222222222</v>
      </c>
      <c r="AA27" s="167">
        <v>1400</v>
      </c>
      <c r="AB27" s="128" t="s">
        <v>22</v>
      </c>
      <c r="AC27" s="167">
        <v>378.7</v>
      </c>
      <c r="AD27" s="128" t="s">
        <v>57</v>
      </c>
      <c r="AE27" s="167">
        <v>250</v>
      </c>
      <c r="AF27" s="128" t="s">
        <v>24</v>
      </c>
      <c r="AG27" s="141"/>
      <c r="AH27" s="138" t="s">
        <v>6</v>
      </c>
      <c r="AI27" s="167">
        <v>3250</v>
      </c>
      <c r="AJ27" s="167">
        <v>476</v>
      </c>
      <c r="AK27" s="167">
        <f t="shared" si="4"/>
        <v>0.74639846153846157</v>
      </c>
      <c r="AL27" s="167">
        <v>2118</v>
      </c>
      <c r="AM27" s="128" t="s">
        <v>78</v>
      </c>
      <c r="AN27" s="167">
        <v>145</v>
      </c>
      <c r="AO27" s="128" t="s">
        <v>36</v>
      </c>
      <c r="AP27" s="167">
        <v>162.79499999999999</v>
      </c>
      <c r="AQ27" s="128" t="s">
        <v>44</v>
      </c>
      <c r="AR27" s="10"/>
    </row>
    <row r="28" spans="1:44" x14ac:dyDescent="0.25">
      <c r="A28" s="138" t="s">
        <v>7</v>
      </c>
      <c r="B28" s="167">
        <v>16000</v>
      </c>
      <c r="C28" s="167">
        <v>1110</v>
      </c>
      <c r="D28" s="167">
        <f t="shared" si="0"/>
        <v>0.47957262499999997</v>
      </c>
      <c r="E28" s="167">
        <v>5419</v>
      </c>
      <c r="F28" s="128" t="s">
        <v>78</v>
      </c>
      <c r="G28" s="167">
        <v>1160</v>
      </c>
      <c r="H28" s="128" t="s">
        <v>22</v>
      </c>
      <c r="I28" s="167">
        <v>1094.162</v>
      </c>
      <c r="J28" s="128" t="s">
        <v>44</v>
      </c>
      <c r="K28" s="167"/>
      <c r="L28" s="138" t="s">
        <v>7</v>
      </c>
      <c r="M28" s="167">
        <v>12300</v>
      </c>
      <c r="N28" s="173" t="s">
        <v>394</v>
      </c>
      <c r="O28" s="167">
        <f t="shared" si="1"/>
        <v>0.44615081300813009</v>
      </c>
      <c r="P28" s="167">
        <v>2950</v>
      </c>
      <c r="Q28" s="167" t="s">
        <v>22</v>
      </c>
      <c r="R28" s="167">
        <v>1382.655</v>
      </c>
      <c r="S28" s="167" t="s">
        <v>29</v>
      </c>
      <c r="T28" s="167">
        <v>1155</v>
      </c>
      <c r="U28" s="167" t="s">
        <v>78</v>
      </c>
      <c r="V28" s="141"/>
      <c r="W28" s="138" t="s">
        <v>7</v>
      </c>
      <c r="X28" s="167">
        <v>2900</v>
      </c>
      <c r="Y28" s="173" t="s">
        <v>394</v>
      </c>
      <c r="Z28" s="167">
        <f t="shared" si="2"/>
        <v>0.80299999999999994</v>
      </c>
      <c r="AA28" s="167">
        <v>1700</v>
      </c>
      <c r="AB28" s="128" t="s">
        <v>22</v>
      </c>
      <c r="AC28" s="167">
        <v>378.7</v>
      </c>
      <c r="AD28" s="128" t="s">
        <v>57</v>
      </c>
      <c r="AE28" s="167">
        <v>250</v>
      </c>
      <c r="AF28" s="128" t="s">
        <v>24</v>
      </c>
      <c r="AG28" s="141"/>
      <c r="AH28" s="138" t="s">
        <v>7</v>
      </c>
      <c r="AI28" s="167">
        <v>3300</v>
      </c>
      <c r="AJ28" s="167">
        <v>500</v>
      </c>
      <c r="AK28" s="167">
        <f t="shared" si="4"/>
        <v>0.7278854545454545</v>
      </c>
      <c r="AL28" s="167">
        <v>2089</v>
      </c>
      <c r="AM28" s="128" t="s">
        <v>78</v>
      </c>
      <c r="AN28" s="167">
        <v>160</v>
      </c>
      <c r="AO28" s="128" t="s">
        <v>36</v>
      </c>
      <c r="AP28" s="167">
        <v>153.02199999999999</v>
      </c>
      <c r="AQ28" s="128" t="s">
        <v>44</v>
      </c>
      <c r="AR28" s="10"/>
    </row>
    <row r="29" spans="1:44" x14ac:dyDescent="0.25">
      <c r="AR29" s="10"/>
    </row>
  </sheetData>
  <mergeCells count="32">
    <mergeCell ref="A1:J2"/>
    <mergeCell ref="N6:N7"/>
    <mergeCell ref="L1:U2"/>
    <mergeCell ref="Y6:Y7"/>
    <mergeCell ref="X6:X7"/>
    <mergeCell ref="W1:AF2"/>
    <mergeCell ref="M6:M7"/>
    <mergeCell ref="Z6:Z7"/>
    <mergeCell ref="B5:J5"/>
    <mergeCell ref="M5:U5"/>
    <mergeCell ref="X5:AF5"/>
    <mergeCell ref="E6:F6"/>
    <mergeCell ref="G6:H6"/>
    <mergeCell ref="I6:J6"/>
    <mergeCell ref="D6:D7"/>
    <mergeCell ref="P6:Q6"/>
    <mergeCell ref="R6:S6"/>
    <mergeCell ref="T6:U6"/>
    <mergeCell ref="B6:B7"/>
    <mergeCell ref="C6:C7"/>
    <mergeCell ref="O6:O7"/>
    <mergeCell ref="AH1:AQ2"/>
    <mergeCell ref="AA6:AB6"/>
    <mergeCell ref="AC6:AD6"/>
    <mergeCell ref="AE6:AF6"/>
    <mergeCell ref="AI5:AQ5"/>
    <mergeCell ref="AL6:AM6"/>
    <mergeCell ref="AN6:AO6"/>
    <mergeCell ref="AP6:AQ6"/>
    <mergeCell ref="AK6:AK7"/>
    <mergeCell ref="AJ6:AJ7"/>
    <mergeCell ref="AI6:AI7"/>
  </mergeCells>
  <pageMargins left="1" right="1" top="1" bottom="1" header="0" footer="0"/>
  <pageSetup scale="86" orientation="landscape" r:id="rId1"/>
  <colBreaks count="2" manualBreakCount="2">
    <brk id="10" max="27" man="1"/>
    <brk id="21" max="27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3.57031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406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17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</row>
    <row r="8" spans="1:9" x14ac:dyDescent="0.25">
      <c r="A8" s="138">
        <v>1990</v>
      </c>
      <c r="B8" s="167">
        <v>5990</v>
      </c>
      <c r="C8" s="167">
        <f t="shared" ref="C8:C28" si="0">(+D8/B8)+(+F8/B8)+(+H8/B8)</f>
        <v>0.39532554257095154</v>
      </c>
      <c r="D8" s="167">
        <v>1610</v>
      </c>
      <c r="E8" s="12" t="s">
        <v>140</v>
      </c>
      <c r="F8" s="167">
        <v>420</v>
      </c>
      <c r="G8" s="12" t="s">
        <v>94</v>
      </c>
      <c r="H8" s="167">
        <v>338</v>
      </c>
      <c r="I8" s="128" t="s">
        <v>148</v>
      </c>
    </row>
    <row r="9" spans="1:9" x14ac:dyDescent="0.25">
      <c r="A9" s="138">
        <v>1991</v>
      </c>
      <c r="B9" s="167">
        <v>5670</v>
      </c>
      <c r="C9" s="167">
        <f t="shared" si="0"/>
        <v>0.39735449735449735</v>
      </c>
      <c r="D9" s="167">
        <v>1300</v>
      </c>
      <c r="E9" s="12" t="s">
        <v>140</v>
      </c>
      <c r="F9" s="167">
        <v>703</v>
      </c>
      <c r="G9" s="12" t="s">
        <v>51</v>
      </c>
      <c r="H9" s="167">
        <v>250</v>
      </c>
      <c r="I9" s="128" t="s">
        <v>37</v>
      </c>
    </row>
    <row r="10" spans="1:9" x14ac:dyDescent="0.25">
      <c r="A10" s="138">
        <v>1992</v>
      </c>
      <c r="B10" s="167">
        <v>5990</v>
      </c>
      <c r="C10" s="167">
        <f t="shared" si="0"/>
        <v>0.40275626043405677</v>
      </c>
      <c r="D10" s="167">
        <v>1387.9680000000001</v>
      </c>
      <c r="E10" s="12" t="s">
        <v>140</v>
      </c>
      <c r="F10" s="167">
        <v>559.80600000000004</v>
      </c>
      <c r="G10" s="12" t="s">
        <v>51</v>
      </c>
      <c r="H10" s="167">
        <v>464.73599999999999</v>
      </c>
      <c r="I10" s="128" t="s">
        <v>71</v>
      </c>
    </row>
    <row r="11" spans="1:9" x14ac:dyDescent="0.25">
      <c r="A11" s="138">
        <v>1993</v>
      </c>
      <c r="B11" s="167">
        <v>6170</v>
      </c>
      <c r="C11" s="167">
        <f t="shared" si="0"/>
        <v>0.40535575364667747</v>
      </c>
      <c r="D11" s="167">
        <v>1534.21</v>
      </c>
      <c r="E11" s="12" t="s">
        <v>140</v>
      </c>
      <c r="F11" s="167">
        <v>600.83500000000004</v>
      </c>
      <c r="G11" s="12" t="s">
        <v>51</v>
      </c>
      <c r="H11" s="167">
        <v>366</v>
      </c>
      <c r="I11" s="128" t="s">
        <v>71</v>
      </c>
    </row>
    <row r="12" spans="1:9" x14ac:dyDescent="0.25">
      <c r="A12" s="138">
        <v>1994</v>
      </c>
      <c r="B12" s="167">
        <v>6490</v>
      </c>
      <c r="C12" s="167">
        <f t="shared" si="0"/>
        <v>0.44125885978428353</v>
      </c>
      <c r="D12" s="167">
        <v>1806.9349999999999</v>
      </c>
      <c r="E12" s="12" t="s">
        <v>140</v>
      </c>
      <c r="F12" s="167">
        <v>554.22699999999998</v>
      </c>
      <c r="G12" s="12" t="s">
        <v>51</v>
      </c>
      <c r="H12" s="167">
        <v>502.608</v>
      </c>
      <c r="I12" s="12" t="s">
        <v>71</v>
      </c>
    </row>
    <row r="13" spans="1:9" x14ac:dyDescent="0.25">
      <c r="A13" s="138">
        <v>1995</v>
      </c>
      <c r="B13" s="167">
        <v>7910</v>
      </c>
      <c r="C13" s="167">
        <f t="shared" si="0"/>
        <v>0.45884045512010119</v>
      </c>
      <c r="D13" s="167">
        <v>2199</v>
      </c>
      <c r="E13" s="12" t="s">
        <v>140</v>
      </c>
      <c r="F13" s="167">
        <v>760.25</v>
      </c>
      <c r="G13" s="128" t="s">
        <v>71</v>
      </c>
      <c r="H13" s="167">
        <v>670.178</v>
      </c>
      <c r="I13" s="128" t="s">
        <v>51</v>
      </c>
    </row>
    <row r="14" spans="1:9" x14ac:dyDescent="0.25">
      <c r="A14" s="138">
        <v>1996</v>
      </c>
      <c r="B14" s="167">
        <v>8290</v>
      </c>
      <c r="C14" s="167">
        <f t="shared" si="0"/>
        <v>0.47114559710494575</v>
      </c>
      <c r="D14" s="167">
        <v>2310</v>
      </c>
      <c r="E14" s="12" t="s">
        <v>140</v>
      </c>
      <c r="F14" s="167">
        <v>910.81399999999996</v>
      </c>
      <c r="G14" s="128" t="s">
        <v>71</v>
      </c>
      <c r="H14" s="167">
        <v>684.98299999999995</v>
      </c>
      <c r="I14" s="128" t="s">
        <v>51</v>
      </c>
    </row>
    <row r="15" spans="1:9" x14ac:dyDescent="0.25">
      <c r="A15" s="138">
        <v>1997</v>
      </c>
      <c r="B15" s="167">
        <v>8650</v>
      </c>
      <c r="C15" s="167">
        <f t="shared" si="0"/>
        <v>0.4535642774566474</v>
      </c>
      <c r="D15" s="167">
        <v>2300</v>
      </c>
      <c r="E15" s="12" t="s">
        <v>140</v>
      </c>
      <c r="F15" s="167">
        <v>1011.542</v>
      </c>
      <c r="G15" s="128" t="s">
        <v>71</v>
      </c>
      <c r="H15" s="167">
        <v>611.78899999999999</v>
      </c>
      <c r="I15" s="128" t="s">
        <v>51</v>
      </c>
    </row>
    <row r="16" spans="1:9" x14ac:dyDescent="0.25">
      <c r="A16" s="138">
        <v>1998</v>
      </c>
      <c r="B16" s="167">
        <v>9330</v>
      </c>
      <c r="C16" s="167">
        <f t="shared" si="0"/>
        <v>0.48697566988210073</v>
      </c>
      <c r="D16" s="167">
        <v>2748</v>
      </c>
      <c r="E16" s="12" t="s">
        <v>140</v>
      </c>
      <c r="F16" s="167">
        <v>1089.4829999999999</v>
      </c>
      <c r="G16" s="12" t="s">
        <v>71</v>
      </c>
      <c r="H16" s="167">
        <v>706</v>
      </c>
      <c r="I16" s="128" t="s">
        <v>94</v>
      </c>
    </row>
    <row r="17" spans="1:9" x14ac:dyDescent="0.25">
      <c r="A17" s="138">
        <v>1999</v>
      </c>
      <c r="B17" s="167">
        <v>9980</v>
      </c>
      <c r="C17" s="167">
        <f t="shared" si="0"/>
        <v>0.47170891783567132</v>
      </c>
      <c r="D17" s="167">
        <v>2700</v>
      </c>
      <c r="E17" s="12" t="s">
        <v>140</v>
      </c>
      <c r="F17" s="167">
        <v>1369.655</v>
      </c>
      <c r="G17" s="12" t="s">
        <v>71</v>
      </c>
      <c r="H17" s="167">
        <v>638</v>
      </c>
      <c r="I17" s="128" t="s">
        <v>94</v>
      </c>
    </row>
    <row r="18" spans="1:9" x14ac:dyDescent="0.25">
      <c r="A18" s="138">
        <v>2000</v>
      </c>
      <c r="B18" s="167">
        <v>9540</v>
      </c>
      <c r="C18" s="167">
        <f t="shared" si="0"/>
        <v>0.44965576519916139</v>
      </c>
      <c r="D18" s="167">
        <v>2500</v>
      </c>
      <c r="E18" s="12" t="s">
        <v>140</v>
      </c>
      <c r="F18" s="167">
        <v>1147.7159999999999</v>
      </c>
      <c r="G18" s="12" t="s">
        <v>71</v>
      </c>
      <c r="H18" s="167">
        <v>642</v>
      </c>
      <c r="I18" s="128" t="s">
        <v>94</v>
      </c>
    </row>
    <row r="19" spans="1:9" x14ac:dyDescent="0.25">
      <c r="A19" s="138">
        <v>2001</v>
      </c>
      <c r="B19" s="167">
        <v>11800</v>
      </c>
      <c r="C19" s="167">
        <f t="shared" si="0"/>
        <v>0.37711864406779666</v>
      </c>
      <c r="D19" s="167">
        <v>2600</v>
      </c>
      <c r="E19" s="12" t="s">
        <v>140</v>
      </c>
      <c r="F19" s="167">
        <v>1200</v>
      </c>
      <c r="G19" s="12" t="s">
        <v>71</v>
      </c>
      <c r="H19" s="167">
        <v>650</v>
      </c>
      <c r="I19" s="128" t="s">
        <v>94</v>
      </c>
    </row>
    <row r="20" spans="1:9" x14ac:dyDescent="0.25">
      <c r="A20" s="138">
        <v>2002</v>
      </c>
      <c r="B20" s="167">
        <v>14100</v>
      </c>
      <c r="C20" s="167">
        <f t="shared" si="0"/>
        <v>0.46279340425531917</v>
      </c>
      <c r="D20" s="167">
        <v>3159</v>
      </c>
      <c r="E20" s="12" t="s">
        <v>140</v>
      </c>
      <c r="F20" s="167">
        <v>1766.3869999999999</v>
      </c>
      <c r="G20" s="12" t="s">
        <v>71</v>
      </c>
      <c r="H20" s="167">
        <v>1600</v>
      </c>
      <c r="I20" s="128" t="s">
        <v>22</v>
      </c>
    </row>
    <row r="21" spans="1:9" x14ac:dyDescent="0.25">
      <c r="A21" s="138">
        <v>2003</v>
      </c>
      <c r="B21" s="167">
        <v>13600</v>
      </c>
      <c r="C21" s="167">
        <f t="shared" si="0"/>
        <v>0.43426705882352945</v>
      </c>
      <c r="D21" s="167">
        <v>2343.7220000000002</v>
      </c>
      <c r="E21" s="12" t="s">
        <v>140</v>
      </c>
      <c r="F21" s="167">
        <v>1862.31</v>
      </c>
      <c r="G21" s="12" t="s">
        <v>71</v>
      </c>
      <c r="H21" s="167">
        <v>1700</v>
      </c>
      <c r="I21" s="128" t="s">
        <v>22</v>
      </c>
    </row>
    <row r="22" spans="1:9" x14ac:dyDescent="0.25">
      <c r="A22" s="138">
        <v>2004</v>
      </c>
      <c r="B22" s="167">
        <v>15100</v>
      </c>
      <c r="C22" s="167">
        <f t="shared" si="0"/>
        <v>0.46586754966887417</v>
      </c>
      <c r="D22" s="167">
        <v>3251.2640000000001</v>
      </c>
      <c r="E22" s="12" t="s">
        <v>140</v>
      </c>
      <c r="F22" s="167">
        <v>1983.336</v>
      </c>
      <c r="G22" s="12" t="s">
        <v>71</v>
      </c>
      <c r="H22" s="167">
        <v>1800</v>
      </c>
      <c r="I22" s="128" t="s">
        <v>22</v>
      </c>
    </row>
    <row r="23" spans="1:9" x14ac:dyDescent="0.25">
      <c r="A23" s="138">
        <v>2005</v>
      </c>
      <c r="B23" s="167">
        <v>16800</v>
      </c>
      <c r="C23" s="167">
        <f t="shared" si="0"/>
        <v>0.48673833333333333</v>
      </c>
      <c r="D23" s="167">
        <v>3995.2330000000002</v>
      </c>
      <c r="E23" s="12" t="s">
        <v>140</v>
      </c>
      <c r="F23" s="167">
        <v>2331.971</v>
      </c>
      <c r="G23" s="12" t="s">
        <v>71</v>
      </c>
      <c r="H23" s="167">
        <v>1850</v>
      </c>
      <c r="I23" s="128" t="s">
        <v>22</v>
      </c>
    </row>
    <row r="24" spans="1:9" x14ac:dyDescent="0.25">
      <c r="A24" s="138">
        <v>2006</v>
      </c>
      <c r="B24" s="167">
        <v>20600</v>
      </c>
      <c r="C24" s="167">
        <f t="shared" si="0"/>
        <v>0.56997024271844654</v>
      </c>
      <c r="D24" s="167">
        <v>4019.4949999999999</v>
      </c>
      <c r="E24" s="12" t="s">
        <v>140</v>
      </c>
      <c r="F24" s="167">
        <v>5771.8919999999998</v>
      </c>
      <c r="G24" s="12" t="s">
        <v>71</v>
      </c>
      <c r="H24" s="167">
        <v>1950</v>
      </c>
      <c r="I24" s="128" t="s">
        <v>22</v>
      </c>
    </row>
    <row r="25" spans="1:9" x14ac:dyDescent="0.25">
      <c r="A25" s="138" t="s">
        <v>4</v>
      </c>
      <c r="B25" s="167">
        <v>21500</v>
      </c>
      <c r="C25" s="167">
        <f t="shared" si="0"/>
        <v>0.5929672558139536</v>
      </c>
      <c r="D25" s="167">
        <v>4200</v>
      </c>
      <c r="E25" s="12" t="s">
        <v>140</v>
      </c>
      <c r="F25" s="167">
        <v>6548.7960000000003</v>
      </c>
      <c r="G25" s="12" t="s">
        <v>71</v>
      </c>
      <c r="H25" s="167">
        <v>2000</v>
      </c>
      <c r="I25" s="128" t="s">
        <v>22</v>
      </c>
    </row>
    <row r="26" spans="1:9" x14ac:dyDescent="0.25">
      <c r="A26" s="138" t="s">
        <v>5</v>
      </c>
      <c r="B26" s="167">
        <v>22700</v>
      </c>
      <c r="C26" s="167">
        <f t="shared" si="0"/>
        <v>0.59447136563876657</v>
      </c>
      <c r="D26" s="167">
        <v>4727</v>
      </c>
      <c r="E26" s="12" t="s">
        <v>140</v>
      </c>
      <c r="F26" s="167">
        <v>6767.5</v>
      </c>
      <c r="G26" s="12" t="s">
        <v>71</v>
      </c>
      <c r="H26" s="167">
        <v>2000</v>
      </c>
      <c r="I26" s="128" t="s">
        <v>22</v>
      </c>
    </row>
    <row r="27" spans="1:9" x14ac:dyDescent="0.25">
      <c r="A27" s="138" t="s">
        <v>6</v>
      </c>
      <c r="B27" s="167">
        <v>19600</v>
      </c>
      <c r="C27" s="167">
        <f t="shared" si="0"/>
        <v>0.55676260204081629</v>
      </c>
      <c r="D27" s="167">
        <v>4700</v>
      </c>
      <c r="E27" s="12" t="s">
        <v>140</v>
      </c>
      <c r="F27" s="167">
        <v>4212.5469999999996</v>
      </c>
      <c r="G27" s="12" t="s">
        <v>71</v>
      </c>
      <c r="H27" s="167">
        <v>2000</v>
      </c>
      <c r="I27" s="128" t="s">
        <v>22</v>
      </c>
    </row>
    <row r="28" spans="1:9" x14ac:dyDescent="0.25">
      <c r="A28" s="138" t="s">
        <v>7</v>
      </c>
      <c r="B28" s="167">
        <v>20600</v>
      </c>
      <c r="C28" s="167">
        <f t="shared" si="0"/>
        <v>0.56796116504854366</v>
      </c>
      <c r="D28" s="167">
        <v>4700</v>
      </c>
      <c r="E28" s="12" t="s">
        <v>140</v>
      </c>
      <c r="F28" s="167">
        <v>5000</v>
      </c>
      <c r="G28" s="12" t="s">
        <v>71</v>
      </c>
      <c r="H28" s="167">
        <v>2000</v>
      </c>
      <c r="I28" s="128" t="s">
        <v>22</v>
      </c>
    </row>
    <row r="31" spans="1:9" x14ac:dyDescent="0.25">
      <c r="E31" s="10"/>
      <c r="F31" s="54"/>
    </row>
    <row r="32" spans="1:9" x14ac:dyDescent="0.25">
      <c r="E32" s="10"/>
      <c r="F32" s="54"/>
    </row>
    <row r="33" spans="5:6" x14ac:dyDescent="0.25">
      <c r="E33" s="10"/>
      <c r="F33" s="54"/>
    </row>
    <row r="34" spans="5:6" x14ac:dyDescent="0.25">
      <c r="E34" s="10"/>
      <c r="F34" s="54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4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407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18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</row>
    <row r="8" spans="1:9" x14ac:dyDescent="0.25">
      <c r="A8" s="138">
        <v>1990</v>
      </c>
      <c r="B8" s="167">
        <v>5120</v>
      </c>
      <c r="C8" s="167">
        <f t="shared" ref="C8:C28" si="0">(+D8/B8)+(+F8/B8)+(+H8/B8)</f>
        <v>0.57578125000000002</v>
      </c>
      <c r="D8" s="167">
        <v>1700</v>
      </c>
      <c r="E8" s="12" t="s">
        <v>22</v>
      </c>
      <c r="F8" s="167">
        <v>634</v>
      </c>
      <c r="G8" s="12" t="s">
        <v>73</v>
      </c>
      <c r="H8" s="167">
        <v>614</v>
      </c>
      <c r="I8" s="128" t="s">
        <v>150</v>
      </c>
    </row>
    <row r="9" spans="1:9" x14ac:dyDescent="0.25">
      <c r="A9" s="138">
        <v>1991</v>
      </c>
      <c r="B9" s="167">
        <v>4300</v>
      </c>
      <c r="C9" s="167">
        <f t="shared" si="0"/>
        <v>0.5918604651162791</v>
      </c>
      <c r="D9" s="167">
        <v>1700</v>
      </c>
      <c r="E9" s="12" t="s">
        <v>22</v>
      </c>
      <c r="F9" s="167">
        <v>475</v>
      </c>
      <c r="G9" s="12" t="s">
        <v>150</v>
      </c>
      <c r="H9" s="167">
        <v>370</v>
      </c>
      <c r="I9" s="128" t="s">
        <v>73</v>
      </c>
    </row>
    <row r="10" spans="1:9" x14ac:dyDescent="0.25">
      <c r="A10" s="138">
        <v>1992</v>
      </c>
      <c r="B10" s="167">
        <v>4120</v>
      </c>
      <c r="C10" s="167">
        <f t="shared" si="0"/>
        <v>0.6240291262135923</v>
      </c>
      <c r="D10" s="167">
        <v>1900</v>
      </c>
      <c r="E10" s="12" t="s">
        <v>22</v>
      </c>
      <c r="F10" s="167">
        <v>384</v>
      </c>
      <c r="G10" s="12" t="s">
        <v>150</v>
      </c>
      <c r="H10" s="167">
        <v>287</v>
      </c>
      <c r="I10" s="128" t="s">
        <v>73</v>
      </c>
    </row>
    <row r="11" spans="1:9" x14ac:dyDescent="0.25">
      <c r="A11" s="138">
        <v>1993</v>
      </c>
      <c r="B11" s="167">
        <v>4180</v>
      </c>
      <c r="C11" s="167">
        <f t="shared" si="0"/>
        <v>0.65526315789473677</v>
      </c>
      <c r="D11" s="167">
        <v>2100</v>
      </c>
      <c r="E11" s="12" t="s">
        <v>22</v>
      </c>
      <c r="F11" s="167">
        <v>356</v>
      </c>
      <c r="G11" s="12" t="s">
        <v>150</v>
      </c>
      <c r="H11" s="167">
        <v>283</v>
      </c>
      <c r="I11" s="128" t="s">
        <v>73</v>
      </c>
    </row>
    <row r="12" spans="1:9" x14ac:dyDescent="0.25">
      <c r="A12" s="138">
        <v>1994</v>
      </c>
      <c r="B12" s="167">
        <v>3750</v>
      </c>
      <c r="C12" s="167">
        <f t="shared" si="0"/>
        <v>0.64246879999999995</v>
      </c>
      <c r="D12" s="167">
        <v>2000</v>
      </c>
      <c r="E12" s="12" t="s">
        <v>22</v>
      </c>
      <c r="F12" s="167">
        <v>235</v>
      </c>
      <c r="G12" s="12" t="s">
        <v>73</v>
      </c>
      <c r="H12" s="167">
        <v>174.25800000000001</v>
      </c>
      <c r="I12" s="12" t="s">
        <v>118</v>
      </c>
    </row>
    <row r="13" spans="1:9" x14ac:dyDescent="0.25">
      <c r="A13" s="138">
        <v>1995</v>
      </c>
      <c r="B13" s="167">
        <v>4040</v>
      </c>
      <c r="C13" s="167">
        <f t="shared" si="0"/>
        <v>0.68613861386138608</v>
      </c>
      <c r="D13" s="167">
        <v>2000</v>
      </c>
      <c r="E13" s="12" t="s">
        <v>22</v>
      </c>
      <c r="F13" s="167">
        <v>522</v>
      </c>
      <c r="G13" s="128" t="s">
        <v>73</v>
      </c>
      <c r="H13" s="167">
        <v>250</v>
      </c>
      <c r="I13" s="128" t="s">
        <v>24</v>
      </c>
    </row>
    <row r="14" spans="1:9" x14ac:dyDescent="0.25">
      <c r="A14" s="138">
        <v>1996</v>
      </c>
      <c r="B14" s="167">
        <v>4180</v>
      </c>
      <c r="C14" s="167">
        <f t="shared" si="0"/>
        <v>0.69951459330143539</v>
      </c>
      <c r="D14" s="167">
        <v>2150</v>
      </c>
      <c r="E14" s="12" t="s">
        <v>22</v>
      </c>
      <c r="F14" s="167">
        <v>523.971</v>
      </c>
      <c r="G14" s="128" t="s">
        <v>73</v>
      </c>
      <c r="H14" s="167">
        <v>250</v>
      </c>
      <c r="I14" s="128" t="s">
        <v>24</v>
      </c>
    </row>
    <row r="15" spans="1:9" x14ac:dyDescent="0.25">
      <c r="A15" s="138">
        <v>1997</v>
      </c>
      <c r="B15" s="167">
        <v>4180</v>
      </c>
      <c r="C15" s="167">
        <f t="shared" si="0"/>
        <v>0.7423062200956938</v>
      </c>
      <c r="D15" s="167">
        <v>2300</v>
      </c>
      <c r="E15" s="12" t="s">
        <v>22</v>
      </c>
      <c r="F15" s="167">
        <v>552.84</v>
      </c>
      <c r="G15" s="128" t="s">
        <v>73</v>
      </c>
      <c r="H15" s="167">
        <v>250</v>
      </c>
      <c r="I15" s="128" t="s">
        <v>24</v>
      </c>
    </row>
    <row r="16" spans="1:9" x14ac:dyDescent="0.25">
      <c r="A16" s="138">
        <v>1998</v>
      </c>
      <c r="B16" s="167">
        <v>4430</v>
      </c>
      <c r="C16" s="167">
        <f t="shared" si="0"/>
        <v>0.71897110609480808</v>
      </c>
      <c r="D16" s="167">
        <v>2350</v>
      </c>
      <c r="E16" s="12" t="s">
        <v>22</v>
      </c>
      <c r="F16" s="167">
        <v>598.04200000000003</v>
      </c>
      <c r="G16" s="12" t="s">
        <v>73</v>
      </c>
      <c r="H16" s="167">
        <v>237</v>
      </c>
      <c r="I16" s="128" t="s">
        <v>118</v>
      </c>
    </row>
    <row r="17" spans="1:9" x14ac:dyDescent="0.25">
      <c r="A17" s="138">
        <v>1999</v>
      </c>
      <c r="B17" s="167">
        <v>4300</v>
      </c>
      <c r="C17" s="167">
        <f t="shared" si="0"/>
        <v>0.73823046511627899</v>
      </c>
      <c r="D17" s="167">
        <v>2400</v>
      </c>
      <c r="E17" s="12" t="s">
        <v>22</v>
      </c>
      <c r="F17" s="167">
        <v>557.11099999999999</v>
      </c>
      <c r="G17" s="12" t="s">
        <v>73</v>
      </c>
      <c r="H17" s="167">
        <v>217.28</v>
      </c>
      <c r="I17" s="128" t="s">
        <v>118</v>
      </c>
    </row>
    <row r="18" spans="1:9" x14ac:dyDescent="0.25">
      <c r="A18" s="138">
        <v>2000</v>
      </c>
      <c r="B18" s="167">
        <v>4450</v>
      </c>
      <c r="C18" s="167">
        <f t="shared" si="0"/>
        <v>0.74103033707865174</v>
      </c>
      <c r="D18" s="167">
        <v>2450</v>
      </c>
      <c r="E18" s="12" t="s">
        <v>22</v>
      </c>
      <c r="F18" s="167">
        <v>635.23</v>
      </c>
      <c r="G18" s="12" t="s">
        <v>73</v>
      </c>
      <c r="H18" s="167">
        <v>212.35499999999999</v>
      </c>
      <c r="I18" s="128" t="s">
        <v>118</v>
      </c>
    </row>
    <row r="19" spans="1:9" x14ac:dyDescent="0.25">
      <c r="A19" s="138">
        <v>2001</v>
      </c>
      <c r="B19" s="167">
        <v>4590</v>
      </c>
      <c r="C19" s="167">
        <f t="shared" si="0"/>
        <v>0.73103877995642697</v>
      </c>
      <c r="D19" s="167">
        <v>2450</v>
      </c>
      <c r="E19" s="12" t="s">
        <v>22</v>
      </c>
      <c r="F19" s="167">
        <v>619.46799999999996</v>
      </c>
      <c r="G19" s="12" t="s">
        <v>73</v>
      </c>
      <c r="H19" s="167">
        <v>286</v>
      </c>
      <c r="I19" s="128" t="s">
        <v>118</v>
      </c>
    </row>
    <row r="20" spans="1:9" x14ac:dyDescent="0.25">
      <c r="A20" s="138">
        <v>2002</v>
      </c>
      <c r="B20" s="167">
        <v>4450</v>
      </c>
      <c r="C20" s="167">
        <f t="shared" si="0"/>
        <v>0.74145550561797757</v>
      </c>
      <c r="D20" s="167">
        <v>2450</v>
      </c>
      <c r="E20" s="12" t="s">
        <v>22</v>
      </c>
      <c r="F20" s="167">
        <v>622.47699999999998</v>
      </c>
      <c r="G20" s="12" t="s">
        <v>73</v>
      </c>
      <c r="H20" s="167">
        <v>227</v>
      </c>
      <c r="I20" s="128" t="s">
        <v>118</v>
      </c>
    </row>
    <row r="21" spans="1:9" x14ac:dyDescent="0.25">
      <c r="A21" s="138">
        <v>2003</v>
      </c>
      <c r="B21" s="167">
        <v>4850</v>
      </c>
      <c r="C21" s="167">
        <f t="shared" si="0"/>
        <v>0.95696041237113405</v>
      </c>
      <c r="D21" s="167">
        <v>3650</v>
      </c>
      <c r="E21" s="12" t="s">
        <v>22</v>
      </c>
      <c r="F21" s="167">
        <v>756.25800000000004</v>
      </c>
      <c r="G21" s="12" t="s">
        <v>73</v>
      </c>
      <c r="H21" s="167">
        <v>235</v>
      </c>
      <c r="I21" s="128" t="s">
        <v>118</v>
      </c>
    </row>
    <row r="22" spans="1:9" x14ac:dyDescent="0.25">
      <c r="A22" s="138">
        <v>2004</v>
      </c>
      <c r="B22" s="167">
        <v>5220</v>
      </c>
      <c r="C22" s="167">
        <f t="shared" si="0"/>
        <v>0.74666628352490427</v>
      </c>
      <c r="D22" s="167">
        <v>2700</v>
      </c>
      <c r="E22" s="12" t="s">
        <v>22</v>
      </c>
      <c r="F22" s="167">
        <v>842.69799999999998</v>
      </c>
      <c r="G22" s="12" t="s">
        <v>73</v>
      </c>
      <c r="H22" s="167">
        <v>354.9</v>
      </c>
      <c r="I22" s="128" t="s">
        <v>150</v>
      </c>
    </row>
    <row r="23" spans="1:9" x14ac:dyDescent="0.25">
      <c r="A23" s="138">
        <v>2005</v>
      </c>
      <c r="B23" s="167">
        <v>5360</v>
      </c>
      <c r="C23" s="167">
        <f t="shared" si="0"/>
        <v>0.75428171641791042</v>
      </c>
      <c r="D23" s="167">
        <v>2800</v>
      </c>
      <c r="E23" s="12" t="s">
        <v>22</v>
      </c>
      <c r="F23" s="167">
        <v>875.45</v>
      </c>
      <c r="G23" s="12" t="s">
        <v>73</v>
      </c>
      <c r="H23" s="167">
        <v>367.5</v>
      </c>
      <c r="I23" s="128" t="s">
        <v>150</v>
      </c>
    </row>
    <row r="24" spans="1:9" x14ac:dyDescent="0.25">
      <c r="A24" s="138">
        <v>2006</v>
      </c>
      <c r="B24" s="167">
        <v>5660</v>
      </c>
      <c r="C24" s="167">
        <f t="shared" si="0"/>
        <v>0.77450530035335685</v>
      </c>
      <c r="D24" s="167">
        <v>3100</v>
      </c>
      <c r="E24" s="12" t="s">
        <v>22</v>
      </c>
      <c r="F24" s="167">
        <v>936</v>
      </c>
      <c r="G24" s="12" t="s">
        <v>73</v>
      </c>
      <c r="H24" s="167">
        <v>347.7</v>
      </c>
      <c r="I24" s="128" t="s">
        <v>150</v>
      </c>
    </row>
    <row r="25" spans="1:9" x14ac:dyDescent="0.25">
      <c r="A25" s="138" t="s">
        <v>4</v>
      </c>
      <c r="B25" s="167">
        <v>5730</v>
      </c>
      <c r="C25" s="167">
        <f t="shared" si="0"/>
        <v>0.78322862129144843</v>
      </c>
      <c r="D25" s="167">
        <v>3200</v>
      </c>
      <c r="E25" s="12" t="s">
        <v>22</v>
      </c>
      <c r="F25" s="167">
        <v>933</v>
      </c>
      <c r="G25" s="12" t="s">
        <v>73</v>
      </c>
      <c r="H25" s="167">
        <v>354.9</v>
      </c>
      <c r="I25" s="128" t="s">
        <v>150</v>
      </c>
    </row>
    <row r="26" spans="1:9" x14ac:dyDescent="0.25">
      <c r="A26" s="138" t="s">
        <v>5</v>
      </c>
      <c r="B26" s="167">
        <v>6000</v>
      </c>
      <c r="C26" s="167">
        <f t="shared" si="0"/>
        <v>0.77374149999999997</v>
      </c>
      <c r="D26" s="167">
        <v>3250</v>
      </c>
      <c r="E26" s="12" t="s">
        <v>22</v>
      </c>
      <c r="F26" s="167">
        <v>1057.6489999999999</v>
      </c>
      <c r="G26" s="12" t="s">
        <v>73</v>
      </c>
      <c r="H26" s="167">
        <v>334.8</v>
      </c>
      <c r="I26" s="128" t="s">
        <v>150</v>
      </c>
    </row>
    <row r="27" spans="1:9" x14ac:dyDescent="0.25">
      <c r="A27" s="138" t="s">
        <v>6</v>
      </c>
      <c r="B27" s="167">
        <v>5550</v>
      </c>
      <c r="C27" s="167">
        <f t="shared" si="0"/>
        <v>0.79450450450450461</v>
      </c>
      <c r="D27" s="167">
        <v>2900</v>
      </c>
      <c r="E27" s="12" t="s">
        <v>22</v>
      </c>
      <c r="F27" s="167">
        <v>1050</v>
      </c>
      <c r="G27" s="12" t="s">
        <v>73</v>
      </c>
      <c r="H27" s="167">
        <v>459.5</v>
      </c>
      <c r="I27" s="128" t="s">
        <v>150</v>
      </c>
    </row>
    <row r="28" spans="1:9" x14ac:dyDescent="0.25">
      <c r="A28" s="138" t="s">
        <v>7</v>
      </c>
      <c r="B28" s="167">
        <v>6010</v>
      </c>
      <c r="C28" s="167">
        <f t="shared" si="0"/>
        <v>0.7970049916805324</v>
      </c>
      <c r="D28" s="167">
        <v>3300</v>
      </c>
      <c r="E28" s="12" t="s">
        <v>22</v>
      </c>
      <c r="F28" s="167">
        <v>1070</v>
      </c>
      <c r="G28" s="12" t="s">
        <v>73</v>
      </c>
      <c r="H28" s="167">
        <v>420</v>
      </c>
      <c r="I28" s="128" t="s">
        <v>150</v>
      </c>
    </row>
    <row r="31" spans="1:9" x14ac:dyDescent="0.25">
      <c r="E31" s="10"/>
      <c r="F31" s="54"/>
    </row>
    <row r="32" spans="1:9" x14ac:dyDescent="0.25">
      <c r="E32" s="10"/>
      <c r="F32" s="54"/>
    </row>
    <row r="33" spans="5:6" x14ac:dyDescent="0.25">
      <c r="E33" s="10"/>
      <c r="F33" s="54"/>
    </row>
    <row r="34" spans="5:6" x14ac:dyDescent="0.25">
      <c r="E34" s="10"/>
      <c r="F34" s="54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66" customWidth="1"/>
    <col min="3" max="3" width="15" style="68" customWidth="1"/>
    <col min="4" max="4" width="13.28515625" style="69" customWidth="1"/>
    <col min="5" max="5" width="13.28515625" style="68" customWidth="1"/>
    <col min="6" max="6" width="13.28515625" style="69" customWidth="1"/>
    <col min="7" max="7" width="13.28515625" style="68" customWidth="1"/>
    <col min="8" max="8" width="13.28515625" style="69" customWidth="1"/>
    <col min="9" max="9" width="13.28515625" customWidth="1"/>
  </cols>
  <sheetData>
    <row r="1" spans="1:9" ht="15" customHeight="1" x14ac:dyDescent="0.25">
      <c r="A1" s="278" t="s">
        <v>408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3"/>
      <c r="C3" s="63"/>
      <c r="D3" s="64"/>
      <c r="E3" s="63"/>
      <c r="F3" s="64"/>
      <c r="G3" s="63"/>
      <c r="H3" s="64"/>
      <c r="I3" s="6"/>
    </row>
    <row r="4" spans="1:9" x14ac:dyDescent="0.25">
      <c r="A4" s="5"/>
      <c r="B4" s="63"/>
      <c r="C4" s="63"/>
      <c r="D4" s="64"/>
      <c r="E4" s="63"/>
      <c r="F4" s="64"/>
      <c r="G4" s="63"/>
      <c r="H4" s="64"/>
      <c r="I4" s="6"/>
    </row>
    <row r="5" spans="1:9" x14ac:dyDescent="0.25">
      <c r="A5" s="105"/>
      <c r="B5" s="283" t="s">
        <v>19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369</v>
      </c>
      <c r="C6" s="282" t="s">
        <v>299</v>
      </c>
      <c r="D6" s="271" t="s">
        <v>275</v>
      </c>
      <c r="E6" s="271"/>
      <c r="F6" s="288" t="s">
        <v>32</v>
      </c>
      <c r="G6" s="288"/>
      <c r="H6" s="288" t="s">
        <v>33</v>
      </c>
      <c r="I6" s="288"/>
    </row>
    <row r="7" spans="1:9" s="11" customFormat="1" ht="38.25" x14ac:dyDescent="0.25">
      <c r="A7" s="100" t="s">
        <v>368</v>
      </c>
      <c r="B7" s="281"/>
      <c r="C7" s="281"/>
      <c r="D7" s="100" t="s">
        <v>136</v>
      </c>
      <c r="E7" s="102" t="s">
        <v>3</v>
      </c>
      <c r="F7" s="100" t="s">
        <v>136</v>
      </c>
      <c r="G7" s="102" t="s">
        <v>3</v>
      </c>
      <c r="H7" s="100" t="s">
        <v>136</v>
      </c>
      <c r="I7" s="65" t="s">
        <v>3</v>
      </c>
    </row>
    <row r="8" spans="1:9" x14ac:dyDescent="0.25">
      <c r="A8" s="138">
        <v>1990</v>
      </c>
      <c r="B8" s="174">
        <v>3.6999999999999998E-2</v>
      </c>
      <c r="C8" s="167">
        <f t="shared" ref="C8:C28" si="0">(+D8/B8)+(+F8/B8)+(+H8/B8)</f>
        <v>0.78378378378378388</v>
      </c>
      <c r="D8" s="174">
        <v>1.4999999999999999E-2</v>
      </c>
      <c r="E8" s="67" t="s">
        <v>27</v>
      </c>
      <c r="F8" s="174">
        <v>8.0000000000000002E-3</v>
      </c>
      <c r="G8" s="67" t="s">
        <v>57</v>
      </c>
      <c r="H8" s="174">
        <v>6.0000000000000001E-3</v>
      </c>
      <c r="I8" s="175" t="s">
        <v>29</v>
      </c>
    </row>
    <row r="9" spans="1:9" x14ac:dyDescent="0.25">
      <c r="A9" s="138">
        <v>1991</v>
      </c>
      <c r="B9" s="174">
        <v>4.3099999999999999E-2</v>
      </c>
      <c r="C9" s="167">
        <f t="shared" si="0"/>
        <v>0.6682134570765661</v>
      </c>
      <c r="D9" s="174">
        <v>1.4500000000000001E-2</v>
      </c>
      <c r="E9" s="67" t="s">
        <v>27</v>
      </c>
      <c r="F9" s="174">
        <v>7.3000000000000001E-3</v>
      </c>
      <c r="G9" s="67" t="s">
        <v>22</v>
      </c>
      <c r="H9" s="174">
        <v>7.0000000000000001E-3</v>
      </c>
      <c r="I9" s="175" t="s">
        <v>57</v>
      </c>
    </row>
    <row r="10" spans="1:9" x14ac:dyDescent="0.25">
      <c r="A10" s="138">
        <v>1992</v>
      </c>
      <c r="B10" s="174">
        <v>4.1000000000000002E-2</v>
      </c>
      <c r="C10" s="167">
        <f t="shared" si="0"/>
        <v>0.68292682926829273</v>
      </c>
      <c r="D10" s="174">
        <v>1.2500000000000001E-2</v>
      </c>
      <c r="E10" s="67" t="s">
        <v>27</v>
      </c>
      <c r="F10" s="174">
        <v>9.4999999999999998E-3</v>
      </c>
      <c r="G10" s="67" t="s">
        <v>57</v>
      </c>
      <c r="H10" s="174">
        <v>6.0000000000000001E-3</v>
      </c>
      <c r="I10" s="175" t="s">
        <v>29</v>
      </c>
    </row>
    <row r="11" spans="1:9" x14ac:dyDescent="0.25">
      <c r="A11" s="138">
        <v>1993</v>
      </c>
      <c r="B11" s="174">
        <v>5.0999999999999997E-2</v>
      </c>
      <c r="C11" s="167">
        <f t="shared" si="0"/>
        <v>0.66666666666666674</v>
      </c>
      <c r="D11" s="174">
        <v>1.4999999999999999E-2</v>
      </c>
      <c r="E11" s="67" t="s">
        <v>27</v>
      </c>
      <c r="F11" s="174">
        <v>0.01</v>
      </c>
      <c r="G11" s="67" t="s">
        <v>24</v>
      </c>
      <c r="H11" s="174">
        <v>8.9999999999999993E-3</v>
      </c>
      <c r="I11" s="67" t="s">
        <v>57</v>
      </c>
    </row>
    <row r="12" spans="1:9" x14ac:dyDescent="0.25">
      <c r="A12" s="138">
        <v>1994</v>
      </c>
      <c r="B12" s="174">
        <v>5.2999999999999999E-2</v>
      </c>
      <c r="C12" s="167">
        <f t="shared" si="0"/>
        <v>0.75471698113207553</v>
      </c>
      <c r="D12" s="174">
        <v>1.7999999999999999E-2</v>
      </c>
      <c r="E12" s="67" t="s">
        <v>27</v>
      </c>
      <c r="F12" s="174">
        <v>1.2E-2</v>
      </c>
      <c r="G12" s="67" t="s">
        <v>57</v>
      </c>
      <c r="H12" s="174">
        <v>0.01</v>
      </c>
      <c r="I12" s="67" t="s">
        <v>24</v>
      </c>
    </row>
    <row r="13" spans="1:9" x14ac:dyDescent="0.25">
      <c r="A13" s="138">
        <v>1995</v>
      </c>
      <c r="B13" s="174">
        <v>6.1499999999999999E-2</v>
      </c>
      <c r="C13" s="167">
        <f t="shared" si="0"/>
        <v>0.69918699186991873</v>
      </c>
      <c r="D13" s="174">
        <v>0.02</v>
      </c>
      <c r="E13" s="67" t="s">
        <v>27</v>
      </c>
      <c r="F13" s="174">
        <v>1.2999999999999999E-2</v>
      </c>
      <c r="G13" s="175" t="s">
        <v>24</v>
      </c>
      <c r="H13" s="174">
        <v>0.01</v>
      </c>
      <c r="I13" s="175" t="s">
        <v>57</v>
      </c>
    </row>
    <row r="14" spans="1:9" x14ac:dyDescent="0.25">
      <c r="A14" s="138">
        <v>1996</v>
      </c>
      <c r="B14" s="174">
        <v>5.3999999999999999E-2</v>
      </c>
      <c r="C14" s="167">
        <f t="shared" si="0"/>
        <v>0.77777777777777779</v>
      </c>
      <c r="D14" s="174">
        <v>2.5000000000000001E-2</v>
      </c>
      <c r="E14" s="67" t="s">
        <v>27</v>
      </c>
      <c r="F14" s="174">
        <v>8.9999999999999993E-3</v>
      </c>
      <c r="G14" s="175" t="s">
        <v>57</v>
      </c>
      <c r="H14" s="174">
        <v>8.0000000000000002E-3</v>
      </c>
      <c r="I14" s="175" t="s">
        <v>24</v>
      </c>
    </row>
    <row r="15" spans="1:9" x14ac:dyDescent="0.25">
      <c r="A15" s="138">
        <v>1997</v>
      </c>
      <c r="B15" s="174">
        <v>7.4499999999999997E-2</v>
      </c>
      <c r="C15" s="167">
        <f t="shared" si="0"/>
        <v>0.75167785234899331</v>
      </c>
      <c r="D15" s="174">
        <v>2.5000000000000001E-2</v>
      </c>
      <c r="E15" s="67" t="s">
        <v>57</v>
      </c>
      <c r="F15" s="174">
        <v>1.7999999999999999E-2</v>
      </c>
      <c r="G15" s="175" t="s">
        <v>79</v>
      </c>
      <c r="H15" s="174">
        <v>1.2999999999999999E-2</v>
      </c>
      <c r="I15" s="175" t="s">
        <v>24</v>
      </c>
    </row>
    <row r="16" spans="1:9" x14ac:dyDescent="0.25">
      <c r="A16" s="138">
        <v>1998</v>
      </c>
      <c r="B16" s="174">
        <v>9.3299999999999994E-2</v>
      </c>
      <c r="C16" s="167">
        <f t="shared" si="0"/>
        <v>0.79314040728831725</v>
      </c>
      <c r="D16" s="174">
        <v>0.03</v>
      </c>
      <c r="E16" s="67" t="s">
        <v>79</v>
      </c>
      <c r="F16" s="174">
        <v>2.9000000000000001E-2</v>
      </c>
      <c r="G16" s="67" t="s">
        <v>57</v>
      </c>
      <c r="H16" s="174">
        <v>1.4999999999999999E-2</v>
      </c>
      <c r="I16" s="175" t="s">
        <v>24</v>
      </c>
    </row>
    <row r="17" spans="1:9" x14ac:dyDescent="0.25">
      <c r="A17" s="138">
        <v>1999</v>
      </c>
      <c r="B17" s="174">
        <v>7.4499999999999997E-2</v>
      </c>
      <c r="C17" s="167">
        <f t="shared" si="0"/>
        <v>0.75167785234899331</v>
      </c>
      <c r="D17" s="174">
        <v>2.5999999999999999E-2</v>
      </c>
      <c r="E17" s="67" t="s">
        <v>57</v>
      </c>
      <c r="F17" s="174">
        <v>2.1000000000000001E-2</v>
      </c>
      <c r="G17" s="67" t="s">
        <v>79</v>
      </c>
      <c r="H17" s="174">
        <v>8.9999999999999993E-3</v>
      </c>
      <c r="I17" s="175" t="s">
        <v>24</v>
      </c>
    </row>
    <row r="18" spans="1:9" x14ac:dyDescent="0.25">
      <c r="A18" s="138">
        <v>2000</v>
      </c>
      <c r="B18" s="174">
        <v>9.2999999999999999E-2</v>
      </c>
      <c r="C18" s="167">
        <f t="shared" si="0"/>
        <v>0.72795698924731178</v>
      </c>
      <c r="D18" s="174">
        <v>3.5000000000000003E-2</v>
      </c>
      <c r="E18" s="67" t="s">
        <v>57</v>
      </c>
      <c r="F18" s="174">
        <v>1.8699999999999998E-2</v>
      </c>
      <c r="G18" s="175" t="s">
        <v>79</v>
      </c>
      <c r="H18" s="174">
        <v>1.4E-2</v>
      </c>
      <c r="I18" s="175" t="s">
        <v>29</v>
      </c>
    </row>
    <row r="19" spans="1:9" x14ac:dyDescent="0.25">
      <c r="A19" s="138">
        <v>2001</v>
      </c>
      <c r="B19" s="174">
        <v>7.4999999999999997E-2</v>
      </c>
      <c r="C19" s="167">
        <f t="shared" si="0"/>
        <v>0.69333333333333336</v>
      </c>
      <c r="D19" s="174">
        <v>0.02</v>
      </c>
      <c r="E19" s="67" t="s">
        <v>22</v>
      </c>
      <c r="F19" s="174">
        <v>0.02</v>
      </c>
      <c r="G19" s="67" t="s">
        <v>57</v>
      </c>
      <c r="H19" s="174">
        <v>1.2E-2</v>
      </c>
      <c r="I19" s="175" t="s">
        <v>79</v>
      </c>
    </row>
    <row r="20" spans="1:9" x14ac:dyDescent="0.25">
      <c r="A20" s="138">
        <v>2002</v>
      </c>
      <c r="B20" s="174">
        <v>6.7000000000000004E-2</v>
      </c>
      <c r="C20" s="167">
        <f t="shared" si="0"/>
        <v>0.67164179104477606</v>
      </c>
      <c r="D20" s="174">
        <v>0.02</v>
      </c>
      <c r="E20" s="67" t="s">
        <v>22</v>
      </c>
      <c r="F20" s="174">
        <v>1.4999999999999999E-2</v>
      </c>
      <c r="G20" s="67" t="s">
        <v>57</v>
      </c>
      <c r="H20" s="174">
        <v>0.01</v>
      </c>
      <c r="I20" s="175" t="s">
        <v>24</v>
      </c>
    </row>
    <row r="21" spans="1:9" x14ac:dyDescent="0.25">
      <c r="A21" s="138">
        <v>2003</v>
      </c>
      <c r="B21" s="174">
        <v>7.0999999999999994E-2</v>
      </c>
      <c r="C21" s="167">
        <f t="shared" si="0"/>
        <v>0.63380281690140849</v>
      </c>
      <c r="D21" s="174">
        <v>1.4999999999999999E-2</v>
      </c>
      <c r="E21" s="67" t="s">
        <v>22</v>
      </c>
      <c r="F21" s="174">
        <v>1.4999999999999999E-2</v>
      </c>
      <c r="G21" s="67" t="s">
        <v>57</v>
      </c>
      <c r="H21" s="174">
        <v>1.4999999999999999E-2</v>
      </c>
      <c r="I21" s="175" t="s">
        <v>79</v>
      </c>
    </row>
    <row r="22" spans="1:9" x14ac:dyDescent="0.25">
      <c r="A22" s="138">
        <v>2004</v>
      </c>
      <c r="B22" s="174">
        <v>6.3E-2</v>
      </c>
      <c r="C22" s="167">
        <f t="shared" si="0"/>
        <v>0.82539682539682535</v>
      </c>
      <c r="D22" s="174">
        <v>2.3E-2</v>
      </c>
      <c r="E22" s="67" t="s">
        <v>22</v>
      </c>
      <c r="F22" s="174">
        <v>1.9E-2</v>
      </c>
      <c r="G22" s="67" t="s">
        <v>57</v>
      </c>
      <c r="H22" s="174">
        <v>0.01</v>
      </c>
      <c r="I22" s="175" t="s">
        <v>42</v>
      </c>
    </row>
    <row r="23" spans="1:9" x14ac:dyDescent="0.25">
      <c r="A23" s="138">
        <v>2005</v>
      </c>
      <c r="B23" s="174">
        <v>7.2999999999999995E-2</v>
      </c>
      <c r="C23" s="167">
        <f t="shared" si="0"/>
        <v>0.64657534246575343</v>
      </c>
      <c r="D23" s="174">
        <v>2.2200000000000001E-2</v>
      </c>
      <c r="E23" s="67" t="s">
        <v>22</v>
      </c>
      <c r="F23" s="174">
        <v>1.4999999999999999E-2</v>
      </c>
      <c r="G23" s="67" t="s">
        <v>57</v>
      </c>
      <c r="H23" s="174">
        <v>0.01</v>
      </c>
      <c r="I23" s="175" t="s">
        <v>42</v>
      </c>
    </row>
    <row r="24" spans="1:9" x14ac:dyDescent="0.25">
      <c r="A24" s="138">
        <v>2006</v>
      </c>
      <c r="B24" s="174">
        <v>7.9000000000000001E-2</v>
      </c>
      <c r="C24" s="167">
        <f t="shared" si="0"/>
        <v>0.63924050632911389</v>
      </c>
      <c r="D24" s="174">
        <v>2.5499999999999998E-2</v>
      </c>
      <c r="E24" s="67" t="s">
        <v>22</v>
      </c>
      <c r="F24" s="174">
        <v>1.4999999999999999E-2</v>
      </c>
      <c r="G24" s="67" t="s">
        <v>57</v>
      </c>
      <c r="H24" s="174">
        <v>0.01</v>
      </c>
      <c r="I24" s="175" t="s">
        <v>42</v>
      </c>
    </row>
    <row r="25" spans="1:9" x14ac:dyDescent="0.25">
      <c r="A25" s="138" t="s">
        <v>4</v>
      </c>
      <c r="B25" s="174">
        <v>9.5000000000000001E-2</v>
      </c>
      <c r="C25" s="167">
        <f t="shared" si="0"/>
        <v>0.66526315789473678</v>
      </c>
      <c r="D25" s="174">
        <v>3.32E-2</v>
      </c>
      <c r="E25" s="67" t="s">
        <v>22</v>
      </c>
      <c r="F25" s="174">
        <v>1.4999999999999999E-2</v>
      </c>
      <c r="G25" s="67" t="s">
        <v>57</v>
      </c>
      <c r="H25" s="174">
        <v>1.4999999999999999E-2</v>
      </c>
      <c r="I25" s="175" t="s">
        <v>79</v>
      </c>
    </row>
    <row r="26" spans="1:9" x14ac:dyDescent="0.25">
      <c r="A26" s="138" t="s">
        <v>5</v>
      </c>
      <c r="B26" s="174">
        <v>0.111</v>
      </c>
      <c r="C26" s="167">
        <f t="shared" si="0"/>
        <v>0.75045045045045045</v>
      </c>
      <c r="D26" s="174">
        <v>3.9600000000000003E-2</v>
      </c>
      <c r="E26" s="67" t="s">
        <v>22</v>
      </c>
      <c r="F26" s="174">
        <v>2.5000000000000001E-2</v>
      </c>
      <c r="G26" s="67" t="s">
        <v>57</v>
      </c>
      <c r="H26" s="174">
        <v>1.8699999999999998E-2</v>
      </c>
      <c r="I26" s="175" t="s">
        <v>79</v>
      </c>
    </row>
    <row r="27" spans="1:9" x14ac:dyDescent="0.25">
      <c r="A27" s="138" t="s">
        <v>6</v>
      </c>
      <c r="B27" s="174">
        <v>7.9000000000000001E-2</v>
      </c>
      <c r="C27" s="167">
        <f t="shared" si="0"/>
        <v>0.7291139240506328</v>
      </c>
      <c r="D27" s="174">
        <v>2.0899999999999998E-2</v>
      </c>
      <c r="E27" s="67" t="s">
        <v>22</v>
      </c>
      <c r="F27" s="174">
        <v>1.7999999999999999E-2</v>
      </c>
      <c r="G27" s="67" t="s">
        <v>57</v>
      </c>
      <c r="H27" s="174">
        <v>1.8699999999999998E-2</v>
      </c>
      <c r="I27" s="175" t="s">
        <v>79</v>
      </c>
    </row>
    <row r="28" spans="1:9" x14ac:dyDescent="0.25">
      <c r="A28" s="138" t="s">
        <v>7</v>
      </c>
      <c r="B28" s="174">
        <v>0.182</v>
      </c>
      <c r="C28" s="167">
        <f t="shared" si="0"/>
        <v>0.78791208791208789</v>
      </c>
      <c r="D28" s="174">
        <v>9.3200000000000005E-2</v>
      </c>
      <c r="E28" s="67" t="s">
        <v>22</v>
      </c>
      <c r="F28" s="174">
        <v>3.15E-2</v>
      </c>
      <c r="G28" s="67" t="s">
        <v>57</v>
      </c>
      <c r="H28" s="174">
        <v>1.8699999999999998E-2</v>
      </c>
      <c r="I28" s="175" t="s">
        <v>79</v>
      </c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3.285156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409</v>
      </c>
      <c r="B1" s="278"/>
      <c r="C1" s="278"/>
      <c r="D1" s="278"/>
      <c r="E1" s="278"/>
      <c r="F1" s="278"/>
      <c r="G1" s="278"/>
      <c r="H1" s="278"/>
      <c r="I1" s="111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111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20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9" t="s">
        <v>392</v>
      </c>
      <c r="C6" s="271" t="s">
        <v>275</v>
      </c>
      <c r="D6" s="271"/>
      <c r="E6" s="279" t="s">
        <v>32</v>
      </c>
      <c r="F6" s="279"/>
      <c r="G6" s="279" t="s">
        <v>33</v>
      </c>
      <c r="H6" s="279"/>
      <c r="I6" s="282"/>
    </row>
    <row r="7" spans="1:9" s="11" customFormat="1" ht="25.5" customHeight="1" x14ac:dyDescent="0.25">
      <c r="A7" s="100" t="s">
        <v>368</v>
      </c>
      <c r="B7" s="290"/>
      <c r="C7" s="100" t="s">
        <v>9</v>
      </c>
      <c r="D7" s="98" t="s">
        <v>3</v>
      </c>
      <c r="E7" s="100" t="s">
        <v>9</v>
      </c>
      <c r="F7" s="98" t="s">
        <v>3</v>
      </c>
      <c r="G7" s="100" t="s">
        <v>9</v>
      </c>
      <c r="H7" s="100" t="s">
        <v>3</v>
      </c>
      <c r="I7" s="281"/>
    </row>
    <row r="8" spans="1:9" x14ac:dyDescent="0.25">
      <c r="A8" s="138">
        <v>2005</v>
      </c>
      <c r="B8" s="167">
        <v>0.09</v>
      </c>
      <c r="C8" s="245" t="s">
        <v>301</v>
      </c>
      <c r="D8" s="12" t="s">
        <v>38</v>
      </c>
      <c r="E8" s="245" t="s">
        <v>301</v>
      </c>
      <c r="F8" s="12" t="s">
        <v>22</v>
      </c>
      <c r="G8" s="167"/>
      <c r="H8" s="128" t="s">
        <v>151</v>
      </c>
      <c r="I8" s="128"/>
    </row>
    <row r="9" spans="1:9" x14ac:dyDescent="0.25">
      <c r="A9" s="138">
        <v>2006</v>
      </c>
      <c r="B9" s="167">
        <v>0.09</v>
      </c>
      <c r="C9" s="245" t="s">
        <v>301</v>
      </c>
      <c r="D9" s="12" t="s">
        <v>38</v>
      </c>
      <c r="E9" s="245" t="s">
        <v>301</v>
      </c>
      <c r="F9" s="12" t="s">
        <v>22</v>
      </c>
      <c r="G9" s="167"/>
      <c r="H9" s="128" t="s">
        <v>151</v>
      </c>
      <c r="I9" s="128"/>
    </row>
    <row r="10" spans="1:9" x14ac:dyDescent="0.25">
      <c r="A10" s="138" t="s">
        <v>4</v>
      </c>
      <c r="B10" s="167">
        <v>0.1</v>
      </c>
      <c r="C10" s="245" t="s">
        <v>301</v>
      </c>
      <c r="D10" s="12" t="s">
        <v>22</v>
      </c>
      <c r="E10" s="245" t="s">
        <v>301</v>
      </c>
      <c r="F10" s="12" t="s">
        <v>38</v>
      </c>
      <c r="G10" s="167"/>
      <c r="H10" s="128" t="s">
        <v>151</v>
      </c>
      <c r="I10" s="128"/>
    </row>
    <row r="11" spans="1:9" x14ac:dyDescent="0.25">
      <c r="A11" s="138" t="s">
        <v>5</v>
      </c>
      <c r="B11" s="167">
        <v>0.14000000000000001</v>
      </c>
      <c r="C11" s="245" t="s">
        <v>301</v>
      </c>
      <c r="D11" s="12" t="s">
        <v>22</v>
      </c>
      <c r="E11" s="245" t="s">
        <v>301</v>
      </c>
      <c r="F11" s="12" t="s">
        <v>38</v>
      </c>
      <c r="G11" s="167"/>
      <c r="H11" s="128" t="s">
        <v>151</v>
      </c>
      <c r="I11" s="128"/>
    </row>
    <row r="12" spans="1:9" x14ac:dyDescent="0.25">
      <c r="A12" s="138" t="s">
        <v>6</v>
      </c>
      <c r="B12" s="167">
        <v>0.12</v>
      </c>
      <c r="C12" s="245" t="s">
        <v>301</v>
      </c>
      <c r="D12" s="12" t="s">
        <v>22</v>
      </c>
      <c r="E12" s="245" t="s">
        <v>301</v>
      </c>
      <c r="F12" s="12" t="s">
        <v>38</v>
      </c>
      <c r="G12" s="167"/>
      <c r="H12" s="128" t="s">
        <v>151</v>
      </c>
      <c r="I12" s="128"/>
    </row>
    <row r="13" spans="1:9" x14ac:dyDescent="0.25">
      <c r="A13" s="138" t="s">
        <v>7</v>
      </c>
      <c r="B13" s="167">
        <v>0.11799999999999999</v>
      </c>
      <c r="C13" s="245" t="s">
        <v>301</v>
      </c>
      <c r="D13" s="12" t="s">
        <v>22</v>
      </c>
      <c r="E13" s="245" t="s">
        <v>301</v>
      </c>
      <c r="F13" s="12" t="s">
        <v>38</v>
      </c>
      <c r="G13" s="167"/>
      <c r="H13" s="128" t="s">
        <v>151</v>
      </c>
      <c r="I13" s="128"/>
    </row>
    <row r="14" spans="1:9" x14ac:dyDescent="0.25">
      <c r="A14" s="141"/>
      <c r="B14" s="167"/>
      <c r="C14" s="141"/>
      <c r="D14" s="138"/>
      <c r="E14" s="141"/>
      <c r="F14" s="138"/>
      <c r="G14" s="141"/>
      <c r="H14" s="138"/>
      <c r="I14" s="141"/>
    </row>
    <row r="15" spans="1:9" x14ac:dyDescent="0.25">
      <c r="A15" s="141" t="s">
        <v>615</v>
      </c>
      <c r="B15" s="167"/>
      <c r="C15" s="141"/>
      <c r="D15" s="138"/>
      <c r="E15" s="141"/>
      <c r="F15" s="138"/>
      <c r="G15" s="141"/>
      <c r="H15" s="138"/>
      <c r="I15" s="141"/>
    </row>
    <row r="16" spans="1:9" x14ac:dyDescent="0.25">
      <c r="E16" s="10"/>
      <c r="F16" s="54"/>
    </row>
    <row r="17" spans="5:6" x14ac:dyDescent="0.25">
      <c r="E17" s="10"/>
      <c r="F17" s="54"/>
    </row>
    <row r="18" spans="5:6" x14ac:dyDescent="0.25">
      <c r="E18" s="10"/>
      <c r="F18" s="54"/>
    </row>
    <row r="19" spans="5:6" x14ac:dyDescent="0.25">
      <c r="E19" s="10"/>
      <c r="F19" s="54"/>
    </row>
  </sheetData>
  <mergeCells count="7">
    <mergeCell ref="A1:H2"/>
    <mergeCell ref="B5:I5"/>
    <mergeCell ref="C6:D6"/>
    <mergeCell ref="E6:F6"/>
    <mergeCell ref="G6:H6"/>
    <mergeCell ref="I6:I7"/>
    <mergeCell ref="B6:B7"/>
  </mergeCells>
  <pageMargins left="1" right="1" top="1" bottom="1" header="0" footer="0"/>
  <pageSetup scale="9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A90" sqref="A90"/>
    </sheetView>
  </sheetViews>
  <sheetFormatPr defaultRowHeight="15" x14ac:dyDescent="0.25"/>
  <cols>
    <col min="1" max="1" width="13.140625" customWidth="1"/>
    <col min="2" max="2" width="13.28515625" style="59" customWidth="1"/>
    <col min="3" max="3" width="13.8554687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410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21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9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90"/>
      <c r="C7" s="281"/>
      <c r="D7" s="104" t="s">
        <v>8</v>
      </c>
      <c r="E7" s="98" t="s">
        <v>3</v>
      </c>
      <c r="F7" s="104" t="s">
        <v>8</v>
      </c>
      <c r="G7" s="98" t="s">
        <v>3</v>
      </c>
      <c r="H7" s="104" t="s">
        <v>8</v>
      </c>
      <c r="I7" s="100" t="s">
        <v>3</v>
      </c>
    </row>
    <row r="8" spans="1:9" x14ac:dyDescent="0.25">
      <c r="A8" s="138">
        <v>1990</v>
      </c>
      <c r="B8" s="167">
        <v>2.1800000000000002</v>
      </c>
      <c r="C8" s="167">
        <f t="shared" ref="C8:C28" si="0">(+D8/B8)+(+F8/B8)+(+H8/B8)</f>
        <v>0.52798165137614672</v>
      </c>
      <c r="D8" s="167">
        <v>0.60499999999999998</v>
      </c>
      <c r="E8" s="12" t="s">
        <v>118</v>
      </c>
      <c r="F8" s="167">
        <v>0.30199999999999999</v>
      </c>
      <c r="G8" s="12" t="s">
        <v>37</v>
      </c>
      <c r="H8" s="167">
        <v>0.24399999999999999</v>
      </c>
      <c r="I8" s="128" t="s">
        <v>27</v>
      </c>
    </row>
    <row r="9" spans="1:9" x14ac:dyDescent="0.25">
      <c r="A9" s="138">
        <v>1991</v>
      </c>
      <c r="B9" s="167">
        <v>2.19</v>
      </c>
      <c r="C9" s="167">
        <f t="shared" si="0"/>
        <v>0.49817351598173515</v>
      </c>
      <c r="D9" s="167">
        <v>0.60099999999999998</v>
      </c>
      <c r="E9" s="12" t="s">
        <v>118</v>
      </c>
      <c r="F9" s="167">
        <v>0.26</v>
      </c>
      <c r="G9" s="12" t="s">
        <v>37</v>
      </c>
      <c r="H9" s="167">
        <v>0.23</v>
      </c>
      <c r="I9" s="128" t="s">
        <v>27</v>
      </c>
    </row>
    <row r="10" spans="1:9" x14ac:dyDescent="0.25">
      <c r="A10" s="138">
        <v>1992</v>
      </c>
      <c r="B10" s="167">
        <v>2.29</v>
      </c>
      <c r="C10" s="167">
        <f t="shared" si="0"/>
        <v>0.4410043668122271</v>
      </c>
      <c r="D10" s="167">
        <v>0.61399999999999999</v>
      </c>
      <c r="E10" s="12" t="s">
        <v>118</v>
      </c>
      <c r="F10" s="167">
        <v>0.24299999999999999</v>
      </c>
      <c r="G10" s="12" t="s">
        <v>27</v>
      </c>
      <c r="H10" s="167">
        <v>0.15290000000000001</v>
      </c>
      <c r="I10" s="128" t="s">
        <v>38</v>
      </c>
    </row>
    <row r="11" spans="1:9" x14ac:dyDescent="0.25">
      <c r="A11" s="138">
        <v>1993</v>
      </c>
      <c r="B11" s="167">
        <v>2.2799999999999998</v>
      </c>
      <c r="C11" s="167">
        <f t="shared" si="0"/>
        <v>0.4456140350877193</v>
      </c>
      <c r="D11" s="167">
        <v>0.61899999999999999</v>
      </c>
      <c r="E11" s="12" t="s">
        <v>118</v>
      </c>
      <c r="F11" s="167">
        <v>0.247</v>
      </c>
      <c r="G11" s="12" t="s">
        <v>27</v>
      </c>
      <c r="H11" s="167">
        <v>0.15</v>
      </c>
      <c r="I11" s="128" t="s">
        <v>24</v>
      </c>
    </row>
    <row r="12" spans="1:9" x14ac:dyDescent="0.25">
      <c r="A12" s="138">
        <v>1994</v>
      </c>
      <c r="B12" s="167">
        <v>2.27</v>
      </c>
      <c r="C12" s="167">
        <f t="shared" si="0"/>
        <v>0.43286343612334804</v>
      </c>
      <c r="D12" s="167">
        <v>0.57999999999999996</v>
      </c>
      <c r="E12" s="12" t="s">
        <v>118</v>
      </c>
      <c r="F12" s="167">
        <v>0.25619999999999998</v>
      </c>
      <c r="G12" s="12" t="s">
        <v>27</v>
      </c>
      <c r="H12" s="167">
        <v>0.1464</v>
      </c>
      <c r="I12" s="12" t="s">
        <v>38</v>
      </c>
    </row>
    <row r="13" spans="1:9" x14ac:dyDescent="0.25">
      <c r="A13" s="138">
        <v>1995</v>
      </c>
      <c r="B13" s="167">
        <v>2.23</v>
      </c>
      <c r="C13" s="167">
        <f t="shared" si="0"/>
        <v>0.41582959641255601</v>
      </c>
      <c r="D13" s="167">
        <v>0.52379999999999993</v>
      </c>
      <c r="E13" s="12" t="s">
        <v>118</v>
      </c>
      <c r="F13" s="167">
        <v>0.2535</v>
      </c>
      <c r="G13" s="128" t="s">
        <v>27</v>
      </c>
      <c r="H13" s="167">
        <v>0.15</v>
      </c>
      <c r="I13" s="128" t="s">
        <v>38</v>
      </c>
    </row>
    <row r="14" spans="1:9" x14ac:dyDescent="0.25">
      <c r="A14" s="138">
        <v>1996</v>
      </c>
      <c r="B14" s="167">
        <v>2.29</v>
      </c>
      <c r="C14" s="167">
        <f t="shared" si="0"/>
        <v>0.41759825327510919</v>
      </c>
      <c r="D14" s="167">
        <v>0.49680000000000002</v>
      </c>
      <c r="E14" s="12" t="s">
        <v>118</v>
      </c>
      <c r="F14" s="167">
        <v>0.28949999999999998</v>
      </c>
      <c r="G14" s="128" t="s">
        <v>27</v>
      </c>
      <c r="H14" s="167">
        <v>0.17</v>
      </c>
      <c r="I14" s="128" t="s">
        <v>38</v>
      </c>
    </row>
    <row r="15" spans="1:9" x14ac:dyDescent="0.25">
      <c r="A15" s="138">
        <v>1997</v>
      </c>
      <c r="B15" s="167">
        <v>2.4500000000000002</v>
      </c>
      <c r="C15" s="167">
        <f t="shared" si="0"/>
        <v>0.40253061224489795</v>
      </c>
      <c r="D15" s="167">
        <v>0.49169999999999997</v>
      </c>
      <c r="E15" s="12" t="s">
        <v>118</v>
      </c>
      <c r="F15" s="167">
        <v>0.3145</v>
      </c>
      <c r="G15" s="128" t="s">
        <v>27</v>
      </c>
      <c r="H15" s="167">
        <v>0.18</v>
      </c>
      <c r="I15" s="128" t="s">
        <v>22</v>
      </c>
    </row>
    <row r="16" spans="1:9" x14ac:dyDescent="0.25">
      <c r="A16" s="138">
        <v>1998</v>
      </c>
      <c r="B16" s="167">
        <v>2.5</v>
      </c>
      <c r="C16" s="167">
        <f t="shared" si="0"/>
        <v>0.381268</v>
      </c>
      <c r="D16" s="167">
        <v>0.46510000000000001</v>
      </c>
      <c r="E16" s="12" t="s">
        <v>118</v>
      </c>
      <c r="F16" s="167">
        <v>0.31007000000000001</v>
      </c>
      <c r="G16" s="12" t="s">
        <v>27</v>
      </c>
      <c r="H16" s="167">
        <v>0.17799999999999999</v>
      </c>
      <c r="I16" s="128" t="s">
        <v>22</v>
      </c>
    </row>
    <row r="17" spans="1:9" x14ac:dyDescent="0.25">
      <c r="A17" s="138">
        <v>1999</v>
      </c>
      <c r="B17" s="167">
        <v>2.57</v>
      </c>
      <c r="C17" s="167">
        <f t="shared" si="0"/>
        <v>0.36006614785992219</v>
      </c>
      <c r="D17" s="167">
        <v>0.45129999999999998</v>
      </c>
      <c r="E17" s="12" t="s">
        <v>118</v>
      </c>
      <c r="F17" s="167">
        <v>0.30107</v>
      </c>
      <c r="G17" s="12" t="s">
        <v>27</v>
      </c>
      <c r="H17" s="167">
        <v>0.17299999999999999</v>
      </c>
      <c r="I17" s="128" t="s">
        <v>22</v>
      </c>
    </row>
    <row r="18" spans="1:9" x14ac:dyDescent="0.25">
      <c r="A18" s="138">
        <v>2000</v>
      </c>
      <c r="B18" s="167">
        <v>2.57</v>
      </c>
      <c r="C18" s="167">
        <f t="shared" si="0"/>
        <v>0.35299999999999998</v>
      </c>
      <c r="D18" s="167">
        <v>0.43080000000000002</v>
      </c>
      <c r="E18" s="12" t="s">
        <v>118</v>
      </c>
      <c r="F18" s="167">
        <v>0.29641000000000001</v>
      </c>
      <c r="G18" s="12" t="s">
        <v>27</v>
      </c>
      <c r="H18" s="167">
        <v>0.18</v>
      </c>
      <c r="I18" s="128" t="s">
        <v>22</v>
      </c>
    </row>
    <row r="19" spans="1:9" x14ac:dyDescent="0.25">
      <c r="A19" s="138">
        <v>2001</v>
      </c>
      <c r="B19" s="167">
        <v>2.56</v>
      </c>
      <c r="C19" s="167">
        <f t="shared" si="0"/>
        <v>0.33782421875000002</v>
      </c>
      <c r="D19" s="167">
        <v>0.39479999999999998</v>
      </c>
      <c r="E19" s="12" t="s">
        <v>118</v>
      </c>
      <c r="F19" s="167">
        <v>0.28503000000000001</v>
      </c>
      <c r="G19" s="12" t="s">
        <v>27</v>
      </c>
      <c r="H19" s="167">
        <v>0.185</v>
      </c>
      <c r="I19" s="128" t="s">
        <v>22</v>
      </c>
    </row>
    <row r="20" spans="1:9" x14ac:dyDescent="0.25">
      <c r="A20" s="138">
        <v>2002</v>
      </c>
      <c r="B20" s="167">
        <v>2.5299999999999998</v>
      </c>
      <c r="C20" s="167">
        <f t="shared" si="0"/>
        <v>0.3385861660079052</v>
      </c>
      <c r="D20" s="167">
        <v>0.39852300000000002</v>
      </c>
      <c r="E20" s="12" t="s">
        <v>118</v>
      </c>
      <c r="F20" s="167">
        <v>0.2661</v>
      </c>
      <c r="G20" s="12" t="s">
        <v>27</v>
      </c>
      <c r="H20" s="167">
        <v>0.192</v>
      </c>
      <c r="I20" s="128" t="s">
        <v>22</v>
      </c>
    </row>
    <row r="21" spans="1:9" x14ac:dyDescent="0.25">
      <c r="A21" s="138">
        <v>2003</v>
      </c>
      <c r="B21" s="167">
        <v>2.54</v>
      </c>
      <c r="C21" s="167">
        <f t="shared" si="0"/>
        <v>0.33870078740157483</v>
      </c>
      <c r="D21" s="167">
        <v>0.37330000000000002</v>
      </c>
      <c r="E21" s="12" t="s">
        <v>118</v>
      </c>
      <c r="F21" s="167">
        <v>0.28199999999999997</v>
      </c>
      <c r="G21" s="12" t="s">
        <v>27</v>
      </c>
      <c r="H21" s="167">
        <v>0.20499999999999999</v>
      </c>
      <c r="I21" s="128" t="s">
        <v>22</v>
      </c>
    </row>
    <row r="22" spans="1:9" x14ac:dyDescent="0.25">
      <c r="A22" s="138">
        <v>2004</v>
      </c>
      <c r="B22" s="167">
        <v>2.42</v>
      </c>
      <c r="C22" s="167">
        <f t="shared" si="0"/>
        <v>0.33521611570247933</v>
      </c>
      <c r="D22" s="167">
        <v>0.33722299999999999</v>
      </c>
      <c r="E22" s="12" t="s">
        <v>118</v>
      </c>
      <c r="F22" s="167">
        <v>0.25900000000000001</v>
      </c>
      <c r="G22" s="12" t="s">
        <v>27</v>
      </c>
      <c r="H22" s="167">
        <v>0.215</v>
      </c>
      <c r="I22" s="12" t="s">
        <v>22</v>
      </c>
    </row>
    <row r="23" spans="1:9" x14ac:dyDescent="0.25">
      <c r="A23" s="138">
        <v>2005</v>
      </c>
      <c r="B23" s="167">
        <v>2.4700000000000002</v>
      </c>
      <c r="C23" s="167">
        <f t="shared" si="0"/>
        <v>0.31646599190283398</v>
      </c>
      <c r="D23" s="167">
        <v>0.29467100000000002</v>
      </c>
      <c r="E23" s="12" t="s">
        <v>118</v>
      </c>
      <c r="F23" s="167">
        <v>0.26200000000000001</v>
      </c>
      <c r="G23" s="12" t="s">
        <v>27</v>
      </c>
      <c r="H23" s="167">
        <v>0.22500000000000001</v>
      </c>
      <c r="I23" s="12" t="s">
        <v>22</v>
      </c>
    </row>
    <row r="24" spans="1:9" x14ac:dyDescent="0.25">
      <c r="A24" s="138">
        <v>2006</v>
      </c>
      <c r="B24" s="167">
        <v>2.37</v>
      </c>
      <c r="C24" s="167">
        <f t="shared" si="0"/>
        <v>0.32199493670886076</v>
      </c>
      <c r="D24" s="167">
        <v>0.27212799999999998</v>
      </c>
      <c r="E24" s="12" t="s">
        <v>118</v>
      </c>
      <c r="F24" s="167">
        <v>0.246</v>
      </c>
      <c r="G24" s="12" t="s">
        <v>27</v>
      </c>
      <c r="H24" s="167">
        <v>0.245</v>
      </c>
      <c r="I24" s="12" t="s">
        <v>22</v>
      </c>
    </row>
    <row r="25" spans="1:9" x14ac:dyDescent="0.25">
      <c r="A25" s="138" t="s">
        <v>4</v>
      </c>
      <c r="B25" s="167">
        <v>2.36</v>
      </c>
      <c r="C25" s="167">
        <f t="shared" si="0"/>
        <v>0.32584745762711864</v>
      </c>
      <c r="D25" s="167">
        <v>0.27500000000000002</v>
      </c>
      <c r="E25" s="12" t="s">
        <v>22</v>
      </c>
      <c r="F25" s="167">
        <v>0.247</v>
      </c>
      <c r="G25" s="12" t="s">
        <v>118</v>
      </c>
      <c r="H25" s="167">
        <v>0.247</v>
      </c>
      <c r="I25" s="128" t="s">
        <v>27</v>
      </c>
    </row>
    <row r="26" spans="1:9" x14ac:dyDescent="0.25">
      <c r="A26" s="138" t="s">
        <v>5</v>
      </c>
      <c r="B26" s="167">
        <v>2.29</v>
      </c>
      <c r="C26" s="167">
        <f t="shared" si="0"/>
        <v>0.31124192139737988</v>
      </c>
      <c r="D26" s="167">
        <v>0.28499999999999998</v>
      </c>
      <c r="E26" s="12" t="s">
        <v>22</v>
      </c>
      <c r="F26" s="167">
        <v>0.215</v>
      </c>
      <c r="G26" s="12" t="s">
        <v>27</v>
      </c>
      <c r="H26" s="167">
        <v>0.21274399999999999</v>
      </c>
      <c r="I26" s="128" t="s">
        <v>118</v>
      </c>
    </row>
    <row r="27" spans="1:9" x14ac:dyDescent="0.25">
      <c r="A27" s="138" t="s">
        <v>6</v>
      </c>
      <c r="B27" s="167">
        <v>2</v>
      </c>
      <c r="C27" s="167">
        <f t="shared" si="0"/>
        <v>0.37081400000000003</v>
      </c>
      <c r="D27" s="167">
        <v>0.32</v>
      </c>
      <c r="E27" s="12" t="s">
        <v>22</v>
      </c>
      <c r="F27" s="167">
        <v>0.224</v>
      </c>
      <c r="G27" s="12" t="s">
        <v>27</v>
      </c>
      <c r="H27" s="167">
        <v>0.197628</v>
      </c>
      <c r="I27" s="128" t="s">
        <v>118</v>
      </c>
    </row>
    <row r="28" spans="1:9" x14ac:dyDescent="0.25">
      <c r="A28" s="138" t="s">
        <v>7</v>
      </c>
      <c r="B28" s="167">
        <v>2.56</v>
      </c>
      <c r="C28" s="167">
        <f t="shared" si="0"/>
        <v>0.31043007812500001</v>
      </c>
      <c r="D28" s="167">
        <v>0.34499999999999997</v>
      </c>
      <c r="E28" s="12" t="s">
        <v>22</v>
      </c>
      <c r="F28" s="167">
        <v>0.26100000000000001</v>
      </c>
      <c r="G28" s="12" t="s">
        <v>27</v>
      </c>
      <c r="H28" s="167">
        <v>0.18870100000000001</v>
      </c>
      <c r="I28" s="128" t="s">
        <v>118</v>
      </c>
    </row>
    <row r="31" spans="1:9" x14ac:dyDescent="0.25">
      <c r="E31" s="10"/>
      <c r="F31" s="54"/>
    </row>
    <row r="32" spans="1:9" x14ac:dyDescent="0.25">
      <c r="E32" s="10"/>
      <c r="F32" s="54"/>
    </row>
    <row r="33" spans="5:6" x14ac:dyDescent="0.25">
      <c r="E33" s="10"/>
      <c r="F33" s="54"/>
    </row>
    <row r="34" spans="5:6" x14ac:dyDescent="0.25">
      <c r="E34" s="10"/>
      <c r="F34" s="54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A90" sqref="A90"/>
    </sheetView>
  </sheetViews>
  <sheetFormatPr defaultRowHeight="15" x14ac:dyDescent="0.25"/>
  <cols>
    <col min="1" max="1" width="21" customWidth="1"/>
    <col min="2" max="2" width="20.7109375" customWidth="1"/>
    <col min="3" max="3" width="18.85546875" bestFit="1" customWidth="1"/>
    <col min="4" max="4" width="12.5703125" customWidth="1"/>
    <col min="6" max="6" width="10.85546875" bestFit="1" customWidth="1"/>
    <col min="7" max="7" width="10.5703125" customWidth="1"/>
    <col min="8" max="8" width="13.85546875" bestFit="1" customWidth="1"/>
    <col min="9" max="9" width="10.42578125" customWidth="1"/>
    <col min="10" max="10" width="14.5703125" bestFit="1" customWidth="1"/>
    <col min="11" max="11" width="10.5703125" customWidth="1"/>
  </cols>
  <sheetData>
    <row r="1" spans="1:11" ht="15" customHeight="1" x14ac:dyDescent="0.25">
      <c r="A1" s="107" t="s">
        <v>359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5" customHeight="1" x14ac:dyDescent="0.25">
      <c r="A2" s="109" t="s">
        <v>362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ht="15" customHeight="1" x14ac:dyDescent="0.25">
      <c r="A3" s="109"/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" spans="1:11" x14ac:dyDescent="0.25">
      <c r="A4" s="90"/>
      <c r="B4" s="263"/>
      <c r="C4" s="263"/>
      <c r="D4" s="127"/>
      <c r="E4" s="127"/>
      <c r="F4" s="263" t="s">
        <v>334</v>
      </c>
      <c r="G4" s="263"/>
      <c r="H4" s="263"/>
      <c r="I4" s="263"/>
      <c r="J4" s="263"/>
      <c r="K4" s="263"/>
    </row>
    <row r="5" spans="1:11" x14ac:dyDescent="0.25">
      <c r="A5" s="265" t="s">
        <v>326</v>
      </c>
      <c r="B5" s="269" t="s">
        <v>649</v>
      </c>
      <c r="C5" s="270"/>
      <c r="D5" s="269" t="s">
        <v>648</v>
      </c>
      <c r="E5" s="270"/>
      <c r="F5" s="271" t="s">
        <v>275</v>
      </c>
      <c r="G5" s="272"/>
      <c r="H5" s="273" t="s">
        <v>32</v>
      </c>
      <c r="I5" s="272"/>
      <c r="J5" s="273" t="s">
        <v>33</v>
      </c>
      <c r="K5" s="272"/>
    </row>
    <row r="6" spans="1:11" ht="38.25" x14ac:dyDescent="0.25">
      <c r="A6" s="266"/>
      <c r="B6" s="129" t="s">
        <v>335</v>
      </c>
      <c r="C6" s="130">
        <v>2007</v>
      </c>
      <c r="D6" s="131" t="s">
        <v>327</v>
      </c>
      <c r="E6" s="132" t="s">
        <v>328</v>
      </c>
      <c r="F6" s="104" t="s">
        <v>3</v>
      </c>
      <c r="G6" s="97" t="s">
        <v>336</v>
      </c>
      <c r="H6" s="91" t="s">
        <v>3</v>
      </c>
      <c r="I6" s="91" t="s">
        <v>336</v>
      </c>
      <c r="J6" s="91" t="s">
        <v>3</v>
      </c>
      <c r="K6" s="96" t="s">
        <v>336</v>
      </c>
    </row>
    <row r="7" spans="1:11" x14ac:dyDescent="0.25">
      <c r="A7" s="141" t="s">
        <v>10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</row>
    <row r="8" spans="1:11" x14ac:dyDescent="0.25">
      <c r="A8" s="139" t="s">
        <v>352</v>
      </c>
      <c r="B8" s="138">
        <v>0.96</v>
      </c>
      <c r="C8" s="138">
        <v>0.96</v>
      </c>
      <c r="D8" s="138"/>
      <c r="E8" s="138"/>
      <c r="F8" s="138" t="s">
        <v>22</v>
      </c>
      <c r="G8" s="136">
        <f>147/158.26</f>
        <v>0.92885125742449137</v>
      </c>
      <c r="H8" s="138" t="s">
        <v>23</v>
      </c>
      <c r="I8" s="142">
        <f>2.86/158.26</f>
        <v>1.8071527865537722E-2</v>
      </c>
      <c r="J8" s="138" t="s">
        <v>128</v>
      </c>
      <c r="K8" s="142">
        <f>2.73/158.26</f>
        <v>1.7250094780740556E-2</v>
      </c>
    </row>
    <row r="9" spans="1:11" x14ac:dyDescent="0.25">
      <c r="A9" s="139" t="s">
        <v>353</v>
      </c>
      <c r="B9" s="138">
        <v>0.97</v>
      </c>
      <c r="C9" s="138">
        <v>0.97</v>
      </c>
      <c r="D9" s="135">
        <v>3.342469953179128E-2</v>
      </c>
      <c r="E9" s="143">
        <v>3.5541781551212015E-2</v>
      </c>
      <c r="F9" s="138" t="s">
        <v>22</v>
      </c>
      <c r="G9" s="136">
        <f>147/158.26</f>
        <v>0.92885125742449137</v>
      </c>
      <c r="H9" s="138" t="s">
        <v>354</v>
      </c>
      <c r="I9" s="142">
        <f>3.48/158.26</f>
        <v>2.198913180841653E-2</v>
      </c>
      <c r="J9" s="138" t="s">
        <v>23</v>
      </c>
      <c r="K9" s="142">
        <f>2.86/158.26</f>
        <v>1.8071527865537722E-2</v>
      </c>
    </row>
    <row r="10" spans="1:11" x14ac:dyDescent="0.25">
      <c r="A10" s="137" t="s">
        <v>580</v>
      </c>
      <c r="B10" s="138">
        <v>0.48</v>
      </c>
      <c r="C10" s="138">
        <v>0.45</v>
      </c>
      <c r="D10" s="135">
        <v>3.27E-2</v>
      </c>
      <c r="E10" s="143">
        <v>2.8199999999999999E-2</v>
      </c>
      <c r="F10" s="138" t="s">
        <v>22</v>
      </c>
      <c r="G10" s="136">
        <v>0.307</v>
      </c>
      <c r="H10" s="138" t="s">
        <v>24</v>
      </c>
      <c r="I10" s="142">
        <v>7.9000000000000001E-2</v>
      </c>
      <c r="J10" s="138" t="s">
        <v>38</v>
      </c>
      <c r="K10" s="142">
        <v>6.3E-2</v>
      </c>
    </row>
    <row r="11" spans="1:11" x14ac:dyDescent="0.25">
      <c r="A11" s="137" t="s">
        <v>581</v>
      </c>
      <c r="B11" s="144">
        <v>0.9</v>
      </c>
      <c r="C11" s="138">
        <v>0.88</v>
      </c>
      <c r="D11" s="143">
        <v>6.5844532695243485E-2</v>
      </c>
      <c r="E11" s="143">
        <v>1.3894214014664508E-2</v>
      </c>
      <c r="F11" s="138" t="s">
        <v>22</v>
      </c>
      <c r="G11" s="136">
        <f>12.1/16</f>
        <v>0.75624999999999998</v>
      </c>
      <c r="H11" s="138" t="s">
        <v>73</v>
      </c>
      <c r="I11" s="142">
        <f>1.2/16</f>
        <v>7.4999999999999997E-2</v>
      </c>
      <c r="J11" s="138" t="s">
        <v>58</v>
      </c>
      <c r="K11" s="142">
        <f>0.8/16</f>
        <v>0.05</v>
      </c>
    </row>
    <row r="12" spans="1:11" x14ac:dyDescent="0.25">
      <c r="A12" s="141" t="s">
        <v>14</v>
      </c>
      <c r="B12" s="138">
        <v>0.71</v>
      </c>
      <c r="C12" s="138">
        <v>0.92</v>
      </c>
      <c r="D12" s="143">
        <v>-1.5614069090506E-3</v>
      </c>
      <c r="E12" s="143">
        <v>-9.7405904604933813E-2</v>
      </c>
      <c r="F12" s="138" t="s">
        <v>141</v>
      </c>
      <c r="G12" s="142">
        <f>159.4/415</f>
        <v>0.38409638554216868</v>
      </c>
      <c r="H12" s="138" t="s">
        <v>22</v>
      </c>
      <c r="I12" s="142">
        <f>137/415</f>
        <v>0.33012048192771082</v>
      </c>
      <c r="J12" s="138" t="s">
        <v>142</v>
      </c>
      <c r="K12" s="142">
        <f>85.11/415</f>
        <v>0.2050843373493976</v>
      </c>
    </row>
    <row r="13" spans="1:11" x14ac:dyDescent="0.25">
      <c r="A13" s="141" t="s">
        <v>143</v>
      </c>
      <c r="B13" s="138">
        <v>0.47</v>
      </c>
      <c r="C13" s="138">
        <v>0.47</v>
      </c>
      <c r="D13" s="143">
        <v>1.4645905817458615E-3</v>
      </c>
      <c r="E13" s="143">
        <v>5.8712450513547232E-3</v>
      </c>
      <c r="F13" s="138" t="s">
        <v>38</v>
      </c>
      <c r="G13" s="142">
        <f>4.21/19.4</f>
        <v>0.21701030927835052</v>
      </c>
      <c r="H13" s="138" t="s">
        <v>79</v>
      </c>
      <c r="I13" s="142">
        <f>2.1/19.4</f>
        <v>0.10824742268041239</v>
      </c>
      <c r="J13" s="138" t="s">
        <v>22</v>
      </c>
      <c r="K13" s="142">
        <f>2.1/19.4</f>
        <v>0.10824742268041239</v>
      </c>
    </row>
    <row r="14" spans="1:11" x14ac:dyDescent="0.25">
      <c r="A14" s="141" t="s">
        <v>582</v>
      </c>
      <c r="B14" s="138">
        <v>0.75</v>
      </c>
      <c r="C14" s="138">
        <v>0.74</v>
      </c>
      <c r="D14" s="143">
        <v>3.1425429217516898E-2</v>
      </c>
      <c r="E14" s="143">
        <v>3.172835627321513E-3</v>
      </c>
      <c r="F14" s="136" t="s">
        <v>118</v>
      </c>
      <c r="G14" s="142">
        <f>1776/4185</f>
        <v>0.42437275985663081</v>
      </c>
      <c r="H14" s="138" t="s">
        <v>79</v>
      </c>
      <c r="I14" s="142">
        <f>653.77/4185</f>
        <v>0.1562174432497013</v>
      </c>
      <c r="J14" s="138" t="s">
        <v>22</v>
      </c>
      <c r="K14" s="142">
        <f>650/4185</f>
        <v>0.15531660692951016</v>
      </c>
    </row>
    <row r="15" spans="1:11" x14ac:dyDescent="0.25">
      <c r="A15" s="141" t="s">
        <v>15</v>
      </c>
      <c r="B15" s="144">
        <v>0.5</v>
      </c>
      <c r="C15" s="145">
        <v>0.53</v>
      </c>
      <c r="D15" s="143">
        <v>3.9984644289767779E-2</v>
      </c>
      <c r="E15" s="143">
        <v>2.0236328452923891E-2</v>
      </c>
      <c r="F15" s="146" t="s">
        <v>22</v>
      </c>
      <c r="G15" s="136">
        <f>13.2/53.3</f>
        <v>0.24765478424015008</v>
      </c>
      <c r="H15" s="146" t="s">
        <v>39</v>
      </c>
      <c r="I15" s="142">
        <f>9.17/53.3</f>
        <v>0.17204502814258912</v>
      </c>
      <c r="J15" s="147" t="s">
        <v>38</v>
      </c>
      <c r="K15" s="142">
        <f>5.62/53.3</f>
        <v>0.10544090056285178</v>
      </c>
    </row>
    <row r="16" spans="1:11" x14ac:dyDescent="0.25">
      <c r="A16" s="141" t="s">
        <v>583</v>
      </c>
      <c r="B16" s="138">
        <v>0.49</v>
      </c>
      <c r="C16" s="138">
        <v>0.5</v>
      </c>
      <c r="D16" s="143">
        <v>2.7081907472353173E-2</v>
      </c>
      <c r="E16" s="143">
        <v>2.0766989992140328E-2</v>
      </c>
      <c r="F16" s="138" t="s">
        <v>22</v>
      </c>
      <c r="G16" s="142">
        <f>3500/17900</f>
        <v>0.19553072625698323</v>
      </c>
      <c r="H16" s="138" t="s">
        <v>78</v>
      </c>
      <c r="I16" s="142">
        <f>2936.5/17900</f>
        <v>0.16405027932960894</v>
      </c>
      <c r="J16" s="138" t="s">
        <v>29</v>
      </c>
      <c r="K16" s="142">
        <f>1576.82/17900</f>
        <v>8.8090502793296083E-2</v>
      </c>
    </row>
    <row r="17" spans="1:14" x14ac:dyDescent="0.25">
      <c r="A17" s="141" t="s">
        <v>19</v>
      </c>
      <c r="B17" s="138">
        <v>0.71</v>
      </c>
      <c r="C17" s="145">
        <v>0.67</v>
      </c>
      <c r="D17" s="143">
        <v>3.865488581338794E-2</v>
      </c>
      <c r="E17" s="143">
        <v>1.5923125345624678E-2</v>
      </c>
      <c r="F17" s="147" t="s">
        <v>22</v>
      </c>
      <c r="G17" s="142">
        <v>0.02</v>
      </c>
      <c r="H17" s="147" t="s">
        <v>57</v>
      </c>
      <c r="I17" s="142">
        <v>0.02</v>
      </c>
      <c r="J17" s="147" t="s">
        <v>79</v>
      </c>
      <c r="K17" s="147" t="s">
        <v>123</v>
      </c>
    </row>
    <row r="18" spans="1:14" x14ac:dyDescent="0.25">
      <c r="A18" s="141" t="s">
        <v>584</v>
      </c>
      <c r="B18" s="138" t="s">
        <v>66</v>
      </c>
      <c r="C18" s="138" t="s">
        <v>66</v>
      </c>
      <c r="D18" s="138"/>
      <c r="E18" s="138"/>
      <c r="F18" s="138" t="s">
        <v>22</v>
      </c>
      <c r="G18" s="138" t="s">
        <v>310</v>
      </c>
      <c r="H18" s="138" t="s">
        <v>38</v>
      </c>
      <c r="I18" s="138" t="s">
        <v>310</v>
      </c>
      <c r="J18" s="138" t="s">
        <v>151</v>
      </c>
      <c r="K18" s="138" t="s">
        <v>310</v>
      </c>
    </row>
    <row r="19" spans="1:14" x14ac:dyDescent="0.25">
      <c r="A19" s="141" t="s">
        <v>585</v>
      </c>
      <c r="B19" s="138">
        <v>0.82</v>
      </c>
      <c r="C19" s="138">
        <v>0.82</v>
      </c>
      <c r="D19" s="143">
        <v>7.9606602208456057E-2</v>
      </c>
      <c r="E19" s="143">
        <v>-2.0959200902342379E-2</v>
      </c>
      <c r="F19" s="138" t="s">
        <v>22</v>
      </c>
      <c r="G19" s="142">
        <f>0.38/0.62</f>
        <v>0.61290322580645162</v>
      </c>
      <c r="H19" s="138" t="s">
        <v>153</v>
      </c>
      <c r="I19" s="142">
        <f>0.07/0.62</f>
        <v>0.11290322580645162</v>
      </c>
      <c r="J19" s="138" t="s">
        <v>29</v>
      </c>
      <c r="K19" s="142">
        <f>0.06/0.62</f>
        <v>9.6774193548387094E-2</v>
      </c>
    </row>
    <row r="20" spans="1:14" x14ac:dyDescent="0.25">
      <c r="A20" s="141" t="s">
        <v>337</v>
      </c>
      <c r="B20" s="138"/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4" x14ac:dyDescent="0.25">
      <c r="A21" s="139" t="s">
        <v>352</v>
      </c>
      <c r="B21" s="144">
        <v>0.5</v>
      </c>
      <c r="C21" s="138">
        <v>0.51</v>
      </c>
      <c r="D21" s="138"/>
      <c r="E21" s="138"/>
      <c r="F21" s="138" t="s">
        <v>22</v>
      </c>
      <c r="G21" s="142">
        <f>489290/1350000</f>
        <v>0.36243703703703706</v>
      </c>
      <c r="H21" s="138" t="s">
        <v>29</v>
      </c>
      <c r="I21" s="142">
        <f>120203/1350000</f>
        <v>8.9039259259259262E-2</v>
      </c>
      <c r="J21" s="138" t="s">
        <v>24</v>
      </c>
      <c r="K21" s="142">
        <f>72389/1350000</f>
        <v>5.3621481481481478E-2</v>
      </c>
    </row>
    <row r="22" spans="1:14" x14ac:dyDescent="0.25">
      <c r="A22" s="139" t="s">
        <v>353</v>
      </c>
      <c r="B22" s="138">
        <v>0.52</v>
      </c>
      <c r="C22" s="138">
        <v>0.52</v>
      </c>
      <c r="D22" s="143">
        <v>2.3628895035594066E-2</v>
      </c>
      <c r="E22" s="143">
        <v>1.5313245761826133E-2</v>
      </c>
      <c r="F22" s="138" t="s">
        <v>22</v>
      </c>
      <c r="G22" s="142">
        <f>489290/1350000</f>
        <v>0.36243703703703706</v>
      </c>
      <c r="H22" s="138" t="s">
        <v>29</v>
      </c>
      <c r="I22" s="142">
        <f>120203/1350000</f>
        <v>8.9039259259259262E-2</v>
      </c>
      <c r="J22" s="138" t="s">
        <v>354</v>
      </c>
      <c r="K22" s="142">
        <f>98100/1350000</f>
        <v>7.2666666666666671E-2</v>
      </c>
    </row>
    <row r="23" spans="1:14" x14ac:dyDescent="0.25">
      <c r="A23" s="141" t="s">
        <v>586</v>
      </c>
      <c r="B23" s="138"/>
      <c r="C23" s="128"/>
      <c r="D23" s="128"/>
      <c r="E23" s="128"/>
      <c r="F23" s="128"/>
      <c r="G23" s="12"/>
      <c r="H23" s="128"/>
      <c r="I23" s="12"/>
      <c r="J23" s="128"/>
      <c r="K23" s="128"/>
    </row>
    <row r="24" spans="1:14" x14ac:dyDescent="0.25">
      <c r="A24" s="139" t="s">
        <v>352</v>
      </c>
      <c r="B24" s="138">
        <v>0.45</v>
      </c>
      <c r="C24" s="145">
        <v>0.42</v>
      </c>
      <c r="D24" s="145"/>
      <c r="E24" s="145"/>
      <c r="F24" s="138" t="s">
        <v>22</v>
      </c>
      <c r="G24" s="142">
        <f>2790/8300</f>
        <v>0.33614457831325301</v>
      </c>
      <c r="H24" s="138" t="s">
        <v>57</v>
      </c>
      <c r="I24" s="142">
        <f>405.08/8300</f>
        <v>4.8804819277108433E-2</v>
      </c>
      <c r="J24" s="138" t="s">
        <v>29</v>
      </c>
      <c r="K24" s="142">
        <f>276.32/8300</f>
        <v>3.3291566265060239E-2</v>
      </c>
    </row>
    <row r="25" spans="1:14" x14ac:dyDescent="0.25">
      <c r="A25" s="139" t="s">
        <v>353</v>
      </c>
      <c r="B25" s="138">
        <v>0.56000000000000005</v>
      </c>
      <c r="C25" s="148">
        <v>0.54</v>
      </c>
      <c r="D25" s="149">
        <v>1.3292841691314949E-2</v>
      </c>
      <c r="E25" s="149">
        <v>1.6217348046837943E-2</v>
      </c>
      <c r="F25" s="138" t="s">
        <v>22</v>
      </c>
      <c r="G25" s="142">
        <f>2790/8300</f>
        <v>0.33614457831325301</v>
      </c>
      <c r="H25" s="138" t="s">
        <v>354</v>
      </c>
      <c r="I25" s="142">
        <f>1300/8300</f>
        <v>0.15662650602409639</v>
      </c>
      <c r="J25" s="138" t="s">
        <v>57</v>
      </c>
      <c r="K25" s="142">
        <f>405.08/8300</f>
        <v>4.8804819277108433E-2</v>
      </c>
    </row>
    <row r="26" spans="1:14" x14ac:dyDescent="0.25">
      <c r="A26" s="137" t="s">
        <v>587</v>
      </c>
      <c r="B26" s="138">
        <v>0.92</v>
      </c>
      <c r="C26" s="148">
        <v>0.92</v>
      </c>
      <c r="D26" s="149">
        <v>2.6561319361361857E-2</v>
      </c>
      <c r="E26" s="149">
        <v>-7.8389814253406742E-3</v>
      </c>
      <c r="F26" s="138" t="s">
        <v>22</v>
      </c>
      <c r="G26" s="142">
        <f>625/751</f>
        <v>0.83222370173102533</v>
      </c>
      <c r="H26" s="138" t="s">
        <v>24</v>
      </c>
      <c r="I26" s="142">
        <v>4.9000000000000002E-2</v>
      </c>
      <c r="J26" s="138" t="s">
        <v>141</v>
      </c>
      <c r="K26" s="142">
        <v>3.9E-2</v>
      </c>
    </row>
    <row r="27" spans="1:14" x14ac:dyDescent="0.25">
      <c r="A27" s="141" t="s">
        <v>588</v>
      </c>
      <c r="B27" s="138">
        <v>0.72</v>
      </c>
      <c r="C27" s="145">
        <v>0.71</v>
      </c>
      <c r="D27" s="138" t="s">
        <v>66</v>
      </c>
      <c r="E27" s="143">
        <v>2.4146522438822648E-2</v>
      </c>
      <c r="F27" s="146" t="s">
        <v>22</v>
      </c>
      <c r="G27" s="136">
        <f>60/128.8</f>
        <v>0.46583850931677012</v>
      </c>
      <c r="H27" s="146" t="s">
        <v>338</v>
      </c>
      <c r="I27" s="142">
        <f>44.91/213</f>
        <v>0.2108450704225352</v>
      </c>
      <c r="J27" s="146" t="s">
        <v>44</v>
      </c>
      <c r="K27" s="142">
        <f>16.74/213</f>
        <v>7.8591549295774638E-2</v>
      </c>
    </row>
    <row r="28" spans="1:14" x14ac:dyDescent="0.25">
      <c r="A28" s="141" t="s">
        <v>589</v>
      </c>
      <c r="B28" s="138"/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4" x14ac:dyDescent="0.25">
      <c r="A29" s="139" t="s">
        <v>339</v>
      </c>
      <c r="B29" s="144">
        <v>1.3</v>
      </c>
      <c r="C29" s="138">
        <v>0.62</v>
      </c>
      <c r="D29" s="143">
        <v>8.4390794031719674E-2</v>
      </c>
      <c r="E29" s="143">
        <v>-2.1700856924419698E-2</v>
      </c>
      <c r="F29" s="138" t="s">
        <v>24</v>
      </c>
      <c r="G29" s="136">
        <f>116/248.36</f>
        <v>0.46706393944274438</v>
      </c>
      <c r="H29" s="138" t="s">
        <v>22</v>
      </c>
      <c r="I29" s="142">
        <f>116/748</f>
        <v>0.15508021390374332</v>
      </c>
      <c r="J29" s="138" t="s">
        <v>27</v>
      </c>
      <c r="K29" s="142">
        <f>100.3/748</f>
        <v>0.13409090909090909</v>
      </c>
      <c r="N29" s="59"/>
    </row>
    <row r="30" spans="1:14" x14ac:dyDescent="0.25">
      <c r="A30" s="139" t="s">
        <v>340</v>
      </c>
      <c r="B30" s="138">
        <v>0.51</v>
      </c>
      <c r="C30" s="138">
        <v>0.41</v>
      </c>
      <c r="D30" s="143">
        <v>3.0770715782200808E-2</v>
      </c>
      <c r="E30" s="143">
        <v>3.8168926611829024E-2</v>
      </c>
      <c r="F30" s="138" t="s">
        <v>29</v>
      </c>
      <c r="G30" s="136">
        <f>68.35/395</f>
        <v>0.17303797468354429</v>
      </c>
      <c r="H30" s="138" t="s">
        <v>98</v>
      </c>
      <c r="I30" s="142">
        <f>49.31/395</f>
        <v>0.12483544303797468</v>
      </c>
      <c r="J30" s="138" t="s">
        <v>92</v>
      </c>
      <c r="K30" s="142">
        <f>44.95/395</f>
        <v>0.11379746835443039</v>
      </c>
    </row>
    <row r="31" spans="1:14" x14ac:dyDescent="0.25">
      <c r="A31" s="139" t="s">
        <v>341</v>
      </c>
      <c r="B31" s="138">
        <v>0.63</v>
      </c>
      <c r="C31" s="138">
        <v>0.62</v>
      </c>
      <c r="D31" s="143">
        <v>2.3607057714749136E-2</v>
      </c>
      <c r="E31" s="143">
        <v>1.2035550339436707E-2</v>
      </c>
      <c r="F31" s="138" t="s">
        <v>24</v>
      </c>
      <c r="G31" s="136">
        <f>248.36/748</f>
        <v>0.33203208556149733</v>
      </c>
      <c r="H31" s="138" t="s">
        <v>22</v>
      </c>
      <c r="I31" s="142">
        <f>116/748</f>
        <v>0.15508021390374332</v>
      </c>
      <c r="J31" s="138" t="s">
        <v>27</v>
      </c>
      <c r="K31" s="142">
        <f>100.3/748</f>
        <v>0.13409090909090909</v>
      </c>
    </row>
    <row r="32" spans="1:14" x14ac:dyDescent="0.25">
      <c r="A32" s="139" t="s">
        <v>342</v>
      </c>
      <c r="B32" s="138">
        <v>1</v>
      </c>
      <c r="C32" s="144">
        <v>1</v>
      </c>
      <c r="D32" s="143">
        <v>2.5332508888771255E-2</v>
      </c>
      <c r="E32" s="143">
        <v>-1.6983586164873499E-2</v>
      </c>
      <c r="F32" s="138" t="s">
        <v>29</v>
      </c>
      <c r="G32" s="136">
        <f>60.15/100</f>
        <v>0.60150000000000003</v>
      </c>
      <c r="H32" s="138" t="s">
        <v>103</v>
      </c>
      <c r="I32" s="142">
        <f>39.91/100</f>
        <v>0.39909999999999995</v>
      </c>
      <c r="J32" s="138" t="s">
        <v>24</v>
      </c>
      <c r="K32" s="142">
        <f>0.24/100</f>
        <v>2.3999999999999998E-3</v>
      </c>
    </row>
    <row r="33" spans="1:11" x14ac:dyDescent="0.25">
      <c r="A33" s="139" t="s">
        <v>343</v>
      </c>
      <c r="B33" s="138">
        <v>0.93</v>
      </c>
      <c r="C33" s="138">
        <v>0.94</v>
      </c>
      <c r="D33" s="143">
        <v>-1.2645853889379555E-2</v>
      </c>
      <c r="E33" s="143">
        <v>-2.7932568943105474E-2</v>
      </c>
      <c r="F33" s="138" t="s">
        <v>38</v>
      </c>
      <c r="G33" s="136">
        <f>153.65/179</f>
        <v>0.85837988826815648</v>
      </c>
      <c r="H33" s="138" t="s">
        <v>27</v>
      </c>
      <c r="I33" s="142">
        <f>14.2/179</f>
        <v>7.9329608938547486E-2</v>
      </c>
      <c r="J33" s="138" t="s">
        <v>66</v>
      </c>
      <c r="K33" s="138" t="s">
        <v>66</v>
      </c>
    </row>
    <row r="34" spans="1:11" x14ac:dyDescent="0.25">
      <c r="A34" s="137" t="s">
        <v>590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1" x14ac:dyDescent="0.25">
      <c r="A35" s="137" t="s">
        <v>124</v>
      </c>
      <c r="B35" s="138">
        <v>0.62</v>
      </c>
      <c r="C35" s="138">
        <v>0.65</v>
      </c>
      <c r="D35" s="143">
        <v>-1.3864639056976991E-2</v>
      </c>
      <c r="E35" s="143">
        <v>-9.2536163438670216E-2</v>
      </c>
      <c r="F35" s="138" t="s">
        <v>38</v>
      </c>
      <c r="G35" s="136">
        <f>11.09/35.7</f>
        <v>0.31064425770308118</v>
      </c>
      <c r="H35" s="138" t="s">
        <v>24</v>
      </c>
      <c r="I35" s="142">
        <f>7.28/35.7</f>
        <v>0.20392156862745098</v>
      </c>
      <c r="J35" s="138" t="s">
        <v>85</v>
      </c>
      <c r="K35" s="142">
        <f>4.97/35.7</f>
        <v>0.13921568627450978</v>
      </c>
    </row>
    <row r="36" spans="1:11" x14ac:dyDescent="0.25">
      <c r="A36" s="137" t="s">
        <v>361</v>
      </c>
      <c r="B36" s="138">
        <v>1</v>
      </c>
      <c r="C36" s="138">
        <v>1</v>
      </c>
      <c r="D36" s="138" t="s">
        <v>66</v>
      </c>
      <c r="E36" s="138" t="s">
        <v>66</v>
      </c>
      <c r="F36" s="138" t="s">
        <v>22</v>
      </c>
      <c r="G36" s="140">
        <v>1</v>
      </c>
      <c r="H36" s="138"/>
      <c r="I36" s="138"/>
      <c r="J36" s="138"/>
      <c r="K36" s="138"/>
    </row>
    <row r="37" spans="1:11" x14ac:dyDescent="0.25">
      <c r="A37" s="137" t="s">
        <v>591</v>
      </c>
      <c r="B37" s="138"/>
      <c r="C37" s="277"/>
      <c r="D37" s="277"/>
      <c r="E37" s="277"/>
      <c r="F37" s="277"/>
      <c r="G37" s="277"/>
      <c r="H37" s="277"/>
      <c r="I37" s="277"/>
      <c r="J37" s="141"/>
      <c r="K37" s="141"/>
    </row>
    <row r="38" spans="1:11" x14ac:dyDescent="0.25">
      <c r="A38" s="137" t="s">
        <v>592</v>
      </c>
      <c r="B38" s="138">
        <v>0.74</v>
      </c>
      <c r="C38" s="138">
        <v>0.75</v>
      </c>
      <c r="D38" s="143">
        <v>1.0702971223492286E-2</v>
      </c>
      <c r="E38" s="143">
        <v>1.6292098624930862E-2</v>
      </c>
      <c r="F38" s="138" t="s">
        <v>29</v>
      </c>
      <c r="G38" s="142">
        <f>805.6/2200</f>
        <v>0.36618181818181822</v>
      </c>
      <c r="H38" s="138" t="s">
        <v>57</v>
      </c>
      <c r="I38" s="142">
        <f>650/2200</f>
        <v>0.29545454545454547</v>
      </c>
      <c r="J38" s="138" t="s">
        <v>58</v>
      </c>
      <c r="K38" s="142">
        <f>200/2200</f>
        <v>9.0909090909090912E-2</v>
      </c>
    </row>
    <row r="39" spans="1:11" x14ac:dyDescent="0.25">
      <c r="A39" s="137" t="s">
        <v>593</v>
      </c>
      <c r="B39" s="138"/>
      <c r="C39" s="138"/>
      <c r="D39" s="138"/>
      <c r="E39" s="138"/>
      <c r="F39" s="141"/>
      <c r="G39" s="141"/>
      <c r="H39" s="141"/>
      <c r="I39" s="141"/>
      <c r="J39" s="141"/>
      <c r="K39" s="141"/>
    </row>
    <row r="40" spans="1:11" x14ac:dyDescent="0.25">
      <c r="A40" s="137" t="s">
        <v>594</v>
      </c>
      <c r="B40" s="138">
        <v>0.91</v>
      </c>
      <c r="C40" s="138">
        <v>0.89</v>
      </c>
      <c r="D40" s="143">
        <v>3.3070906039048387E-2</v>
      </c>
      <c r="E40" s="143">
        <v>2.9205293371891816E-2</v>
      </c>
      <c r="F40" s="147" t="s">
        <v>29</v>
      </c>
      <c r="G40" s="142">
        <f>41/124</f>
        <v>0.33064516129032256</v>
      </c>
      <c r="H40" s="147" t="s">
        <v>44</v>
      </c>
      <c r="I40" s="142">
        <f>35/124</f>
        <v>0.28225806451612906</v>
      </c>
      <c r="J40" s="147" t="s">
        <v>24</v>
      </c>
      <c r="K40" s="142">
        <f>34/124</f>
        <v>0.27419354838709675</v>
      </c>
    </row>
    <row r="41" spans="1:11" x14ac:dyDescent="0.25">
      <c r="A41" s="137" t="s">
        <v>125</v>
      </c>
      <c r="B41" s="138">
        <v>0.68</v>
      </c>
      <c r="C41" s="138">
        <v>0.72</v>
      </c>
      <c r="D41" s="143">
        <v>1.6610403963913223E-2</v>
      </c>
      <c r="E41" s="143">
        <v>-2.5602126757419907E-2</v>
      </c>
      <c r="F41" s="147" t="s">
        <v>22</v>
      </c>
      <c r="G41" s="142">
        <f>149/346</f>
        <v>0.430635838150289</v>
      </c>
      <c r="H41" s="147" t="s">
        <v>55</v>
      </c>
      <c r="I41" s="142">
        <f>64.13/346</f>
        <v>0.18534682080924855</v>
      </c>
      <c r="J41" s="147" t="s">
        <v>44</v>
      </c>
      <c r="K41" s="142">
        <f>36/346</f>
        <v>0.10404624277456648</v>
      </c>
    </row>
    <row r="42" spans="1:11" x14ac:dyDescent="0.25">
      <c r="A42" s="150" t="s">
        <v>595</v>
      </c>
      <c r="B42" s="151">
        <v>0.76</v>
      </c>
      <c r="C42" s="151">
        <v>0.77</v>
      </c>
      <c r="D42" s="152">
        <v>0.10498047481040751</v>
      </c>
      <c r="E42" s="152">
        <v>0.11168891263801872</v>
      </c>
      <c r="F42" s="153" t="s">
        <v>22</v>
      </c>
      <c r="G42" s="154">
        <f>45.2/153</f>
        <v>0.29542483660130719</v>
      </c>
      <c r="H42" s="153" t="s">
        <v>29</v>
      </c>
      <c r="I42" s="155">
        <f>38.9/153</f>
        <v>0.25424836601307188</v>
      </c>
      <c r="J42" s="153" t="s">
        <v>24</v>
      </c>
      <c r="K42" s="155">
        <f>34.2/153</f>
        <v>0.22352941176470589</v>
      </c>
    </row>
    <row r="43" spans="1:11" x14ac:dyDescent="0.25">
      <c r="A43" s="137" t="s">
        <v>596</v>
      </c>
      <c r="B43" s="138"/>
      <c r="C43" s="277"/>
      <c r="D43" s="277"/>
      <c r="E43" s="277"/>
      <c r="F43" s="277"/>
      <c r="G43" s="277"/>
      <c r="H43" s="277"/>
      <c r="I43" s="277"/>
      <c r="J43" s="141"/>
      <c r="K43" s="141"/>
    </row>
    <row r="44" spans="1:11" x14ac:dyDescent="0.25">
      <c r="A44" s="137" t="s">
        <v>597</v>
      </c>
      <c r="B44" s="138">
        <v>0.93</v>
      </c>
      <c r="C44" s="138">
        <v>0.92</v>
      </c>
      <c r="D44" s="141"/>
      <c r="E44" s="143">
        <v>-2.321689728297871E-2</v>
      </c>
      <c r="F44" s="136" t="s">
        <v>118</v>
      </c>
      <c r="G44" s="142">
        <f>19/33.6</f>
        <v>0.56547619047619047</v>
      </c>
      <c r="H44" s="147" t="s">
        <v>24</v>
      </c>
      <c r="I44" s="142">
        <f>12/33.6</f>
        <v>0.35714285714285715</v>
      </c>
      <c r="J44" s="147" t="s">
        <v>29</v>
      </c>
      <c r="K44" s="143" t="s">
        <v>344</v>
      </c>
    </row>
    <row r="45" spans="1:11" x14ac:dyDescent="0.25">
      <c r="A45" s="137" t="s">
        <v>126</v>
      </c>
      <c r="B45" s="138"/>
      <c r="C45" s="138">
        <v>1</v>
      </c>
      <c r="D45" s="138" t="s">
        <v>66</v>
      </c>
      <c r="E45" s="138" t="s">
        <v>66</v>
      </c>
      <c r="F45" s="147" t="s">
        <v>22</v>
      </c>
      <c r="G45" s="140">
        <v>1</v>
      </c>
      <c r="H45" s="147"/>
      <c r="I45" s="138"/>
      <c r="J45" s="147"/>
      <c r="K45" s="138"/>
    </row>
    <row r="46" spans="1:11" x14ac:dyDescent="0.25">
      <c r="A46" s="137" t="s">
        <v>127</v>
      </c>
      <c r="B46" s="138">
        <v>0.44</v>
      </c>
      <c r="C46" s="138">
        <v>0.46</v>
      </c>
      <c r="D46" s="143">
        <v>2.3384936919755628E-2</v>
      </c>
      <c r="E46" s="143">
        <v>2.0501213135617258E-2</v>
      </c>
      <c r="F46" s="147" t="s">
        <v>22</v>
      </c>
      <c r="G46" s="142">
        <f>3740/11400</f>
        <v>0.32807017543859651</v>
      </c>
      <c r="H46" s="147" t="s">
        <v>38</v>
      </c>
      <c r="I46" s="142">
        <f>802.1/11400</f>
        <v>7.0359649122807025E-2</v>
      </c>
      <c r="J46" s="147" t="s">
        <v>153</v>
      </c>
      <c r="K46" s="142">
        <f>690/11400</f>
        <v>6.0526315789473685E-2</v>
      </c>
    </row>
    <row r="47" spans="1:11" x14ac:dyDescent="0.25">
      <c r="A47" s="137"/>
      <c r="B47" s="137"/>
      <c r="C47" s="156"/>
      <c r="D47" s="157"/>
      <c r="E47" s="156"/>
      <c r="F47" s="157"/>
      <c r="G47" s="156"/>
      <c r="H47" s="157"/>
      <c r="I47" s="156"/>
      <c r="J47" s="141"/>
      <c r="K47" s="141"/>
    </row>
    <row r="48" spans="1:11" x14ac:dyDescent="0.25">
      <c r="A48" s="141" t="s">
        <v>598</v>
      </c>
      <c r="B48" s="137"/>
      <c r="C48" s="156"/>
      <c r="D48" s="157"/>
      <c r="E48" s="156"/>
      <c r="F48" s="157"/>
      <c r="G48" s="156"/>
      <c r="H48" s="157"/>
      <c r="I48" s="156"/>
      <c r="J48" s="141"/>
      <c r="K48" s="141"/>
    </row>
    <row r="49" spans="1:11" x14ac:dyDescent="0.25">
      <c r="A49" s="141" t="s">
        <v>599</v>
      </c>
      <c r="B49" s="137"/>
      <c r="C49" s="156"/>
      <c r="D49" s="157"/>
      <c r="E49" s="156"/>
      <c r="F49" s="157"/>
      <c r="G49" s="156"/>
      <c r="H49" s="157"/>
      <c r="I49" s="156"/>
      <c r="J49" s="141"/>
      <c r="K49" s="141"/>
    </row>
    <row r="50" spans="1:11" x14ac:dyDescent="0.25">
      <c r="A50" s="141" t="s">
        <v>600</v>
      </c>
      <c r="B50" s="137"/>
      <c r="C50" s="141"/>
      <c r="D50" s="157"/>
      <c r="E50" s="141"/>
      <c r="F50" s="157"/>
      <c r="G50" s="141"/>
      <c r="H50" s="157"/>
      <c r="I50" s="141"/>
      <c r="J50" s="141"/>
      <c r="K50" s="141"/>
    </row>
    <row r="51" spans="1:11" x14ac:dyDescent="0.25">
      <c r="A51" s="141" t="s">
        <v>601</v>
      </c>
      <c r="B51" s="137"/>
      <c r="C51" s="141"/>
      <c r="D51" s="157"/>
      <c r="E51" s="141"/>
      <c r="F51" s="157"/>
      <c r="G51" s="141"/>
      <c r="H51" s="157"/>
      <c r="I51" s="141"/>
      <c r="J51" s="141"/>
      <c r="K51" s="141"/>
    </row>
    <row r="52" spans="1:11" x14ac:dyDescent="0.25">
      <c r="A52" s="137" t="s">
        <v>602</v>
      </c>
      <c r="B52" s="137"/>
      <c r="C52" s="141"/>
      <c r="D52" s="157"/>
      <c r="E52" s="141"/>
      <c r="F52" s="157"/>
      <c r="G52" s="141"/>
      <c r="H52" s="157"/>
      <c r="I52" s="141"/>
      <c r="J52" s="158"/>
      <c r="K52" s="141"/>
    </row>
    <row r="53" spans="1:11" x14ac:dyDescent="0.25">
      <c r="A53" s="141" t="s">
        <v>603</v>
      </c>
      <c r="B53" s="137"/>
      <c r="C53" s="141"/>
      <c r="D53" s="157"/>
      <c r="E53" s="141"/>
      <c r="F53" s="157"/>
      <c r="G53" s="141"/>
      <c r="H53" s="157"/>
      <c r="I53" s="141"/>
      <c r="J53" s="158"/>
      <c r="K53" s="141"/>
    </row>
    <row r="54" spans="1:11" x14ac:dyDescent="0.25">
      <c r="A54" s="137" t="s">
        <v>604</v>
      </c>
      <c r="B54" s="137"/>
      <c r="C54" s="141"/>
      <c r="D54" s="157"/>
      <c r="E54" s="141"/>
      <c r="F54" s="157"/>
      <c r="G54" s="141"/>
      <c r="H54" s="157"/>
      <c r="I54" s="141"/>
      <c r="J54" s="158"/>
      <c r="K54" s="141"/>
    </row>
    <row r="55" spans="1:11" x14ac:dyDescent="0.25">
      <c r="A55" s="275" t="s">
        <v>605</v>
      </c>
      <c r="B55" s="275"/>
      <c r="C55" s="275"/>
      <c r="D55" s="275"/>
      <c r="E55" s="275"/>
      <c r="F55" s="275"/>
      <c r="G55" s="275"/>
      <c r="H55" s="275"/>
      <c r="I55" s="275"/>
      <c r="J55" s="141"/>
      <c r="K55" s="141"/>
    </row>
    <row r="56" spans="1:11" x14ac:dyDescent="0.25">
      <c r="A56" s="275"/>
      <c r="B56" s="275"/>
      <c r="C56" s="275"/>
      <c r="D56" s="275"/>
      <c r="E56" s="275"/>
      <c r="F56" s="275"/>
      <c r="G56" s="275"/>
      <c r="H56" s="275"/>
      <c r="I56" s="275"/>
      <c r="J56" s="141"/>
      <c r="K56" s="141"/>
    </row>
    <row r="57" spans="1:11" x14ac:dyDescent="0.25">
      <c r="A57" s="164" t="s">
        <v>606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</row>
    <row r="58" spans="1:11" x14ac:dyDescent="0.25">
      <c r="A58" s="275" t="s">
        <v>607</v>
      </c>
      <c r="B58" s="275"/>
      <c r="C58" s="275"/>
      <c r="D58" s="275"/>
      <c r="E58" s="275"/>
      <c r="F58" s="275"/>
      <c r="G58" s="275"/>
      <c r="H58" s="275"/>
      <c r="I58" s="275"/>
      <c r="J58" s="141"/>
      <c r="K58" s="141"/>
    </row>
    <row r="59" spans="1:11" x14ac:dyDescent="0.25">
      <c r="A59" s="275"/>
      <c r="B59" s="275"/>
      <c r="C59" s="275"/>
      <c r="D59" s="275"/>
      <c r="E59" s="275"/>
      <c r="F59" s="275"/>
      <c r="G59" s="275"/>
      <c r="H59" s="275"/>
      <c r="I59" s="275"/>
      <c r="J59" s="141"/>
      <c r="K59" s="141"/>
    </row>
    <row r="60" spans="1:11" x14ac:dyDescent="0.25">
      <c r="A60" s="137" t="s">
        <v>608</v>
      </c>
      <c r="B60" s="137"/>
      <c r="C60" s="141"/>
      <c r="D60" s="157"/>
      <c r="E60" s="141"/>
      <c r="F60" s="157"/>
      <c r="G60" s="141"/>
      <c r="H60" s="157"/>
      <c r="I60" s="141"/>
      <c r="J60" s="141"/>
      <c r="K60" s="141"/>
    </row>
    <row r="61" spans="1:11" x14ac:dyDescent="0.25">
      <c r="A61" s="137" t="s">
        <v>609</v>
      </c>
      <c r="B61" s="137"/>
      <c r="C61" s="141"/>
      <c r="D61" s="157"/>
      <c r="E61" s="141"/>
      <c r="F61" s="157"/>
      <c r="G61" s="141"/>
      <c r="H61" s="157"/>
      <c r="I61" s="141"/>
      <c r="J61" s="141"/>
      <c r="K61" s="141"/>
    </row>
    <row r="62" spans="1:11" ht="15.75" thickBot="1" x14ac:dyDescent="0.3">
      <c r="A62" s="137" t="s">
        <v>610</v>
      </c>
      <c r="B62" s="159" t="s">
        <v>345</v>
      </c>
      <c r="C62" s="159"/>
      <c r="D62" s="159"/>
      <c r="E62" s="159" t="s">
        <v>611</v>
      </c>
      <c r="F62" s="159"/>
      <c r="G62" s="141"/>
      <c r="H62" s="157"/>
      <c r="I62" s="141"/>
      <c r="J62" s="141"/>
      <c r="K62" s="141"/>
    </row>
    <row r="63" spans="1:11" x14ac:dyDescent="0.25">
      <c r="A63" s="141"/>
      <c r="B63" s="276" t="s">
        <v>363</v>
      </c>
      <c r="C63" s="276"/>
      <c r="D63" s="276"/>
      <c r="E63" s="160" t="s">
        <v>346</v>
      </c>
      <c r="F63" s="141"/>
      <c r="G63" s="161"/>
      <c r="H63" s="162"/>
      <c r="I63" s="163"/>
      <c r="J63" s="141"/>
      <c r="K63" s="141"/>
    </row>
    <row r="64" spans="1:11" x14ac:dyDescent="0.25">
      <c r="A64" s="141"/>
      <c r="B64" s="274" t="s">
        <v>347</v>
      </c>
      <c r="C64" s="274"/>
      <c r="D64" s="274"/>
      <c r="E64" s="160" t="s">
        <v>364</v>
      </c>
      <c r="F64" s="141"/>
      <c r="G64" s="141"/>
      <c r="H64" s="141"/>
      <c r="I64" s="141"/>
      <c r="J64" s="141"/>
      <c r="K64" s="141"/>
    </row>
    <row r="65" spans="1:11" x14ac:dyDescent="0.25">
      <c r="A65" s="141"/>
      <c r="B65" s="274" t="s">
        <v>348</v>
      </c>
      <c r="C65" s="274"/>
      <c r="D65" s="274"/>
      <c r="E65" s="141" t="s">
        <v>365</v>
      </c>
      <c r="F65" s="141"/>
      <c r="G65" s="141"/>
      <c r="H65" s="141"/>
      <c r="I65" s="141"/>
      <c r="J65" s="141"/>
      <c r="K65" s="141"/>
    </row>
    <row r="66" spans="1:11" x14ac:dyDescent="0.25">
      <c r="A66" s="141"/>
      <c r="B66" s="274" t="s">
        <v>349</v>
      </c>
      <c r="C66" s="274"/>
      <c r="D66" s="274"/>
      <c r="E66" s="141"/>
      <c r="F66" s="141"/>
      <c r="G66" s="141"/>
      <c r="H66" s="141"/>
      <c r="I66" s="141"/>
      <c r="J66" s="141"/>
      <c r="K66" s="141"/>
    </row>
  </sheetData>
  <mergeCells count="16">
    <mergeCell ref="C37:I37"/>
    <mergeCell ref="C43:I43"/>
    <mergeCell ref="A55:I56"/>
    <mergeCell ref="B4:C4"/>
    <mergeCell ref="F4:K4"/>
    <mergeCell ref="A5:A6"/>
    <mergeCell ref="B5:C5"/>
    <mergeCell ref="D5:E5"/>
    <mergeCell ref="F5:G5"/>
    <mergeCell ref="H5:I5"/>
    <mergeCell ref="J5:K5"/>
    <mergeCell ref="B64:D64"/>
    <mergeCell ref="B65:D65"/>
    <mergeCell ref="B66:D66"/>
    <mergeCell ref="A58:I59"/>
    <mergeCell ref="B63:D63"/>
  </mergeCells>
  <pageMargins left="0.7" right="0.7" top="0.75" bottom="0.75" header="0.3" footer="0.3"/>
  <pageSetup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4.1406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411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152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9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90"/>
      <c r="C7" s="281"/>
      <c r="D7" s="104" t="s">
        <v>8</v>
      </c>
      <c r="E7" s="98" t="s">
        <v>3</v>
      </c>
      <c r="F7" s="104" t="s">
        <v>8</v>
      </c>
      <c r="G7" s="98" t="s">
        <v>3</v>
      </c>
      <c r="H7" s="104" t="s">
        <v>8</v>
      </c>
      <c r="I7" s="100" t="s">
        <v>3</v>
      </c>
    </row>
    <row r="8" spans="1:9" x14ac:dyDescent="0.25">
      <c r="A8" s="138">
        <v>1990</v>
      </c>
      <c r="B8" s="167">
        <v>946</v>
      </c>
      <c r="C8" s="167">
        <f t="shared" ref="C8:C28" si="0">(+D8/B8)+(+F8/B8)+(+H8/B8)</f>
        <v>0.67019027484143756</v>
      </c>
      <c r="D8" s="167">
        <v>455</v>
      </c>
      <c r="E8" s="12" t="s">
        <v>22</v>
      </c>
      <c r="F8" s="167">
        <v>99</v>
      </c>
      <c r="G8" s="12" t="s">
        <v>153</v>
      </c>
      <c r="H8" s="167">
        <v>80</v>
      </c>
      <c r="I8" s="128" t="s">
        <v>37</v>
      </c>
    </row>
    <row r="9" spans="1:9" x14ac:dyDescent="0.25">
      <c r="A9" s="138">
        <v>1991</v>
      </c>
      <c r="B9" s="167">
        <v>771</v>
      </c>
      <c r="C9" s="167">
        <f t="shared" si="0"/>
        <v>0.56964980544747079</v>
      </c>
      <c r="D9" s="167">
        <v>289</v>
      </c>
      <c r="E9" s="12" t="s">
        <v>22</v>
      </c>
      <c r="F9" s="167">
        <v>75.2</v>
      </c>
      <c r="G9" s="12" t="s">
        <v>153</v>
      </c>
      <c r="H9" s="167">
        <v>75</v>
      </c>
      <c r="I9" s="128" t="s">
        <v>37</v>
      </c>
    </row>
    <row r="10" spans="1:9" x14ac:dyDescent="0.25">
      <c r="A10" s="138">
        <v>1992</v>
      </c>
      <c r="B10" s="167">
        <v>670</v>
      </c>
      <c r="C10" s="167">
        <f t="shared" si="0"/>
        <v>0.63133731343283583</v>
      </c>
      <c r="D10" s="167">
        <v>300</v>
      </c>
      <c r="E10" s="12" t="s">
        <v>22</v>
      </c>
      <c r="F10" s="167">
        <v>72.995999999999995</v>
      </c>
      <c r="G10" s="12" t="s">
        <v>49</v>
      </c>
      <c r="H10" s="167">
        <v>50</v>
      </c>
      <c r="I10" s="128" t="s">
        <v>42</v>
      </c>
    </row>
    <row r="11" spans="1:9" x14ac:dyDescent="0.25">
      <c r="A11" s="138">
        <v>1993</v>
      </c>
      <c r="B11" s="167">
        <v>648</v>
      </c>
      <c r="C11" s="167">
        <f t="shared" si="0"/>
        <v>0.66728086419753097</v>
      </c>
      <c r="D11" s="167">
        <v>310</v>
      </c>
      <c r="E11" s="12" t="s">
        <v>22</v>
      </c>
      <c r="F11" s="167">
        <v>82.397999999999996</v>
      </c>
      <c r="G11" s="12" t="s">
        <v>49</v>
      </c>
      <c r="H11" s="167">
        <v>40</v>
      </c>
      <c r="I11" s="128" t="s">
        <v>42</v>
      </c>
    </row>
    <row r="12" spans="1:9" x14ac:dyDescent="0.25">
      <c r="A12" s="138">
        <v>1994</v>
      </c>
      <c r="B12" s="167">
        <v>517</v>
      </c>
      <c r="C12" s="167">
        <f t="shared" si="0"/>
        <v>0.60850483558994195</v>
      </c>
      <c r="D12" s="167">
        <v>183</v>
      </c>
      <c r="E12" s="12" t="s">
        <v>22</v>
      </c>
      <c r="F12" s="167">
        <v>93.596999999999994</v>
      </c>
      <c r="G12" s="12" t="s">
        <v>49</v>
      </c>
      <c r="H12" s="167">
        <v>38</v>
      </c>
      <c r="I12" s="128" t="s">
        <v>154</v>
      </c>
    </row>
    <row r="13" spans="1:9" x14ac:dyDescent="0.25">
      <c r="A13" s="138">
        <v>1995</v>
      </c>
      <c r="B13" s="167">
        <v>584</v>
      </c>
      <c r="C13" s="167">
        <f t="shared" si="0"/>
        <v>0.63932876712328768</v>
      </c>
      <c r="D13" s="167">
        <v>204</v>
      </c>
      <c r="E13" s="12" t="s">
        <v>22</v>
      </c>
      <c r="F13" s="167">
        <v>129.36799999999999</v>
      </c>
      <c r="G13" s="12" t="s">
        <v>49</v>
      </c>
      <c r="H13" s="167">
        <v>40</v>
      </c>
      <c r="I13" s="128" t="s">
        <v>154</v>
      </c>
    </row>
    <row r="14" spans="1:9" x14ac:dyDescent="0.25">
      <c r="A14" s="138">
        <v>1996</v>
      </c>
      <c r="B14" s="167">
        <v>555</v>
      </c>
      <c r="C14" s="167">
        <f t="shared" si="0"/>
        <v>0.61303243243243244</v>
      </c>
      <c r="D14" s="167">
        <v>185</v>
      </c>
      <c r="E14" s="12" t="s">
        <v>22</v>
      </c>
      <c r="F14" s="167">
        <v>115.233</v>
      </c>
      <c r="G14" s="12" t="s">
        <v>49</v>
      </c>
      <c r="H14" s="167">
        <v>40</v>
      </c>
      <c r="I14" s="128" t="s">
        <v>154</v>
      </c>
    </row>
    <row r="15" spans="1:9" x14ac:dyDescent="0.25">
      <c r="A15" s="138">
        <v>1997</v>
      </c>
      <c r="B15" s="167">
        <v>685</v>
      </c>
      <c r="C15" s="167">
        <f t="shared" si="0"/>
        <v>0.66006277372262778</v>
      </c>
      <c r="D15" s="167">
        <v>310</v>
      </c>
      <c r="E15" s="12" t="s">
        <v>22</v>
      </c>
      <c r="F15" s="167">
        <v>102.143</v>
      </c>
      <c r="G15" s="12" t="s">
        <v>49</v>
      </c>
      <c r="H15" s="167">
        <v>40</v>
      </c>
      <c r="I15" s="128" t="s">
        <v>154</v>
      </c>
    </row>
    <row r="16" spans="1:9" x14ac:dyDescent="0.25">
      <c r="A16" s="138">
        <v>1998</v>
      </c>
      <c r="B16" s="167">
        <v>651</v>
      </c>
      <c r="C16" s="167">
        <f t="shared" si="0"/>
        <v>0.6585284178187405</v>
      </c>
      <c r="D16" s="167">
        <v>224</v>
      </c>
      <c r="E16" s="12" t="s">
        <v>22</v>
      </c>
      <c r="F16" s="167">
        <v>143.333</v>
      </c>
      <c r="G16" s="12" t="s">
        <v>49</v>
      </c>
      <c r="H16" s="167">
        <v>61.369</v>
      </c>
      <c r="I16" s="128" t="s">
        <v>28</v>
      </c>
    </row>
    <row r="17" spans="1:9" x14ac:dyDescent="0.25">
      <c r="A17" s="138">
        <v>1999</v>
      </c>
      <c r="B17" s="167">
        <v>692</v>
      </c>
      <c r="C17" s="167">
        <f t="shared" si="0"/>
        <v>0.72038005780346825</v>
      </c>
      <c r="D17" s="167">
        <v>300</v>
      </c>
      <c r="E17" s="12" t="s">
        <v>22</v>
      </c>
      <c r="F17" s="167">
        <v>145</v>
      </c>
      <c r="G17" s="12" t="s">
        <v>49</v>
      </c>
      <c r="H17" s="167">
        <v>53.503</v>
      </c>
      <c r="I17" s="128" t="s">
        <v>28</v>
      </c>
    </row>
    <row r="18" spans="1:9" x14ac:dyDescent="0.25">
      <c r="A18" s="138">
        <v>2000</v>
      </c>
      <c r="B18" s="167">
        <v>846</v>
      </c>
      <c r="C18" s="167">
        <f t="shared" si="0"/>
        <v>0.75792907801418441</v>
      </c>
      <c r="D18" s="167">
        <v>430</v>
      </c>
      <c r="E18" s="12" t="s">
        <v>22</v>
      </c>
      <c r="F18" s="167">
        <v>140</v>
      </c>
      <c r="G18" s="12" t="s">
        <v>49</v>
      </c>
      <c r="H18" s="167">
        <v>71.207999999999998</v>
      </c>
      <c r="I18" s="128" t="s">
        <v>28</v>
      </c>
    </row>
    <row r="19" spans="1:9" x14ac:dyDescent="0.25">
      <c r="A19" s="138">
        <v>2001</v>
      </c>
      <c r="B19" s="167">
        <v>816</v>
      </c>
      <c r="C19" s="167">
        <f t="shared" si="0"/>
        <v>0.80893504901960789</v>
      </c>
      <c r="D19" s="167">
        <v>450</v>
      </c>
      <c r="E19" s="12" t="s">
        <v>22</v>
      </c>
      <c r="F19" s="167">
        <v>140</v>
      </c>
      <c r="G19" s="12" t="s">
        <v>49</v>
      </c>
      <c r="H19" s="167">
        <v>70.090999999999994</v>
      </c>
      <c r="I19" s="128" t="s">
        <v>28</v>
      </c>
    </row>
    <row r="20" spans="1:9" x14ac:dyDescent="0.25">
      <c r="A20" s="138">
        <v>2002</v>
      </c>
      <c r="B20" s="167">
        <v>932</v>
      </c>
      <c r="C20" s="167">
        <f t="shared" si="0"/>
        <v>0.87974463519313306</v>
      </c>
      <c r="D20" s="167">
        <v>629</v>
      </c>
      <c r="E20" s="12" t="s">
        <v>22</v>
      </c>
      <c r="F20" s="167">
        <v>130</v>
      </c>
      <c r="G20" s="12" t="s">
        <v>49</v>
      </c>
      <c r="H20" s="167">
        <v>60.921999999999997</v>
      </c>
      <c r="I20" s="128" t="s">
        <v>28</v>
      </c>
    </row>
    <row r="21" spans="1:9" x14ac:dyDescent="0.25">
      <c r="A21" s="138">
        <v>2003</v>
      </c>
      <c r="B21" s="167">
        <v>999</v>
      </c>
      <c r="C21" s="167">
        <f t="shared" si="0"/>
        <v>0.89163063063063053</v>
      </c>
      <c r="D21" s="167">
        <v>710</v>
      </c>
      <c r="E21" s="12" t="s">
        <v>22</v>
      </c>
      <c r="F21" s="167">
        <v>110</v>
      </c>
      <c r="G21" s="12" t="s">
        <v>49</v>
      </c>
      <c r="H21" s="167">
        <v>70.739000000000004</v>
      </c>
      <c r="I21" s="128" t="s">
        <v>28</v>
      </c>
    </row>
    <row r="22" spans="1:9" x14ac:dyDescent="0.25">
      <c r="A22" s="138">
        <v>2004</v>
      </c>
      <c r="B22" s="167">
        <v>1010</v>
      </c>
      <c r="C22" s="167">
        <f t="shared" si="0"/>
        <v>0.88745742574257425</v>
      </c>
      <c r="D22" s="167">
        <v>700</v>
      </c>
      <c r="E22" s="12" t="s">
        <v>22</v>
      </c>
      <c r="F22" s="167">
        <v>120</v>
      </c>
      <c r="G22" s="12" t="s">
        <v>49</v>
      </c>
      <c r="H22" s="167">
        <v>76.331999999999994</v>
      </c>
      <c r="I22" s="128" t="s">
        <v>28</v>
      </c>
    </row>
    <row r="23" spans="1:9" x14ac:dyDescent="0.25">
      <c r="A23" s="138">
        <v>2005</v>
      </c>
      <c r="B23" s="167">
        <v>1030</v>
      </c>
      <c r="C23" s="167">
        <f t="shared" si="0"/>
        <v>0.89855825242718457</v>
      </c>
      <c r="D23" s="167">
        <v>720</v>
      </c>
      <c r="E23" s="12" t="s">
        <v>22</v>
      </c>
      <c r="F23" s="167">
        <v>130</v>
      </c>
      <c r="G23" s="12" t="s">
        <v>49</v>
      </c>
      <c r="H23" s="167">
        <v>75.515000000000001</v>
      </c>
      <c r="I23" s="128" t="s">
        <v>28</v>
      </c>
    </row>
    <row r="24" spans="1:9" x14ac:dyDescent="0.25">
      <c r="A24" s="138">
        <v>2006</v>
      </c>
      <c r="B24" s="167">
        <v>1020</v>
      </c>
      <c r="C24" s="167">
        <f t="shared" si="0"/>
        <v>0.89822941176470594</v>
      </c>
      <c r="D24" s="167">
        <v>720</v>
      </c>
      <c r="E24" s="12" t="s">
        <v>22</v>
      </c>
      <c r="F24" s="167">
        <v>120</v>
      </c>
      <c r="G24" s="12" t="s">
        <v>49</v>
      </c>
      <c r="H24" s="167">
        <v>76.194000000000003</v>
      </c>
      <c r="I24" s="128" t="s">
        <v>28</v>
      </c>
    </row>
    <row r="25" spans="1:9" x14ac:dyDescent="0.25">
      <c r="A25" s="138" t="s">
        <v>4</v>
      </c>
      <c r="B25" s="167">
        <v>1110</v>
      </c>
      <c r="C25" s="167">
        <f t="shared" si="0"/>
        <v>0.907354054054054</v>
      </c>
      <c r="D25" s="167">
        <v>800</v>
      </c>
      <c r="E25" s="12" t="s">
        <v>22</v>
      </c>
      <c r="F25" s="167">
        <v>130</v>
      </c>
      <c r="G25" s="12" t="s">
        <v>49</v>
      </c>
      <c r="H25" s="167">
        <v>77.162999999999997</v>
      </c>
      <c r="I25" s="128" t="s">
        <v>28</v>
      </c>
    </row>
    <row r="26" spans="1:9" x14ac:dyDescent="0.25">
      <c r="A26" s="138" t="s">
        <v>5</v>
      </c>
      <c r="B26" s="167">
        <v>1120</v>
      </c>
      <c r="C26" s="167">
        <f t="shared" si="0"/>
        <v>0.77428571428571435</v>
      </c>
      <c r="D26" s="167">
        <v>650</v>
      </c>
      <c r="E26" s="12" t="s">
        <v>22</v>
      </c>
      <c r="F26" s="167">
        <v>140</v>
      </c>
      <c r="G26" s="12" t="s">
        <v>49</v>
      </c>
      <c r="H26" s="167">
        <v>77.2</v>
      </c>
      <c r="I26" s="128" t="s">
        <v>28</v>
      </c>
    </row>
    <row r="27" spans="1:9" x14ac:dyDescent="0.25">
      <c r="A27" s="138" t="s">
        <v>6</v>
      </c>
      <c r="B27" s="167">
        <v>1090</v>
      </c>
      <c r="C27" s="167">
        <f t="shared" si="0"/>
        <v>0.60293577981651381</v>
      </c>
      <c r="D27" s="167">
        <v>450</v>
      </c>
      <c r="E27" s="12" t="s">
        <v>22</v>
      </c>
      <c r="F27" s="167">
        <v>130</v>
      </c>
      <c r="G27" s="12" t="s">
        <v>49</v>
      </c>
      <c r="H27" s="167">
        <v>77.2</v>
      </c>
      <c r="I27" s="128" t="s">
        <v>28</v>
      </c>
    </row>
    <row r="28" spans="1:9" x14ac:dyDescent="0.25">
      <c r="A28" s="138" t="s">
        <v>7</v>
      </c>
      <c r="B28" s="167">
        <v>1200</v>
      </c>
      <c r="C28" s="167">
        <f t="shared" si="0"/>
        <v>0.84766666666666668</v>
      </c>
      <c r="D28" s="167">
        <v>800</v>
      </c>
      <c r="E28" s="12" t="s">
        <v>22</v>
      </c>
      <c r="F28" s="167">
        <v>140</v>
      </c>
      <c r="G28" s="12" t="s">
        <v>49</v>
      </c>
      <c r="H28" s="167">
        <v>77.2</v>
      </c>
      <c r="I28" s="128" t="s">
        <v>28</v>
      </c>
    </row>
    <row r="29" spans="1:9" x14ac:dyDescent="0.25">
      <c r="C29" s="10"/>
    </row>
    <row r="30" spans="1:9" x14ac:dyDescent="0.25">
      <c r="A30" s="22"/>
    </row>
    <row r="31" spans="1:9" x14ac:dyDescent="0.25">
      <c r="E31" s="10"/>
      <c r="F31" s="54"/>
    </row>
    <row r="32" spans="1:9" x14ac:dyDescent="0.25">
      <c r="E32" s="10"/>
      <c r="F32" s="54"/>
    </row>
    <row r="33" spans="5:6" x14ac:dyDescent="0.25">
      <c r="E33" s="10"/>
      <c r="F33" s="54"/>
    </row>
    <row r="34" spans="5:6" x14ac:dyDescent="0.25">
      <c r="E34" s="10"/>
      <c r="F34" s="54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3.8554687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413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110" t="s">
        <v>396</v>
      </c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155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412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81"/>
      <c r="C7" s="281"/>
      <c r="D7" s="65" t="s">
        <v>9</v>
      </c>
      <c r="E7" s="98" t="s">
        <v>3</v>
      </c>
      <c r="F7" s="65" t="s">
        <v>9</v>
      </c>
      <c r="G7" s="98" t="s">
        <v>3</v>
      </c>
      <c r="H7" s="65" t="s">
        <v>9</v>
      </c>
      <c r="I7" s="100" t="s">
        <v>3</v>
      </c>
    </row>
    <row r="8" spans="1:9" x14ac:dyDescent="0.25">
      <c r="A8" s="138">
        <v>1990</v>
      </c>
      <c r="B8" s="174">
        <v>0.11799999999999999</v>
      </c>
      <c r="C8" s="214" t="s">
        <v>394</v>
      </c>
      <c r="D8" s="214" t="s">
        <v>394</v>
      </c>
      <c r="E8" s="173" t="s">
        <v>394</v>
      </c>
      <c r="F8" s="214" t="s">
        <v>394</v>
      </c>
      <c r="G8" s="173" t="s">
        <v>394</v>
      </c>
      <c r="H8" s="214" t="s">
        <v>394</v>
      </c>
      <c r="I8" s="173" t="s">
        <v>394</v>
      </c>
    </row>
    <row r="9" spans="1:9" x14ac:dyDescent="0.25">
      <c r="A9" s="138">
        <v>1991</v>
      </c>
      <c r="B9" s="174">
        <v>0.14000000000000001</v>
      </c>
      <c r="C9" s="214" t="s">
        <v>394</v>
      </c>
      <c r="D9" s="214" t="s">
        <v>394</v>
      </c>
      <c r="E9" s="173" t="s">
        <v>394</v>
      </c>
      <c r="F9" s="214" t="s">
        <v>394</v>
      </c>
      <c r="G9" s="173" t="s">
        <v>394</v>
      </c>
      <c r="H9" s="214" t="s">
        <v>394</v>
      </c>
      <c r="I9" s="173" t="s">
        <v>394</v>
      </c>
    </row>
    <row r="10" spans="1:9" x14ac:dyDescent="0.25">
      <c r="A10" s="138">
        <v>1992</v>
      </c>
      <c r="B10" s="174">
        <v>0.14000000000000001</v>
      </c>
      <c r="C10" s="214" t="s">
        <v>394</v>
      </c>
      <c r="D10" s="214" t="s">
        <v>394</v>
      </c>
      <c r="E10" s="173" t="s">
        <v>394</v>
      </c>
      <c r="F10" s="214" t="s">
        <v>394</v>
      </c>
      <c r="G10" s="173" t="s">
        <v>394</v>
      </c>
      <c r="H10" s="214" t="s">
        <v>394</v>
      </c>
      <c r="I10" s="173" t="s">
        <v>394</v>
      </c>
    </row>
    <row r="11" spans="1:9" x14ac:dyDescent="0.25">
      <c r="A11" s="138">
        <v>1993</v>
      </c>
      <c r="B11" s="174">
        <v>0.14000000000000001</v>
      </c>
      <c r="C11" s="214" t="s">
        <v>394</v>
      </c>
      <c r="D11" s="214" t="s">
        <v>394</v>
      </c>
      <c r="E11" s="173" t="s">
        <v>394</v>
      </c>
      <c r="F11" s="214" t="s">
        <v>394</v>
      </c>
      <c r="G11" s="173" t="s">
        <v>394</v>
      </c>
      <c r="H11" s="214" t="s">
        <v>394</v>
      </c>
      <c r="I11" s="173" t="s">
        <v>394</v>
      </c>
    </row>
    <row r="12" spans="1:9" x14ac:dyDescent="0.25">
      <c r="A12" s="138">
        <v>1994</v>
      </c>
      <c r="B12" s="174">
        <v>0.14499999999999999</v>
      </c>
      <c r="C12" s="214" t="s">
        <v>394</v>
      </c>
      <c r="D12" s="214" t="s">
        <v>394</v>
      </c>
      <c r="E12" s="173" t="s">
        <v>394</v>
      </c>
      <c r="F12" s="214" t="s">
        <v>394</v>
      </c>
      <c r="G12" s="173" t="s">
        <v>394</v>
      </c>
      <c r="H12" s="214" t="s">
        <v>394</v>
      </c>
      <c r="I12" s="173" t="s">
        <v>394</v>
      </c>
    </row>
    <row r="13" spans="1:9" x14ac:dyDescent="0.25">
      <c r="A13" s="138">
        <v>1995</v>
      </c>
      <c r="B13" s="174">
        <v>0.23899999999999999</v>
      </c>
      <c r="C13" s="214" t="s">
        <v>394</v>
      </c>
      <c r="D13" s="214" t="s">
        <v>394</v>
      </c>
      <c r="E13" s="173" t="s">
        <v>394</v>
      </c>
      <c r="F13" s="214" t="s">
        <v>394</v>
      </c>
      <c r="G13" s="173" t="s">
        <v>394</v>
      </c>
      <c r="H13" s="214" t="s">
        <v>394</v>
      </c>
      <c r="I13" s="173" t="s">
        <v>394</v>
      </c>
    </row>
    <row r="14" spans="1:9" x14ac:dyDescent="0.25">
      <c r="A14" s="138">
        <v>1996</v>
      </c>
      <c r="B14" s="174">
        <v>0.2</v>
      </c>
      <c r="C14" s="214" t="s">
        <v>394</v>
      </c>
      <c r="D14" s="214" t="s">
        <v>394</v>
      </c>
      <c r="E14" s="173" t="s">
        <v>394</v>
      </c>
      <c r="F14" s="214" t="s">
        <v>394</v>
      </c>
      <c r="G14" s="173" t="s">
        <v>394</v>
      </c>
      <c r="H14" s="214" t="s">
        <v>394</v>
      </c>
      <c r="I14" s="173" t="s">
        <v>394</v>
      </c>
    </row>
    <row r="15" spans="1:9" x14ac:dyDescent="0.25">
      <c r="A15" s="138">
        <v>1997</v>
      </c>
      <c r="B15" s="174">
        <v>0.23</v>
      </c>
      <c r="C15" s="214" t="s">
        <v>394</v>
      </c>
      <c r="D15" s="214" t="s">
        <v>394</v>
      </c>
      <c r="E15" s="173" t="s">
        <v>394</v>
      </c>
      <c r="F15" s="214" t="s">
        <v>394</v>
      </c>
      <c r="G15" s="173" t="s">
        <v>394</v>
      </c>
      <c r="H15" s="214" t="s">
        <v>394</v>
      </c>
      <c r="I15" s="173" t="s">
        <v>394</v>
      </c>
    </row>
    <row r="16" spans="1:9" x14ac:dyDescent="0.25">
      <c r="A16" s="138">
        <v>1998</v>
      </c>
      <c r="B16" s="174">
        <v>0.23</v>
      </c>
      <c r="C16" s="214" t="s">
        <v>394</v>
      </c>
      <c r="D16" s="214" t="s">
        <v>394</v>
      </c>
      <c r="E16" s="173" t="s">
        <v>394</v>
      </c>
      <c r="F16" s="214" t="s">
        <v>394</v>
      </c>
      <c r="G16" s="173" t="s">
        <v>394</v>
      </c>
      <c r="H16" s="214" t="s">
        <v>394</v>
      </c>
      <c r="I16" s="173" t="s">
        <v>394</v>
      </c>
    </row>
    <row r="17" spans="1:9" x14ac:dyDescent="0.25">
      <c r="A17" s="138">
        <v>1999</v>
      </c>
      <c r="B17" s="174">
        <v>0.245</v>
      </c>
      <c r="C17" s="167">
        <f t="shared" ref="C17:C28" si="0">(+D17/B17)+(+F17/B17)+(+H17/B17)</f>
        <v>0.51020408163265307</v>
      </c>
      <c r="D17" s="174">
        <v>4.2999999999999997E-2</v>
      </c>
      <c r="E17" s="12" t="s">
        <v>94</v>
      </c>
      <c r="F17" s="174">
        <v>4.2000000000000003E-2</v>
      </c>
      <c r="G17" s="12" t="s">
        <v>38</v>
      </c>
      <c r="H17" s="174">
        <v>0.04</v>
      </c>
      <c r="I17" s="128" t="s">
        <v>22</v>
      </c>
    </row>
    <row r="18" spans="1:9" x14ac:dyDescent="0.25">
      <c r="A18" s="138">
        <v>2000</v>
      </c>
      <c r="B18" s="174">
        <v>0.45</v>
      </c>
      <c r="C18" s="167">
        <f t="shared" si="0"/>
        <v>0.71111111111111114</v>
      </c>
      <c r="D18" s="174">
        <v>0.2</v>
      </c>
      <c r="E18" s="12" t="s">
        <v>22</v>
      </c>
      <c r="F18" s="174">
        <v>6.5000000000000002E-2</v>
      </c>
      <c r="G18" s="12" t="s">
        <v>94</v>
      </c>
      <c r="H18" s="174">
        <v>5.5E-2</v>
      </c>
      <c r="I18" s="128" t="s">
        <v>29</v>
      </c>
    </row>
    <row r="19" spans="1:9" x14ac:dyDescent="0.25">
      <c r="A19" s="138">
        <v>2001</v>
      </c>
      <c r="B19" s="174">
        <v>0.439</v>
      </c>
      <c r="C19" s="167">
        <f t="shared" si="0"/>
        <v>0.70615034168564916</v>
      </c>
      <c r="D19" s="174">
        <v>0.19</v>
      </c>
      <c r="E19" s="12" t="s">
        <v>22</v>
      </c>
      <c r="F19" s="174">
        <v>6.5000000000000002E-2</v>
      </c>
      <c r="G19" s="12" t="s">
        <v>94</v>
      </c>
      <c r="H19" s="174">
        <v>5.5E-2</v>
      </c>
      <c r="I19" s="128" t="s">
        <v>29</v>
      </c>
    </row>
    <row r="20" spans="1:9" x14ac:dyDescent="0.25">
      <c r="A20" s="138">
        <v>2002</v>
      </c>
      <c r="B20" s="174">
        <v>0.40600000000000003</v>
      </c>
      <c r="C20" s="167">
        <f t="shared" si="0"/>
        <v>0.65270935960591137</v>
      </c>
      <c r="D20" s="174">
        <v>0.16</v>
      </c>
      <c r="E20" s="12" t="s">
        <v>22</v>
      </c>
      <c r="F20" s="174">
        <v>0.06</v>
      </c>
      <c r="G20" s="12" t="s">
        <v>29</v>
      </c>
      <c r="H20" s="174">
        <v>4.4999999999999998E-2</v>
      </c>
      <c r="I20" s="128" t="s">
        <v>38</v>
      </c>
    </row>
    <row r="21" spans="1:9" x14ac:dyDescent="0.25">
      <c r="A21" s="138">
        <v>2003</v>
      </c>
      <c r="B21" s="174">
        <v>0.371</v>
      </c>
      <c r="C21" s="167">
        <f t="shared" si="0"/>
        <v>0.80862533692722371</v>
      </c>
      <c r="D21" s="174">
        <v>0.18</v>
      </c>
      <c r="E21" s="128" t="s">
        <v>22</v>
      </c>
      <c r="F21" s="174">
        <v>7.0000000000000007E-2</v>
      </c>
      <c r="G21" s="12" t="s">
        <v>29</v>
      </c>
      <c r="H21" s="174">
        <v>0.05</v>
      </c>
      <c r="I21" s="128" t="s">
        <v>38</v>
      </c>
    </row>
    <row r="22" spans="1:9" x14ac:dyDescent="0.25">
      <c r="A22" s="138">
        <v>2004</v>
      </c>
      <c r="B22" s="174">
        <v>0.39200000000000002</v>
      </c>
      <c r="C22" s="167">
        <f t="shared" si="0"/>
        <v>0.81632653061224492</v>
      </c>
      <c r="D22" s="174">
        <v>0.2</v>
      </c>
      <c r="E22" s="128" t="s">
        <v>22</v>
      </c>
      <c r="F22" s="174">
        <v>7.0000000000000007E-2</v>
      </c>
      <c r="G22" s="12" t="s">
        <v>29</v>
      </c>
      <c r="H22" s="174">
        <v>0.05</v>
      </c>
      <c r="I22" s="128" t="s">
        <v>38</v>
      </c>
    </row>
    <row r="23" spans="1:9" x14ac:dyDescent="0.25">
      <c r="A23" s="138">
        <v>2005</v>
      </c>
      <c r="B23" s="174">
        <v>0.60699999999999998</v>
      </c>
      <c r="C23" s="167">
        <f t="shared" si="0"/>
        <v>0.80724876441515658</v>
      </c>
      <c r="D23" s="174">
        <v>0.37</v>
      </c>
      <c r="E23" s="128" t="s">
        <v>22</v>
      </c>
      <c r="F23" s="174">
        <v>7.0000000000000007E-2</v>
      </c>
      <c r="G23" s="12" t="s">
        <v>29</v>
      </c>
      <c r="H23" s="174">
        <v>0.05</v>
      </c>
      <c r="I23" s="128" t="s">
        <v>153</v>
      </c>
    </row>
    <row r="24" spans="1:9" x14ac:dyDescent="0.25">
      <c r="A24" s="138">
        <v>2006</v>
      </c>
      <c r="B24" s="174">
        <v>0.63600000000000001</v>
      </c>
      <c r="C24" s="167">
        <f t="shared" si="0"/>
        <v>0.80974842767295596</v>
      </c>
      <c r="D24" s="174">
        <v>0.4</v>
      </c>
      <c r="E24" s="128" t="s">
        <v>22</v>
      </c>
      <c r="F24" s="174">
        <v>0.06</v>
      </c>
      <c r="G24" s="128" t="s">
        <v>153</v>
      </c>
      <c r="H24" s="174">
        <v>5.5E-2</v>
      </c>
      <c r="I24" s="128" t="s">
        <v>29</v>
      </c>
    </row>
    <row r="25" spans="1:9" x14ac:dyDescent="0.25">
      <c r="A25" s="138" t="s">
        <v>4</v>
      </c>
      <c r="B25" s="174">
        <v>0.62</v>
      </c>
      <c r="C25" s="167">
        <f t="shared" si="0"/>
        <v>0.82258064516129037</v>
      </c>
      <c r="D25" s="174">
        <v>0.38</v>
      </c>
      <c r="E25" s="128" t="s">
        <v>22</v>
      </c>
      <c r="F25" s="174">
        <v>7.0000000000000007E-2</v>
      </c>
      <c r="G25" s="128" t="s">
        <v>153</v>
      </c>
      <c r="H25" s="174">
        <v>0.06</v>
      </c>
      <c r="I25" s="128" t="s">
        <v>29</v>
      </c>
    </row>
    <row r="26" spans="1:9" x14ac:dyDescent="0.25">
      <c r="A26" s="138" t="s">
        <v>5</v>
      </c>
      <c r="B26" s="174">
        <v>0.60099999999999998</v>
      </c>
      <c r="C26" s="167">
        <f t="shared" si="0"/>
        <v>0.79866888519134782</v>
      </c>
      <c r="D26" s="174">
        <v>0.34</v>
      </c>
      <c r="E26" s="128" t="s">
        <v>22</v>
      </c>
      <c r="F26" s="174">
        <v>7.4999999999999997E-2</v>
      </c>
      <c r="G26" s="12" t="s">
        <v>153</v>
      </c>
      <c r="H26" s="174">
        <v>6.5000000000000002E-2</v>
      </c>
      <c r="I26" s="128" t="s">
        <v>29</v>
      </c>
    </row>
    <row r="27" spans="1:9" x14ac:dyDescent="0.25">
      <c r="A27" s="138" t="s">
        <v>6</v>
      </c>
      <c r="B27" s="174">
        <v>0.54600000000000004</v>
      </c>
      <c r="C27" s="167">
        <f t="shared" si="0"/>
        <v>0.87362637362637363</v>
      </c>
      <c r="D27" s="174">
        <v>0.34</v>
      </c>
      <c r="E27" s="128" t="s">
        <v>22</v>
      </c>
      <c r="F27" s="174">
        <v>7.0000000000000007E-2</v>
      </c>
      <c r="G27" s="12" t="s">
        <v>153</v>
      </c>
      <c r="H27" s="174">
        <v>6.7000000000000004E-2</v>
      </c>
      <c r="I27" s="128" t="s">
        <v>29</v>
      </c>
    </row>
    <row r="28" spans="1:9" x14ac:dyDescent="0.25">
      <c r="A28" s="138" t="s">
        <v>7</v>
      </c>
      <c r="B28" s="174">
        <v>0.60899999999999999</v>
      </c>
      <c r="C28" s="167">
        <f t="shared" si="0"/>
        <v>0.77011494252873558</v>
      </c>
      <c r="D28" s="174">
        <v>0.33</v>
      </c>
      <c r="E28" s="12" t="s">
        <v>22</v>
      </c>
      <c r="F28" s="174">
        <v>7.0000000000000007E-2</v>
      </c>
      <c r="G28" s="12" t="s">
        <v>153</v>
      </c>
      <c r="H28" s="174">
        <v>6.9000000000000006E-2</v>
      </c>
      <c r="I28" s="128" t="s">
        <v>29</v>
      </c>
    </row>
    <row r="29" spans="1:9" x14ac:dyDescent="0.25">
      <c r="A29" s="141"/>
      <c r="B29" s="167"/>
      <c r="C29" s="141"/>
      <c r="D29" s="138"/>
      <c r="E29" s="157"/>
      <c r="F29" s="147"/>
      <c r="G29" s="141"/>
      <c r="H29" s="138"/>
      <c r="I29" s="141"/>
    </row>
    <row r="30" spans="1:9" x14ac:dyDescent="0.25">
      <c r="A30" s="141" t="s">
        <v>616</v>
      </c>
      <c r="B30" s="167"/>
      <c r="C30" s="141"/>
      <c r="D30" s="138"/>
      <c r="E30" s="157"/>
      <c r="F30" s="147"/>
      <c r="G30" s="141"/>
      <c r="H30" s="138"/>
      <c r="I30" s="141"/>
    </row>
    <row r="31" spans="1:9" x14ac:dyDescent="0.25">
      <c r="E31" s="10"/>
      <c r="F31" s="54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1" footer="0"/>
  <pageSetup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4" style="59" customWidth="1"/>
    <col min="4" max="4" width="13.28515625" style="58" customWidth="1"/>
    <col min="5" max="5" width="13.28515625" style="59" customWidth="1"/>
    <col min="6" max="6" width="13.28515625" style="58" customWidth="1"/>
    <col min="7" max="7" width="13.28515625" style="59" customWidth="1"/>
    <col min="8" max="8" width="13.28515625" style="58" customWidth="1"/>
    <col min="9" max="9" width="23" customWidth="1"/>
  </cols>
  <sheetData>
    <row r="1" spans="1:10" ht="15" customHeight="1" x14ac:dyDescent="0.25">
      <c r="A1" s="278" t="s">
        <v>415</v>
      </c>
      <c r="B1" s="278"/>
      <c r="C1" s="278"/>
      <c r="D1" s="278"/>
      <c r="E1" s="278"/>
      <c r="F1" s="278"/>
      <c r="G1" s="278"/>
      <c r="H1" s="278"/>
      <c r="I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10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10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10" x14ac:dyDescent="0.25">
      <c r="A5" s="105"/>
      <c r="B5" s="283" t="s">
        <v>156</v>
      </c>
      <c r="C5" s="283"/>
      <c r="D5" s="283"/>
      <c r="E5" s="283"/>
      <c r="F5" s="283"/>
      <c r="G5" s="283"/>
      <c r="H5" s="283"/>
      <c r="I5" s="283"/>
    </row>
    <row r="6" spans="1:10" s="11" customFormat="1" x14ac:dyDescent="0.25">
      <c r="A6" s="101"/>
      <c r="B6" s="282" t="s">
        <v>414</v>
      </c>
      <c r="C6" s="282" t="s">
        <v>299</v>
      </c>
      <c r="D6" s="271" t="s">
        <v>275</v>
      </c>
      <c r="E6" s="271"/>
      <c r="F6" s="271" t="s">
        <v>32</v>
      </c>
      <c r="G6" s="271"/>
      <c r="H6" s="271" t="s">
        <v>33</v>
      </c>
      <c r="I6" s="271"/>
    </row>
    <row r="7" spans="1:10" s="11" customFormat="1" ht="25.5" customHeight="1" x14ac:dyDescent="0.25">
      <c r="A7" s="100" t="s">
        <v>368</v>
      </c>
      <c r="B7" s="281"/>
      <c r="C7" s="281"/>
      <c r="D7" s="104" t="s">
        <v>8</v>
      </c>
      <c r="E7" s="95" t="s">
        <v>3</v>
      </c>
      <c r="F7" s="104" t="s">
        <v>8</v>
      </c>
      <c r="G7" s="95" t="s">
        <v>3</v>
      </c>
      <c r="H7" s="104" t="s">
        <v>8</v>
      </c>
      <c r="I7" s="104" t="s">
        <v>3</v>
      </c>
    </row>
    <row r="8" spans="1:10" x14ac:dyDescent="0.25">
      <c r="A8" s="138">
        <v>1990</v>
      </c>
      <c r="B8" s="167">
        <v>16</v>
      </c>
      <c r="C8" s="167">
        <f t="shared" ref="C8:C28" si="0">(+D8/B8)+(+F8/B8)+(+H8/B8)</f>
        <v>0.84125000000000005</v>
      </c>
      <c r="D8" s="167">
        <v>7.58</v>
      </c>
      <c r="E8" s="70" t="s">
        <v>29</v>
      </c>
      <c r="F8" s="167">
        <v>3.98</v>
      </c>
      <c r="G8" s="70" t="s">
        <v>78</v>
      </c>
      <c r="H8" s="167">
        <v>1.9</v>
      </c>
      <c r="I8" s="128" t="s">
        <v>37</v>
      </c>
      <c r="J8" s="59"/>
    </row>
    <row r="9" spans="1:10" x14ac:dyDescent="0.25">
      <c r="A9" s="138">
        <v>1991</v>
      </c>
      <c r="B9" s="167">
        <v>17.3</v>
      </c>
      <c r="C9" s="167">
        <f t="shared" si="0"/>
        <v>0.85202312138728331</v>
      </c>
      <c r="D9" s="167">
        <v>7.49</v>
      </c>
      <c r="E9" s="70" t="s">
        <v>29</v>
      </c>
      <c r="F9" s="167">
        <v>5.45</v>
      </c>
      <c r="G9" s="70" t="s">
        <v>78</v>
      </c>
      <c r="H9" s="167">
        <v>1.8</v>
      </c>
      <c r="I9" s="128" t="s">
        <v>37</v>
      </c>
      <c r="J9" s="59"/>
    </row>
    <row r="10" spans="1:10" x14ac:dyDescent="0.25">
      <c r="A10" s="138">
        <v>1992</v>
      </c>
      <c r="B10" s="167">
        <v>16.5</v>
      </c>
      <c r="C10" s="167">
        <f t="shared" si="0"/>
        <v>0.80018181818181822</v>
      </c>
      <c r="D10" s="167">
        <v>6.7640000000000002</v>
      </c>
      <c r="E10" s="70" t="s">
        <v>29</v>
      </c>
      <c r="F10" s="167">
        <v>5.8390000000000004</v>
      </c>
      <c r="G10" s="70" t="s">
        <v>78</v>
      </c>
      <c r="H10" s="167">
        <v>0.6</v>
      </c>
      <c r="I10" s="128" t="s">
        <v>157</v>
      </c>
      <c r="J10" s="59"/>
    </row>
    <row r="11" spans="1:10" x14ac:dyDescent="0.25">
      <c r="A11" s="138">
        <v>1993</v>
      </c>
      <c r="B11" s="167">
        <v>16.100000000000001</v>
      </c>
      <c r="C11" s="167">
        <f t="shared" si="0"/>
        <v>0.80416149068322973</v>
      </c>
      <c r="D11" s="167">
        <v>6.4889999999999999</v>
      </c>
      <c r="E11" s="70" t="s">
        <v>29</v>
      </c>
      <c r="F11" s="167">
        <v>5.9580000000000002</v>
      </c>
      <c r="G11" s="70" t="s">
        <v>78</v>
      </c>
      <c r="H11" s="167">
        <v>0.5</v>
      </c>
      <c r="I11" s="128" t="s">
        <v>22</v>
      </c>
      <c r="J11" s="59"/>
    </row>
    <row r="12" spans="1:10" x14ac:dyDescent="0.25">
      <c r="A12" s="138">
        <v>1994</v>
      </c>
      <c r="B12" s="167">
        <v>14.3</v>
      </c>
      <c r="C12" s="167">
        <f t="shared" si="0"/>
        <v>0.82069930069930064</v>
      </c>
      <c r="D12" s="167">
        <v>5.6440000000000001</v>
      </c>
      <c r="E12" s="70" t="s">
        <v>78</v>
      </c>
      <c r="F12" s="167">
        <v>5.5919999999999996</v>
      </c>
      <c r="G12" s="70" t="s">
        <v>29</v>
      </c>
      <c r="H12" s="167">
        <v>0.5</v>
      </c>
      <c r="I12" s="70" t="s">
        <v>22</v>
      </c>
      <c r="J12" s="59"/>
    </row>
    <row r="13" spans="1:10" x14ac:dyDescent="0.25">
      <c r="A13" s="138">
        <v>1995</v>
      </c>
      <c r="B13" s="167">
        <v>13.4</v>
      </c>
      <c r="C13" s="167">
        <f t="shared" si="0"/>
        <v>0.85343283582089546</v>
      </c>
      <c r="D13" s="167">
        <v>5.492</v>
      </c>
      <c r="E13" s="70" t="s">
        <v>29</v>
      </c>
      <c r="F13" s="167">
        <v>5.444</v>
      </c>
      <c r="G13" s="70" t="s">
        <v>78</v>
      </c>
      <c r="H13" s="167">
        <v>0.5</v>
      </c>
      <c r="I13" s="128" t="s">
        <v>22</v>
      </c>
      <c r="J13" s="59"/>
    </row>
    <row r="14" spans="1:10" x14ac:dyDescent="0.25">
      <c r="A14" s="138">
        <v>1996</v>
      </c>
      <c r="B14" s="167">
        <v>14.1</v>
      </c>
      <c r="C14" s="167">
        <f t="shared" si="0"/>
        <v>0.86468085106382986</v>
      </c>
      <c r="D14" s="167">
        <v>6.1779999999999999</v>
      </c>
      <c r="E14" s="70" t="s">
        <v>29</v>
      </c>
      <c r="F14" s="167">
        <v>5.5140000000000002</v>
      </c>
      <c r="G14" s="70" t="s">
        <v>78</v>
      </c>
      <c r="H14" s="167">
        <v>0.5</v>
      </c>
      <c r="I14" s="128" t="s">
        <v>22</v>
      </c>
      <c r="J14" s="59"/>
    </row>
    <row r="15" spans="1:10" x14ac:dyDescent="0.25">
      <c r="A15" s="138">
        <v>1997</v>
      </c>
      <c r="B15" s="167">
        <v>15.7</v>
      </c>
      <c r="C15" s="167">
        <f t="shared" si="0"/>
        <v>0.87197452229299366</v>
      </c>
      <c r="D15" s="167">
        <v>7.1539999999999999</v>
      </c>
      <c r="E15" s="70" t="s">
        <v>78</v>
      </c>
      <c r="F15" s="167">
        <v>6.0359999999999996</v>
      </c>
      <c r="G15" s="70" t="s">
        <v>29</v>
      </c>
      <c r="H15" s="167">
        <v>0.5</v>
      </c>
      <c r="I15" s="70" t="s">
        <v>22</v>
      </c>
      <c r="J15" s="59"/>
    </row>
    <row r="16" spans="1:10" x14ac:dyDescent="0.25">
      <c r="A16" s="138">
        <v>1998</v>
      </c>
      <c r="B16" s="167">
        <v>18.600000000000001</v>
      </c>
      <c r="C16" s="167">
        <f t="shared" si="0"/>
        <v>0.87978494623655901</v>
      </c>
      <c r="D16" s="167">
        <v>9.7219999999999995</v>
      </c>
      <c r="E16" s="128" t="s">
        <v>78</v>
      </c>
      <c r="F16" s="167">
        <v>6.1420000000000003</v>
      </c>
      <c r="G16" s="70" t="s">
        <v>29</v>
      </c>
      <c r="H16" s="167">
        <v>0.5</v>
      </c>
      <c r="I16" s="128" t="s">
        <v>22</v>
      </c>
      <c r="J16" s="59"/>
    </row>
    <row r="17" spans="1:10" x14ac:dyDescent="0.25">
      <c r="A17" s="138">
        <v>1999</v>
      </c>
      <c r="B17" s="167">
        <v>18.399999999999999</v>
      </c>
      <c r="C17" s="167">
        <f t="shared" si="0"/>
        <v>0.86788043478260879</v>
      </c>
      <c r="D17" s="167">
        <v>9.3170000000000002</v>
      </c>
      <c r="E17" s="128" t="s">
        <v>78</v>
      </c>
      <c r="F17" s="167">
        <v>6.1520000000000001</v>
      </c>
      <c r="G17" s="70" t="s">
        <v>29</v>
      </c>
      <c r="H17" s="167">
        <v>0.5</v>
      </c>
      <c r="I17" s="128" t="s">
        <v>22</v>
      </c>
      <c r="J17" s="59"/>
    </row>
    <row r="18" spans="1:10" x14ac:dyDescent="0.25">
      <c r="A18" s="138">
        <v>2000</v>
      </c>
      <c r="B18" s="167">
        <v>19.5</v>
      </c>
      <c r="C18" s="167">
        <f t="shared" si="0"/>
        <v>0.87851282051282054</v>
      </c>
      <c r="D18" s="167">
        <v>10.474</v>
      </c>
      <c r="E18" s="128" t="s">
        <v>78</v>
      </c>
      <c r="F18" s="167">
        <v>6.157</v>
      </c>
      <c r="G18" s="70" t="s">
        <v>29</v>
      </c>
      <c r="H18" s="167">
        <v>0.5</v>
      </c>
      <c r="I18" s="128" t="s">
        <v>22</v>
      </c>
      <c r="J18" s="59"/>
    </row>
    <row r="19" spans="1:10" x14ac:dyDescent="0.25">
      <c r="A19" s="138">
        <v>2001</v>
      </c>
      <c r="B19" s="167">
        <v>20.7</v>
      </c>
      <c r="C19" s="167">
        <f t="shared" si="0"/>
        <v>0.89362318840579713</v>
      </c>
      <c r="D19" s="167">
        <v>11.355</v>
      </c>
      <c r="E19" s="128" t="s">
        <v>78</v>
      </c>
      <c r="F19" s="167">
        <v>6.6429999999999998</v>
      </c>
      <c r="G19" s="70" t="s">
        <v>29</v>
      </c>
      <c r="H19" s="167">
        <v>0.5</v>
      </c>
      <c r="I19" s="128" t="s">
        <v>22</v>
      </c>
      <c r="J19" s="59"/>
    </row>
    <row r="20" spans="1:10" x14ac:dyDescent="0.25">
      <c r="A20" s="138">
        <v>2002</v>
      </c>
      <c r="B20" s="167">
        <v>21</v>
      </c>
      <c r="C20" s="167">
        <f t="shared" si="0"/>
        <v>0.89028571428571424</v>
      </c>
      <c r="D20" s="167">
        <v>11.648</v>
      </c>
      <c r="E20" s="128" t="s">
        <v>78</v>
      </c>
      <c r="F20" s="167">
        <v>6.548</v>
      </c>
      <c r="G20" s="70" t="s">
        <v>29</v>
      </c>
      <c r="H20" s="167">
        <v>0.5</v>
      </c>
      <c r="I20" s="128" t="s">
        <v>22</v>
      </c>
      <c r="J20" s="59"/>
    </row>
    <row r="21" spans="1:10" x14ac:dyDescent="0.25">
      <c r="A21" s="138">
        <v>2003</v>
      </c>
      <c r="B21" s="167">
        <v>24.6</v>
      </c>
      <c r="C21" s="167">
        <f t="shared" si="0"/>
        <v>0.91886178861788603</v>
      </c>
      <c r="D21" s="167">
        <v>15.58</v>
      </c>
      <c r="E21" s="128" t="s">
        <v>78</v>
      </c>
      <c r="F21" s="167">
        <v>6.524</v>
      </c>
      <c r="G21" s="70" t="s">
        <v>29</v>
      </c>
      <c r="H21" s="167">
        <v>0.5</v>
      </c>
      <c r="I21" s="128" t="s">
        <v>22</v>
      </c>
      <c r="J21" s="59"/>
    </row>
    <row r="22" spans="1:10" x14ac:dyDescent="0.25">
      <c r="A22" s="138">
        <v>2004</v>
      </c>
      <c r="B22" s="167">
        <v>24.8</v>
      </c>
      <c r="C22" s="167">
        <f t="shared" si="0"/>
        <v>0.91713709677419364</v>
      </c>
      <c r="D22" s="167">
        <v>14.930999999999999</v>
      </c>
      <c r="E22" s="128" t="s">
        <v>78</v>
      </c>
      <c r="F22" s="167">
        <v>7.2640000000000002</v>
      </c>
      <c r="G22" s="70" t="s">
        <v>29</v>
      </c>
      <c r="H22" s="167">
        <v>0.55000000000000004</v>
      </c>
      <c r="I22" s="128" t="s">
        <v>22</v>
      </c>
      <c r="J22" s="59"/>
    </row>
    <row r="23" spans="1:10" x14ac:dyDescent="0.25">
      <c r="A23" s="138">
        <v>2005</v>
      </c>
      <c r="B23" s="167">
        <v>26.5</v>
      </c>
      <c r="C23" s="167">
        <f t="shared" si="0"/>
        <v>0.90532075471698115</v>
      </c>
      <c r="D23" s="167">
        <v>15.346</v>
      </c>
      <c r="E23" s="128" t="s">
        <v>78</v>
      </c>
      <c r="F23" s="167">
        <v>8.0950000000000006</v>
      </c>
      <c r="G23" s="70" t="s">
        <v>29</v>
      </c>
      <c r="H23" s="167">
        <v>0.55000000000000004</v>
      </c>
      <c r="I23" s="128" t="s">
        <v>22</v>
      </c>
      <c r="J23" s="59"/>
    </row>
    <row r="24" spans="1:10" x14ac:dyDescent="0.25">
      <c r="A24" s="138">
        <v>2006</v>
      </c>
      <c r="B24" s="167">
        <v>26.7</v>
      </c>
      <c r="C24" s="167">
        <f t="shared" si="0"/>
        <v>0.96546816479400754</v>
      </c>
      <c r="D24" s="167">
        <v>16.494</v>
      </c>
      <c r="E24" s="128" t="s">
        <v>78</v>
      </c>
      <c r="F24" s="167">
        <v>8.7240000000000002</v>
      </c>
      <c r="G24" s="70" t="s">
        <v>29</v>
      </c>
      <c r="H24" s="167">
        <v>0.56000000000000005</v>
      </c>
      <c r="I24" s="128" t="s">
        <v>22</v>
      </c>
      <c r="J24" s="59"/>
    </row>
    <row r="25" spans="1:10" x14ac:dyDescent="0.25">
      <c r="A25" s="138" t="s">
        <v>4</v>
      </c>
      <c r="B25" s="167">
        <v>26.3</v>
      </c>
      <c r="C25" s="167">
        <f t="shared" si="0"/>
        <v>0.96292775665399233</v>
      </c>
      <c r="D25" s="167">
        <v>15.473000000000001</v>
      </c>
      <c r="E25" s="128" t="s">
        <v>78</v>
      </c>
      <c r="F25" s="167">
        <v>9.282</v>
      </c>
      <c r="G25" s="70" t="s">
        <v>29</v>
      </c>
      <c r="H25" s="167">
        <v>0.56999999999999995</v>
      </c>
      <c r="I25" s="128" t="s">
        <v>22</v>
      </c>
      <c r="J25" s="59"/>
    </row>
    <row r="26" spans="1:10" x14ac:dyDescent="0.25">
      <c r="A26" s="138" t="s">
        <v>5</v>
      </c>
      <c r="B26" s="167">
        <v>26.5</v>
      </c>
      <c r="C26" s="167">
        <f t="shared" si="0"/>
        <v>0.96501886792452818</v>
      </c>
      <c r="D26" s="167">
        <v>15.503</v>
      </c>
      <c r="E26" s="128" t="s">
        <v>78</v>
      </c>
      <c r="F26" s="167">
        <v>9.5</v>
      </c>
      <c r="G26" s="70" t="s">
        <v>29</v>
      </c>
      <c r="H26" s="167">
        <v>0.56999999999999995</v>
      </c>
      <c r="I26" s="128" t="s">
        <v>22</v>
      </c>
      <c r="J26" s="59"/>
    </row>
    <row r="27" spans="1:10" x14ac:dyDescent="0.25">
      <c r="A27" s="138" t="s">
        <v>6</v>
      </c>
      <c r="B27" s="167">
        <v>28.5</v>
      </c>
      <c r="C27" s="167">
        <f t="shared" si="0"/>
        <v>0.96768421052631581</v>
      </c>
      <c r="D27" s="167">
        <v>17.399000000000001</v>
      </c>
      <c r="E27" s="128" t="s">
        <v>78</v>
      </c>
      <c r="F27" s="167">
        <v>9.6</v>
      </c>
      <c r="G27" s="70" t="s">
        <v>29</v>
      </c>
      <c r="H27" s="167">
        <v>0.57999999999999996</v>
      </c>
      <c r="I27" s="128" t="s">
        <v>22</v>
      </c>
      <c r="J27" s="59"/>
    </row>
    <row r="28" spans="1:10" x14ac:dyDescent="0.25">
      <c r="A28" s="138" t="s">
        <v>7</v>
      </c>
      <c r="B28" s="167">
        <v>28.7</v>
      </c>
      <c r="C28" s="167">
        <f t="shared" si="0"/>
        <v>0.96829268292682924</v>
      </c>
      <c r="D28" s="167">
        <v>17.5</v>
      </c>
      <c r="E28" s="128" t="s">
        <v>78</v>
      </c>
      <c r="F28" s="167">
        <v>9.6999999999999993</v>
      </c>
      <c r="G28" s="70" t="s">
        <v>29</v>
      </c>
      <c r="H28" s="167">
        <v>0.59</v>
      </c>
      <c r="I28" s="128" t="s">
        <v>22</v>
      </c>
      <c r="J28" s="59"/>
    </row>
    <row r="29" spans="1:10" x14ac:dyDescent="0.25">
      <c r="A29" s="141"/>
      <c r="B29" s="167"/>
      <c r="C29" s="167"/>
      <c r="D29" s="128"/>
      <c r="E29" s="167"/>
      <c r="F29" s="128"/>
      <c r="G29" s="167"/>
      <c r="H29" s="128"/>
      <c r="I29" s="141"/>
    </row>
    <row r="30" spans="1:10" x14ac:dyDescent="0.25">
      <c r="A30" s="141" t="s">
        <v>617</v>
      </c>
      <c r="B30" s="167"/>
      <c r="C30" s="167"/>
      <c r="D30" s="128"/>
      <c r="E30" s="167"/>
      <c r="F30" s="128"/>
      <c r="G30" s="167"/>
      <c r="H30" s="128"/>
      <c r="I30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C1"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4.57031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  <col min="10" max="10" width="2.7109375" customWidth="1"/>
    <col min="11" max="13" width="13.28515625" customWidth="1"/>
    <col min="14" max="14" width="14" customWidth="1"/>
    <col min="15" max="20" width="13.28515625" customWidth="1"/>
  </cols>
  <sheetData>
    <row r="1" spans="1:20" ht="15" customHeight="1" x14ac:dyDescent="0.25">
      <c r="A1" s="278" t="s">
        <v>416</v>
      </c>
      <c r="B1" s="278"/>
      <c r="C1" s="278"/>
      <c r="D1" s="278"/>
      <c r="E1" s="278"/>
      <c r="F1" s="278"/>
      <c r="G1" s="278"/>
      <c r="H1" s="278"/>
      <c r="I1" s="278"/>
      <c r="K1" s="278" t="s">
        <v>417</v>
      </c>
      <c r="L1" s="278"/>
      <c r="M1" s="278"/>
      <c r="N1" s="278"/>
      <c r="O1" s="278"/>
      <c r="P1" s="278"/>
      <c r="Q1" s="278"/>
      <c r="R1" s="278"/>
      <c r="S1" s="278"/>
      <c r="T1" s="278"/>
    </row>
    <row r="2" spans="1:2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1:20" x14ac:dyDescent="0.25">
      <c r="A3" s="110" t="s">
        <v>396</v>
      </c>
      <c r="B3" s="6"/>
      <c r="C3" s="6"/>
      <c r="D3" s="48"/>
      <c r="E3" s="6"/>
      <c r="F3" s="48"/>
      <c r="G3" s="6"/>
      <c r="H3" s="48"/>
      <c r="I3" s="6"/>
      <c r="K3" s="110" t="s">
        <v>396</v>
      </c>
    </row>
    <row r="4" spans="1:20" x14ac:dyDescent="0.25">
      <c r="A4" s="5"/>
      <c r="B4" s="6"/>
      <c r="C4" s="6"/>
      <c r="D4" s="48"/>
      <c r="E4" s="6"/>
      <c r="F4" s="48"/>
      <c r="G4" s="6"/>
      <c r="H4" s="48"/>
      <c r="I4" s="6"/>
      <c r="K4" s="5"/>
    </row>
    <row r="5" spans="1:20" x14ac:dyDescent="0.25">
      <c r="A5" s="105"/>
      <c r="B5" s="283" t="s">
        <v>158</v>
      </c>
      <c r="C5" s="283"/>
      <c r="D5" s="283"/>
      <c r="E5" s="283"/>
      <c r="F5" s="283"/>
      <c r="G5" s="283"/>
      <c r="H5" s="283"/>
      <c r="I5" s="283"/>
      <c r="J5" s="141"/>
      <c r="K5" s="105"/>
      <c r="L5" s="283" t="s">
        <v>159</v>
      </c>
      <c r="M5" s="283"/>
      <c r="N5" s="283"/>
      <c r="O5" s="283"/>
      <c r="P5" s="283"/>
      <c r="Q5" s="283"/>
      <c r="R5" s="283"/>
      <c r="S5" s="283"/>
      <c r="T5" s="283"/>
    </row>
    <row r="6" spans="1:20" s="11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165"/>
      <c r="K6" s="101"/>
      <c r="L6" s="282" t="s">
        <v>652</v>
      </c>
      <c r="M6" s="282" t="s">
        <v>651</v>
      </c>
      <c r="N6" s="282" t="s">
        <v>299</v>
      </c>
      <c r="O6" s="271" t="s">
        <v>275</v>
      </c>
      <c r="P6" s="271"/>
      <c r="Q6" s="279" t="s">
        <v>32</v>
      </c>
      <c r="R6" s="279"/>
      <c r="S6" s="279" t="s">
        <v>33</v>
      </c>
      <c r="T6" s="279"/>
    </row>
    <row r="7" spans="1:20" s="11" customFormat="1" ht="25.5" x14ac:dyDescent="0.25">
      <c r="A7" s="100" t="s">
        <v>368</v>
      </c>
      <c r="B7" s="281"/>
      <c r="C7" s="281"/>
      <c r="D7" s="100" t="s">
        <v>8</v>
      </c>
      <c r="E7" s="98" t="s">
        <v>3</v>
      </c>
      <c r="F7" s="121" t="s">
        <v>8</v>
      </c>
      <c r="G7" s="121" t="s">
        <v>3</v>
      </c>
      <c r="H7" s="122" t="s">
        <v>8</v>
      </c>
      <c r="I7" s="122" t="s">
        <v>3</v>
      </c>
      <c r="J7" s="165"/>
      <c r="K7" s="100" t="s">
        <v>368</v>
      </c>
      <c r="L7" s="281"/>
      <c r="M7" s="281"/>
      <c r="N7" s="281"/>
      <c r="O7" s="100" t="s">
        <v>650</v>
      </c>
      <c r="P7" s="98" t="s">
        <v>3</v>
      </c>
      <c r="Q7" s="122" t="s">
        <v>650</v>
      </c>
      <c r="R7" s="98" t="s">
        <v>3</v>
      </c>
      <c r="S7" s="122" t="s">
        <v>650</v>
      </c>
      <c r="T7" s="100" t="s">
        <v>3</v>
      </c>
    </row>
    <row r="8" spans="1:20" x14ac:dyDescent="0.25">
      <c r="A8" s="138">
        <v>1990</v>
      </c>
      <c r="B8" s="167">
        <v>540000</v>
      </c>
      <c r="C8" s="167">
        <f t="shared" ref="C8:C27" si="0">(+D8/B8)+(+F8/B8)+(+H8/B8)</f>
        <v>0.5587037037037037</v>
      </c>
      <c r="D8" s="167">
        <v>132000</v>
      </c>
      <c r="E8" s="12" t="s">
        <v>37</v>
      </c>
      <c r="F8" s="167">
        <v>99900</v>
      </c>
      <c r="G8" s="12" t="s">
        <v>28</v>
      </c>
      <c r="H8" s="167">
        <v>69800</v>
      </c>
      <c r="I8" s="128" t="s">
        <v>27</v>
      </c>
      <c r="J8" s="141"/>
      <c r="K8" s="138">
        <v>1990</v>
      </c>
      <c r="L8" s="167">
        <v>771000</v>
      </c>
      <c r="M8" s="167">
        <v>89726</v>
      </c>
      <c r="N8" s="167">
        <f t="shared" ref="N8:N27" si="1">(+O8/L8)+(+Q8/L8)+(+S8/L8)</f>
        <v>0.4291219195849546</v>
      </c>
      <c r="O8" s="167">
        <v>154414</v>
      </c>
      <c r="P8" s="12" t="s">
        <v>37</v>
      </c>
      <c r="Q8" s="167">
        <v>110339</v>
      </c>
      <c r="R8" s="12" t="s">
        <v>29</v>
      </c>
      <c r="S8" s="167">
        <v>66100</v>
      </c>
      <c r="T8" s="128" t="s">
        <v>22</v>
      </c>
    </row>
    <row r="9" spans="1:20" x14ac:dyDescent="0.25">
      <c r="A9" s="138">
        <v>1991</v>
      </c>
      <c r="B9" s="167">
        <v>518000</v>
      </c>
      <c r="C9" s="167">
        <f t="shared" si="0"/>
        <v>0.53976833976833971</v>
      </c>
      <c r="D9" s="167">
        <v>110000</v>
      </c>
      <c r="E9" s="12" t="s">
        <v>37</v>
      </c>
      <c r="F9" s="167">
        <v>99900</v>
      </c>
      <c r="G9" s="12" t="s">
        <v>28</v>
      </c>
      <c r="H9" s="167">
        <v>69700</v>
      </c>
      <c r="I9" s="128" t="s">
        <v>27</v>
      </c>
      <c r="J9" s="141"/>
      <c r="K9" s="138">
        <v>1991</v>
      </c>
      <c r="L9" s="167">
        <v>737000</v>
      </c>
      <c r="M9" s="167">
        <v>79738</v>
      </c>
      <c r="N9" s="167">
        <f t="shared" si="1"/>
        <v>0.42453867028493897</v>
      </c>
      <c r="O9" s="167">
        <v>132666</v>
      </c>
      <c r="P9" s="12" t="s">
        <v>37</v>
      </c>
      <c r="Q9" s="167">
        <v>109649</v>
      </c>
      <c r="R9" s="12" t="s">
        <v>29</v>
      </c>
      <c r="S9" s="167">
        <v>70570</v>
      </c>
      <c r="T9" s="128" t="s">
        <v>22</v>
      </c>
    </row>
    <row r="10" spans="1:20" x14ac:dyDescent="0.25">
      <c r="A10" s="138">
        <v>1992</v>
      </c>
      <c r="B10" s="167">
        <v>498000</v>
      </c>
      <c r="C10" s="167">
        <f t="shared" si="0"/>
        <v>0.45220883534136547</v>
      </c>
      <c r="D10" s="167">
        <v>96100</v>
      </c>
      <c r="E10" s="12" t="s">
        <v>28</v>
      </c>
      <c r="F10" s="167">
        <v>69800</v>
      </c>
      <c r="G10" s="12" t="s">
        <v>27</v>
      </c>
      <c r="H10" s="167">
        <v>59300</v>
      </c>
      <c r="I10" s="128" t="s">
        <v>22</v>
      </c>
      <c r="J10" s="141"/>
      <c r="K10" s="138">
        <v>1992</v>
      </c>
      <c r="L10" s="167">
        <v>724000</v>
      </c>
      <c r="M10" s="167">
        <v>84322</v>
      </c>
      <c r="N10" s="167">
        <f t="shared" si="1"/>
        <v>0.33857872928176797</v>
      </c>
      <c r="O10" s="167">
        <v>98131</v>
      </c>
      <c r="P10" s="12" t="s">
        <v>29</v>
      </c>
      <c r="Q10" s="167">
        <v>80000</v>
      </c>
      <c r="R10" s="12" t="s">
        <v>22</v>
      </c>
      <c r="S10" s="167">
        <v>67000</v>
      </c>
      <c r="T10" s="128" t="s">
        <v>24</v>
      </c>
    </row>
    <row r="11" spans="1:20" x14ac:dyDescent="0.25">
      <c r="A11" s="138">
        <v>1993</v>
      </c>
      <c r="B11" s="167">
        <v>510000</v>
      </c>
      <c r="C11" s="167">
        <f t="shared" si="0"/>
        <v>0.49058823529411766</v>
      </c>
      <c r="D11" s="167">
        <v>105000</v>
      </c>
      <c r="E11" s="12" t="s">
        <v>28</v>
      </c>
      <c r="F11" s="167">
        <v>74800</v>
      </c>
      <c r="G11" s="12" t="s">
        <v>27</v>
      </c>
      <c r="H11" s="167">
        <v>70400</v>
      </c>
      <c r="I11" s="128" t="s">
        <v>22</v>
      </c>
      <c r="J11" s="141"/>
      <c r="K11" s="138">
        <v>1993</v>
      </c>
      <c r="L11" s="167">
        <v>730000</v>
      </c>
      <c r="M11" s="167">
        <v>88800</v>
      </c>
      <c r="N11" s="167">
        <f t="shared" si="1"/>
        <v>0.3390808219178082</v>
      </c>
      <c r="O11" s="167">
        <v>99623</v>
      </c>
      <c r="P11" s="12" t="s">
        <v>29</v>
      </c>
      <c r="Q11" s="167">
        <v>89560</v>
      </c>
      <c r="R11" s="12" t="s">
        <v>22</v>
      </c>
      <c r="S11" s="167">
        <v>58346</v>
      </c>
      <c r="T11" s="128" t="s">
        <v>24</v>
      </c>
    </row>
    <row r="12" spans="1:20" x14ac:dyDescent="0.25">
      <c r="A12" s="138">
        <v>1994</v>
      </c>
      <c r="B12" s="167">
        <v>514935</v>
      </c>
      <c r="C12" s="167">
        <f t="shared" si="0"/>
        <v>0.49751327837494053</v>
      </c>
      <c r="D12" s="167">
        <v>103237</v>
      </c>
      <c r="E12" s="12" t="s">
        <v>28</v>
      </c>
      <c r="F12" s="167">
        <v>80900</v>
      </c>
      <c r="G12" s="12" t="s">
        <v>27</v>
      </c>
      <c r="H12" s="167">
        <v>72050</v>
      </c>
      <c r="I12" s="128" t="s">
        <v>22</v>
      </c>
      <c r="J12" s="141"/>
      <c r="K12" s="138">
        <v>1994</v>
      </c>
      <c r="L12" s="167">
        <v>730000</v>
      </c>
      <c r="M12" s="167">
        <v>91200</v>
      </c>
      <c r="N12" s="167">
        <f t="shared" si="1"/>
        <v>0.32837945205479446</v>
      </c>
      <c r="O12" s="167">
        <v>98295</v>
      </c>
      <c r="P12" s="12" t="s">
        <v>29</v>
      </c>
      <c r="Q12" s="167">
        <v>92610</v>
      </c>
      <c r="R12" s="12" t="s">
        <v>22</v>
      </c>
      <c r="S12" s="167">
        <v>48812</v>
      </c>
      <c r="T12" s="128" t="s">
        <v>24</v>
      </c>
    </row>
    <row r="13" spans="1:20" x14ac:dyDescent="0.25">
      <c r="A13" s="138">
        <v>1995</v>
      </c>
      <c r="B13" s="167">
        <v>544363</v>
      </c>
      <c r="C13" s="167">
        <f t="shared" si="0"/>
        <v>0.50783392699356855</v>
      </c>
      <c r="D13" s="167">
        <v>112793</v>
      </c>
      <c r="E13" s="12" t="s">
        <v>28</v>
      </c>
      <c r="F13" s="167">
        <v>88653</v>
      </c>
      <c r="G13" s="12" t="s">
        <v>27</v>
      </c>
      <c r="H13" s="167">
        <v>75000</v>
      </c>
      <c r="I13" s="128" t="s">
        <v>22</v>
      </c>
      <c r="J13" s="141"/>
      <c r="K13" s="138">
        <v>1995</v>
      </c>
      <c r="L13" s="167">
        <v>752000</v>
      </c>
      <c r="M13" s="167">
        <v>95200</v>
      </c>
      <c r="N13" s="167">
        <f t="shared" si="1"/>
        <v>0.33018617021276597</v>
      </c>
      <c r="O13" s="167">
        <v>101640</v>
      </c>
      <c r="P13" s="12" t="s">
        <v>29</v>
      </c>
      <c r="Q13" s="167">
        <v>95360</v>
      </c>
      <c r="R13" s="12" t="s">
        <v>22</v>
      </c>
      <c r="S13" s="167">
        <v>51300</v>
      </c>
      <c r="T13" s="128" t="s">
        <v>24</v>
      </c>
    </row>
    <row r="14" spans="1:20" x14ac:dyDescent="0.25">
      <c r="A14" s="138">
        <v>1996</v>
      </c>
      <c r="B14" s="167">
        <v>543358</v>
      </c>
      <c r="C14" s="167">
        <f t="shared" si="0"/>
        <v>0.51531402868826814</v>
      </c>
      <c r="D14" s="167">
        <v>112000</v>
      </c>
      <c r="E14" s="12" t="s">
        <v>28</v>
      </c>
      <c r="F14" s="167">
        <v>93000</v>
      </c>
      <c r="G14" s="12" t="s">
        <v>27</v>
      </c>
      <c r="H14" s="167">
        <v>75000</v>
      </c>
      <c r="I14" s="128" t="s">
        <v>22</v>
      </c>
      <c r="J14" s="141"/>
      <c r="K14" s="138">
        <v>1996</v>
      </c>
      <c r="L14" s="167">
        <v>751000</v>
      </c>
      <c r="M14" s="167">
        <v>95500</v>
      </c>
      <c r="N14" s="167">
        <f t="shared" si="1"/>
        <v>0.33187083888149133</v>
      </c>
      <c r="O14" s="167">
        <v>101241</v>
      </c>
      <c r="P14" s="12" t="s">
        <v>22</v>
      </c>
      <c r="Q14" s="167">
        <v>98801</v>
      </c>
      <c r="R14" s="12" t="s">
        <v>29</v>
      </c>
      <c r="S14" s="167">
        <v>49193</v>
      </c>
      <c r="T14" s="128" t="s">
        <v>24</v>
      </c>
    </row>
    <row r="15" spans="1:20" x14ac:dyDescent="0.25">
      <c r="A15" s="138">
        <v>1997</v>
      </c>
      <c r="B15" s="167">
        <v>572163</v>
      </c>
      <c r="C15" s="167">
        <f t="shared" si="0"/>
        <v>0.52517377041157853</v>
      </c>
      <c r="D15" s="167">
        <v>122184</v>
      </c>
      <c r="E15" s="12" t="s">
        <v>28</v>
      </c>
      <c r="F15" s="167">
        <v>97901</v>
      </c>
      <c r="G15" s="12" t="s">
        <v>27</v>
      </c>
      <c r="H15" s="167">
        <v>80400</v>
      </c>
      <c r="I15" s="128" t="s">
        <v>22</v>
      </c>
      <c r="J15" s="141"/>
      <c r="K15" s="138">
        <v>1997</v>
      </c>
      <c r="L15" s="167">
        <v>797000</v>
      </c>
      <c r="M15" s="167">
        <v>98500</v>
      </c>
      <c r="N15" s="167">
        <f t="shared" si="1"/>
        <v>0.32871267252195735</v>
      </c>
      <c r="O15" s="167">
        <v>108940</v>
      </c>
      <c r="P15" s="12" t="s">
        <v>22</v>
      </c>
      <c r="Q15" s="167">
        <v>104545</v>
      </c>
      <c r="R15" s="12" t="s">
        <v>29</v>
      </c>
      <c r="S15" s="167">
        <v>48499</v>
      </c>
      <c r="T15" s="128" t="s">
        <v>24</v>
      </c>
    </row>
    <row r="16" spans="1:20" x14ac:dyDescent="0.25">
      <c r="A16" s="138">
        <v>1998</v>
      </c>
      <c r="B16" s="167">
        <v>573308.18700000003</v>
      </c>
      <c r="C16" s="167">
        <f t="shared" si="0"/>
        <v>0.53170161339419342</v>
      </c>
      <c r="D16" s="167">
        <v>124210</v>
      </c>
      <c r="E16" s="12" t="s">
        <v>28</v>
      </c>
      <c r="F16" s="167">
        <v>99418.888000000006</v>
      </c>
      <c r="G16" s="12" t="s">
        <v>27</v>
      </c>
      <c r="H16" s="167">
        <v>81200</v>
      </c>
      <c r="I16" s="128" t="s">
        <v>22</v>
      </c>
      <c r="J16" s="141"/>
      <c r="K16" s="138">
        <v>1998</v>
      </c>
      <c r="L16" s="167">
        <v>770000</v>
      </c>
      <c r="M16" s="167">
        <v>98600</v>
      </c>
      <c r="N16" s="167">
        <f t="shared" si="1"/>
        <v>0.32881038961038961</v>
      </c>
      <c r="O16" s="167">
        <v>115590</v>
      </c>
      <c r="P16" s="12" t="s">
        <v>22</v>
      </c>
      <c r="Q16" s="167">
        <v>93548</v>
      </c>
      <c r="R16" s="12" t="s">
        <v>29</v>
      </c>
      <c r="S16" s="167">
        <v>44046</v>
      </c>
      <c r="T16" s="128" t="s">
        <v>57</v>
      </c>
    </row>
    <row r="17" spans="1:20" x14ac:dyDescent="0.25">
      <c r="A17" s="138">
        <v>1999</v>
      </c>
      <c r="B17" s="167">
        <v>555075.10800000001</v>
      </c>
      <c r="C17" s="167">
        <f t="shared" si="0"/>
        <v>0.535824784274059</v>
      </c>
      <c r="D17" s="167">
        <v>124000</v>
      </c>
      <c r="E17" s="12" t="s">
        <v>28</v>
      </c>
      <c r="F17" s="167">
        <v>95223</v>
      </c>
      <c r="G17" s="12" t="s">
        <v>27</v>
      </c>
      <c r="H17" s="167">
        <v>78200</v>
      </c>
      <c r="I17" s="128" t="s">
        <v>22</v>
      </c>
      <c r="J17" s="141"/>
      <c r="K17" s="138">
        <v>1999</v>
      </c>
      <c r="L17" s="167">
        <v>784000</v>
      </c>
      <c r="M17" s="167">
        <v>97400</v>
      </c>
      <c r="N17" s="167">
        <f t="shared" si="1"/>
        <v>0.34435714285714286</v>
      </c>
      <c r="O17" s="167">
        <v>124260</v>
      </c>
      <c r="P17" s="12" t="s">
        <v>22</v>
      </c>
      <c r="Q17" s="167">
        <v>94192</v>
      </c>
      <c r="R17" s="12" t="s">
        <v>29</v>
      </c>
      <c r="S17" s="167">
        <v>51524</v>
      </c>
      <c r="T17" s="128" t="s">
        <v>24</v>
      </c>
    </row>
    <row r="18" spans="1:20" x14ac:dyDescent="0.25">
      <c r="A18" s="138">
        <v>2000</v>
      </c>
      <c r="B18" s="167">
        <v>604306</v>
      </c>
      <c r="C18" s="167">
        <f t="shared" si="0"/>
        <v>0.52760025549969713</v>
      </c>
      <c r="D18" s="167">
        <v>141106</v>
      </c>
      <c r="E18" s="12" t="s">
        <v>28</v>
      </c>
      <c r="F18" s="167">
        <v>104226</v>
      </c>
      <c r="G18" s="12" t="s">
        <v>27</v>
      </c>
      <c r="H18" s="167">
        <v>73500</v>
      </c>
      <c r="I18" s="128" t="s">
        <v>22</v>
      </c>
      <c r="J18" s="141"/>
      <c r="K18" s="138">
        <v>2000</v>
      </c>
      <c r="L18" s="167">
        <v>850000</v>
      </c>
      <c r="M18" s="167">
        <v>102000</v>
      </c>
      <c r="N18" s="167">
        <f t="shared" si="1"/>
        <v>0.34593176470588238</v>
      </c>
      <c r="O18" s="167">
        <v>128500</v>
      </c>
      <c r="P18" s="12" t="s">
        <v>22</v>
      </c>
      <c r="Q18" s="167">
        <v>106444</v>
      </c>
      <c r="R18" s="12" t="s">
        <v>29</v>
      </c>
      <c r="S18" s="167">
        <v>59098</v>
      </c>
      <c r="T18" s="128" t="s">
        <v>24</v>
      </c>
    </row>
    <row r="19" spans="1:20" x14ac:dyDescent="0.25">
      <c r="A19" s="138">
        <v>2001</v>
      </c>
      <c r="B19" s="167">
        <v>583019</v>
      </c>
      <c r="C19" s="167">
        <f t="shared" si="0"/>
        <v>0.54698903466267823</v>
      </c>
      <c r="D19" s="167">
        <v>133713</v>
      </c>
      <c r="E19" s="12" t="s">
        <v>28</v>
      </c>
      <c r="F19" s="167">
        <v>112592</v>
      </c>
      <c r="G19" s="12" t="s">
        <v>27</v>
      </c>
      <c r="H19" s="167">
        <v>72600</v>
      </c>
      <c r="I19" s="128" t="s">
        <v>22</v>
      </c>
      <c r="J19" s="141"/>
      <c r="K19" s="138">
        <v>2001</v>
      </c>
      <c r="L19" s="167">
        <v>852000</v>
      </c>
      <c r="M19" s="167">
        <v>90100</v>
      </c>
      <c r="N19" s="167">
        <f t="shared" si="1"/>
        <v>0.36798826291079817</v>
      </c>
      <c r="O19" s="167">
        <v>151630</v>
      </c>
      <c r="P19" s="12" t="s">
        <v>22</v>
      </c>
      <c r="Q19" s="167">
        <v>102866</v>
      </c>
      <c r="R19" s="12" t="s">
        <v>29</v>
      </c>
      <c r="S19" s="167">
        <v>59030</v>
      </c>
      <c r="T19" s="128" t="s">
        <v>24</v>
      </c>
    </row>
    <row r="20" spans="1:20" x14ac:dyDescent="0.25">
      <c r="A20" s="138">
        <v>2002</v>
      </c>
      <c r="B20" s="167">
        <v>617000</v>
      </c>
      <c r="C20" s="167">
        <f t="shared" si="0"/>
        <v>0.54296434359805512</v>
      </c>
      <c r="D20" s="167">
        <v>142468</v>
      </c>
      <c r="E20" s="12" t="s">
        <v>28</v>
      </c>
      <c r="F20" s="167">
        <v>116341</v>
      </c>
      <c r="G20" s="12" t="s">
        <v>27</v>
      </c>
      <c r="H20" s="167">
        <v>76200</v>
      </c>
      <c r="I20" s="128" t="s">
        <v>22</v>
      </c>
      <c r="J20" s="141"/>
      <c r="K20" s="138">
        <v>2002</v>
      </c>
      <c r="L20" s="167">
        <v>907000</v>
      </c>
      <c r="M20" s="167">
        <v>91600</v>
      </c>
      <c r="N20" s="167">
        <f t="shared" si="1"/>
        <v>0.38576802646085995</v>
      </c>
      <c r="O20" s="167">
        <v>182370</v>
      </c>
      <c r="P20" s="12" t="s">
        <v>22</v>
      </c>
      <c r="Q20" s="167">
        <v>107745</v>
      </c>
      <c r="R20" s="12" t="s">
        <v>29</v>
      </c>
      <c r="S20" s="167">
        <v>59776.6</v>
      </c>
      <c r="T20" s="128" t="s">
        <v>24</v>
      </c>
    </row>
    <row r="21" spans="1:20" x14ac:dyDescent="0.25">
      <c r="A21" s="138">
        <v>2003</v>
      </c>
      <c r="B21" s="167">
        <v>675000</v>
      </c>
      <c r="C21" s="167">
        <f t="shared" si="0"/>
        <v>0.55029185185185181</v>
      </c>
      <c r="D21" s="167">
        <v>153190</v>
      </c>
      <c r="E21" s="12" t="s">
        <v>28</v>
      </c>
      <c r="F21" s="167">
        <v>132257</v>
      </c>
      <c r="G21" s="12" t="s">
        <v>27</v>
      </c>
      <c r="H21" s="167">
        <v>86000</v>
      </c>
      <c r="I21" s="128" t="s">
        <v>22</v>
      </c>
      <c r="J21" s="141"/>
      <c r="K21" s="138">
        <v>2003</v>
      </c>
      <c r="L21" s="167">
        <v>974000</v>
      </c>
      <c r="M21" s="167">
        <v>93700</v>
      </c>
      <c r="N21" s="167">
        <f t="shared" si="1"/>
        <v>0.4061196303901437</v>
      </c>
      <c r="O21" s="167">
        <v>222340</v>
      </c>
      <c r="P21" s="12" t="s">
        <v>22</v>
      </c>
      <c r="Q21" s="167">
        <v>110510.52</v>
      </c>
      <c r="R21" s="12" t="s">
        <v>29</v>
      </c>
      <c r="S21" s="167">
        <v>62710</v>
      </c>
      <c r="T21" s="128" t="s">
        <v>24</v>
      </c>
    </row>
    <row r="22" spans="1:20" x14ac:dyDescent="0.25">
      <c r="A22" s="138">
        <v>2004</v>
      </c>
      <c r="B22" s="167">
        <v>750000</v>
      </c>
      <c r="C22" s="167">
        <f t="shared" si="0"/>
        <v>0.5653786666666667</v>
      </c>
      <c r="D22" s="167">
        <v>173752</v>
      </c>
      <c r="E22" s="12" t="s">
        <v>28</v>
      </c>
      <c r="F22" s="167">
        <v>145282</v>
      </c>
      <c r="G22" s="12" t="s">
        <v>27</v>
      </c>
      <c r="H22" s="167">
        <v>105000</v>
      </c>
      <c r="I22" s="128" t="s">
        <v>22</v>
      </c>
      <c r="J22" s="141"/>
      <c r="K22" s="138">
        <v>2004</v>
      </c>
      <c r="L22" s="167">
        <v>1060000</v>
      </c>
      <c r="M22" s="167">
        <v>99700</v>
      </c>
      <c r="N22" s="167">
        <f t="shared" si="1"/>
        <v>0.42529553207547166</v>
      </c>
      <c r="O22" s="167">
        <v>272450</v>
      </c>
      <c r="P22" s="12" t="s">
        <v>22</v>
      </c>
      <c r="Q22" s="167">
        <v>112717.664</v>
      </c>
      <c r="R22" s="12" t="s">
        <v>29</v>
      </c>
      <c r="S22" s="167">
        <v>65645.600000000006</v>
      </c>
      <c r="T22" s="128" t="s">
        <v>24</v>
      </c>
    </row>
    <row r="23" spans="1:20" x14ac:dyDescent="0.25">
      <c r="A23" s="138">
        <v>2005</v>
      </c>
      <c r="B23" s="167">
        <v>843000</v>
      </c>
      <c r="C23" s="167">
        <f t="shared" si="0"/>
        <v>0.5787556346381969</v>
      </c>
      <c r="D23" s="167">
        <v>186891</v>
      </c>
      <c r="E23" s="12" t="s">
        <v>28</v>
      </c>
      <c r="F23" s="167">
        <v>163000</v>
      </c>
      <c r="G23" s="12" t="s">
        <v>27</v>
      </c>
      <c r="H23" s="167">
        <v>138000</v>
      </c>
      <c r="I23" s="128" t="s">
        <v>22</v>
      </c>
      <c r="J23" s="141"/>
      <c r="K23" s="138">
        <v>2005</v>
      </c>
      <c r="L23" s="167">
        <v>1140000</v>
      </c>
      <c r="M23" s="167">
        <v>94900</v>
      </c>
      <c r="N23" s="167">
        <f t="shared" si="1"/>
        <v>0.46657681929824557</v>
      </c>
      <c r="O23" s="167">
        <v>353240</v>
      </c>
      <c r="P23" s="12" t="s">
        <v>22</v>
      </c>
      <c r="Q23" s="167">
        <v>112471.374</v>
      </c>
      <c r="R23" s="12" t="s">
        <v>29</v>
      </c>
      <c r="S23" s="167">
        <v>66186.2</v>
      </c>
      <c r="T23" s="128" t="s">
        <v>24</v>
      </c>
    </row>
    <row r="24" spans="1:20" x14ac:dyDescent="0.25">
      <c r="A24" s="138">
        <v>2006</v>
      </c>
      <c r="B24" s="167">
        <v>969000</v>
      </c>
      <c r="C24" s="167">
        <f t="shared" si="0"/>
        <v>0.57367492260061925</v>
      </c>
      <c r="D24" s="167">
        <v>198000</v>
      </c>
      <c r="E24" s="128" t="s">
        <v>22</v>
      </c>
      <c r="F24" s="167">
        <v>186891</v>
      </c>
      <c r="G24" s="12" t="s">
        <v>28</v>
      </c>
      <c r="H24" s="167">
        <v>171000</v>
      </c>
      <c r="I24" s="12" t="s">
        <v>27</v>
      </c>
      <c r="J24" s="141"/>
      <c r="K24" s="138">
        <v>2006</v>
      </c>
      <c r="L24" s="167">
        <v>1250000</v>
      </c>
      <c r="M24" s="167">
        <v>98200</v>
      </c>
      <c r="N24" s="167">
        <f t="shared" si="1"/>
        <v>0.48498560000000002</v>
      </c>
      <c r="O24" s="167">
        <v>419150</v>
      </c>
      <c r="P24" s="12" t="s">
        <v>22</v>
      </c>
      <c r="Q24" s="167">
        <v>116266</v>
      </c>
      <c r="R24" s="12" t="s">
        <v>29</v>
      </c>
      <c r="S24" s="167">
        <v>70816</v>
      </c>
      <c r="T24" s="128" t="s">
        <v>24</v>
      </c>
    </row>
    <row r="25" spans="1:20" x14ac:dyDescent="0.25">
      <c r="A25" s="138" t="s">
        <v>4</v>
      </c>
      <c r="B25" s="167">
        <v>1070000</v>
      </c>
      <c r="C25" s="167">
        <f t="shared" si="0"/>
        <v>0.61168598130841123</v>
      </c>
      <c r="D25" s="167">
        <v>235504</v>
      </c>
      <c r="E25" s="12" t="s">
        <v>28</v>
      </c>
      <c r="F25" s="167">
        <v>233000</v>
      </c>
      <c r="G25" s="12" t="s">
        <v>22</v>
      </c>
      <c r="H25" s="167">
        <v>186000</v>
      </c>
      <c r="I25" s="128" t="s">
        <v>27</v>
      </c>
      <c r="J25" s="141"/>
      <c r="K25" s="138" t="s">
        <v>4</v>
      </c>
      <c r="L25" s="167">
        <v>1350000</v>
      </c>
      <c r="M25" s="167">
        <v>98100</v>
      </c>
      <c r="N25" s="167">
        <f t="shared" si="1"/>
        <v>0.50509777777777776</v>
      </c>
      <c r="O25" s="167">
        <v>489290</v>
      </c>
      <c r="P25" s="12" t="s">
        <v>22</v>
      </c>
      <c r="Q25" s="167">
        <v>120203</v>
      </c>
      <c r="R25" s="12" t="s">
        <v>29</v>
      </c>
      <c r="S25" s="167">
        <v>72389</v>
      </c>
      <c r="T25" s="128" t="s">
        <v>24</v>
      </c>
    </row>
    <row r="26" spans="1:20" x14ac:dyDescent="0.25">
      <c r="A26" s="138" t="s">
        <v>5</v>
      </c>
      <c r="B26" s="167">
        <v>1130000</v>
      </c>
      <c r="C26" s="167">
        <f t="shared" si="0"/>
        <v>0.62965840707964604</v>
      </c>
      <c r="D26" s="167">
        <v>270000</v>
      </c>
      <c r="E26" s="12" t="s">
        <v>22</v>
      </c>
      <c r="F26" s="167">
        <v>233514</v>
      </c>
      <c r="G26" s="12" t="s">
        <v>28</v>
      </c>
      <c r="H26" s="167">
        <v>208000</v>
      </c>
      <c r="I26" s="128" t="s">
        <v>27</v>
      </c>
      <c r="J26" s="141"/>
      <c r="K26" s="138" t="s">
        <v>5</v>
      </c>
      <c r="L26" s="167">
        <v>1330000</v>
      </c>
      <c r="M26" s="167">
        <v>91900</v>
      </c>
      <c r="N26" s="167">
        <f t="shared" si="1"/>
        <v>0.51723984962406011</v>
      </c>
      <c r="O26" s="167">
        <v>500490</v>
      </c>
      <c r="P26" s="12" t="s">
        <v>22</v>
      </c>
      <c r="Q26" s="167">
        <v>118739</v>
      </c>
      <c r="R26" s="12" t="s">
        <v>29</v>
      </c>
      <c r="S26" s="167">
        <v>68700</v>
      </c>
      <c r="T26" s="128" t="s">
        <v>24</v>
      </c>
    </row>
    <row r="27" spans="1:20" x14ac:dyDescent="0.25">
      <c r="A27" s="138" t="s">
        <v>6</v>
      </c>
      <c r="B27" s="167">
        <v>1110000</v>
      </c>
      <c r="C27" s="167">
        <f t="shared" si="0"/>
        <v>0.64333333333333331</v>
      </c>
      <c r="D27" s="167">
        <v>280000</v>
      </c>
      <c r="E27" s="12" t="s">
        <v>22</v>
      </c>
      <c r="F27" s="167">
        <v>228000</v>
      </c>
      <c r="G27" s="12" t="s">
        <v>27</v>
      </c>
      <c r="H27" s="167">
        <v>206100</v>
      </c>
      <c r="I27" s="128" t="s">
        <v>28</v>
      </c>
      <c r="J27" s="141"/>
      <c r="K27" s="138" t="s">
        <v>6</v>
      </c>
      <c r="L27" s="167">
        <v>1230000</v>
      </c>
      <c r="M27" s="167">
        <v>59400</v>
      </c>
      <c r="N27" s="167">
        <f t="shared" si="1"/>
        <v>0.58442764227642274</v>
      </c>
      <c r="O27" s="167">
        <v>572180</v>
      </c>
      <c r="P27" s="12" t="s">
        <v>22</v>
      </c>
      <c r="Q27" s="167">
        <v>87500</v>
      </c>
      <c r="R27" s="12" t="s">
        <v>29</v>
      </c>
      <c r="S27" s="167">
        <v>59166</v>
      </c>
      <c r="T27" s="128" t="s">
        <v>24</v>
      </c>
    </row>
    <row r="28" spans="1:20" x14ac:dyDescent="0.25">
      <c r="A28" s="138" t="s">
        <v>7</v>
      </c>
      <c r="B28" s="213" t="s">
        <v>394</v>
      </c>
      <c r="C28" s="213" t="s">
        <v>394</v>
      </c>
      <c r="D28" s="213" t="s">
        <v>394</v>
      </c>
      <c r="E28" s="12" t="s">
        <v>22</v>
      </c>
      <c r="F28" s="167">
        <v>271000</v>
      </c>
      <c r="G28" s="12" t="s">
        <v>27</v>
      </c>
      <c r="H28" s="167">
        <v>206100</v>
      </c>
      <c r="I28" s="128" t="s">
        <v>28</v>
      </c>
      <c r="J28" s="141"/>
      <c r="K28" s="138" t="s">
        <v>7</v>
      </c>
      <c r="L28" s="167">
        <v>1410000</v>
      </c>
      <c r="M28" s="167">
        <v>80500</v>
      </c>
      <c r="N28" s="167">
        <f>(+O28/L28)+(+Q28/L28)+(0/L28)</f>
        <v>0.52966595744680856</v>
      </c>
      <c r="O28" s="167">
        <v>637230</v>
      </c>
      <c r="P28" s="12" t="s">
        <v>22</v>
      </c>
      <c r="Q28" s="167">
        <v>109599</v>
      </c>
      <c r="R28" s="12" t="s">
        <v>29</v>
      </c>
      <c r="S28" s="213" t="s">
        <v>394</v>
      </c>
      <c r="T28" s="128" t="s">
        <v>24</v>
      </c>
    </row>
  </sheetData>
  <mergeCells count="15">
    <mergeCell ref="A1:I2"/>
    <mergeCell ref="B5:I5"/>
    <mergeCell ref="L5:T5"/>
    <mergeCell ref="D6:E6"/>
    <mergeCell ref="F6:G6"/>
    <mergeCell ref="H6:I6"/>
    <mergeCell ref="C6:C7"/>
    <mergeCell ref="O6:P6"/>
    <mergeCell ref="Q6:R6"/>
    <mergeCell ref="S6:T6"/>
    <mergeCell ref="N6:N7"/>
    <mergeCell ref="B6:B7"/>
    <mergeCell ref="L6:L7"/>
    <mergeCell ref="M6:M7"/>
    <mergeCell ref="K1:T2"/>
  </mergeCells>
  <pageMargins left="1" right="1" top="1" bottom="1" header="0" footer="0"/>
  <pageSetup scale="84" orientation="landscape" r:id="rId1"/>
  <colBreaks count="1" manualBreakCount="1">
    <brk id="9" max="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A90" sqref="A90"/>
    </sheetView>
  </sheetViews>
  <sheetFormatPr defaultRowHeight="15" x14ac:dyDescent="0.25"/>
  <cols>
    <col min="1" max="3" width="13.28515625" customWidth="1"/>
    <col min="4" max="4" width="13.7109375" customWidth="1"/>
    <col min="5" max="5" width="13.28515625" style="8" customWidth="1"/>
    <col min="6" max="6" width="13.28515625" customWidth="1"/>
    <col min="7" max="7" width="13.28515625" style="8" customWidth="1"/>
    <col min="8" max="8" width="13.28515625" customWidth="1"/>
    <col min="9" max="9" width="13.28515625" style="8" customWidth="1"/>
    <col min="10" max="10" width="13.28515625" customWidth="1"/>
    <col min="11" max="11" width="2.7109375" customWidth="1"/>
    <col min="12" max="14" width="13.28515625" customWidth="1"/>
    <col min="15" max="15" width="14" customWidth="1"/>
    <col min="16" max="16" width="13.28515625" style="8" customWidth="1"/>
    <col min="17" max="17" width="13.28515625" customWidth="1"/>
    <col min="18" max="18" width="13.28515625" style="8" customWidth="1"/>
    <col min="19" max="19" width="13.28515625" customWidth="1"/>
    <col min="20" max="20" width="13.28515625" style="8" customWidth="1"/>
    <col min="21" max="21" width="13.28515625" customWidth="1"/>
    <col min="22" max="22" width="2.7109375" customWidth="1"/>
    <col min="23" max="25" width="13.28515625" customWidth="1"/>
    <col min="26" max="26" width="14" customWidth="1"/>
    <col min="27" max="27" width="13.28515625" style="8" customWidth="1"/>
    <col min="28" max="28" width="13.28515625" customWidth="1"/>
    <col min="29" max="29" width="13.28515625" style="8" customWidth="1"/>
    <col min="30" max="30" width="13.28515625" customWidth="1"/>
    <col min="31" max="31" width="13.28515625" style="8" customWidth="1"/>
    <col min="32" max="32" width="13.28515625" customWidth="1"/>
  </cols>
  <sheetData>
    <row r="1" spans="1:32" ht="15" customHeight="1" x14ac:dyDescent="0.25">
      <c r="A1" s="278" t="s">
        <v>418</v>
      </c>
      <c r="B1" s="278"/>
      <c r="C1" s="278"/>
      <c r="D1" s="278"/>
      <c r="E1" s="278"/>
      <c r="F1" s="278"/>
      <c r="G1" s="278"/>
      <c r="H1" s="278"/>
      <c r="I1" s="278"/>
      <c r="J1" s="278"/>
      <c r="L1" s="278" t="s">
        <v>420</v>
      </c>
      <c r="M1" s="278"/>
      <c r="N1" s="278"/>
      <c r="O1" s="278"/>
      <c r="P1" s="278"/>
      <c r="Q1" s="278"/>
      <c r="R1" s="278"/>
      <c r="S1" s="278"/>
      <c r="T1" s="278"/>
      <c r="U1" s="278"/>
      <c r="W1" s="278" t="s">
        <v>422</v>
      </c>
      <c r="X1" s="278"/>
      <c r="Y1" s="278"/>
      <c r="Z1" s="278"/>
      <c r="AA1" s="278"/>
      <c r="AB1" s="278"/>
      <c r="AC1" s="278"/>
      <c r="AD1" s="278"/>
      <c r="AE1" s="278"/>
      <c r="AF1" s="278"/>
    </row>
    <row r="2" spans="1:32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</row>
    <row r="3" spans="1:32" x14ac:dyDescent="0.25">
      <c r="A3" s="5"/>
      <c r="B3" s="6"/>
      <c r="C3" s="6"/>
      <c r="D3" s="6"/>
      <c r="E3" s="48"/>
      <c r="F3" s="6"/>
      <c r="G3" s="48"/>
      <c r="H3" s="6"/>
      <c r="I3" s="48"/>
      <c r="J3" s="6"/>
      <c r="L3" s="5"/>
      <c r="M3" s="6"/>
      <c r="N3" s="6"/>
      <c r="O3" s="6"/>
      <c r="P3" s="48"/>
      <c r="Q3" s="6"/>
      <c r="R3" s="48"/>
      <c r="S3" s="6"/>
      <c r="T3" s="48"/>
      <c r="U3" s="6"/>
      <c r="W3" s="5"/>
      <c r="X3" s="6"/>
      <c r="Y3" s="6"/>
      <c r="Z3" s="6"/>
      <c r="AA3" s="48"/>
      <c r="AB3" s="6"/>
      <c r="AC3" s="48"/>
      <c r="AD3" s="6"/>
      <c r="AE3" s="48"/>
      <c r="AF3" s="6"/>
    </row>
    <row r="4" spans="1:32" x14ac:dyDescent="0.25">
      <c r="A4" s="5"/>
      <c r="B4" s="6"/>
      <c r="C4" s="6"/>
      <c r="D4" s="6"/>
      <c r="E4" s="48"/>
      <c r="F4" s="6"/>
      <c r="G4" s="48"/>
      <c r="H4" s="6"/>
      <c r="I4" s="48"/>
      <c r="J4" s="6"/>
      <c r="L4" s="5"/>
      <c r="M4" s="6"/>
      <c r="N4" s="6"/>
      <c r="O4" s="6"/>
      <c r="P4" s="48"/>
      <c r="Q4" s="6"/>
      <c r="R4" s="48"/>
      <c r="S4" s="6"/>
      <c r="T4" s="48"/>
      <c r="U4" s="6"/>
      <c r="W4" s="5"/>
      <c r="X4" s="6"/>
      <c r="Y4" s="6"/>
      <c r="Z4" s="6"/>
      <c r="AA4" s="48"/>
      <c r="AB4" s="6"/>
      <c r="AC4" s="48"/>
      <c r="AD4" s="6"/>
      <c r="AE4" s="48"/>
      <c r="AF4" s="6"/>
    </row>
    <row r="5" spans="1:32" x14ac:dyDescent="0.25">
      <c r="A5" s="105"/>
      <c r="B5" s="283" t="s">
        <v>160</v>
      </c>
      <c r="C5" s="283"/>
      <c r="D5" s="283"/>
      <c r="E5" s="283"/>
      <c r="F5" s="283"/>
      <c r="G5" s="283"/>
      <c r="H5" s="283"/>
      <c r="I5" s="283"/>
      <c r="J5" s="283"/>
      <c r="K5" s="141"/>
      <c r="L5" s="105"/>
      <c r="M5" s="283" t="s">
        <v>419</v>
      </c>
      <c r="N5" s="283"/>
      <c r="O5" s="283"/>
      <c r="P5" s="283"/>
      <c r="Q5" s="283"/>
      <c r="R5" s="283"/>
      <c r="S5" s="283"/>
      <c r="T5" s="283"/>
      <c r="U5" s="283"/>
      <c r="V5" s="141"/>
      <c r="W5" s="105"/>
      <c r="X5" s="283" t="s">
        <v>421</v>
      </c>
      <c r="Y5" s="283"/>
      <c r="Z5" s="283"/>
      <c r="AA5" s="283"/>
      <c r="AB5" s="283"/>
      <c r="AC5" s="283"/>
      <c r="AD5" s="283"/>
      <c r="AE5" s="283"/>
      <c r="AF5" s="283"/>
    </row>
    <row r="6" spans="1:32" s="11" customFormat="1" x14ac:dyDescent="0.25">
      <c r="A6" s="101"/>
      <c r="B6" s="282" t="s">
        <v>390</v>
      </c>
      <c r="C6" s="282" t="s">
        <v>391</v>
      </c>
      <c r="D6" s="282" t="s">
        <v>299</v>
      </c>
      <c r="E6" s="271" t="s">
        <v>275</v>
      </c>
      <c r="F6" s="271"/>
      <c r="G6" s="279" t="s">
        <v>32</v>
      </c>
      <c r="H6" s="279"/>
      <c r="I6" s="279" t="s">
        <v>33</v>
      </c>
      <c r="J6" s="279"/>
      <c r="K6" s="165"/>
      <c r="L6" s="101"/>
      <c r="M6" s="282" t="s">
        <v>369</v>
      </c>
      <c r="N6" s="282" t="s">
        <v>370</v>
      </c>
      <c r="O6" s="282" t="s">
        <v>299</v>
      </c>
      <c r="P6" s="271" t="s">
        <v>275</v>
      </c>
      <c r="Q6" s="271"/>
      <c r="R6" s="279" t="s">
        <v>32</v>
      </c>
      <c r="S6" s="279"/>
      <c r="T6" s="282" t="s">
        <v>33</v>
      </c>
      <c r="U6" s="279"/>
      <c r="V6" s="165"/>
      <c r="W6" s="101"/>
      <c r="X6" s="282" t="s">
        <v>398</v>
      </c>
      <c r="Y6" s="282" t="s">
        <v>399</v>
      </c>
      <c r="Z6" s="282" t="s">
        <v>299</v>
      </c>
      <c r="AA6" s="271" t="s">
        <v>275</v>
      </c>
      <c r="AB6" s="271"/>
      <c r="AC6" s="279" t="s">
        <v>32</v>
      </c>
      <c r="AD6" s="279"/>
      <c r="AE6" s="282" t="s">
        <v>33</v>
      </c>
      <c r="AF6" s="279"/>
    </row>
    <row r="7" spans="1:32" s="11" customFormat="1" ht="38.25" x14ac:dyDescent="0.25">
      <c r="A7" s="100" t="s">
        <v>368</v>
      </c>
      <c r="B7" s="281"/>
      <c r="C7" s="281"/>
      <c r="D7" s="281"/>
      <c r="E7" s="100" t="s">
        <v>8</v>
      </c>
      <c r="F7" s="98" t="s">
        <v>3</v>
      </c>
      <c r="G7" s="100" t="s">
        <v>8</v>
      </c>
      <c r="H7" s="98" t="s">
        <v>3</v>
      </c>
      <c r="I7" s="100" t="s">
        <v>8</v>
      </c>
      <c r="J7" s="100" t="s">
        <v>3</v>
      </c>
      <c r="K7" s="165"/>
      <c r="L7" s="100" t="s">
        <v>368</v>
      </c>
      <c r="M7" s="281"/>
      <c r="N7" s="281"/>
      <c r="O7" s="281"/>
      <c r="P7" s="100" t="s">
        <v>136</v>
      </c>
      <c r="Q7" s="98" t="s">
        <v>3</v>
      </c>
      <c r="R7" s="100" t="s">
        <v>136</v>
      </c>
      <c r="S7" s="98" t="s">
        <v>3</v>
      </c>
      <c r="T7" s="98" t="s">
        <v>136</v>
      </c>
      <c r="U7" s="100" t="s">
        <v>3</v>
      </c>
      <c r="V7" s="165"/>
      <c r="W7" s="100" t="s">
        <v>368</v>
      </c>
      <c r="X7" s="281"/>
      <c r="Y7" s="281"/>
      <c r="Z7" s="281"/>
      <c r="AA7" s="100" t="s">
        <v>137</v>
      </c>
      <c r="AB7" s="98" t="s">
        <v>3</v>
      </c>
      <c r="AC7" s="100" t="s">
        <v>137</v>
      </c>
      <c r="AD7" s="98" t="s">
        <v>3</v>
      </c>
      <c r="AE7" s="98" t="s">
        <v>137</v>
      </c>
      <c r="AF7" s="100" t="s">
        <v>3</v>
      </c>
    </row>
    <row r="8" spans="1:32" x14ac:dyDescent="0.25">
      <c r="A8" s="138">
        <v>1990</v>
      </c>
      <c r="B8" s="167">
        <v>3370</v>
      </c>
      <c r="C8" s="167">
        <v>497</v>
      </c>
      <c r="D8" s="167">
        <f t="shared" ref="D8:D28" si="0">(+E8/B8)+(+G8/B8)+(+I8/B8)</f>
        <v>0.3872403560830861</v>
      </c>
      <c r="E8" s="167">
        <v>570</v>
      </c>
      <c r="F8" s="12" t="s">
        <v>27</v>
      </c>
      <c r="G8" s="167">
        <v>420</v>
      </c>
      <c r="H8" s="12" t="s">
        <v>37</v>
      </c>
      <c r="I8" s="167">
        <v>315</v>
      </c>
      <c r="J8" s="128" t="s">
        <v>22</v>
      </c>
      <c r="K8" s="141"/>
      <c r="L8" s="138">
        <v>1990</v>
      </c>
      <c r="M8" s="167">
        <v>3090</v>
      </c>
      <c r="N8" s="167">
        <v>404</v>
      </c>
      <c r="O8" s="167">
        <f t="shared" ref="O8:O28" si="1">(+P8/M8)+(+R8/M8)+(+T8/M8)</f>
        <v>0.29061488673139158</v>
      </c>
      <c r="P8" s="167">
        <v>420</v>
      </c>
      <c r="Q8" s="12" t="s">
        <v>37</v>
      </c>
      <c r="R8" s="167">
        <v>266</v>
      </c>
      <c r="S8" s="12" t="s">
        <v>22</v>
      </c>
      <c r="T8" s="167">
        <v>212</v>
      </c>
      <c r="U8" s="128" t="s">
        <v>27</v>
      </c>
      <c r="V8" s="141"/>
      <c r="W8" s="138">
        <v>1990</v>
      </c>
      <c r="X8" s="167">
        <v>2860</v>
      </c>
      <c r="Y8" s="167">
        <v>922</v>
      </c>
      <c r="Z8" s="172">
        <f t="shared" ref="Z8:Z28" si="2">(+AA8/X8)+(+AC8/X8)+(+AE8/X8)</f>
        <v>0.25769230769230766</v>
      </c>
      <c r="AA8" s="167">
        <v>280</v>
      </c>
      <c r="AB8" s="12" t="s">
        <v>37</v>
      </c>
      <c r="AC8" s="167">
        <v>270</v>
      </c>
      <c r="AD8" s="12" t="s">
        <v>94</v>
      </c>
      <c r="AE8" s="167">
        <v>187</v>
      </c>
      <c r="AF8" s="128" t="s">
        <v>148</v>
      </c>
    </row>
    <row r="9" spans="1:32" x14ac:dyDescent="0.25">
      <c r="A9" s="138">
        <v>1991</v>
      </c>
      <c r="B9" s="167">
        <v>3260</v>
      </c>
      <c r="C9" s="167">
        <v>477</v>
      </c>
      <c r="D9" s="167">
        <f t="shared" si="0"/>
        <v>0.40214723926380364</v>
      </c>
      <c r="E9" s="167">
        <v>579</v>
      </c>
      <c r="F9" s="12" t="s">
        <v>27</v>
      </c>
      <c r="G9" s="167">
        <v>380</v>
      </c>
      <c r="H9" s="12" t="s">
        <v>37</v>
      </c>
      <c r="I9" s="167">
        <v>352</v>
      </c>
      <c r="J9" s="128" t="s">
        <v>22</v>
      </c>
      <c r="K9" s="141"/>
      <c r="L9" s="138">
        <v>1991</v>
      </c>
      <c r="M9" s="167">
        <v>3080</v>
      </c>
      <c r="N9" s="167">
        <v>346</v>
      </c>
      <c r="O9" s="167">
        <f t="shared" si="1"/>
        <v>0.28896103896103897</v>
      </c>
      <c r="P9" s="167">
        <v>380</v>
      </c>
      <c r="Q9" s="12" t="s">
        <v>37</v>
      </c>
      <c r="R9" s="167">
        <v>290</v>
      </c>
      <c r="S9" s="12" t="s">
        <v>22</v>
      </c>
      <c r="T9" s="167">
        <v>220</v>
      </c>
      <c r="U9" s="128" t="s">
        <v>27</v>
      </c>
      <c r="V9" s="141"/>
      <c r="W9" s="138">
        <v>1991</v>
      </c>
      <c r="X9" s="167">
        <v>2690</v>
      </c>
      <c r="Y9" s="167">
        <v>885</v>
      </c>
      <c r="Z9" s="172">
        <f t="shared" si="2"/>
        <v>0.26096654275092934</v>
      </c>
      <c r="AA9" s="167">
        <v>250</v>
      </c>
      <c r="AB9" s="12" t="s">
        <v>94</v>
      </c>
      <c r="AC9" s="167">
        <v>250</v>
      </c>
      <c r="AD9" s="12" t="s">
        <v>37</v>
      </c>
      <c r="AE9" s="167">
        <v>202</v>
      </c>
      <c r="AF9" s="128" t="s">
        <v>57</v>
      </c>
    </row>
    <row r="10" spans="1:32" x14ac:dyDescent="0.25">
      <c r="A10" s="138">
        <v>1992</v>
      </c>
      <c r="B10" s="167">
        <v>3200</v>
      </c>
      <c r="C10" s="167">
        <v>407</v>
      </c>
      <c r="D10" s="167">
        <f t="shared" si="0"/>
        <v>0.39093749999999994</v>
      </c>
      <c r="E10" s="167">
        <v>577</v>
      </c>
      <c r="F10" s="12" t="s">
        <v>27</v>
      </c>
      <c r="G10" s="167">
        <v>344</v>
      </c>
      <c r="H10" s="12" t="s">
        <v>38</v>
      </c>
      <c r="I10" s="167">
        <v>330</v>
      </c>
      <c r="J10" s="128" t="s">
        <v>44</v>
      </c>
      <c r="K10" s="141"/>
      <c r="L10" s="138">
        <v>1992</v>
      </c>
      <c r="M10" s="167">
        <v>2950</v>
      </c>
      <c r="N10" s="167">
        <v>305</v>
      </c>
      <c r="O10" s="167">
        <f t="shared" si="1"/>
        <v>0.25728813559322034</v>
      </c>
      <c r="P10" s="167">
        <v>325</v>
      </c>
      <c r="Q10" s="12" t="s">
        <v>22</v>
      </c>
      <c r="R10" s="167">
        <v>219</v>
      </c>
      <c r="S10" s="12" t="s">
        <v>29</v>
      </c>
      <c r="T10" s="167">
        <v>215</v>
      </c>
      <c r="U10" s="128" t="s">
        <v>27</v>
      </c>
      <c r="V10" s="141"/>
      <c r="W10" s="138">
        <v>1992</v>
      </c>
      <c r="X10" s="167">
        <v>2480</v>
      </c>
      <c r="Y10" s="167">
        <v>916</v>
      </c>
      <c r="Z10" s="172">
        <f t="shared" si="2"/>
        <v>0.25524193548387097</v>
      </c>
      <c r="AA10" s="167">
        <v>284</v>
      </c>
      <c r="AB10" s="12" t="s">
        <v>94</v>
      </c>
      <c r="AC10" s="167">
        <v>202</v>
      </c>
      <c r="AD10" s="12" t="s">
        <v>57</v>
      </c>
      <c r="AE10" s="167">
        <v>147</v>
      </c>
      <c r="AF10" s="128" t="s">
        <v>101</v>
      </c>
    </row>
    <row r="11" spans="1:32" x14ac:dyDescent="0.25">
      <c r="A11" s="138">
        <v>1993</v>
      </c>
      <c r="B11" s="167">
        <v>2900</v>
      </c>
      <c r="C11" s="167">
        <v>362</v>
      </c>
      <c r="D11" s="167">
        <f t="shared" si="0"/>
        <v>0.3703448275862069</v>
      </c>
      <c r="E11" s="167">
        <v>519</v>
      </c>
      <c r="F11" s="12" t="s">
        <v>27</v>
      </c>
      <c r="G11" s="167">
        <v>338</v>
      </c>
      <c r="H11" s="12" t="s">
        <v>22</v>
      </c>
      <c r="I11" s="167">
        <v>217</v>
      </c>
      <c r="J11" s="128" t="s">
        <v>44</v>
      </c>
      <c r="K11" s="141"/>
      <c r="L11" s="138">
        <v>1993</v>
      </c>
      <c r="M11" s="167">
        <v>3050</v>
      </c>
      <c r="N11" s="167">
        <v>335</v>
      </c>
      <c r="O11" s="167">
        <f t="shared" si="1"/>
        <v>0.26393442622950819</v>
      </c>
      <c r="P11" s="167">
        <v>372</v>
      </c>
      <c r="Q11" s="12" t="s">
        <v>22</v>
      </c>
      <c r="R11" s="167">
        <v>221</v>
      </c>
      <c r="S11" s="12" t="s">
        <v>27</v>
      </c>
      <c r="T11" s="167">
        <v>212</v>
      </c>
      <c r="U11" s="12" t="s">
        <v>29</v>
      </c>
      <c r="V11" s="141"/>
      <c r="W11" s="138">
        <v>1993</v>
      </c>
      <c r="X11" s="167">
        <v>2400</v>
      </c>
      <c r="Y11" s="167">
        <v>893</v>
      </c>
      <c r="Z11" s="172">
        <f t="shared" si="2"/>
        <v>0.25458333333333333</v>
      </c>
      <c r="AA11" s="167">
        <v>284</v>
      </c>
      <c r="AB11" s="12" t="s">
        <v>94</v>
      </c>
      <c r="AC11" s="167">
        <v>179</v>
      </c>
      <c r="AD11" s="12" t="s">
        <v>57</v>
      </c>
      <c r="AE11" s="167">
        <v>148</v>
      </c>
      <c r="AF11" s="128" t="s">
        <v>101</v>
      </c>
    </row>
    <row r="12" spans="1:32" x14ac:dyDescent="0.25">
      <c r="A12" s="138">
        <v>1994</v>
      </c>
      <c r="B12" s="167">
        <v>2800</v>
      </c>
      <c r="C12" s="167">
        <v>370</v>
      </c>
      <c r="D12" s="167">
        <f t="shared" si="0"/>
        <v>0.44017857142857142</v>
      </c>
      <c r="E12" s="167">
        <v>537</v>
      </c>
      <c r="F12" s="12" t="s">
        <v>27</v>
      </c>
      <c r="G12" s="167">
        <v>462</v>
      </c>
      <c r="H12" s="12" t="s">
        <v>22</v>
      </c>
      <c r="I12" s="167">
        <v>233.5</v>
      </c>
      <c r="J12" s="128" t="s">
        <v>44</v>
      </c>
      <c r="K12" s="141"/>
      <c r="L12" s="138">
        <v>1994</v>
      </c>
      <c r="M12" s="167">
        <v>3012</v>
      </c>
      <c r="N12" s="167">
        <v>351</v>
      </c>
      <c r="O12" s="167">
        <f t="shared" si="1"/>
        <v>0.26616865869853917</v>
      </c>
      <c r="P12" s="167">
        <v>408</v>
      </c>
      <c r="Q12" s="12" t="s">
        <v>22</v>
      </c>
      <c r="R12" s="167">
        <v>212</v>
      </c>
      <c r="S12" s="12" t="s">
        <v>27</v>
      </c>
      <c r="T12" s="167">
        <v>181.7</v>
      </c>
      <c r="U12" s="12" t="s">
        <v>29</v>
      </c>
      <c r="V12" s="141"/>
      <c r="W12" s="138">
        <v>1994</v>
      </c>
      <c r="X12" s="167">
        <v>2340</v>
      </c>
      <c r="Y12" s="167">
        <v>931</v>
      </c>
      <c r="Z12" s="172">
        <f t="shared" si="2"/>
        <v>0.33931623931623933</v>
      </c>
      <c r="AA12" s="167">
        <v>280</v>
      </c>
      <c r="AB12" s="12" t="s">
        <v>94</v>
      </c>
      <c r="AC12" s="167">
        <v>260</v>
      </c>
      <c r="AD12" s="12" t="s">
        <v>57</v>
      </c>
      <c r="AE12" s="167">
        <v>254</v>
      </c>
      <c r="AF12" s="12" t="s">
        <v>101</v>
      </c>
    </row>
    <row r="13" spans="1:32" x14ac:dyDescent="0.25">
      <c r="A13" s="138">
        <v>1995</v>
      </c>
      <c r="B13" s="167">
        <v>2710</v>
      </c>
      <c r="C13" s="167">
        <v>394</v>
      </c>
      <c r="D13" s="167">
        <f t="shared" si="0"/>
        <v>0.44745387453874541</v>
      </c>
      <c r="E13" s="167">
        <v>520</v>
      </c>
      <c r="F13" s="12" t="s">
        <v>22</v>
      </c>
      <c r="G13" s="167">
        <v>455</v>
      </c>
      <c r="H13" s="12" t="s">
        <v>27</v>
      </c>
      <c r="I13" s="167">
        <v>237.6</v>
      </c>
      <c r="J13" s="128" t="s">
        <v>44</v>
      </c>
      <c r="K13" s="141"/>
      <c r="L13" s="138">
        <v>1995</v>
      </c>
      <c r="M13" s="167">
        <v>2909</v>
      </c>
      <c r="N13" s="167">
        <v>374</v>
      </c>
      <c r="O13" s="167">
        <f t="shared" si="1"/>
        <v>0.28360261258164315</v>
      </c>
      <c r="P13" s="167">
        <v>432</v>
      </c>
      <c r="Q13" s="12" t="s">
        <v>22</v>
      </c>
      <c r="R13" s="167">
        <v>215</v>
      </c>
      <c r="S13" s="128" t="s">
        <v>27</v>
      </c>
      <c r="T13" s="167">
        <v>178</v>
      </c>
      <c r="U13" s="128" t="s">
        <v>38</v>
      </c>
      <c r="V13" s="141"/>
      <c r="W13" s="138">
        <v>1995</v>
      </c>
      <c r="X13" s="167">
        <v>2670</v>
      </c>
      <c r="Y13" s="167">
        <v>1020</v>
      </c>
      <c r="Z13" s="172">
        <f t="shared" si="2"/>
        <v>0.18853932584269661</v>
      </c>
      <c r="AA13" s="167">
        <v>171</v>
      </c>
      <c r="AB13" s="12" t="s">
        <v>101</v>
      </c>
      <c r="AC13" s="167">
        <v>168</v>
      </c>
      <c r="AD13" s="128" t="s">
        <v>94</v>
      </c>
      <c r="AE13" s="167">
        <v>164.4</v>
      </c>
      <c r="AF13" s="128" t="s">
        <v>57</v>
      </c>
    </row>
    <row r="14" spans="1:32" x14ac:dyDescent="0.25">
      <c r="A14" s="138">
        <v>1996</v>
      </c>
      <c r="B14" s="167">
        <v>2920</v>
      </c>
      <c r="C14" s="167">
        <v>436</v>
      </c>
      <c r="D14" s="167">
        <f t="shared" si="0"/>
        <v>0.48417808219178082</v>
      </c>
      <c r="E14" s="167">
        <v>643</v>
      </c>
      <c r="F14" s="12" t="s">
        <v>22</v>
      </c>
      <c r="G14" s="167">
        <v>522</v>
      </c>
      <c r="H14" s="12" t="s">
        <v>27</v>
      </c>
      <c r="I14" s="167">
        <v>248.8</v>
      </c>
      <c r="J14" s="128" t="s">
        <v>44</v>
      </c>
      <c r="K14" s="141"/>
      <c r="L14" s="138">
        <v>1996</v>
      </c>
      <c r="M14" s="167">
        <v>2870</v>
      </c>
      <c r="N14" s="167">
        <v>326</v>
      </c>
      <c r="O14" s="167">
        <f t="shared" si="1"/>
        <v>0.33449477351916374</v>
      </c>
      <c r="P14" s="167">
        <v>562</v>
      </c>
      <c r="Q14" s="12" t="s">
        <v>22</v>
      </c>
      <c r="R14" s="167">
        <v>204</v>
      </c>
      <c r="S14" s="128" t="s">
        <v>27</v>
      </c>
      <c r="T14" s="167">
        <v>194</v>
      </c>
      <c r="U14" s="128" t="s">
        <v>38</v>
      </c>
      <c r="V14" s="141"/>
      <c r="W14" s="138">
        <v>1996</v>
      </c>
      <c r="X14" s="167">
        <v>2760</v>
      </c>
      <c r="Y14" s="167">
        <v>1070</v>
      </c>
      <c r="Z14" s="172">
        <f t="shared" si="2"/>
        <v>0.1771376811594203</v>
      </c>
      <c r="AA14" s="167">
        <v>177.5</v>
      </c>
      <c r="AB14" s="12" t="s">
        <v>101</v>
      </c>
      <c r="AC14" s="167">
        <v>162</v>
      </c>
      <c r="AD14" s="128" t="s">
        <v>94</v>
      </c>
      <c r="AE14" s="167">
        <v>149.4</v>
      </c>
      <c r="AF14" s="128" t="s">
        <v>57</v>
      </c>
    </row>
    <row r="15" spans="1:32" x14ac:dyDescent="0.25">
      <c r="A15" s="138">
        <v>1997</v>
      </c>
      <c r="B15" s="167">
        <v>3100</v>
      </c>
      <c r="C15" s="167">
        <v>459</v>
      </c>
      <c r="D15" s="167">
        <f t="shared" si="0"/>
        <v>0.48425806451612907</v>
      </c>
      <c r="E15" s="167">
        <v>712</v>
      </c>
      <c r="F15" s="12" t="s">
        <v>22</v>
      </c>
      <c r="G15" s="167">
        <v>531</v>
      </c>
      <c r="H15" s="12" t="s">
        <v>27</v>
      </c>
      <c r="I15" s="167">
        <v>258.2</v>
      </c>
      <c r="J15" s="128" t="s">
        <v>44</v>
      </c>
      <c r="K15" s="141"/>
      <c r="L15" s="138">
        <v>1997</v>
      </c>
      <c r="M15" s="167">
        <v>3044</v>
      </c>
      <c r="N15" s="167">
        <v>343</v>
      </c>
      <c r="O15" s="167">
        <f t="shared" si="1"/>
        <v>0.3295663600525624</v>
      </c>
      <c r="P15" s="167">
        <v>584</v>
      </c>
      <c r="Q15" s="12" t="s">
        <v>22</v>
      </c>
      <c r="R15" s="167">
        <v>215.2</v>
      </c>
      <c r="S15" s="128" t="s">
        <v>101</v>
      </c>
      <c r="T15" s="167">
        <v>204</v>
      </c>
      <c r="U15" s="128" t="s">
        <v>27</v>
      </c>
      <c r="V15" s="141"/>
      <c r="W15" s="138">
        <v>1997</v>
      </c>
      <c r="X15" s="167">
        <v>2840</v>
      </c>
      <c r="Y15" s="167">
        <v>1110</v>
      </c>
      <c r="Z15" s="172">
        <f t="shared" si="2"/>
        <v>0.17992957746478874</v>
      </c>
      <c r="AA15" s="167">
        <v>175.8</v>
      </c>
      <c r="AB15" s="12" t="s">
        <v>101</v>
      </c>
      <c r="AC15" s="167">
        <v>170.8</v>
      </c>
      <c r="AD15" s="128" t="s">
        <v>94</v>
      </c>
      <c r="AE15" s="167">
        <v>164.4</v>
      </c>
      <c r="AF15" s="128" t="s">
        <v>57</v>
      </c>
    </row>
    <row r="16" spans="1:32" x14ac:dyDescent="0.25">
      <c r="A16" s="138">
        <v>1998</v>
      </c>
      <c r="B16" s="167">
        <v>3060</v>
      </c>
      <c r="C16" s="167">
        <v>493</v>
      </c>
      <c r="D16" s="167">
        <f t="shared" si="0"/>
        <v>0.47572320261437906</v>
      </c>
      <c r="E16" s="167">
        <v>618</v>
      </c>
      <c r="F16" s="12" t="s">
        <v>27</v>
      </c>
      <c r="G16" s="167">
        <v>580</v>
      </c>
      <c r="H16" s="12" t="s">
        <v>22</v>
      </c>
      <c r="I16" s="167">
        <v>257.71300000000002</v>
      </c>
      <c r="J16" s="128" t="s">
        <v>44</v>
      </c>
      <c r="K16" s="141"/>
      <c r="L16" s="138">
        <v>1998</v>
      </c>
      <c r="M16" s="167">
        <v>3105</v>
      </c>
      <c r="N16" s="167">
        <v>337</v>
      </c>
      <c r="O16" s="167">
        <f t="shared" si="1"/>
        <v>0.33108212560386474</v>
      </c>
      <c r="P16" s="167">
        <v>665</v>
      </c>
      <c r="Q16" s="12" t="s">
        <v>22</v>
      </c>
      <c r="R16" s="167">
        <v>186.21</v>
      </c>
      <c r="S16" s="12" t="s">
        <v>101</v>
      </c>
      <c r="T16" s="167">
        <v>176.8</v>
      </c>
      <c r="U16" s="128" t="s">
        <v>57</v>
      </c>
      <c r="V16" s="141"/>
      <c r="W16" s="138">
        <v>1998</v>
      </c>
      <c r="X16" s="167">
        <v>2870</v>
      </c>
      <c r="Y16" s="167">
        <v>1120</v>
      </c>
      <c r="Z16" s="172">
        <f t="shared" si="2"/>
        <v>0.18747386759581883</v>
      </c>
      <c r="AA16" s="167">
        <v>203.4</v>
      </c>
      <c r="AB16" s="12" t="s">
        <v>57</v>
      </c>
      <c r="AC16" s="167">
        <v>172</v>
      </c>
      <c r="AD16" s="12" t="s">
        <v>94</v>
      </c>
      <c r="AE16" s="167">
        <v>162.65</v>
      </c>
      <c r="AF16" s="128" t="s">
        <v>101</v>
      </c>
    </row>
    <row r="17" spans="1:32" x14ac:dyDescent="0.25">
      <c r="A17" s="138">
        <v>1999</v>
      </c>
      <c r="B17" s="167">
        <v>3080</v>
      </c>
      <c r="C17" s="167">
        <v>520</v>
      </c>
      <c r="D17" s="167">
        <f t="shared" si="0"/>
        <v>0.48759155844155844</v>
      </c>
      <c r="E17" s="167">
        <v>681</v>
      </c>
      <c r="F17" s="12" t="s">
        <v>27</v>
      </c>
      <c r="G17" s="167">
        <v>549</v>
      </c>
      <c r="H17" s="12" t="s">
        <v>22</v>
      </c>
      <c r="I17" s="167">
        <v>271.78199999999998</v>
      </c>
      <c r="J17" s="128" t="s">
        <v>44</v>
      </c>
      <c r="K17" s="141"/>
      <c r="L17" s="138">
        <v>1999</v>
      </c>
      <c r="M17" s="167">
        <v>3317</v>
      </c>
      <c r="N17" s="167">
        <v>350</v>
      </c>
      <c r="O17" s="167">
        <f t="shared" si="1"/>
        <v>0.37576725957190227</v>
      </c>
      <c r="P17" s="167">
        <v>821</v>
      </c>
      <c r="Q17" s="12" t="s">
        <v>22</v>
      </c>
      <c r="R17" s="167">
        <v>240</v>
      </c>
      <c r="S17" s="12" t="s">
        <v>27</v>
      </c>
      <c r="T17" s="167">
        <v>185.42</v>
      </c>
      <c r="U17" s="128" t="s">
        <v>101</v>
      </c>
      <c r="V17" s="141"/>
      <c r="W17" s="138">
        <v>1999</v>
      </c>
      <c r="X17" s="167">
        <v>2850</v>
      </c>
      <c r="Y17" s="167">
        <v>1110</v>
      </c>
      <c r="Z17" s="172">
        <f t="shared" si="2"/>
        <v>0.18756842105263158</v>
      </c>
      <c r="AA17" s="167">
        <v>204</v>
      </c>
      <c r="AB17" s="12" t="s">
        <v>57</v>
      </c>
      <c r="AC17" s="167">
        <v>167.92</v>
      </c>
      <c r="AD17" s="12" t="s">
        <v>29</v>
      </c>
      <c r="AE17" s="167">
        <v>162.65</v>
      </c>
      <c r="AF17" s="128" t="s">
        <v>101</v>
      </c>
    </row>
    <row r="18" spans="1:32" x14ac:dyDescent="0.25">
      <c r="A18" s="138">
        <v>2000</v>
      </c>
      <c r="B18" s="167">
        <v>3200</v>
      </c>
      <c r="C18" s="167">
        <v>465</v>
      </c>
      <c r="D18" s="167">
        <f t="shared" si="0"/>
        <v>0.5217425</v>
      </c>
      <c r="E18" s="167">
        <v>739</v>
      </c>
      <c r="F18" s="12" t="s">
        <v>27</v>
      </c>
      <c r="G18" s="167">
        <v>660</v>
      </c>
      <c r="H18" s="12" t="s">
        <v>22</v>
      </c>
      <c r="I18" s="167">
        <v>270.57600000000002</v>
      </c>
      <c r="J18" s="128" t="s">
        <v>44</v>
      </c>
      <c r="K18" s="141"/>
      <c r="L18" s="138">
        <v>2000</v>
      </c>
      <c r="M18" s="167">
        <v>3590</v>
      </c>
      <c r="N18" s="167">
        <v>341</v>
      </c>
      <c r="O18" s="167">
        <f t="shared" si="1"/>
        <v>0.39885515320334264</v>
      </c>
      <c r="P18" s="167">
        <v>998</v>
      </c>
      <c r="Q18" s="12" t="s">
        <v>22</v>
      </c>
      <c r="R18" s="167">
        <v>223.37</v>
      </c>
      <c r="S18" s="12" t="s">
        <v>27</v>
      </c>
      <c r="T18" s="167">
        <v>210.52</v>
      </c>
      <c r="U18" s="128" t="s">
        <v>57</v>
      </c>
      <c r="V18" s="141"/>
      <c r="W18" s="138">
        <v>2000</v>
      </c>
      <c r="X18" s="167">
        <v>3060</v>
      </c>
      <c r="Y18" s="167">
        <v>1130</v>
      </c>
      <c r="Z18" s="172">
        <f t="shared" si="2"/>
        <v>0.18200980392156862</v>
      </c>
      <c r="AA18" s="167">
        <v>204</v>
      </c>
      <c r="AB18" s="12" t="s">
        <v>57</v>
      </c>
      <c r="AC18" s="167">
        <v>182.21</v>
      </c>
      <c r="AD18" s="12" t="s">
        <v>29</v>
      </c>
      <c r="AE18" s="167">
        <v>170.74</v>
      </c>
      <c r="AF18" s="128" t="s">
        <v>101</v>
      </c>
    </row>
    <row r="19" spans="1:32" x14ac:dyDescent="0.25">
      <c r="A19" s="138">
        <v>2001</v>
      </c>
      <c r="B19" s="167">
        <v>3120</v>
      </c>
      <c r="C19" s="167">
        <v>466</v>
      </c>
      <c r="D19" s="167">
        <f t="shared" si="0"/>
        <v>0.53831602564102565</v>
      </c>
      <c r="E19" s="167">
        <v>714</v>
      </c>
      <c r="F19" s="12" t="s">
        <v>27</v>
      </c>
      <c r="G19" s="167">
        <v>676</v>
      </c>
      <c r="H19" s="12" t="s">
        <v>22</v>
      </c>
      <c r="I19" s="167">
        <v>289.54599999999999</v>
      </c>
      <c r="J19" s="128" t="s">
        <v>44</v>
      </c>
      <c r="K19" s="141"/>
      <c r="L19" s="138">
        <v>2001</v>
      </c>
      <c r="M19" s="167">
        <v>3403</v>
      </c>
      <c r="N19" s="167">
        <v>290</v>
      </c>
      <c r="O19" s="167">
        <f t="shared" si="1"/>
        <v>0.42815163091389952</v>
      </c>
      <c r="P19" s="167">
        <v>984</v>
      </c>
      <c r="Q19" s="12" t="s">
        <v>22</v>
      </c>
      <c r="R19" s="167">
        <v>270</v>
      </c>
      <c r="S19" s="12" t="s">
        <v>27</v>
      </c>
      <c r="T19" s="167">
        <v>203</v>
      </c>
      <c r="U19" s="128" t="s">
        <v>101</v>
      </c>
      <c r="V19" s="141"/>
      <c r="W19" s="138">
        <v>2001</v>
      </c>
      <c r="X19" s="167">
        <v>3200</v>
      </c>
      <c r="Y19" s="167">
        <v>1100</v>
      </c>
      <c r="Z19" s="172">
        <f t="shared" si="2"/>
        <v>0.18929062499999999</v>
      </c>
      <c r="AA19" s="167">
        <v>219.64</v>
      </c>
      <c r="AB19" s="12" t="s">
        <v>57</v>
      </c>
      <c r="AC19" s="167">
        <v>211</v>
      </c>
      <c r="AD19" s="12" t="s">
        <v>22</v>
      </c>
      <c r="AE19" s="167">
        <v>175.09</v>
      </c>
      <c r="AF19" s="128" t="s">
        <v>29</v>
      </c>
    </row>
    <row r="20" spans="1:32" x14ac:dyDescent="0.25">
      <c r="A20" s="138">
        <v>2002</v>
      </c>
      <c r="B20" s="167">
        <v>2850</v>
      </c>
      <c r="C20" s="167">
        <v>451</v>
      </c>
      <c r="D20" s="167">
        <f t="shared" si="0"/>
        <v>0.57566701754385963</v>
      </c>
      <c r="E20" s="167">
        <v>694</v>
      </c>
      <c r="F20" s="12" t="s">
        <v>27</v>
      </c>
      <c r="G20" s="167">
        <v>641</v>
      </c>
      <c r="H20" s="12" t="s">
        <v>22</v>
      </c>
      <c r="I20" s="167">
        <v>305.65100000000001</v>
      </c>
      <c r="J20" s="128" t="s">
        <v>44</v>
      </c>
      <c r="K20" s="141"/>
      <c r="L20" s="138">
        <v>2002</v>
      </c>
      <c r="M20" s="167">
        <v>3428</v>
      </c>
      <c r="N20" s="167">
        <v>262</v>
      </c>
      <c r="O20" s="167">
        <f t="shared" si="1"/>
        <v>0.4596616102683781</v>
      </c>
      <c r="P20" s="167">
        <v>1100</v>
      </c>
      <c r="Q20" s="12" t="s">
        <v>22</v>
      </c>
      <c r="R20" s="167">
        <v>268</v>
      </c>
      <c r="S20" s="12" t="s">
        <v>27</v>
      </c>
      <c r="T20" s="167">
        <v>207.72</v>
      </c>
      <c r="U20" s="128" t="s">
        <v>101</v>
      </c>
      <c r="V20" s="141"/>
      <c r="W20" s="138">
        <v>2002</v>
      </c>
      <c r="X20" s="167">
        <v>3370</v>
      </c>
      <c r="Y20" s="167">
        <v>1100</v>
      </c>
      <c r="Z20" s="172">
        <f t="shared" si="2"/>
        <v>0.19190504451038576</v>
      </c>
      <c r="AA20" s="167">
        <v>238.7</v>
      </c>
      <c r="AB20" s="12" t="s">
        <v>57</v>
      </c>
      <c r="AC20" s="167">
        <v>230</v>
      </c>
      <c r="AD20" s="12" t="s">
        <v>22</v>
      </c>
      <c r="AE20" s="167">
        <v>178.02</v>
      </c>
      <c r="AF20" s="128" t="s">
        <v>29</v>
      </c>
    </row>
    <row r="21" spans="1:32" x14ac:dyDescent="0.25">
      <c r="A21" s="138">
        <v>2003</v>
      </c>
      <c r="B21" s="167">
        <v>3200</v>
      </c>
      <c r="C21" s="167">
        <v>460</v>
      </c>
      <c r="D21" s="167">
        <f t="shared" si="0"/>
        <v>0.60996062500000003</v>
      </c>
      <c r="E21" s="167">
        <v>955</v>
      </c>
      <c r="F21" s="12" t="s">
        <v>22</v>
      </c>
      <c r="G21" s="167">
        <v>688</v>
      </c>
      <c r="H21" s="12" t="s">
        <v>27</v>
      </c>
      <c r="I21" s="167">
        <v>308.87400000000002</v>
      </c>
      <c r="J21" s="128" t="s">
        <v>44</v>
      </c>
      <c r="K21" s="141"/>
      <c r="L21" s="138">
        <v>2003</v>
      </c>
      <c r="M21" s="167">
        <v>3387</v>
      </c>
      <c r="N21" s="167">
        <v>245</v>
      </c>
      <c r="O21" s="167">
        <f t="shared" si="1"/>
        <v>0.51815766164747556</v>
      </c>
      <c r="P21" s="167">
        <v>1290</v>
      </c>
      <c r="Q21" s="12" t="s">
        <v>22</v>
      </c>
      <c r="R21" s="167">
        <v>270</v>
      </c>
      <c r="S21" s="12" t="s">
        <v>27</v>
      </c>
      <c r="T21" s="167">
        <v>195</v>
      </c>
      <c r="U21" s="128" t="s">
        <v>101</v>
      </c>
      <c r="V21" s="141"/>
      <c r="W21" s="138">
        <v>2003</v>
      </c>
      <c r="X21" s="167">
        <v>3600</v>
      </c>
      <c r="Y21" s="167">
        <v>1140</v>
      </c>
      <c r="Z21" s="172">
        <f t="shared" si="2"/>
        <v>0.19570277777777778</v>
      </c>
      <c r="AA21" s="167">
        <v>290</v>
      </c>
      <c r="AB21" s="12" t="s">
        <v>22</v>
      </c>
      <c r="AC21" s="167">
        <v>224.7</v>
      </c>
      <c r="AD21" s="12" t="s">
        <v>57</v>
      </c>
      <c r="AE21" s="167">
        <v>189.83</v>
      </c>
      <c r="AF21" s="128" t="s">
        <v>29</v>
      </c>
    </row>
    <row r="22" spans="1:32" x14ac:dyDescent="0.25">
      <c r="A22" s="138">
        <v>2004</v>
      </c>
      <c r="B22" s="167">
        <v>3150</v>
      </c>
      <c r="C22" s="167">
        <v>445</v>
      </c>
      <c r="D22" s="167">
        <f t="shared" si="0"/>
        <v>0.62800349206349204</v>
      </c>
      <c r="E22" s="167">
        <v>998</v>
      </c>
      <c r="F22" s="12" t="s">
        <v>22</v>
      </c>
      <c r="G22" s="167">
        <v>674</v>
      </c>
      <c r="H22" s="12" t="s">
        <v>27</v>
      </c>
      <c r="I22" s="167">
        <v>306.21100000000001</v>
      </c>
      <c r="J22" s="128" t="s">
        <v>44</v>
      </c>
      <c r="K22" s="141"/>
      <c r="L22" s="138">
        <v>2004</v>
      </c>
      <c r="M22" s="167">
        <v>3327</v>
      </c>
      <c r="N22" s="167">
        <v>148</v>
      </c>
      <c r="O22" s="167">
        <f t="shared" si="1"/>
        <v>0.57277126540426815</v>
      </c>
      <c r="P22" s="167">
        <v>1500</v>
      </c>
      <c r="Q22" s="12" t="s">
        <v>22</v>
      </c>
      <c r="R22" s="167">
        <v>232</v>
      </c>
      <c r="S22" s="12" t="s">
        <v>27</v>
      </c>
      <c r="T22" s="167">
        <v>173.61</v>
      </c>
      <c r="U22" s="128" t="s">
        <v>153</v>
      </c>
      <c r="V22" s="141"/>
      <c r="W22" s="138">
        <v>2004</v>
      </c>
      <c r="X22" s="167">
        <v>3740</v>
      </c>
      <c r="Y22" s="167">
        <v>1130</v>
      </c>
      <c r="Z22" s="172">
        <f t="shared" si="2"/>
        <v>0.23045454545454547</v>
      </c>
      <c r="AA22" s="167">
        <v>430</v>
      </c>
      <c r="AB22" s="12" t="s">
        <v>22</v>
      </c>
      <c r="AC22" s="167">
        <v>243.3</v>
      </c>
      <c r="AD22" s="12" t="s">
        <v>57</v>
      </c>
      <c r="AE22" s="167">
        <v>188.6</v>
      </c>
      <c r="AF22" s="128" t="s">
        <v>29</v>
      </c>
    </row>
    <row r="23" spans="1:32" x14ac:dyDescent="0.25">
      <c r="A23" s="138">
        <v>2005</v>
      </c>
      <c r="B23" s="167">
        <v>3470</v>
      </c>
      <c r="C23" s="167">
        <v>437</v>
      </c>
      <c r="D23" s="167">
        <f t="shared" si="0"/>
        <v>0.64159798270893376</v>
      </c>
      <c r="E23" s="167">
        <v>1140</v>
      </c>
      <c r="F23" s="12" t="s">
        <v>22</v>
      </c>
      <c r="G23" s="167">
        <v>767</v>
      </c>
      <c r="H23" s="12" t="s">
        <v>27</v>
      </c>
      <c r="I23" s="167">
        <v>319.34500000000003</v>
      </c>
      <c r="J23" s="128" t="s">
        <v>44</v>
      </c>
      <c r="K23" s="141"/>
      <c r="L23" s="138">
        <v>2005</v>
      </c>
      <c r="M23" s="167">
        <v>3713</v>
      </c>
      <c r="N23" s="167">
        <v>143</v>
      </c>
      <c r="O23" s="167">
        <f t="shared" si="1"/>
        <v>0.60888230541341226</v>
      </c>
      <c r="P23" s="167">
        <v>1850</v>
      </c>
      <c r="Q23" s="12" t="s">
        <v>22</v>
      </c>
      <c r="R23" s="167">
        <v>230</v>
      </c>
      <c r="S23" s="12" t="s">
        <v>27</v>
      </c>
      <c r="T23" s="167">
        <v>180.78</v>
      </c>
      <c r="U23" s="128" t="s">
        <v>153</v>
      </c>
      <c r="V23" s="141"/>
      <c r="W23" s="138">
        <v>2005</v>
      </c>
      <c r="X23" s="167">
        <v>3950</v>
      </c>
      <c r="Y23" s="167">
        <v>1150</v>
      </c>
      <c r="Z23" s="172">
        <f t="shared" si="2"/>
        <v>0.25415063291139239</v>
      </c>
      <c r="AA23" s="167">
        <v>537</v>
      </c>
      <c r="AB23" s="12" t="s">
        <v>22</v>
      </c>
      <c r="AC23" s="167">
        <v>298.91500000000002</v>
      </c>
      <c r="AD23" s="12" t="s">
        <v>57</v>
      </c>
      <c r="AE23" s="167">
        <v>167.98</v>
      </c>
      <c r="AF23" s="128" t="s">
        <v>29</v>
      </c>
    </row>
    <row r="24" spans="1:32" x14ac:dyDescent="0.25">
      <c r="A24" s="138">
        <v>2006</v>
      </c>
      <c r="B24" s="167">
        <v>3630</v>
      </c>
      <c r="C24" s="167">
        <v>429</v>
      </c>
      <c r="D24" s="167">
        <f t="shared" si="0"/>
        <v>0.64168732782369142</v>
      </c>
      <c r="E24" s="167">
        <v>1330</v>
      </c>
      <c r="F24" s="12" t="s">
        <v>22</v>
      </c>
      <c r="G24" s="167">
        <v>686</v>
      </c>
      <c r="H24" s="12" t="s">
        <v>27</v>
      </c>
      <c r="I24" s="167">
        <v>313.32499999999999</v>
      </c>
      <c r="J24" s="128" t="s">
        <v>44</v>
      </c>
      <c r="K24" s="141"/>
      <c r="L24" s="138">
        <v>2006</v>
      </c>
      <c r="M24" s="167">
        <v>3896</v>
      </c>
      <c r="N24" s="167">
        <v>153</v>
      </c>
      <c r="O24" s="167">
        <f t="shared" si="1"/>
        <v>0.64160677618069817</v>
      </c>
      <c r="P24" s="167">
        <v>2130</v>
      </c>
      <c r="Q24" s="12" t="s">
        <v>22</v>
      </c>
      <c r="R24" s="167">
        <v>206</v>
      </c>
      <c r="S24" s="12" t="s">
        <v>27</v>
      </c>
      <c r="T24" s="167">
        <v>163.69999999999999</v>
      </c>
      <c r="U24" s="128" t="s">
        <v>101</v>
      </c>
      <c r="V24" s="141"/>
      <c r="W24" s="138">
        <v>2006</v>
      </c>
      <c r="X24" s="167">
        <v>4200</v>
      </c>
      <c r="Y24" s="167">
        <v>1160</v>
      </c>
      <c r="Z24" s="172">
        <f t="shared" si="2"/>
        <v>0.24450785714285714</v>
      </c>
      <c r="AA24" s="167">
        <v>590</v>
      </c>
      <c r="AB24" s="12" t="s">
        <v>22</v>
      </c>
      <c r="AC24" s="167">
        <v>265.19</v>
      </c>
      <c r="AD24" s="12" t="s">
        <v>57</v>
      </c>
      <c r="AE24" s="167">
        <v>171.74299999999999</v>
      </c>
      <c r="AF24" s="128" t="s">
        <v>29</v>
      </c>
    </row>
    <row r="25" spans="1:32" x14ac:dyDescent="0.25">
      <c r="A25" s="138" t="s">
        <v>4</v>
      </c>
      <c r="B25" s="167">
        <v>3720</v>
      </c>
      <c r="C25" s="167">
        <v>444</v>
      </c>
      <c r="D25" s="167">
        <f t="shared" si="0"/>
        <v>0.63982634408602146</v>
      </c>
      <c r="E25" s="167">
        <v>1410</v>
      </c>
      <c r="F25" s="12" t="s">
        <v>22</v>
      </c>
      <c r="G25" s="167">
        <v>641</v>
      </c>
      <c r="H25" s="12" t="s">
        <v>27</v>
      </c>
      <c r="I25" s="167">
        <v>329.154</v>
      </c>
      <c r="J25" s="128" t="s">
        <v>44</v>
      </c>
      <c r="K25" s="141"/>
      <c r="L25" s="138" t="s">
        <v>4</v>
      </c>
      <c r="M25" s="167">
        <v>3882</v>
      </c>
      <c r="N25" s="167">
        <v>123</v>
      </c>
      <c r="O25" s="167">
        <f t="shared" si="1"/>
        <v>0.65353477588871711</v>
      </c>
      <c r="P25" s="167">
        <v>2140</v>
      </c>
      <c r="Q25" s="12" t="s">
        <v>22</v>
      </c>
      <c r="R25" s="167">
        <v>202</v>
      </c>
      <c r="S25" s="12" t="s">
        <v>27</v>
      </c>
      <c r="T25" s="167">
        <v>195.02199999999999</v>
      </c>
      <c r="U25" s="128" t="s">
        <v>153</v>
      </c>
      <c r="V25" s="141"/>
      <c r="W25" s="138" t="s">
        <v>4</v>
      </c>
      <c r="X25" s="167">
        <v>4420</v>
      </c>
      <c r="Y25" s="167">
        <v>1180</v>
      </c>
      <c r="Z25" s="172">
        <f t="shared" si="2"/>
        <v>0.25247556561085971</v>
      </c>
      <c r="AA25" s="167">
        <v>650</v>
      </c>
      <c r="AB25" s="12" t="s">
        <v>22</v>
      </c>
      <c r="AC25" s="167">
        <v>294.14699999999999</v>
      </c>
      <c r="AD25" s="12" t="s">
        <v>57</v>
      </c>
      <c r="AE25" s="167">
        <v>171.79499999999999</v>
      </c>
      <c r="AF25" s="128" t="s">
        <v>29</v>
      </c>
    </row>
    <row r="26" spans="1:32" x14ac:dyDescent="0.25">
      <c r="A26" s="138" t="s">
        <v>5</v>
      </c>
      <c r="B26" s="167">
        <v>3880</v>
      </c>
      <c r="C26" s="167">
        <v>410</v>
      </c>
      <c r="D26" s="167">
        <f t="shared" si="0"/>
        <v>0.64178067010309281</v>
      </c>
      <c r="E26" s="167">
        <v>1500</v>
      </c>
      <c r="F26" s="12" t="s">
        <v>22</v>
      </c>
      <c r="G26" s="167">
        <v>645</v>
      </c>
      <c r="H26" s="12" t="s">
        <v>27</v>
      </c>
      <c r="I26" s="167">
        <v>345.10899999999998</v>
      </c>
      <c r="J26" s="128" t="s">
        <v>44</v>
      </c>
      <c r="K26" s="141"/>
      <c r="L26" s="138" t="s">
        <v>5</v>
      </c>
      <c r="M26" s="167">
        <v>4176</v>
      </c>
      <c r="N26" s="167">
        <v>135</v>
      </c>
      <c r="O26" s="167">
        <f t="shared" si="1"/>
        <v>0.67412284482758622</v>
      </c>
      <c r="P26" s="167">
        <v>2350</v>
      </c>
      <c r="Q26" s="12" t="s">
        <v>22</v>
      </c>
      <c r="R26" s="167">
        <v>244.137</v>
      </c>
      <c r="S26" s="128" t="s">
        <v>153</v>
      </c>
      <c r="T26" s="167">
        <v>221</v>
      </c>
      <c r="U26" s="128" t="s">
        <v>27</v>
      </c>
      <c r="V26" s="141"/>
      <c r="W26" s="138" t="s">
        <v>5</v>
      </c>
      <c r="X26" s="167">
        <v>4600</v>
      </c>
      <c r="Y26" s="167">
        <v>1140</v>
      </c>
      <c r="Z26" s="172">
        <f t="shared" si="2"/>
        <v>0.2879030434782609</v>
      </c>
      <c r="AA26" s="167">
        <v>850</v>
      </c>
      <c r="AB26" s="12" t="s">
        <v>22</v>
      </c>
      <c r="AC26" s="167">
        <v>301.89999999999998</v>
      </c>
      <c r="AD26" s="12" t="s">
        <v>57</v>
      </c>
      <c r="AE26" s="167">
        <v>172.45400000000001</v>
      </c>
      <c r="AF26" s="128" t="s">
        <v>29</v>
      </c>
    </row>
    <row r="27" spans="1:32" x14ac:dyDescent="0.25">
      <c r="A27" s="138" t="s">
        <v>6</v>
      </c>
      <c r="B27" s="167">
        <v>3900</v>
      </c>
      <c r="C27" s="167">
        <v>406</v>
      </c>
      <c r="D27" s="167">
        <f t="shared" si="0"/>
        <v>0.63293820512820509</v>
      </c>
      <c r="E27" s="167">
        <v>1600</v>
      </c>
      <c r="F27" s="12" t="s">
        <v>22</v>
      </c>
      <c r="G27" s="167">
        <v>566</v>
      </c>
      <c r="H27" s="12" t="s">
        <v>27</v>
      </c>
      <c r="I27" s="167">
        <v>302.459</v>
      </c>
      <c r="J27" s="128" t="s">
        <v>44</v>
      </c>
      <c r="K27" s="141"/>
      <c r="L27" s="138" t="s">
        <v>6</v>
      </c>
      <c r="M27" s="167">
        <v>4024</v>
      </c>
      <c r="N27" s="167">
        <v>103</v>
      </c>
      <c r="O27" s="167">
        <f t="shared" si="1"/>
        <v>0.72228156063618298</v>
      </c>
      <c r="P27" s="167">
        <v>2480</v>
      </c>
      <c r="Q27" s="12" t="s">
        <v>22</v>
      </c>
      <c r="R27" s="167">
        <v>222.46100000000001</v>
      </c>
      <c r="S27" s="128" t="s">
        <v>153</v>
      </c>
      <c r="T27" s="167">
        <v>204</v>
      </c>
      <c r="U27" s="12" t="s">
        <v>27</v>
      </c>
      <c r="V27" s="141"/>
      <c r="W27" s="138" t="s">
        <v>6</v>
      </c>
      <c r="X27" s="167">
        <v>4860</v>
      </c>
      <c r="Y27" s="167">
        <v>1110</v>
      </c>
      <c r="Z27" s="172">
        <f t="shared" si="2"/>
        <v>0.34291584362139915</v>
      </c>
      <c r="AA27" s="167">
        <v>1230</v>
      </c>
      <c r="AB27" s="12" t="s">
        <v>22</v>
      </c>
      <c r="AC27" s="167">
        <v>285.7</v>
      </c>
      <c r="AD27" s="12" t="s">
        <v>57</v>
      </c>
      <c r="AE27" s="167">
        <v>150.87100000000001</v>
      </c>
      <c r="AF27" s="128" t="s">
        <v>29</v>
      </c>
    </row>
    <row r="28" spans="1:32" x14ac:dyDescent="0.25">
      <c r="A28" s="138" t="s">
        <v>7</v>
      </c>
      <c r="B28" s="167">
        <v>4140</v>
      </c>
      <c r="C28" s="167">
        <v>369</v>
      </c>
      <c r="D28" s="167">
        <f t="shared" si="0"/>
        <v>0.66108743961352656</v>
      </c>
      <c r="E28" s="167">
        <v>1850</v>
      </c>
      <c r="F28" s="12" t="s">
        <v>22</v>
      </c>
      <c r="G28" s="167">
        <v>625</v>
      </c>
      <c r="H28" s="12" t="s">
        <v>27</v>
      </c>
      <c r="I28" s="167">
        <v>261.90199999999999</v>
      </c>
      <c r="J28" s="128" t="s">
        <v>44</v>
      </c>
      <c r="K28" s="141"/>
      <c r="L28" s="138" t="s">
        <v>7</v>
      </c>
      <c r="M28" s="167">
        <v>4402</v>
      </c>
      <c r="N28" s="167">
        <v>115</v>
      </c>
      <c r="O28" s="167">
        <f t="shared" si="1"/>
        <v>0.73103134938664238</v>
      </c>
      <c r="P28" s="167">
        <v>2840</v>
      </c>
      <c r="Q28" s="12" t="s">
        <v>22</v>
      </c>
      <c r="R28" s="167">
        <v>200</v>
      </c>
      <c r="S28" s="128" t="s">
        <v>153</v>
      </c>
      <c r="T28" s="167">
        <v>178</v>
      </c>
      <c r="U28" s="12" t="s">
        <v>27</v>
      </c>
      <c r="V28" s="141"/>
      <c r="W28" s="138" t="s">
        <v>7</v>
      </c>
      <c r="X28" s="167">
        <v>5090</v>
      </c>
      <c r="Y28" s="167">
        <v>1140</v>
      </c>
      <c r="Z28" s="172">
        <f t="shared" si="2"/>
        <v>0.35363457760314343</v>
      </c>
      <c r="AA28" s="167">
        <v>1360</v>
      </c>
      <c r="AB28" s="12" t="s">
        <v>22</v>
      </c>
      <c r="AC28" s="167">
        <v>280</v>
      </c>
      <c r="AD28" s="12" t="s">
        <v>57</v>
      </c>
      <c r="AE28" s="167">
        <v>160</v>
      </c>
      <c r="AF28" s="128" t="s">
        <v>29</v>
      </c>
    </row>
  </sheetData>
  <mergeCells count="24">
    <mergeCell ref="P6:Q6"/>
    <mergeCell ref="B6:B7"/>
    <mergeCell ref="C6:C7"/>
    <mergeCell ref="A1:J2"/>
    <mergeCell ref="M6:M7"/>
    <mergeCell ref="N6:N7"/>
    <mergeCell ref="L1:U2"/>
    <mergeCell ref="E6:F6"/>
    <mergeCell ref="G6:H6"/>
    <mergeCell ref="I6:J6"/>
    <mergeCell ref="D6:D7"/>
    <mergeCell ref="B5:J5"/>
    <mergeCell ref="M5:U5"/>
    <mergeCell ref="O6:O7"/>
    <mergeCell ref="X5:AF5"/>
    <mergeCell ref="W1:AF2"/>
    <mergeCell ref="AE6:AF6"/>
    <mergeCell ref="Z6:Z7"/>
    <mergeCell ref="R6:S6"/>
    <mergeCell ref="T6:U6"/>
    <mergeCell ref="AA6:AB6"/>
    <mergeCell ref="AC6:AD6"/>
    <mergeCell ref="X6:X7"/>
    <mergeCell ref="Y6:Y7"/>
  </mergeCells>
  <pageMargins left="1" right="1" top="1" bottom="1" header="0" footer="0"/>
  <pageSetup scale="84" orientation="landscape" r:id="rId1"/>
  <colBreaks count="2" manualBreakCount="2">
    <brk id="10" max="27" man="1"/>
    <brk id="21" max="2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5" style="59" customWidth="1"/>
    <col min="4" max="4" width="13.28515625" style="58" customWidth="1"/>
    <col min="5" max="5" width="13.28515625" style="59" customWidth="1"/>
    <col min="6" max="6" width="13.28515625" style="58" customWidth="1"/>
    <col min="7" max="7" width="13.28515625" style="59" customWidth="1"/>
    <col min="8" max="8" width="13.28515625" style="58" customWidth="1"/>
    <col min="9" max="9" width="13.28515625" customWidth="1"/>
  </cols>
  <sheetData>
    <row r="1" spans="1:10" ht="15" customHeight="1" x14ac:dyDescent="0.25">
      <c r="A1" s="278" t="s">
        <v>424</v>
      </c>
      <c r="B1" s="278"/>
      <c r="C1" s="278"/>
      <c r="D1" s="278"/>
      <c r="E1" s="278"/>
      <c r="F1" s="278"/>
      <c r="G1" s="278"/>
      <c r="H1" s="278"/>
      <c r="I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10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10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10" x14ac:dyDescent="0.25">
      <c r="A5" s="105"/>
      <c r="B5" s="283" t="s">
        <v>423</v>
      </c>
      <c r="C5" s="283"/>
      <c r="D5" s="283"/>
      <c r="E5" s="283"/>
      <c r="F5" s="283"/>
      <c r="G5" s="283"/>
      <c r="H5" s="283"/>
      <c r="I5" s="283"/>
    </row>
    <row r="6" spans="1:10" s="11" customFormat="1" x14ac:dyDescent="0.25">
      <c r="A6" s="101"/>
      <c r="B6" s="282" t="s">
        <v>414</v>
      </c>
      <c r="C6" s="282" t="s">
        <v>299</v>
      </c>
      <c r="D6" s="271" t="s">
        <v>275</v>
      </c>
      <c r="E6" s="271"/>
      <c r="F6" s="271" t="s">
        <v>32</v>
      </c>
      <c r="G6" s="271"/>
      <c r="H6" s="271" t="s">
        <v>33</v>
      </c>
      <c r="I6" s="271"/>
    </row>
    <row r="7" spans="1:10" s="11" customFormat="1" ht="25.5" customHeight="1" x14ac:dyDescent="0.25">
      <c r="A7" s="100" t="s">
        <v>368</v>
      </c>
      <c r="B7" s="281"/>
      <c r="C7" s="281"/>
      <c r="D7" s="104" t="s">
        <v>8</v>
      </c>
      <c r="E7" s="95" t="s">
        <v>3</v>
      </c>
      <c r="F7" s="104" t="s">
        <v>8</v>
      </c>
      <c r="G7" s="95" t="s">
        <v>3</v>
      </c>
      <c r="H7" s="104" t="s">
        <v>8</v>
      </c>
      <c r="I7" s="104" t="s">
        <v>3</v>
      </c>
    </row>
    <row r="8" spans="1:10" x14ac:dyDescent="0.25">
      <c r="A8" s="138">
        <v>1990</v>
      </c>
      <c r="B8" s="167">
        <v>5.3</v>
      </c>
      <c r="C8" s="167">
        <f t="shared" ref="C8:C28" si="0">(+D8/B8)+(+F8/B8)+(+H8/B8)</f>
        <v>0.77358490566037741</v>
      </c>
      <c r="D8" s="167">
        <v>1.7</v>
      </c>
      <c r="E8" s="70" t="s">
        <v>78</v>
      </c>
      <c r="F8" s="167">
        <v>1.3</v>
      </c>
      <c r="G8" s="70" t="s">
        <v>27</v>
      </c>
      <c r="H8" s="167">
        <v>1.1000000000000001</v>
      </c>
      <c r="I8" s="128" t="s">
        <v>37</v>
      </c>
      <c r="J8" s="59"/>
    </row>
    <row r="9" spans="1:10" x14ac:dyDescent="0.25">
      <c r="A9" s="138">
        <v>1991</v>
      </c>
      <c r="B9" s="167">
        <v>5.4</v>
      </c>
      <c r="C9" s="167">
        <f t="shared" si="0"/>
        <v>0.79629629629629628</v>
      </c>
      <c r="D9" s="167">
        <v>1.7</v>
      </c>
      <c r="E9" s="70" t="s">
        <v>78</v>
      </c>
      <c r="F9" s="167">
        <v>1.6</v>
      </c>
      <c r="G9" s="70" t="s">
        <v>27</v>
      </c>
      <c r="H9" s="167">
        <v>1</v>
      </c>
      <c r="I9" s="128" t="s">
        <v>37</v>
      </c>
      <c r="J9" s="59"/>
    </row>
    <row r="10" spans="1:10" x14ac:dyDescent="0.25">
      <c r="A10" s="138">
        <v>1992</v>
      </c>
      <c r="B10" s="167">
        <v>5.2</v>
      </c>
      <c r="C10" s="167">
        <f t="shared" si="0"/>
        <v>0.73076923076923084</v>
      </c>
      <c r="D10" s="167">
        <v>1.6</v>
      </c>
      <c r="E10" s="70" t="s">
        <v>78</v>
      </c>
      <c r="F10" s="167">
        <v>1.3</v>
      </c>
      <c r="G10" s="70" t="s">
        <v>27</v>
      </c>
      <c r="H10" s="167">
        <v>0.9</v>
      </c>
      <c r="I10" s="70" t="s">
        <v>24</v>
      </c>
      <c r="J10" s="59"/>
    </row>
    <row r="11" spans="1:10" x14ac:dyDescent="0.25">
      <c r="A11" s="138">
        <v>1993</v>
      </c>
      <c r="B11" s="167">
        <v>5.6</v>
      </c>
      <c r="C11" s="167">
        <f t="shared" si="0"/>
        <v>0.73214285714285721</v>
      </c>
      <c r="D11" s="167">
        <v>2</v>
      </c>
      <c r="E11" s="70" t="s">
        <v>78</v>
      </c>
      <c r="F11" s="167">
        <v>1.3</v>
      </c>
      <c r="G11" s="70" t="s">
        <v>27</v>
      </c>
      <c r="H11" s="167">
        <v>0.8</v>
      </c>
      <c r="I11" s="70" t="s">
        <v>24</v>
      </c>
      <c r="J11" s="59"/>
    </row>
    <row r="12" spans="1:10" x14ac:dyDescent="0.25">
      <c r="A12" s="138">
        <v>1994</v>
      </c>
      <c r="B12" s="167">
        <v>6.1</v>
      </c>
      <c r="C12" s="167">
        <f t="shared" si="0"/>
        <v>0.73770491803278693</v>
      </c>
      <c r="D12" s="167">
        <v>2</v>
      </c>
      <c r="E12" s="70" t="s">
        <v>78</v>
      </c>
      <c r="F12" s="167">
        <v>1.7</v>
      </c>
      <c r="G12" s="70" t="s">
        <v>27</v>
      </c>
      <c r="H12" s="167">
        <v>0.8</v>
      </c>
      <c r="I12" s="70" t="s">
        <v>24</v>
      </c>
      <c r="J12" s="59"/>
    </row>
    <row r="13" spans="1:10" x14ac:dyDescent="0.25">
      <c r="A13" s="138">
        <v>1995</v>
      </c>
      <c r="B13" s="167">
        <v>6.3</v>
      </c>
      <c r="C13" s="167">
        <f t="shared" si="0"/>
        <v>0.71428571428571419</v>
      </c>
      <c r="D13" s="167">
        <v>2</v>
      </c>
      <c r="E13" s="70" t="s">
        <v>78</v>
      </c>
      <c r="F13" s="167">
        <v>1.7</v>
      </c>
      <c r="G13" s="70" t="s">
        <v>27</v>
      </c>
      <c r="H13" s="167">
        <v>0.8</v>
      </c>
      <c r="I13" s="128" t="s">
        <v>24</v>
      </c>
      <c r="J13" s="59"/>
    </row>
    <row r="14" spans="1:10" x14ac:dyDescent="0.25">
      <c r="A14" s="138">
        <v>1996</v>
      </c>
      <c r="B14" s="167">
        <v>11</v>
      </c>
      <c r="C14" s="167">
        <f t="shared" si="0"/>
        <v>0.83636363636363631</v>
      </c>
      <c r="D14" s="167">
        <v>3.7</v>
      </c>
      <c r="E14" s="70" t="s">
        <v>27</v>
      </c>
      <c r="F14" s="167">
        <v>2.8</v>
      </c>
      <c r="G14" s="70" t="s">
        <v>22</v>
      </c>
      <c r="H14" s="167">
        <v>2.7</v>
      </c>
      <c r="I14" s="128" t="s">
        <v>78</v>
      </c>
      <c r="J14" s="59"/>
    </row>
    <row r="15" spans="1:10" x14ac:dyDescent="0.25">
      <c r="A15" s="138">
        <v>1997</v>
      </c>
      <c r="B15" s="167">
        <v>14</v>
      </c>
      <c r="C15" s="167">
        <f t="shared" si="0"/>
        <v>0.7</v>
      </c>
      <c r="D15" s="167">
        <v>4.0999999999999996</v>
      </c>
      <c r="E15" s="70" t="s">
        <v>78</v>
      </c>
      <c r="F15" s="167">
        <v>2.9</v>
      </c>
      <c r="G15" s="70" t="s">
        <v>22</v>
      </c>
      <c r="H15" s="167">
        <v>2.8</v>
      </c>
      <c r="I15" s="70" t="s">
        <v>27</v>
      </c>
      <c r="J15" s="59"/>
    </row>
    <row r="16" spans="1:10" x14ac:dyDescent="0.25">
      <c r="A16" s="138">
        <v>1998</v>
      </c>
      <c r="B16" s="167">
        <v>15</v>
      </c>
      <c r="C16" s="167">
        <f t="shared" si="0"/>
        <v>0.65333333333333343</v>
      </c>
      <c r="D16" s="167">
        <v>4.7</v>
      </c>
      <c r="E16" s="128" t="s">
        <v>78</v>
      </c>
      <c r="F16" s="167">
        <v>3</v>
      </c>
      <c r="G16" s="70" t="s">
        <v>22</v>
      </c>
      <c r="H16" s="167">
        <v>2.1</v>
      </c>
      <c r="I16" s="128" t="s">
        <v>27</v>
      </c>
      <c r="J16" s="59"/>
    </row>
    <row r="17" spans="1:10" ht="15" customHeight="1" x14ac:dyDescent="0.25">
      <c r="A17" s="138">
        <v>1999</v>
      </c>
      <c r="B17" s="167">
        <v>14</v>
      </c>
      <c r="C17" s="167">
        <f t="shared" si="0"/>
        <v>0.7</v>
      </c>
      <c r="D17" s="167">
        <v>5.3</v>
      </c>
      <c r="E17" s="128" t="s">
        <v>78</v>
      </c>
      <c r="F17" s="167">
        <v>2.2999999999999998</v>
      </c>
      <c r="G17" s="70" t="s">
        <v>22</v>
      </c>
      <c r="H17" s="167">
        <v>2.2000000000000002</v>
      </c>
      <c r="I17" s="128" t="s">
        <v>27</v>
      </c>
      <c r="J17" s="59"/>
    </row>
    <row r="18" spans="1:10" ht="15" customHeight="1" x14ac:dyDescent="0.25">
      <c r="A18" s="138">
        <v>2000</v>
      </c>
      <c r="B18" s="167">
        <v>14</v>
      </c>
      <c r="C18" s="167">
        <f t="shared" si="0"/>
        <v>0.72142857142857153</v>
      </c>
      <c r="D18" s="167">
        <v>5.3</v>
      </c>
      <c r="E18" s="128" t="s">
        <v>78</v>
      </c>
      <c r="F18" s="167">
        <v>2.4</v>
      </c>
      <c r="G18" s="70" t="s">
        <v>22</v>
      </c>
      <c r="H18" s="167">
        <v>2.4</v>
      </c>
      <c r="I18" s="128" t="s">
        <v>27</v>
      </c>
      <c r="J18" s="59"/>
    </row>
    <row r="19" spans="1:10" x14ac:dyDescent="0.25">
      <c r="A19" s="138">
        <v>2001</v>
      </c>
      <c r="B19" s="167">
        <v>15.1</v>
      </c>
      <c r="C19" s="167">
        <f t="shared" si="0"/>
        <v>0.74172185430463577</v>
      </c>
      <c r="D19" s="167">
        <v>6.8</v>
      </c>
      <c r="E19" s="128" t="s">
        <v>78</v>
      </c>
      <c r="F19" s="167">
        <v>2.4</v>
      </c>
      <c r="G19" s="70" t="s">
        <v>22</v>
      </c>
      <c r="H19" s="167">
        <v>2</v>
      </c>
      <c r="I19" s="128" t="s">
        <v>27</v>
      </c>
      <c r="J19" s="59"/>
    </row>
    <row r="20" spans="1:10" x14ac:dyDescent="0.25">
      <c r="A20" s="138">
        <v>2002</v>
      </c>
      <c r="B20" s="167">
        <v>14.2</v>
      </c>
      <c r="C20" s="167">
        <f t="shared" si="0"/>
        <v>0.8070422535211268</v>
      </c>
      <c r="D20" s="167">
        <v>5.92</v>
      </c>
      <c r="E20" s="128" t="s">
        <v>78</v>
      </c>
      <c r="F20" s="167">
        <v>3.14</v>
      </c>
      <c r="G20" s="70" t="s">
        <v>27</v>
      </c>
      <c r="H20" s="167">
        <v>2.4</v>
      </c>
      <c r="I20" s="128" t="s">
        <v>22</v>
      </c>
      <c r="J20" s="59"/>
    </row>
    <row r="21" spans="1:10" x14ac:dyDescent="0.25">
      <c r="A21" s="138">
        <v>2003</v>
      </c>
      <c r="B21" s="167">
        <v>15.1</v>
      </c>
      <c r="C21" s="167">
        <f t="shared" si="0"/>
        <v>0.82980132450331134</v>
      </c>
      <c r="D21" s="167">
        <v>6.58</v>
      </c>
      <c r="E21" s="128" t="s">
        <v>78</v>
      </c>
      <c r="F21" s="167">
        <v>3.45</v>
      </c>
      <c r="G21" s="70" t="s">
        <v>27</v>
      </c>
      <c r="H21" s="167">
        <v>2.5</v>
      </c>
      <c r="I21" s="128" t="s">
        <v>22</v>
      </c>
      <c r="J21" s="59"/>
    </row>
    <row r="22" spans="1:10" x14ac:dyDescent="0.25">
      <c r="A22" s="138">
        <v>2004</v>
      </c>
      <c r="B22" s="167">
        <v>20.2</v>
      </c>
      <c r="C22" s="167">
        <f t="shared" si="0"/>
        <v>0.72029702970297038</v>
      </c>
      <c r="D22" s="167">
        <v>7.99</v>
      </c>
      <c r="E22" s="128" t="s">
        <v>78</v>
      </c>
      <c r="F22" s="167">
        <v>3.93</v>
      </c>
      <c r="G22" s="70" t="s">
        <v>27</v>
      </c>
      <c r="H22" s="167">
        <v>2.63</v>
      </c>
      <c r="I22" s="128" t="s">
        <v>22</v>
      </c>
      <c r="J22" s="59"/>
    </row>
    <row r="23" spans="1:10" x14ac:dyDescent="0.25">
      <c r="A23" s="138">
        <v>2005</v>
      </c>
      <c r="B23" s="167">
        <v>20.6</v>
      </c>
      <c r="C23" s="167">
        <f t="shared" si="0"/>
        <v>0.7213592233009708</v>
      </c>
      <c r="D23" s="167">
        <v>8.27</v>
      </c>
      <c r="E23" s="128" t="s">
        <v>78</v>
      </c>
      <c r="F23" s="167">
        <v>3.77</v>
      </c>
      <c r="G23" s="70" t="s">
        <v>27</v>
      </c>
      <c r="H23" s="167">
        <v>2.82</v>
      </c>
      <c r="I23" s="128" t="s">
        <v>22</v>
      </c>
      <c r="J23" s="59"/>
    </row>
    <row r="24" spans="1:10" x14ac:dyDescent="0.25">
      <c r="A24" s="138">
        <v>2006</v>
      </c>
      <c r="B24" s="167">
        <v>23.5</v>
      </c>
      <c r="C24" s="167">
        <f t="shared" si="0"/>
        <v>0.70638297872340416</v>
      </c>
      <c r="D24" s="167">
        <v>8.1999999999999993</v>
      </c>
      <c r="E24" s="128" t="s">
        <v>78</v>
      </c>
      <c r="F24" s="167">
        <v>5.5</v>
      </c>
      <c r="G24" s="70" t="s">
        <v>27</v>
      </c>
      <c r="H24" s="167">
        <v>2.9</v>
      </c>
      <c r="I24" s="128" t="s">
        <v>128</v>
      </c>
      <c r="J24" s="59"/>
    </row>
    <row r="25" spans="1:10" x14ac:dyDescent="0.25">
      <c r="A25" s="138" t="s">
        <v>4</v>
      </c>
      <c r="B25" s="167">
        <v>25.8</v>
      </c>
      <c r="C25" s="167">
        <f t="shared" si="0"/>
        <v>0.81472868217054262</v>
      </c>
      <c r="D25" s="167">
        <v>11.1</v>
      </c>
      <c r="E25" s="128" t="s">
        <v>78</v>
      </c>
      <c r="F25" s="167">
        <v>6.91</v>
      </c>
      <c r="G25" s="70" t="s">
        <v>27</v>
      </c>
      <c r="H25" s="167">
        <v>3.01</v>
      </c>
      <c r="I25" s="128" t="s">
        <v>22</v>
      </c>
      <c r="J25" s="59"/>
    </row>
    <row r="26" spans="1:10" x14ac:dyDescent="0.25">
      <c r="A26" s="138" t="s">
        <v>5</v>
      </c>
      <c r="B26" s="167">
        <v>25.4</v>
      </c>
      <c r="C26" s="167">
        <f t="shared" si="0"/>
        <v>0.79409448818897643</v>
      </c>
      <c r="D26" s="167">
        <v>10.6</v>
      </c>
      <c r="E26" s="128" t="s">
        <v>78</v>
      </c>
      <c r="F26" s="167">
        <v>6.28</v>
      </c>
      <c r="G26" s="70" t="s">
        <v>27</v>
      </c>
      <c r="H26" s="167">
        <v>3.29</v>
      </c>
      <c r="I26" s="128" t="s">
        <v>22</v>
      </c>
      <c r="J26" s="59"/>
    </row>
    <row r="27" spans="1:10" x14ac:dyDescent="0.25">
      <c r="A27" s="138" t="s">
        <v>6</v>
      </c>
      <c r="B27" s="167">
        <v>18.8</v>
      </c>
      <c r="C27" s="167">
        <f t="shared" si="0"/>
        <v>0.83297872340425527</v>
      </c>
      <c r="D27" s="167">
        <v>6.28</v>
      </c>
      <c r="E27" s="128" t="s">
        <v>27</v>
      </c>
      <c r="F27" s="167">
        <v>5.62</v>
      </c>
      <c r="G27" s="70" t="s">
        <v>78</v>
      </c>
      <c r="H27" s="167">
        <v>3.76</v>
      </c>
      <c r="I27" s="128" t="s">
        <v>22</v>
      </c>
      <c r="J27" s="59"/>
    </row>
    <row r="28" spans="1:10" x14ac:dyDescent="0.25">
      <c r="A28" s="138" t="s">
        <v>7</v>
      </c>
      <c r="B28" s="167">
        <v>28.1</v>
      </c>
      <c r="C28" s="167">
        <f t="shared" si="0"/>
        <v>0.84412811387900355</v>
      </c>
      <c r="D28" s="167">
        <v>10.51</v>
      </c>
      <c r="E28" s="128" t="s">
        <v>78</v>
      </c>
      <c r="F28" s="167">
        <v>9.26</v>
      </c>
      <c r="G28" s="70" t="s">
        <v>27</v>
      </c>
      <c r="H28" s="167">
        <v>3.95</v>
      </c>
      <c r="I28" s="128" t="s">
        <v>22</v>
      </c>
      <c r="J28" s="59"/>
    </row>
    <row r="29" spans="1:10" x14ac:dyDescent="0.25">
      <c r="A29" s="141"/>
      <c r="B29" s="167"/>
      <c r="C29" s="167"/>
      <c r="D29" s="128"/>
      <c r="E29" s="167"/>
      <c r="F29" s="128"/>
      <c r="G29" s="167"/>
      <c r="H29" s="128"/>
      <c r="I29" s="141"/>
    </row>
    <row r="30" spans="1:10" x14ac:dyDescent="0.25">
      <c r="A30" s="141" t="s">
        <v>612</v>
      </c>
      <c r="B30" s="167"/>
      <c r="C30" s="167"/>
      <c r="D30" s="128"/>
      <c r="E30" s="167"/>
      <c r="F30" s="128"/>
      <c r="G30" s="167"/>
      <c r="H30" s="128"/>
      <c r="I30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4" style="59" customWidth="1"/>
    <col min="4" max="4" width="15" style="58" bestFit="1" customWidth="1"/>
    <col min="5" max="5" width="13.28515625" style="59" customWidth="1"/>
    <col min="6" max="6" width="13.28515625" style="58" customWidth="1"/>
    <col min="7" max="7" width="13.28515625" style="59" customWidth="1"/>
    <col min="8" max="8" width="14.28515625" style="58" customWidth="1"/>
    <col min="9" max="9" width="15.28515625" style="59" customWidth="1"/>
  </cols>
  <sheetData>
    <row r="1" spans="1:9" ht="15" customHeight="1" x14ac:dyDescent="0.25">
      <c r="A1" s="278" t="s">
        <v>426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162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414</v>
      </c>
      <c r="C6" s="289" t="s">
        <v>299</v>
      </c>
      <c r="D6" s="271" t="s">
        <v>275</v>
      </c>
      <c r="E6" s="271"/>
      <c r="F6" s="271" t="s">
        <v>32</v>
      </c>
      <c r="G6" s="271"/>
      <c r="H6" s="271" t="s">
        <v>33</v>
      </c>
      <c r="I6" s="271"/>
    </row>
    <row r="7" spans="1:9" s="11" customFormat="1" ht="25.5" x14ac:dyDescent="0.25">
      <c r="A7" s="100" t="s">
        <v>368</v>
      </c>
      <c r="B7" s="281"/>
      <c r="C7" s="290"/>
      <c r="D7" s="104" t="s">
        <v>8</v>
      </c>
      <c r="E7" s="95" t="s">
        <v>3</v>
      </c>
      <c r="F7" s="104" t="s">
        <v>8</v>
      </c>
      <c r="G7" s="95" t="s">
        <v>3</v>
      </c>
      <c r="H7" s="104" t="s">
        <v>8</v>
      </c>
      <c r="I7" s="104" t="s">
        <v>3</v>
      </c>
    </row>
    <row r="8" spans="1:9" x14ac:dyDescent="0.25">
      <c r="A8" s="138">
        <v>1990</v>
      </c>
      <c r="B8" s="167">
        <v>10500</v>
      </c>
      <c r="C8" s="167">
        <f t="shared" ref="C8:C28" si="0">(+D8/B8)+(+F8/B8)+(+H8/B8)</f>
        <v>0.50190476190476185</v>
      </c>
      <c r="D8" s="167">
        <v>2170</v>
      </c>
      <c r="E8" s="70" t="s">
        <v>22</v>
      </c>
      <c r="F8" s="167">
        <v>1600</v>
      </c>
      <c r="G8" s="70" t="s">
        <v>37</v>
      </c>
      <c r="H8" s="167">
        <v>1500</v>
      </c>
      <c r="I8" s="128" t="s">
        <v>154</v>
      </c>
    </row>
    <row r="9" spans="1:9" x14ac:dyDescent="0.25">
      <c r="A9" s="138">
        <v>1991</v>
      </c>
      <c r="B9" s="167">
        <v>9790</v>
      </c>
      <c r="C9" s="167">
        <f t="shared" si="0"/>
        <v>0.47497446373850871</v>
      </c>
      <c r="D9" s="167">
        <v>1650</v>
      </c>
      <c r="E9" s="70" t="s">
        <v>22</v>
      </c>
      <c r="F9" s="167">
        <v>1600</v>
      </c>
      <c r="G9" s="70" t="s">
        <v>154</v>
      </c>
      <c r="H9" s="167">
        <v>1400</v>
      </c>
      <c r="I9" s="70" t="s">
        <v>37</v>
      </c>
    </row>
    <row r="10" spans="1:9" ht="15.75" customHeight="1" x14ac:dyDescent="0.25">
      <c r="A10" s="138">
        <v>1992</v>
      </c>
      <c r="B10" s="167">
        <v>10200</v>
      </c>
      <c r="C10" s="167">
        <f t="shared" si="0"/>
        <v>0.42911764705882355</v>
      </c>
      <c r="D10" s="167">
        <v>1600</v>
      </c>
      <c r="E10" s="70" t="s">
        <v>154</v>
      </c>
      <c r="F10" s="167">
        <v>1510</v>
      </c>
      <c r="G10" s="70" t="s">
        <v>22</v>
      </c>
      <c r="H10" s="167">
        <v>1267</v>
      </c>
      <c r="I10" s="12" t="s">
        <v>425</v>
      </c>
    </row>
    <row r="11" spans="1:9" x14ac:dyDescent="0.25">
      <c r="A11" s="138">
        <v>1993</v>
      </c>
      <c r="B11" s="167">
        <v>8280</v>
      </c>
      <c r="C11" s="167">
        <f t="shared" si="0"/>
        <v>0.48671497584541057</v>
      </c>
      <c r="D11" s="167">
        <v>1600</v>
      </c>
      <c r="E11" s="70" t="s">
        <v>154</v>
      </c>
      <c r="F11" s="167">
        <v>1230</v>
      </c>
      <c r="G11" s="70" t="s">
        <v>22</v>
      </c>
      <c r="H11" s="167">
        <v>1200</v>
      </c>
      <c r="I11" s="70" t="s">
        <v>163</v>
      </c>
    </row>
    <row r="12" spans="1:9" ht="15" customHeight="1" x14ac:dyDescent="0.25">
      <c r="A12" s="138">
        <v>1994</v>
      </c>
      <c r="B12" s="167">
        <v>9020</v>
      </c>
      <c r="C12" s="167">
        <f t="shared" si="0"/>
        <v>0.45228536585365853</v>
      </c>
      <c r="D12" s="167">
        <v>1600</v>
      </c>
      <c r="E12" s="70" t="s">
        <v>154</v>
      </c>
      <c r="F12" s="167">
        <v>1279.614</v>
      </c>
      <c r="G12" s="70" t="s">
        <v>71</v>
      </c>
      <c r="H12" s="167">
        <v>1200</v>
      </c>
      <c r="I12" s="70" t="s">
        <v>163</v>
      </c>
    </row>
    <row r="13" spans="1:9" x14ac:dyDescent="0.25">
      <c r="A13" s="138">
        <v>1995</v>
      </c>
      <c r="B13" s="167">
        <v>10600</v>
      </c>
      <c r="C13" s="167">
        <f t="shared" si="0"/>
        <v>0.52623245283018871</v>
      </c>
      <c r="D13" s="167">
        <v>2050</v>
      </c>
      <c r="E13" s="70" t="s">
        <v>22</v>
      </c>
      <c r="F13" s="167">
        <v>1928.0640000000001</v>
      </c>
      <c r="G13" s="128" t="s">
        <v>71</v>
      </c>
      <c r="H13" s="167">
        <v>1600</v>
      </c>
      <c r="I13" s="128" t="s">
        <v>154</v>
      </c>
    </row>
    <row r="14" spans="1:9" x14ac:dyDescent="0.25">
      <c r="A14" s="138">
        <v>1996</v>
      </c>
      <c r="B14" s="167">
        <v>11000</v>
      </c>
      <c r="C14" s="167">
        <f t="shared" si="0"/>
        <v>0.54901254545454536</v>
      </c>
      <c r="D14" s="167">
        <v>2339.1379999999999</v>
      </c>
      <c r="E14" s="70" t="s">
        <v>71</v>
      </c>
      <c r="F14" s="167">
        <v>2100</v>
      </c>
      <c r="G14" s="128" t="s">
        <v>22</v>
      </c>
      <c r="H14" s="167">
        <v>1600</v>
      </c>
      <c r="I14" s="128" t="s">
        <v>154</v>
      </c>
    </row>
    <row r="15" spans="1:9" x14ac:dyDescent="0.25">
      <c r="A15" s="138">
        <v>1997</v>
      </c>
      <c r="B15" s="167">
        <v>10100</v>
      </c>
      <c r="C15" s="167">
        <f t="shared" si="0"/>
        <v>0.53562059405940599</v>
      </c>
      <c r="D15" s="167">
        <v>2400</v>
      </c>
      <c r="E15" s="70" t="s">
        <v>22</v>
      </c>
      <c r="F15" s="167">
        <v>1600</v>
      </c>
      <c r="G15" s="128" t="s">
        <v>154</v>
      </c>
      <c r="H15" s="167">
        <v>1409.768</v>
      </c>
      <c r="I15" s="128" t="s">
        <v>71</v>
      </c>
    </row>
    <row r="16" spans="1:9" x14ac:dyDescent="0.25">
      <c r="A16" s="138">
        <v>1998</v>
      </c>
      <c r="B16" s="167">
        <v>11400</v>
      </c>
      <c r="C16" s="167">
        <f t="shared" si="0"/>
        <v>0.57924061403508764</v>
      </c>
      <c r="D16" s="167">
        <v>2703.3429999999998</v>
      </c>
      <c r="E16" s="128" t="s">
        <v>71</v>
      </c>
      <c r="F16" s="167">
        <v>2400</v>
      </c>
      <c r="G16" s="70" t="s">
        <v>22</v>
      </c>
      <c r="H16" s="167">
        <v>1500</v>
      </c>
      <c r="I16" s="128" t="s">
        <v>154</v>
      </c>
    </row>
    <row r="17" spans="1:9" x14ac:dyDescent="0.25">
      <c r="A17" s="138">
        <v>1999</v>
      </c>
      <c r="B17" s="167">
        <v>9830</v>
      </c>
      <c r="C17" s="167">
        <f t="shared" si="0"/>
        <v>0.52642360122075271</v>
      </c>
      <c r="D17" s="167">
        <v>2450</v>
      </c>
      <c r="E17" s="128" t="s">
        <v>22</v>
      </c>
      <c r="F17" s="167">
        <v>1724.7439999999999</v>
      </c>
      <c r="G17" s="70" t="s">
        <v>71</v>
      </c>
      <c r="H17" s="167">
        <v>1000</v>
      </c>
      <c r="I17" s="128" t="s">
        <v>154</v>
      </c>
    </row>
    <row r="18" spans="1:9" x14ac:dyDescent="0.25">
      <c r="A18" s="138">
        <v>2000</v>
      </c>
      <c r="B18" s="167">
        <v>12700</v>
      </c>
      <c r="C18" s="167">
        <f t="shared" si="0"/>
        <v>0.6096133070866141</v>
      </c>
      <c r="D18" s="167">
        <v>4070</v>
      </c>
      <c r="E18" s="128" t="s">
        <v>22</v>
      </c>
      <c r="F18" s="167">
        <v>2672.0889999999999</v>
      </c>
      <c r="G18" s="128" t="s">
        <v>71</v>
      </c>
      <c r="H18" s="167">
        <v>1000</v>
      </c>
      <c r="I18" s="128" t="s">
        <v>24</v>
      </c>
    </row>
    <row r="19" spans="1:9" x14ac:dyDescent="0.25">
      <c r="A19" s="138">
        <v>2001</v>
      </c>
      <c r="B19" s="167">
        <v>11100</v>
      </c>
      <c r="C19" s="167">
        <f t="shared" si="0"/>
        <v>0.54324603603603594</v>
      </c>
      <c r="D19" s="167">
        <v>3580</v>
      </c>
      <c r="E19" s="128" t="s">
        <v>22</v>
      </c>
      <c r="F19" s="167">
        <v>1450.0309999999999</v>
      </c>
      <c r="G19" s="70" t="s">
        <v>71</v>
      </c>
      <c r="H19" s="167">
        <v>1000</v>
      </c>
      <c r="I19" s="128" t="s">
        <v>24</v>
      </c>
    </row>
    <row r="20" spans="1:9" x14ac:dyDescent="0.25">
      <c r="A20" s="138">
        <v>2002</v>
      </c>
      <c r="B20" s="167">
        <v>14100</v>
      </c>
      <c r="C20" s="167">
        <f t="shared" si="0"/>
        <v>0.61024397163120569</v>
      </c>
      <c r="D20" s="167">
        <v>4560</v>
      </c>
      <c r="E20" s="128" t="s">
        <v>22</v>
      </c>
      <c r="F20" s="167">
        <v>3044.44</v>
      </c>
      <c r="G20" s="70" t="s">
        <v>71</v>
      </c>
      <c r="H20" s="167">
        <v>1000</v>
      </c>
      <c r="I20" s="128" t="s">
        <v>24</v>
      </c>
    </row>
    <row r="21" spans="1:9" x14ac:dyDescent="0.25">
      <c r="A21" s="138">
        <v>2003</v>
      </c>
      <c r="B21" s="167">
        <v>14100</v>
      </c>
      <c r="C21" s="167">
        <f t="shared" si="0"/>
        <v>0.66129631205673756</v>
      </c>
      <c r="D21" s="167">
        <v>4900</v>
      </c>
      <c r="E21" s="70" t="s">
        <v>22</v>
      </c>
      <c r="F21" s="167">
        <v>3224.2779999999998</v>
      </c>
      <c r="G21" s="70" t="s">
        <v>71</v>
      </c>
      <c r="H21" s="167">
        <v>1200</v>
      </c>
      <c r="I21" s="70" t="s">
        <v>24</v>
      </c>
    </row>
    <row r="22" spans="1:9" x14ac:dyDescent="0.25">
      <c r="A22" s="138">
        <v>2004</v>
      </c>
      <c r="B22" s="167">
        <v>16500</v>
      </c>
      <c r="C22" s="167">
        <f t="shared" si="0"/>
        <v>0.69290618181818187</v>
      </c>
      <c r="D22" s="167">
        <v>6500</v>
      </c>
      <c r="E22" s="128" t="s">
        <v>22</v>
      </c>
      <c r="F22" s="167">
        <v>3732.9520000000002</v>
      </c>
      <c r="G22" s="70" t="s">
        <v>71</v>
      </c>
      <c r="H22" s="167">
        <v>1200</v>
      </c>
      <c r="I22" s="128" t="s">
        <v>154</v>
      </c>
    </row>
    <row r="23" spans="1:9" x14ac:dyDescent="0.25">
      <c r="A23" s="138">
        <v>2005</v>
      </c>
      <c r="B23" s="167">
        <v>15200</v>
      </c>
      <c r="C23" s="167">
        <f t="shared" si="0"/>
        <v>0.66922407894736846</v>
      </c>
      <c r="D23" s="167">
        <v>6600</v>
      </c>
      <c r="E23" s="128" t="s">
        <v>22</v>
      </c>
      <c r="F23" s="167">
        <v>2372.2060000000001</v>
      </c>
      <c r="G23" s="70" t="s">
        <v>71</v>
      </c>
      <c r="H23" s="167">
        <v>1200</v>
      </c>
      <c r="I23" s="128" t="s">
        <v>154</v>
      </c>
    </row>
    <row r="24" spans="1:9" x14ac:dyDescent="0.25">
      <c r="A24" s="138">
        <v>2006</v>
      </c>
      <c r="B24" s="167">
        <v>14400</v>
      </c>
      <c r="C24" s="167">
        <f t="shared" si="0"/>
        <v>0.69361340277777783</v>
      </c>
      <c r="D24" s="128">
        <v>6700</v>
      </c>
      <c r="E24" s="128" t="s">
        <v>22</v>
      </c>
      <c r="F24" s="70">
        <v>2088.0329999999999</v>
      </c>
      <c r="G24" s="70" t="s">
        <v>71</v>
      </c>
      <c r="H24" s="167">
        <v>1200</v>
      </c>
      <c r="I24" s="128" t="s">
        <v>24</v>
      </c>
    </row>
    <row r="25" spans="1:9" x14ac:dyDescent="0.25">
      <c r="A25" s="138" t="s">
        <v>4</v>
      </c>
      <c r="B25" s="167">
        <v>20300</v>
      </c>
      <c r="C25" s="167">
        <f t="shared" si="0"/>
        <v>0.78829586206896562</v>
      </c>
      <c r="D25" s="128">
        <v>14000</v>
      </c>
      <c r="E25" s="128" t="s">
        <v>22</v>
      </c>
      <c r="F25" s="70">
        <v>1200</v>
      </c>
      <c r="G25" s="70" t="s">
        <v>24</v>
      </c>
      <c r="H25" s="167">
        <v>802.40599999999995</v>
      </c>
      <c r="I25" s="128" t="s">
        <v>71</v>
      </c>
    </row>
    <row r="26" spans="1:9" x14ac:dyDescent="0.25">
      <c r="A26" s="138" t="s">
        <v>5</v>
      </c>
      <c r="B26" s="167">
        <v>21500</v>
      </c>
      <c r="C26" s="167">
        <f t="shared" si="0"/>
        <v>0.81292018604651173</v>
      </c>
      <c r="D26" s="128">
        <v>15600</v>
      </c>
      <c r="E26" s="128" t="s">
        <v>22</v>
      </c>
      <c r="F26" s="70">
        <v>1200</v>
      </c>
      <c r="G26" s="70" t="s">
        <v>24</v>
      </c>
      <c r="H26" s="167">
        <v>677.78399999999999</v>
      </c>
      <c r="I26" s="128" t="s">
        <v>71</v>
      </c>
    </row>
    <row r="27" spans="1:9" x14ac:dyDescent="0.25">
      <c r="A27" s="138" t="s">
        <v>6</v>
      </c>
      <c r="B27" s="167">
        <v>18200</v>
      </c>
      <c r="C27" s="167">
        <f t="shared" si="0"/>
        <v>0.81654835164835171</v>
      </c>
      <c r="D27" s="128">
        <v>13000</v>
      </c>
      <c r="E27" s="128" t="s">
        <v>22</v>
      </c>
      <c r="F27" s="70">
        <v>1000</v>
      </c>
      <c r="G27" s="70" t="s">
        <v>24</v>
      </c>
      <c r="H27" s="167">
        <v>861.18</v>
      </c>
      <c r="I27" s="128" t="s">
        <v>71</v>
      </c>
    </row>
    <row r="28" spans="1:9" x14ac:dyDescent="0.25">
      <c r="A28" s="138" t="s">
        <v>7</v>
      </c>
      <c r="B28" s="167">
        <v>19900</v>
      </c>
      <c r="C28" s="167">
        <f t="shared" si="0"/>
        <v>0.81407035175879405</v>
      </c>
      <c r="D28" s="128">
        <v>14000</v>
      </c>
      <c r="E28" s="128" t="s">
        <v>22</v>
      </c>
      <c r="F28" s="70">
        <v>1200</v>
      </c>
      <c r="G28" s="70" t="s">
        <v>24</v>
      </c>
      <c r="H28" s="167">
        <v>1000</v>
      </c>
      <c r="I28" s="128" t="s">
        <v>71</v>
      </c>
    </row>
    <row r="29" spans="1:9" x14ac:dyDescent="0.25">
      <c r="A29" s="141"/>
      <c r="B29" s="167"/>
      <c r="C29" s="167"/>
      <c r="D29" s="128"/>
      <c r="E29" s="167"/>
      <c r="F29" s="128"/>
      <c r="G29" s="167"/>
      <c r="H29" s="128"/>
      <c r="I29" s="167"/>
    </row>
    <row r="30" spans="1:9" x14ac:dyDescent="0.25">
      <c r="A30" s="141" t="s">
        <v>612</v>
      </c>
      <c r="B30" s="167"/>
      <c r="C30" s="167"/>
      <c r="D30" s="128"/>
      <c r="E30" s="167"/>
      <c r="F30" s="128"/>
      <c r="G30" s="167"/>
      <c r="H30" s="128"/>
      <c r="I30" s="167"/>
    </row>
    <row r="31" spans="1:9" x14ac:dyDescent="0.25">
      <c r="A31" s="141" t="s">
        <v>618</v>
      </c>
      <c r="B31" s="167"/>
      <c r="C31" s="167"/>
      <c r="D31" s="128"/>
      <c r="E31" s="167"/>
      <c r="F31" s="128"/>
      <c r="G31" s="167"/>
      <c r="H31" s="128"/>
      <c r="I31" s="167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3" width="13.28515625" style="66" customWidth="1"/>
    <col min="4" max="4" width="13.85546875" style="68" customWidth="1"/>
    <col min="5" max="5" width="13.28515625" style="69" customWidth="1"/>
    <col min="6" max="6" width="13.28515625" style="68" customWidth="1"/>
    <col min="7" max="7" width="13.28515625" style="69" customWidth="1"/>
    <col min="8" max="8" width="13.28515625" style="68" customWidth="1"/>
    <col min="9" max="9" width="13.28515625" style="69" customWidth="1"/>
    <col min="10" max="10" width="13.28515625" customWidth="1"/>
  </cols>
  <sheetData>
    <row r="1" spans="1:10" ht="15" customHeight="1" x14ac:dyDescent="0.25">
      <c r="A1" s="278" t="s">
        <v>429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10" x14ac:dyDescent="0.25">
      <c r="A3" s="110" t="s">
        <v>428</v>
      </c>
      <c r="B3" s="63"/>
      <c r="C3" s="63"/>
      <c r="D3" s="63"/>
      <c r="E3" s="64"/>
      <c r="F3" s="63"/>
      <c r="G3" s="64"/>
      <c r="H3" s="63"/>
      <c r="I3" s="64"/>
      <c r="J3" s="6"/>
    </row>
    <row r="4" spans="1:10" x14ac:dyDescent="0.25">
      <c r="A4" s="5"/>
      <c r="B4" s="63"/>
      <c r="C4" s="63"/>
      <c r="D4" s="63"/>
      <c r="E4" s="64"/>
      <c r="F4" s="63"/>
      <c r="G4" s="64"/>
      <c r="H4" s="63"/>
      <c r="I4" s="64"/>
      <c r="J4" s="6"/>
    </row>
    <row r="5" spans="1:10" x14ac:dyDescent="0.25">
      <c r="A5" s="105"/>
      <c r="B5" s="283" t="s">
        <v>164</v>
      </c>
      <c r="C5" s="283"/>
      <c r="D5" s="283"/>
      <c r="E5" s="283"/>
      <c r="F5" s="283"/>
      <c r="G5" s="283"/>
      <c r="H5" s="283"/>
      <c r="I5" s="283"/>
      <c r="J5" s="283"/>
    </row>
    <row r="6" spans="1:10" s="11" customFormat="1" ht="15" customHeight="1" x14ac:dyDescent="0.25">
      <c r="A6" s="101"/>
      <c r="B6" s="282" t="s">
        <v>619</v>
      </c>
      <c r="C6" s="282" t="s">
        <v>427</v>
      </c>
      <c r="D6" s="282" t="s">
        <v>299</v>
      </c>
      <c r="E6" s="271" t="s">
        <v>275</v>
      </c>
      <c r="F6" s="271"/>
      <c r="G6" s="288" t="s">
        <v>32</v>
      </c>
      <c r="H6" s="288"/>
      <c r="I6" s="288" t="s">
        <v>33</v>
      </c>
      <c r="J6" s="288"/>
    </row>
    <row r="7" spans="1:10" s="11" customFormat="1" ht="38.25" x14ac:dyDescent="0.25">
      <c r="A7" s="100" t="s">
        <v>368</v>
      </c>
      <c r="B7" s="281"/>
      <c r="C7" s="281"/>
      <c r="D7" s="281"/>
      <c r="E7" s="100" t="s">
        <v>136</v>
      </c>
      <c r="F7" s="102" t="s">
        <v>3</v>
      </c>
      <c r="G7" s="100" t="s">
        <v>136</v>
      </c>
      <c r="H7" s="102" t="s">
        <v>3</v>
      </c>
      <c r="I7" s="100" t="s">
        <v>136</v>
      </c>
      <c r="J7" s="65" t="s">
        <v>3</v>
      </c>
    </row>
    <row r="8" spans="1:10" x14ac:dyDescent="0.25">
      <c r="A8" s="138">
        <v>1990</v>
      </c>
      <c r="B8" s="174">
        <v>354</v>
      </c>
      <c r="C8" s="174">
        <v>139</v>
      </c>
      <c r="D8" s="167">
        <f t="shared" ref="D8:D28" si="0">(+E8/B8)+(+G8/B8)+(+I8/B8)</f>
        <v>0.45621468926553677</v>
      </c>
      <c r="E8" s="174">
        <v>88</v>
      </c>
      <c r="F8" s="67" t="s">
        <v>37</v>
      </c>
      <c r="G8" s="174">
        <v>48.2</v>
      </c>
      <c r="H8" s="67" t="s">
        <v>97</v>
      </c>
      <c r="I8" s="174">
        <v>25.3</v>
      </c>
      <c r="J8" s="175" t="s">
        <v>38</v>
      </c>
    </row>
    <row r="9" spans="1:10" x14ac:dyDescent="0.25">
      <c r="A9" s="138">
        <v>1991</v>
      </c>
      <c r="B9" s="174">
        <v>342</v>
      </c>
      <c r="C9" s="174">
        <v>131</v>
      </c>
      <c r="D9" s="167">
        <f t="shared" si="0"/>
        <v>0.46731578947368418</v>
      </c>
      <c r="E9" s="174">
        <v>80</v>
      </c>
      <c r="F9" s="67" t="s">
        <v>37</v>
      </c>
      <c r="G9" s="174">
        <v>44.322000000000003</v>
      </c>
      <c r="H9" s="67" t="s">
        <v>97</v>
      </c>
      <c r="I9" s="174">
        <v>35.5</v>
      </c>
      <c r="J9" s="67" t="s">
        <v>38</v>
      </c>
    </row>
    <row r="10" spans="1:10" x14ac:dyDescent="0.25">
      <c r="A10" s="138">
        <v>1992</v>
      </c>
      <c r="B10" s="174">
        <v>295</v>
      </c>
      <c r="C10" s="174">
        <v>137</v>
      </c>
      <c r="D10" s="167">
        <f t="shared" si="0"/>
        <v>0.32611525423728815</v>
      </c>
      <c r="E10" s="174">
        <v>40</v>
      </c>
      <c r="F10" s="67" t="s">
        <v>24</v>
      </c>
      <c r="G10" s="174">
        <v>30.404</v>
      </c>
      <c r="H10" s="67" t="s">
        <v>97</v>
      </c>
      <c r="I10" s="174">
        <v>25.8</v>
      </c>
      <c r="J10" s="67" t="s">
        <v>38</v>
      </c>
    </row>
    <row r="11" spans="1:10" x14ac:dyDescent="0.25">
      <c r="A11" s="138">
        <v>1993</v>
      </c>
      <c r="B11" s="174">
        <v>269</v>
      </c>
      <c r="C11" s="174">
        <v>132</v>
      </c>
      <c r="D11" s="167">
        <f t="shared" si="0"/>
        <v>0.29851301115241635</v>
      </c>
      <c r="E11" s="174">
        <v>30</v>
      </c>
      <c r="F11" s="67" t="s">
        <v>24</v>
      </c>
      <c r="G11" s="174">
        <v>27.3</v>
      </c>
      <c r="H11" s="67" t="s">
        <v>97</v>
      </c>
      <c r="I11" s="174">
        <v>23</v>
      </c>
      <c r="J11" s="67" t="s">
        <v>38</v>
      </c>
    </row>
    <row r="12" spans="1:10" x14ac:dyDescent="0.25">
      <c r="A12" s="138">
        <v>1994</v>
      </c>
      <c r="B12" s="174">
        <v>282</v>
      </c>
      <c r="C12" s="174">
        <v>128</v>
      </c>
      <c r="D12" s="167">
        <f t="shared" si="0"/>
        <v>0.3260106382978723</v>
      </c>
      <c r="E12" s="174">
        <v>35.4</v>
      </c>
      <c r="F12" s="67" t="s">
        <v>24</v>
      </c>
      <c r="G12" s="174">
        <v>28.9</v>
      </c>
      <c r="H12" s="67" t="s">
        <v>38</v>
      </c>
      <c r="I12" s="174">
        <v>27.635000000000002</v>
      </c>
      <c r="J12" s="67" t="s">
        <v>97</v>
      </c>
    </row>
    <row r="13" spans="1:10" x14ac:dyDescent="0.25">
      <c r="A13" s="138">
        <v>1995</v>
      </c>
      <c r="B13" s="174">
        <v>395</v>
      </c>
      <c r="C13" s="174">
        <v>142</v>
      </c>
      <c r="D13" s="167">
        <f t="shared" si="0"/>
        <v>0.45367088607594935</v>
      </c>
      <c r="E13" s="174">
        <v>93.6</v>
      </c>
      <c r="F13" s="67" t="s">
        <v>22</v>
      </c>
      <c r="G13" s="174">
        <v>48.1</v>
      </c>
      <c r="H13" s="175" t="s">
        <v>38</v>
      </c>
      <c r="I13" s="174">
        <v>37.5</v>
      </c>
      <c r="J13" s="175" t="s">
        <v>24</v>
      </c>
    </row>
    <row r="14" spans="1:10" x14ac:dyDescent="0.25">
      <c r="A14" s="138">
        <v>1996</v>
      </c>
      <c r="B14" s="174">
        <v>378</v>
      </c>
      <c r="C14" s="174">
        <v>133</v>
      </c>
      <c r="D14" s="167">
        <f t="shared" si="0"/>
        <v>0.43624338624338621</v>
      </c>
      <c r="E14" s="174">
        <v>73.099999999999994</v>
      </c>
      <c r="F14" s="67" t="s">
        <v>22</v>
      </c>
      <c r="G14" s="174">
        <v>54</v>
      </c>
      <c r="H14" s="175" t="s">
        <v>38</v>
      </c>
      <c r="I14" s="174">
        <v>37.799999999999997</v>
      </c>
      <c r="J14" s="175" t="s">
        <v>97</v>
      </c>
    </row>
    <row r="15" spans="1:10" x14ac:dyDescent="0.25">
      <c r="A15" s="138">
        <v>1997</v>
      </c>
      <c r="B15" s="174">
        <v>384</v>
      </c>
      <c r="C15" s="174">
        <v>125</v>
      </c>
      <c r="D15" s="167">
        <f t="shared" si="0"/>
        <v>0.45101562499999998</v>
      </c>
      <c r="E15" s="174">
        <v>75.989999999999995</v>
      </c>
      <c r="F15" s="67" t="s">
        <v>22</v>
      </c>
      <c r="G15" s="174">
        <v>57.7</v>
      </c>
      <c r="H15" s="175" t="s">
        <v>38</v>
      </c>
      <c r="I15" s="174">
        <v>39.5</v>
      </c>
      <c r="J15" s="175" t="s">
        <v>24</v>
      </c>
    </row>
    <row r="16" spans="1:10" x14ac:dyDescent="0.25">
      <c r="A16" s="138">
        <v>1998</v>
      </c>
      <c r="B16" s="174">
        <v>396</v>
      </c>
      <c r="C16" s="174">
        <v>106</v>
      </c>
      <c r="D16" s="167">
        <f t="shared" si="0"/>
        <v>0.47752525252525246</v>
      </c>
      <c r="E16" s="174">
        <v>77.099999999999994</v>
      </c>
      <c r="F16" s="67" t="s">
        <v>38</v>
      </c>
      <c r="G16" s="174">
        <v>70.5</v>
      </c>
      <c r="H16" s="67" t="s">
        <v>22</v>
      </c>
      <c r="I16" s="174">
        <v>41.5</v>
      </c>
      <c r="J16" s="175" t="s">
        <v>24</v>
      </c>
    </row>
    <row r="17" spans="1:10" x14ac:dyDescent="0.25">
      <c r="A17" s="138">
        <v>1999</v>
      </c>
      <c r="B17" s="174">
        <v>341</v>
      </c>
      <c r="C17" s="175" t="s">
        <v>165</v>
      </c>
      <c r="D17" s="167">
        <f t="shared" si="0"/>
        <v>0.70000000000000007</v>
      </c>
      <c r="E17" s="174">
        <v>120</v>
      </c>
      <c r="F17" s="67" t="s">
        <v>22</v>
      </c>
      <c r="G17" s="174">
        <v>73.7</v>
      </c>
      <c r="H17" s="67" t="s">
        <v>38</v>
      </c>
      <c r="I17" s="174">
        <v>45</v>
      </c>
      <c r="J17" s="175" t="s">
        <v>24</v>
      </c>
    </row>
    <row r="18" spans="1:10" x14ac:dyDescent="0.25">
      <c r="A18" s="138">
        <v>2000</v>
      </c>
      <c r="B18" s="174">
        <v>422</v>
      </c>
      <c r="C18" s="175" t="s">
        <v>165</v>
      </c>
      <c r="D18" s="167">
        <f t="shared" si="0"/>
        <v>0.74644549763033174</v>
      </c>
      <c r="E18" s="174">
        <v>190</v>
      </c>
      <c r="F18" s="67" t="s">
        <v>22</v>
      </c>
      <c r="G18" s="174">
        <v>80</v>
      </c>
      <c r="H18" s="175" t="s">
        <v>38</v>
      </c>
      <c r="I18" s="174">
        <v>45</v>
      </c>
      <c r="J18" s="175" t="s">
        <v>24</v>
      </c>
    </row>
    <row r="19" spans="1:10" x14ac:dyDescent="0.25">
      <c r="A19" s="138">
        <v>2001</v>
      </c>
      <c r="B19" s="174">
        <v>420</v>
      </c>
      <c r="C19" s="175" t="s">
        <v>165</v>
      </c>
      <c r="D19" s="167">
        <f t="shared" si="0"/>
        <v>0.76904761904761898</v>
      </c>
      <c r="E19" s="174">
        <v>200</v>
      </c>
      <c r="F19" s="67" t="s">
        <v>22</v>
      </c>
      <c r="G19" s="174">
        <v>83</v>
      </c>
      <c r="H19" s="67" t="s">
        <v>38</v>
      </c>
      <c r="I19" s="174">
        <v>40</v>
      </c>
      <c r="J19" s="175" t="s">
        <v>24</v>
      </c>
    </row>
    <row r="20" spans="1:10" x14ac:dyDescent="0.25">
      <c r="A20" s="138">
        <v>2002</v>
      </c>
      <c r="B20" s="174">
        <v>432</v>
      </c>
      <c r="C20" s="175" t="s">
        <v>165</v>
      </c>
      <c r="D20" s="167">
        <f t="shared" si="0"/>
        <v>0.8564814814814814</v>
      </c>
      <c r="E20" s="174">
        <v>250</v>
      </c>
      <c r="F20" s="67" t="s">
        <v>22</v>
      </c>
      <c r="G20" s="174">
        <v>80</v>
      </c>
      <c r="H20" s="67" t="s">
        <v>38</v>
      </c>
      <c r="I20" s="174">
        <v>40</v>
      </c>
      <c r="J20" s="175" t="s">
        <v>24</v>
      </c>
    </row>
    <row r="21" spans="1:10" x14ac:dyDescent="0.25">
      <c r="A21" s="138">
        <v>2003</v>
      </c>
      <c r="B21" s="174">
        <v>509</v>
      </c>
      <c r="C21" s="175" t="s">
        <v>165</v>
      </c>
      <c r="D21" s="167">
        <f t="shared" si="0"/>
        <v>0.90569744597249502</v>
      </c>
      <c r="E21" s="174">
        <v>340</v>
      </c>
      <c r="F21" s="67" t="s">
        <v>22</v>
      </c>
      <c r="G21" s="174">
        <v>78</v>
      </c>
      <c r="H21" s="67" t="s">
        <v>38</v>
      </c>
      <c r="I21" s="174">
        <v>43</v>
      </c>
      <c r="J21" s="67" t="s">
        <v>24</v>
      </c>
    </row>
    <row r="22" spans="1:10" x14ac:dyDescent="0.25">
      <c r="A22" s="138">
        <v>2004</v>
      </c>
      <c r="B22" s="174">
        <v>595</v>
      </c>
      <c r="C22" s="175" t="s">
        <v>165</v>
      </c>
      <c r="D22" s="167">
        <f t="shared" si="0"/>
        <v>0.90924369747899159</v>
      </c>
      <c r="E22" s="174">
        <v>442</v>
      </c>
      <c r="F22" s="67" t="s">
        <v>22</v>
      </c>
      <c r="G22" s="174">
        <v>54</v>
      </c>
      <c r="H22" s="67" t="s">
        <v>38</v>
      </c>
      <c r="I22" s="174">
        <v>45</v>
      </c>
      <c r="J22" s="175" t="s">
        <v>24</v>
      </c>
    </row>
    <row r="23" spans="1:10" x14ac:dyDescent="0.25">
      <c r="A23" s="138">
        <v>2005</v>
      </c>
      <c r="B23" s="174">
        <v>622</v>
      </c>
      <c r="C23" s="175" t="s">
        <v>165</v>
      </c>
      <c r="D23" s="167">
        <f t="shared" si="0"/>
        <v>0.90836012861736326</v>
      </c>
      <c r="E23" s="174">
        <v>470</v>
      </c>
      <c r="F23" s="67" t="s">
        <v>22</v>
      </c>
      <c r="G23" s="174">
        <v>50</v>
      </c>
      <c r="H23" s="67" t="s">
        <v>38</v>
      </c>
      <c r="I23" s="174">
        <v>45</v>
      </c>
      <c r="J23" s="175" t="s">
        <v>24</v>
      </c>
    </row>
    <row r="24" spans="1:10" x14ac:dyDescent="0.25">
      <c r="A24" s="138">
        <v>2006</v>
      </c>
      <c r="B24" s="174">
        <v>675</v>
      </c>
      <c r="C24" s="175" t="s">
        <v>165</v>
      </c>
      <c r="D24" s="167">
        <f t="shared" si="0"/>
        <v>0.91851851851851851</v>
      </c>
      <c r="E24" s="174">
        <v>520</v>
      </c>
      <c r="F24" s="67" t="s">
        <v>22</v>
      </c>
      <c r="G24" s="174">
        <v>65</v>
      </c>
      <c r="H24" s="67" t="s">
        <v>38</v>
      </c>
      <c r="I24" s="174">
        <v>35</v>
      </c>
      <c r="J24" s="175" t="s">
        <v>24</v>
      </c>
    </row>
    <row r="25" spans="1:10" x14ac:dyDescent="0.25">
      <c r="A25" s="138" t="s">
        <v>4</v>
      </c>
      <c r="B25" s="174">
        <v>751</v>
      </c>
      <c r="C25" s="175" t="s">
        <v>165</v>
      </c>
      <c r="D25" s="167">
        <f t="shared" si="0"/>
        <v>0.92090545938748336</v>
      </c>
      <c r="E25" s="174">
        <v>625</v>
      </c>
      <c r="F25" s="67" t="s">
        <v>22</v>
      </c>
      <c r="G25" s="174">
        <v>37</v>
      </c>
      <c r="H25" s="67" t="s">
        <v>24</v>
      </c>
      <c r="I25" s="174">
        <v>29.6</v>
      </c>
      <c r="J25" s="175" t="s">
        <v>141</v>
      </c>
    </row>
    <row r="26" spans="1:10" x14ac:dyDescent="0.25">
      <c r="A26" s="138" t="s">
        <v>5</v>
      </c>
      <c r="B26" s="174">
        <v>670</v>
      </c>
      <c r="C26" s="175" t="s">
        <v>165</v>
      </c>
      <c r="D26" s="167">
        <f t="shared" si="0"/>
        <v>0.93738955223880593</v>
      </c>
      <c r="E26" s="174">
        <v>559</v>
      </c>
      <c r="F26" s="67" t="s">
        <v>22</v>
      </c>
      <c r="G26" s="174">
        <v>37</v>
      </c>
      <c r="H26" s="67" t="s">
        <v>24</v>
      </c>
      <c r="I26" s="174">
        <v>32.051000000000002</v>
      </c>
      <c r="J26" s="175" t="s">
        <v>141</v>
      </c>
    </row>
    <row r="27" spans="1:10" x14ac:dyDescent="0.25">
      <c r="A27" s="138" t="s">
        <v>6</v>
      </c>
      <c r="B27" s="174">
        <v>598</v>
      </c>
      <c r="C27" s="175" t="s">
        <v>165</v>
      </c>
      <c r="D27" s="167">
        <f t="shared" si="0"/>
        <v>0.93478260869565211</v>
      </c>
      <c r="E27" s="174">
        <v>501</v>
      </c>
      <c r="F27" s="67" t="s">
        <v>22</v>
      </c>
      <c r="G27" s="174">
        <v>37</v>
      </c>
      <c r="H27" s="67" t="s">
        <v>24</v>
      </c>
      <c r="I27" s="174">
        <v>21</v>
      </c>
      <c r="J27" s="175" t="s">
        <v>79</v>
      </c>
    </row>
    <row r="28" spans="1:10" x14ac:dyDescent="0.25">
      <c r="A28" s="138" t="s">
        <v>7</v>
      </c>
      <c r="B28" s="174">
        <v>757</v>
      </c>
      <c r="C28" s="175" t="s">
        <v>165</v>
      </c>
      <c r="D28" s="167">
        <f t="shared" si="0"/>
        <v>0.94583883751651265</v>
      </c>
      <c r="E28" s="174">
        <v>654</v>
      </c>
      <c r="F28" s="67" t="s">
        <v>22</v>
      </c>
      <c r="G28" s="174">
        <v>37</v>
      </c>
      <c r="H28" s="67" t="s">
        <v>24</v>
      </c>
      <c r="I28" s="174">
        <v>25</v>
      </c>
      <c r="J28" s="175" t="s">
        <v>141</v>
      </c>
    </row>
    <row r="29" spans="1:10" x14ac:dyDescent="0.25">
      <c r="A29" s="141"/>
      <c r="B29" s="174"/>
      <c r="C29" s="174"/>
      <c r="D29" s="177"/>
      <c r="E29" s="178"/>
      <c r="F29" s="177"/>
      <c r="G29" s="178"/>
      <c r="H29" s="177"/>
      <c r="I29" s="178"/>
      <c r="J29" s="141"/>
    </row>
    <row r="30" spans="1:10" x14ac:dyDescent="0.25">
      <c r="A30" s="141" t="s">
        <v>620</v>
      </c>
      <c r="B30" s="174"/>
      <c r="C30" s="174"/>
      <c r="D30" s="177"/>
      <c r="E30" s="178"/>
      <c r="F30" s="177"/>
      <c r="G30" s="178"/>
      <c r="H30" s="177"/>
      <c r="I30" s="178"/>
      <c r="J30" s="141"/>
    </row>
  </sheetData>
  <mergeCells count="8">
    <mergeCell ref="A1:J2"/>
    <mergeCell ref="B5:J5"/>
    <mergeCell ref="E6:F6"/>
    <mergeCell ref="G6:H6"/>
    <mergeCell ref="I6:J6"/>
    <mergeCell ref="D6:D7"/>
    <mergeCell ref="B6:B7"/>
    <mergeCell ref="C6:C7"/>
  </mergeCells>
  <pageMargins left="1" right="1" top="1" bottom="1" header="0" footer="0"/>
  <pageSetup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L1"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3.5703125" style="59" customWidth="1"/>
    <col min="4" max="4" width="13.28515625" style="58" customWidth="1"/>
    <col min="5" max="5" width="13.28515625" style="59" customWidth="1"/>
    <col min="6" max="6" width="13.28515625" style="58" customWidth="1"/>
    <col min="7" max="7" width="13.28515625" style="59" customWidth="1"/>
    <col min="8" max="8" width="13.28515625" style="58" customWidth="1"/>
    <col min="9" max="9" width="13.28515625" customWidth="1"/>
    <col min="10" max="10" width="2.7109375" customWidth="1"/>
    <col min="11" max="11" width="13.28515625" customWidth="1"/>
    <col min="12" max="12" width="13.42578125" style="59" customWidth="1"/>
    <col min="13" max="13" width="14.140625" style="59" customWidth="1"/>
    <col min="14" max="14" width="13.28515625" style="58" customWidth="1"/>
    <col min="15" max="15" width="13.28515625" style="59" customWidth="1"/>
    <col min="16" max="16" width="13.28515625" style="58" customWidth="1"/>
    <col min="17" max="17" width="13.28515625" style="59" customWidth="1"/>
    <col min="18" max="18" width="13.28515625" style="58" customWidth="1"/>
    <col min="19" max="19" width="13.28515625" style="9" customWidth="1"/>
    <col min="20" max="20" width="2.7109375" customWidth="1"/>
    <col min="21" max="21" width="13.28515625" customWidth="1"/>
    <col min="22" max="22" width="13.28515625" style="59" customWidth="1"/>
    <col min="23" max="23" width="14.28515625" style="59" customWidth="1"/>
    <col min="24" max="24" width="13.28515625" style="58" customWidth="1"/>
    <col min="25" max="25" width="13.28515625" style="59" customWidth="1"/>
    <col min="26" max="26" width="13.28515625" style="58" customWidth="1"/>
    <col min="27" max="27" width="13.28515625" style="59" customWidth="1"/>
    <col min="28" max="28" width="13.28515625" style="58" customWidth="1"/>
    <col min="29" max="29" width="13.28515625" style="9" customWidth="1"/>
  </cols>
  <sheetData>
    <row r="1" spans="1:29" ht="15" customHeight="1" x14ac:dyDescent="0.25">
      <c r="A1" s="278" t="s">
        <v>430</v>
      </c>
      <c r="B1" s="278"/>
      <c r="C1" s="278"/>
      <c r="D1" s="278"/>
      <c r="E1" s="278"/>
      <c r="F1" s="278"/>
      <c r="G1" s="278"/>
      <c r="H1" s="278"/>
      <c r="I1" s="278"/>
      <c r="K1" s="278" t="s">
        <v>431</v>
      </c>
      <c r="L1" s="278"/>
      <c r="M1" s="278"/>
      <c r="N1" s="278"/>
      <c r="O1" s="278"/>
      <c r="P1" s="278"/>
      <c r="Q1" s="278"/>
      <c r="R1" s="278"/>
      <c r="S1" s="278"/>
      <c r="U1" s="278" t="s">
        <v>433</v>
      </c>
      <c r="V1" s="278"/>
      <c r="W1" s="278"/>
      <c r="X1" s="278"/>
      <c r="Y1" s="278"/>
      <c r="Z1" s="278"/>
      <c r="AA1" s="278"/>
      <c r="AB1" s="278"/>
      <c r="AC1" s="278"/>
    </row>
    <row r="2" spans="1:2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K2" s="278"/>
      <c r="L2" s="278"/>
      <c r="M2" s="278"/>
      <c r="N2" s="278"/>
      <c r="O2" s="278"/>
      <c r="P2" s="278"/>
      <c r="Q2" s="278"/>
      <c r="R2" s="278"/>
      <c r="S2" s="278"/>
      <c r="U2" s="278"/>
      <c r="V2" s="278"/>
      <c r="W2" s="278"/>
      <c r="X2" s="278"/>
      <c r="Y2" s="278"/>
      <c r="Z2" s="278"/>
      <c r="AA2" s="278"/>
      <c r="AB2" s="278"/>
      <c r="AC2" s="278"/>
    </row>
    <row r="3" spans="1:29" x14ac:dyDescent="0.25">
      <c r="A3" s="5"/>
      <c r="B3" s="6"/>
      <c r="C3" s="6"/>
      <c r="D3" s="48"/>
      <c r="E3" s="6"/>
      <c r="F3" s="48"/>
      <c r="G3" s="6"/>
      <c r="H3" s="48"/>
      <c r="I3" s="6"/>
      <c r="K3" s="5"/>
      <c r="L3" s="6"/>
      <c r="M3" s="6"/>
      <c r="N3" s="48"/>
      <c r="O3" s="6"/>
      <c r="P3" s="48"/>
      <c r="Q3" s="6"/>
      <c r="R3" s="48"/>
      <c r="S3" s="6"/>
      <c r="U3" s="5"/>
      <c r="V3" s="6"/>
      <c r="W3" s="6"/>
      <c r="X3" s="48"/>
      <c r="Y3" s="6"/>
      <c r="Z3" s="48"/>
      <c r="AA3" s="6"/>
      <c r="AB3" s="48"/>
      <c r="AC3" s="6"/>
    </row>
    <row r="4" spans="1:29" x14ac:dyDescent="0.25">
      <c r="A4" s="5"/>
      <c r="B4" s="6"/>
      <c r="C4" s="6"/>
      <c r="D4" s="48"/>
      <c r="E4" s="6"/>
      <c r="F4" s="48"/>
      <c r="G4" s="6"/>
      <c r="H4" s="48"/>
      <c r="I4" s="6"/>
      <c r="K4" s="5"/>
      <c r="L4" s="6"/>
      <c r="M4" s="6"/>
      <c r="N4" s="48"/>
      <c r="O4" s="6"/>
      <c r="P4" s="48"/>
      <c r="Q4" s="6"/>
      <c r="R4" s="48"/>
      <c r="S4" s="6"/>
      <c r="U4" s="5"/>
      <c r="V4" s="6"/>
      <c r="W4" s="6"/>
      <c r="X4" s="48"/>
      <c r="Y4" s="6"/>
      <c r="Z4" s="48"/>
      <c r="AA4" s="6"/>
      <c r="AB4" s="48"/>
      <c r="AC4" s="6"/>
    </row>
    <row r="5" spans="1:29" x14ac:dyDescent="0.25">
      <c r="A5" s="105"/>
      <c r="B5" s="283" t="s">
        <v>166</v>
      </c>
      <c r="C5" s="283"/>
      <c r="D5" s="283"/>
      <c r="E5" s="283"/>
      <c r="F5" s="283"/>
      <c r="G5" s="283"/>
      <c r="H5" s="283"/>
      <c r="I5" s="283"/>
      <c r="J5" s="141"/>
      <c r="K5" s="105"/>
      <c r="L5" s="291" t="s">
        <v>653</v>
      </c>
      <c r="M5" s="291"/>
      <c r="N5" s="291"/>
      <c r="O5" s="291"/>
      <c r="P5" s="291"/>
      <c r="Q5" s="291"/>
      <c r="R5" s="291"/>
      <c r="S5" s="291"/>
      <c r="T5" s="141"/>
      <c r="U5" s="105"/>
      <c r="V5" s="291" t="s">
        <v>432</v>
      </c>
      <c r="W5" s="291"/>
      <c r="X5" s="291"/>
      <c r="Y5" s="291"/>
      <c r="Z5" s="291"/>
      <c r="AA5" s="291"/>
      <c r="AB5" s="291"/>
      <c r="AC5" s="291"/>
    </row>
    <row r="6" spans="1:29" s="11" customFormat="1" x14ac:dyDescent="0.25">
      <c r="A6" s="101"/>
      <c r="B6" s="289" t="s">
        <v>390</v>
      </c>
      <c r="C6" s="282" t="s">
        <v>299</v>
      </c>
      <c r="D6" s="271" t="s">
        <v>275</v>
      </c>
      <c r="E6" s="271"/>
      <c r="F6" s="271" t="s">
        <v>32</v>
      </c>
      <c r="G6" s="271"/>
      <c r="H6" s="271" t="s">
        <v>33</v>
      </c>
      <c r="I6" s="271"/>
      <c r="J6" s="165"/>
      <c r="K6" s="101"/>
      <c r="L6" s="289" t="s">
        <v>390</v>
      </c>
      <c r="M6" s="289" t="s">
        <v>299</v>
      </c>
      <c r="N6" s="271" t="s">
        <v>275</v>
      </c>
      <c r="O6" s="271"/>
      <c r="P6" s="271" t="s">
        <v>32</v>
      </c>
      <c r="Q6" s="271"/>
      <c r="R6" s="271" t="s">
        <v>33</v>
      </c>
      <c r="S6" s="271"/>
      <c r="T6" s="165"/>
      <c r="U6" s="101"/>
      <c r="V6" s="103"/>
      <c r="W6" s="289" t="s">
        <v>299</v>
      </c>
      <c r="X6" s="271" t="s">
        <v>275</v>
      </c>
      <c r="Y6" s="271"/>
      <c r="Z6" s="271" t="s">
        <v>32</v>
      </c>
      <c r="AA6" s="271"/>
      <c r="AB6" s="271" t="s">
        <v>33</v>
      </c>
      <c r="AC6" s="271"/>
    </row>
    <row r="7" spans="1:29" s="11" customFormat="1" ht="25.5" customHeight="1" x14ac:dyDescent="0.25">
      <c r="A7" s="100" t="s">
        <v>368</v>
      </c>
      <c r="B7" s="290"/>
      <c r="C7" s="281"/>
      <c r="D7" s="104" t="s">
        <v>8</v>
      </c>
      <c r="E7" s="95" t="s">
        <v>3</v>
      </c>
      <c r="F7" s="104" t="s">
        <v>8</v>
      </c>
      <c r="G7" s="95" t="s">
        <v>3</v>
      </c>
      <c r="H7" s="104" t="s">
        <v>8</v>
      </c>
      <c r="I7" s="104" t="s">
        <v>3</v>
      </c>
      <c r="J7" s="165"/>
      <c r="K7" s="100" t="s">
        <v>368</v>
      </c>
      <c r="L7" s="290"/>
      <c r="M7" s="290"/>
      <c r="N7" s="123" t="s">
        <v>8</v>
      </c>
      <c r="O7" s="120" t="s">
        <v>3</v>
      </c>
      <c r="P7" s="123" t="s">
        <v>8</v>
      </c>
      <c r="Q7" s="120" t="s">
        <v>3</v>
      </c>
      <c r="R7" s="123" t="s">
        <v>8</v>
      </c>
      <c r="S7" s="123" t="s">
        <v>3</v>
      </c>
      <c r="T7" s="165"/>
      <c r="U7" s="100" t="s">
        <v>368</v>
      </c>
      <c r="V7" s="104" t="s">
        <v>390</v>
      </c>
      <c r="W7" s="290"/>
      <c r="X7" s="104" t="s">
        <v>8</v>
      </c>
      <c r="Y7" s="95" t="s">
        <v>3</v>
      </c>
      <c r="Z7" s="104" t="s">
        <v>8</v>
      </c>
      <c r="AA7" s="95" t="s">
        <v>3</v>
      </c>
      <c r="AB7" s="104" t="s">
        <v>8</v>
      </c>
      <c r="AC7" s="104" t="s">
        <v>3</v>
      </c>
    </row>
    <row r="8" spans="1:29" x14ac:dyDescent="0.25">
      <c r="A8" s="138">
        <v>1990</v>
      </c>
      <c r="B8" s="167">
        <v>9.08</v>
      </c>
      <c r="C8" s="167">
        <f t="shared" ref="C8:C28" si="0">(+D8/B8)+(+F8/B8)+(+H8/B8)</f>
        <v>0.43381057268722467</v>
      </c>
      <c r="D8" s="167">
        <v>1.91</v>
      </c>
      <c r="E8" s="128" t="s">
        <v>118</v>
      </c>
      <c r="F8" s="167">
        <v>1.1200000000000001</v>
      </c>
      <c r="G8" s="70" t="s">
        <v>167</v>
      </c>
      <c r="H8" s="167">
        <v>0.90900000000000003</v>
      </c>
      <c r="I8" s="128" t="s">
        <v>27</v>
      </c>
      <c r="J8" s="167"/>
      <c r="K8" s="138">
        <v>1990</v>
      </c>
      <c r="L8" s="167">
        <v>3531.3</v>
      </c>
      <c r="M8" s="167">
        <f t="shared" ref="M8:M28" si="1">(+N8/L8)+(+P8/L8)+(+R8/L8)</f>
        <v>0.36308724832214762</v>
      </c>
      <c r="N8" s="167">
        <v>545.89</v>
      </c>
      <c r="O8" s="70" t="s">
        <v>37</v>
      </c>
      <c r="P8" s="167">
        <v>379.2</v>
      </c>
      <c r="Q8" s="70" t="s">
        <v>22</v>
      </c>
      <c r="R8" s="167">
        <v>357.08</v>
      </c>
      <c r="S8" s="128" t="s">
        <v>29</v>
      </c>
      <c r="T8" s="141"/>
      <c r="U8" s="138">
        <v>1990</v>
      </c>
      <c r="V8" s="167">
        <v>2433.1999999999998</v>
      </c>
      <c r="W8" s="167">
        <f t="shared" ref="W8:W28" si="2">(+X8/V8)+(+Z8/V8)+(+AB8/V8)</f>
        <v>0.52594936708860762</v>
      </c>
      <c r="X8" s="167">
        <v>858</v>
      </c>
      <c r="Y8" s="128" t="s">
        <v>37</v>
      </c>
      <c r="Z8" s="167">
        <v>244.2</v>
      </c>
      <c r="AA8" s="128" t="s">
        <v>22</v>
      </c>
      <c r="AB8" s="167">
        <v>177.54</v>
      </c>
      <c r="AC8" s="128" t="s">
        <v>118</v>
      </c>
    </row>
    <row r="9" spans="1:29" x14ac:dyDescent="0.25">
      <c r="A9" s="138">
        <v>1991</v>
      </c>
      <c r="B9" s="167">
        <v>7.6</v>
      </c>
      <c r="C9" s="167">
        <f t="shared" si="0"/>
        <v>0.41828947368421054</v>
      </c>
      <c r="D9" s="167">
        <v>1.369</v>
      </c>
      <c r="E9" s="128" t="s">
        <v>118</v>
      </c>
      <c r="F9" s="167">
        <v>1.03</v>
      </c>
      <c r="G9" s="70" t="s">
        <v>22</v>
      </c>
      <c r="H9" s="167">
        <v>0.78</v>
      </c>
      <c r="I9" s="128" t="s">
        <v>28</v>
      </c>
      <c r="J9" s="167"/>
      <c r="K9" s="138">
        <v>1991</v>
      </c>
      <c r="L9" s="167">
        <v>3207.4</v>
      </c>
      <c r="M9" s="167">
        <f t="shared" si="1"/>
        <v>0.43078817733990143</v>
      </c>
      <c r="N9" s="167">
        <v>537.20000000000005</v>
      </c>
      <c r="O9" s="128" t="s">
        <v>22</v>
      </c>
      <c r="P9" s="167">
        <v>477.95</v>
      </c>
      <c r="Q9" s="128" t="s">
        <v>37</v>
      </c>
      <c r="R9" s="167">
        <v>366.56</v>
      </c>
      <c r="S9" s="128" t="s">
        <v>29</v>
      </c>
      <c r="T9" s="141"/>
      <c r="U9" s="138">
        <v>1991</v>
      </c>
      <c r="V9" s="167">
        <v>2322.6</v>
      </c>
      <c r="W9" s="167">
        <f t="shared" si="2"/>
        <v>0.50780160165331956</v>
      </c>
      <c r="X9" s="167">
        <v>726</v>
      </c>
      <c r="Y9" s="128" t="s">
        <v>37</v>
      </c>
      <c r="Z9" s="167">
        <v>273.89999999999998</v>
      </c>
      <c r="AA9" s="128" t="s">
        <v>22</v>
      </c>
      <c r="AB9" s="167">
        <v>179.52</v>
      </c>
      <c r="AC9" s="128" t="s">
        <v>28</v>
      </c>
    </row>
    <row r="10" spans="1:29" x14ac:dyDescent="0.25">
      <c r="A10" s="138">
        <v>1992</v>
      </c>
      <c r="B10" s="167">
        <v>7.26</v>
      </c>
      <c r="C10" s="167">
        <f t="shared" si="0"/>
        <v>0.54958677685950419</v>
      </c>
      <c r="D10" s="167">
        <v>1.85</v>
      </c>
      <c r="E10" s="70" t="s">
        <v>42</v>
      </c>
      <c r="F10" s="167">
        <v>1.08</v>
      </c>
      <c r="G10" s="128" t="s">
        <v>118</v>
      </c>
      <c r="H10" s="167">
        <v>1.06</v>
      </c>
      <c r="I10" s="70" t="s">
        <v>22</v>
      </c>
      <c r="J10" s="167"/>
      <c r="K10" s="138">
        <v>1992</v>
      </c>
      <c r="L10" s="167">
        <v>3009.9</v>
      </c>
      <c r="M10" s="167">
        <f t="shared" si="1"/>
        <v>0.38110236220472438</v>
      </c>
      <c r="N10" s="167">
        <v>592.5</v>
      </c>
      <c r="O10" s="128" t="s">
        <v>22</v>
      </c>
      <c r="P10" s="167">
        <v>285.98</v>
      </c>
      <c r="Q10" s="128" t="s">
        <v>29</v>
      </c>
      <c r="R10" s="167">
        <v>268.60000000000002</v>
      </c>
      <c r="S10" s="70" t="s">
        <v>94</v>
      </c>
      <c r="T10" s="141"/>
      <c r="U10" s="138">
        <v>1992</v>
      </c>
      <c r="V10" s="167">
        <v>2417.4</v>
      </c>
      <c r="W10" s="167">
        <f t="shared" si="2"/>
        <v>0.49689749317448495</v>
      </c>
      <c r="X10" s="167">
        <v>726</v>
      </c>
      <c r="Y10" s="128" t="s">
        <v>42</v>
      </c>
      <c r="Z10" s="167">
        <v>277.2</v>
      </c>
      <c r="AA10" s="128" t="s">
        <v>22</v>
      </c>
      <c r="AB10" s="167">
        <v>198</v>
      </c>
      <c r="AC10" s="70" t="s">
        <v>28</v>
      </c>
    </row>
    <row r="11" spans="1:29" x14ac:dyDescent="0.25">
      <c r="A11" s="138">
        <v>1993</v>
      </c>
      <c r="B11" s="167">
        <v>7.07</v>
      </c>
      <c r="C11" s="167">
        <f t="shared" si="0"/>
        <v>0.50919377652050923</v>
      </c>
      <c r="D11" s="167">
        <v>1.35</v>
      </c>
      <c r="E11" s="70" t="s">
        <v>42</v>
      </c>
      <c r="F11" s="167">
        <v>1.17</v>
      </c>
      <c r="G11" s="70" t="s">
        <v>22</v>
      </c>
      <c r="H11" s="167">
        <v>1.08</v>
      </c>
      <c r="I11" s="128" t="s">
        <v>118</v>
      </c>
      <c r="J11" s="167"/>
      <c r="K11" s="138">
        <v>1993</v>
      </c>
      <c r="L11" s="167">
        <v>2851.9</v>
      </c>
      <c r="M11" s="167">
        <f t="shared" si="1"/>
        <v>0.41994459833795017</v>
      </c>
      <c r="N11" s="167">
        <v>584.6</v>
      </c>
      <c r="O11" s="128" t="s">
        <v>22</v>
      </c>
      <c r="P11" s="167">
        <v>310.47000000000003</v>
      </c>
      <c r="Q11" s="128" t="s">
        <v>118</v>
      </c>
      <c r="R11" s="167">
        <v>302.57</v>
      </c>
      <c r="S11" s="70" t="s">
        <v>29</v>
      </c>
      <c r="T11" s="141"/>
      <c r="U11" s="138">
        <v>1993</v>
      </c>
      <c r="V11" s="167">
        <v>2188.3000000000002</v>
      </c>
      <c r="W11" s="167">
        <f t="shared" si="2"/>
        <v>0.46567655257505824</v>
      </c>
      <c r="X11" s="167">
        <v>485.1</v>
      </c>
      <c r="Y11" s="128" t="s">
        <v>42</v>
      </c>
      <c r="Z11" s="167">
        <v>346.5</v>
      </c>
      <c r="AA11" s="128" t="s">
        <v>22</v>
      </c>
      <c r="AB11" s="167">
        <v>187.44</v>
      </c>
      <c r="AC11" s="70" t="s">
        <v>28</v>
      </c>
    </row>
    <row r="12" spans="1:29" x14ac:dyDescent="0.25">
      <c r="A12" s="138">
        <v>1994</v>
      </c>
      <c r="B12" s="167">
        <v>6.53</v>
      </c>
      <c r="C12" s="167">
        <f t="shared" si="0"/>
        <v>0.49065849923430316</v>
      </c>
      <c r="D12" s="167">
        <v>1.21</v>
      </c>
      <c r="E12" s="128" t="s">
        <v>118</v>
      </c>
      <c r="F12" s="167">
        <v>1.05</v>
      </c>
      <c r="G12" s="70" t="s">
        <v>42</v>
      </c>
      <c r="H12" s="167">
        <v>0.94399999999999995</v>
      </c>
      <c r="I12" s="70" t="s">
        <v>27</v>
      </c>
      <c r="J12" s="167"/>
      <c r="K12" s="138">
        <v>1994</v>
      </c>
      <c r="L12" s="167">
        <v>2946.7</v>
      </c>
      <c r="M12" s="167">
        <f t="shared" si="1"/>
        <v>0.50080428954423595</v>
      </c>
      <c r="N12" s="167">
        <v>724.43</v>
      </c>
      <c r="O12" s="128" t="s">
        <v>22</v>
      </c>
      <c r="P12" s="167">
        <v>466.89</v>
      </c>
      <c r="Q12" s="128" t="s">
        <v>118</v>
      </c>
      <c r="R12" s="167">
        <v>284.39999999999998</v>
      </c>
      <c r="S12" s="70" t="s">
        <v>94</v>
      </c>
      <c r="T12" s="141"/>
      <c r="U12" s="138">
        <v>1994</v>
      </c>
      <c r="V12" s="167">
        <v>1881</v>
      </c>
      <c r="W12" s="167">
        <f t="shared" si="2"/>
        <v>0.54280701754385963</v>
      </c>
      <c r="X12" s="167">
        <v>433.62</v>
      </c>
      <c r="Y12" s="128" t="s">
        <v>22</v>
      </c>
      <c r="Z12" s="167">
        <v>396</v>
      </c>
      <c r="AA12" s="128" t="s">
        <v>42</v>
      </c>
      <c r="AB12" s="167">
        <v>191.4</v>
      </c>
      <c r="AC12" s="70" t="s">
        <v>118</v>
      </c>
    </row>
    <row r="13" spans="1:29" x14ac:dyDescent="0.25">
      <c r="A13" s="138">
        <v>1995</v>
      </c>
      <c r="B13" s="167">
        <v>7.97</v>
      </c>
      <c r="C13" s="167">
        <f t="shared" si="0"/>
        <v>0.48055207026348812</v>
      </c>
      <c r="D13" s="167">
        <v>1.38</v>
      </c>
      <c r="E13" s="70" t="s">
        <v>22</v>
      </c>
      <c r="F13" s="167">
        <v>1.35</v>
      </c>
      <c r="G13" s="70" t="s">
        <v>118</v>
      </c>
      <c r="H13" s="167">
        <v>1.1000000000000001</v>
      </c>
      <c r="I13" s="128" t="s">
        <v>42</v>
      </c>
      <c r="J13" s="167"/>
      <c r="K13" s="138">
        <v>1995</v>
      </c>
      <c r="L13" s="167">
        <v>2962.5</v>
      </c>
      <c r="M13" s="167">
        <f t="shared" si="1"/>
        <v>0.51866666666666661</v>
      </c>
      <c r="N13" s="167">
        <v>793.95</v>
      </c>
      <c r="O13" s="128" t="s">
        <v>22</v>
      </c>
      <c r="P13" s="167">
        <v>400.53</v>
      </c>
      <c r="Q13" s="128" t="s">
        <v>118</v>
      </c>
      <c r="R13" s="167">
        <v>342.07</v>
      </c>
      <c r="S13" s="128" t="s">
        <v>94</v>
      </c>
      <c r="T13" s="141"/>
      <c r="U13" s="138">
        <v>1995</v>
      </c>
      <c r="V13" s="167">
        <v>1980</v>
      </c>
      <c r="W13" s="167">
        <f t="shared" si="2"/>
        <v>0.56033333333333335</v>
      </c>
      <c r="X13" s="167">
        <v>547.79999999999995</v>
      </c>
      <c r="Y13" s="128" t="s">
        <v>22</v>
      </c>
      <c r="Z13" s="167">
        <v>396</v>
      </c>
      <c r="AA13" s="128" t="s">
        <v>42</v>
      </c>
      <c r="AB13" s="167">
        <v>165.66</v>
      </c>
      <c r="AC13" s="70" t="s">
        <v>118</v>
      </c>
    </row>
    <row r="14" spans="1:29" x14ac:dyDescent="0.25">
      <c r="A14" s="138">
        <v>1996</v>
      </c>
      <c r="B14" s="167">
        <v>8.17</v>
      </c>
      <c r="C14" s="167">
        <f t="shared" si="0"/>
        <v>0.48237454100367194</v>
      </c>
      <c r="D14" s="167">
        <v>1.52</v>
      </c>
      <c r="E14" s="70" t="s">
        <v>22</v>
      </c>
      <c r="F14" s="167">
        <v>1.381</v>
      </c>
      <c r="G14" s="70" t="s">
        <v>118</v>
      </c>
      <c r="H14" s="167">
        <v>1.04</v>
      </c>
      <c r="I14" s="128" t="s">
        <v>42</v>
      </c>
      <c r="J14" s="167"/>
      <c r="K14" s="138">
        <v>1996</v>
      </c>
      <c r="L14" s="167">
        <v>3167.9</v>
      </c>
      <c r="M14" s="167">
        <f t="shared" si="1"/>
        <v>0.53241895261845384</v>
      </c>
      <c r="N14" s="167">
        <v>908.5</v>
      </c>
      <c r="O14" s="128" t="s">
        <v>22</v>
      </c>
      <c r="P14" s="167">
        <v>432.92</v>
      </c>
      <c r="Q14" s="128" t="s">
        <v>118</v>
      </c>
      <c r="R14" s="167">
        <v>345.23</v>
      </c>
      <c r="S14" s="128" t="s">
        <v>94</v>
      </c>
      <c r="T14" s="141"/>
      <c r="U14" s="138">
        <v>1996</v>
      </c>
      <c r="V14" s="167">
        <v>2098.8000000000002</v>
      </c>
      <c r="W14" s="167">
        <f t="shared" si="2"/>
        <v>0.53270440251572315</v>
      </c>
      <c r="X14" s="167">
        <v>554.4</v>
      </c>
      <c r="Y14" s="128" t="s">
        <v>22</v>
      </c>
      <c r="Z14" s="167">
        <v>396</v>
      </c>
      <c r="AA14" s="128" t="s">
        <v>42</v>
      </c>
      <c r="AB14" s="167">
        <v>167.64</v>
      </c>
      <c r="AC14" s="70" t="s">
        <v>118</v>
      </c>
    </row>
    <row r="15" spans="1:29" x14ac:dyDescent="0.25">
      <c r="A15" s="138">
        <v>1997</v>
      </c>
      <c r="B15" s="167">
        <v>7.66</v>
      </c>
      <c r="C15" s="167">
        <f t="shared" si="0"/>
        <v>0.46396866840731071</v>
      </c>
      <c r="D15" s="167">
        <v>1.3240000000000001</v>
      </c>
      <c r="E15" s="128" t="s">
        <v>118</v>
      </c>
      <c r="F15" s="167">
        <v>1.2</v>
      </c>
      <c r="G15" s="70" t="s">
        <v>22</v>
      </c>
      <c r="H15" s="167">
        <v>1.03</v>
      </c>
      <c r="I15" s="70" t="s">
        <v>42</v>
      </c>
      <c r="J15" s="167"/>
      <c r="K15" s="138">
        <v>1997</v>
      </c>
      <c r="L15" s="167">
        <v>3160</v>
      </c>
      <c r="M15" s="167">
        <f t="shared" si="1"/>
        <v>0.52625000000000011</v>
      </c>
      <c r="N15" s="167">
        <v>932.2</v>
      </c>
      <c r="O15" s="128" t="s">
        <v>22</v>
      </c>
      <c r="P15" s="167">
        <v>394.21</v>
      </c>
      <c r="Q15" s="128" t="s">
        <v>118</v>
      </c>
      <c r="R15" s="167">
        <v>336.54</v>
      </c>
      <c r="S15" s="70" t="s">
        <v>94</v>
      </c>
      <c r="T15" s="141"/>
      <c r="U15" s="138">
        <v>1997</v>
      </c>
      <c r="V15" s="167">
        <v>2090.88</v>
      </c>
      <c r="W15" s="167">
        <f t="shared" si="2"/>
        <v>0.51010101010101006</v>
      </c>
      <c r="X15" s="167">
        <v>508.2</v>
      </c>
      <c r="Y15" s="128" t="s">
        <v>22</v>
      </c>
      <c r="Z15" s="167">
        <v>369.6</v>
      </c>
      <c r="AA15" s="128" t="s">
        <v>42</v>
      </c>
      <c r="AB15" s="167">
        <v>188.76</v>
      </c>
      <c r="AC15" s="70" t="s">
        <v>118</v>
      </c>
    </row>
    <row r="16" spans="1:29" x14ac:dyDescent="0.25">
      <c r="A16" s="138">
        <v>1998</v>
      </c>
      <c r="B16" s="167">
        <v>7.33</v>
      </c>
      <c r="C16" s="167">
        <f t="shared" si="0"/>
        <v>0.49372442019099588</v>
      </c>
      <c r="D16" s="167">
        <v>1.298</v>
      </c>
      <c r="E16" s="128" t="s">
        <v>118</v>
      </c>
      <c r="F16" s="167">
        <v>1.2609999999999999</v>
      </c>
      <c r="G16" s="70" t="s">
        <v>28</v>
      </c>
      <c r="H16" s="167">
        <v>1.06</v>
      </c>
      <c r="I16" s="128" t="s">
        <v>22</v>
      </c>
      <c r="J16" s="167"/>
      <c r="K16" s="138">
        <v>1998</v>
      </c>
      <c r="L16" s="167">
        <v>2994.1</v>
      </c>
      <c r="M16" s="167">
        <f t="shared" si="1"/>
        <v>0.53113456464379949</v>
      </c>
      <c r="N16" s="167">
        <v>829.5</v>
      </c>
      <c r="O16" s="128" t="s">
        <v>22</v>
      </c>
      <c r="P16" s="167">
        <v>428.18</v>
      </c>
      <c r="Q16" s="128" t="s">
        <v>118</v>
      </c>
      <c r="R16" s="167">
        <v>332.59</v>
      </c>
      <c r="S16" s="128" t="s">
        <v>94</v>
      </c>
      <c r="T16" s="141"/>
      <c r="U16" s="138">
        <v>1998</v>
      </c>
      <c r="V16" s="167">
        <v>1907.4</v>
      </c>
      <c r="W16" s="167">
        <f t="shared" si="2"/>
        <v>0.48096885813148788</v>
      </c>
      <c r="X16" s="167">
        <v>421.74</v>
      </c>
      <c r="Y16" s="128" t="s">
        <v>22</v>
      </c>
      <c r="Z16" s="167">
        <v>320.76</v>
      </c>
      <c r="AA16" s="128" t="s">
        <v>42</v>
      </c>
      <c r="AB16" s="167">
        <v>174.9</v>
      </c>
      <c r="AC16" s="70" t="s">
        <v>118</v>
      </c>
    </row>
    <row r="17" spans="1:29" x14ac:dyDescent="0.25">
      <c r="A17" s="138">
        <v>1999</v>
      </c>
      <c r="B17" s="167">
        <v>6.39</v>
      </c>
      <c r="C17" s="167">
        <f t="shared" si="0"/>
        <v>0.49295774647887325</v>
      </c>
      <c r="D17" s="167">
        <v>1.343</v>
      </c>
      <c r="E17" s="128" t="s">
        <v>118</v>
      </c>
      <c r="F17" s="167">
        <v>0.92600000000000005</v>
      </c>
      <c r="G17" s="70" t="s">
        <v>27</v>
      </c>
      <c r="H17" s="167">
        <v>0.88100000000000001</v>
      </c>
      <c r="I17" s="128" t="s">
        <v>167</v>
      </c>
      <c r="J17" s="167"/>
      <c r="K17" s="138">
        <v>1999</v>
      </c>
      <c r="L17" s="167">
        <v>2899.3</v>
      </c>
      <c r="M17" s="167">
        <f t="shared" si="1"/>
        <v>0.56321525885558577</v>
      </c>
      <c r="N17" s="167">
        <v>869</v>
      </c>
      <c r="O17" s="128" t="s">
        <v>22</v>
      </c>
      <c r="P17" s="167">
        <v>416.33</v>
      </c>
      <c r="Q17" s="128" t="s">
        <v>118</v>
      </c>
      <c r="R17" s="167">
        <v>347.6</v>
      </c>
      <c r="S17" s="128" t="s">
        <v>94</v>
      </c>
      <c r="T17" s="141"/>
      <c r="U17" s="138">
        <v>1999</v>
      </c>
      <c r="V17" s="167">
        <v>1953.6</v>
      </c>
      <c r="W17" s="167">
        <f t="shared" si="2"/>
        <v>0.53645439189189192</v>
      </c>
      <c r="X17" s="167">
        <v>542.52</v>
      </c>
      <c r="Y17" s="128" t="s">
        <v>22</v>
      </c>
      <c r="Z17" s="167">
        <v>329.27729999999997</v>
      </c>
      <c r="AA17" s="128" t="s">
        <v>42</v>
      </c>
      <c r="AB17" s="167">
        <v>176.22</v>
      </c>
      <c r="AC17" s="70" t="s">
        <v>118</v>
      </c>
    </row>
    <row r="18" spans="1:29" x14ac:dyDescent="0.25">
      <c r="A18" s="138">
        <v>2000</v>
      </c>
      <c r="B18" s="167">
        <v>6.9569999999999999</v>
      </c>
      <c r="C18" s="167">
        <f t="shared" si="0"/>
        <v>0.47606727037516178</v>
      </c>
      <c r="D18" s="167">
        <v>1.5780000000000001</v>
      </c>
      <c r="E18" s="128" t="s">
        <v>118</v>
      </c>
      <c r="F18" s="167">
        <v>0.93</v>
      </c>
      <c r="G18" s="70" t="s">
        <v>42</v>
      </c>
      <c r="H18" s="167">
        <v>0.80400000000000005</v>
      </c>
      <c r="I18" s="128" t="s">
        <v>167</v>
      </c>
      <c r="J18" s="167"/>
      <c r="K18" s="138">
        <v>2000</v>
      </c>
      <c r="L18" s="167">
        <v>3028.07</v>
      </c>
      <c r="M18" s="167">
        <f t="shared" si="1"/>
        <v>0.35871432298460737</v>
      </c>
      <c r="N18" s="167">
        <v>471.52967000000007</v>
      </c>
      <c r="O18" s="128" t="s">
        <v>118</v>
      </c>
      <c r="P18" s="167">
        <v>347.6</v>
      </c>
      <c r="Q18" s="128" t="s">
        <v>94</v>
      </c>
      <c r="R18" s="167">
        <v>267.08241000000004</v>
      </c>
      <c r="S18" s="128" t="s">
        <v>42</v>
      </c>
      <c r="T18" s="141"/>
      <c r="U18" s="138">
        <v>2000</v>
      </c>
      <c r="V18" s="167">
        <v>2344.9971600000003</v>
      </c>
      <c r="W18" s="167">
        <f t="shared" si="2"/>
        <v>0.53307800168082076</v>
      </c>
      <c r="X18" s="167">
        <v>594</v>
      </c>
      <c r="Y18" s="128" t="s">
        <v>22</v>
      </c>
      <c r="Z18" s="167">
        <v>451.46640000000002</v>
      </c>
      <c r="AA18" s="128" t="s">
        <v>42</v>
      </c>
      <c r="AB18" s="167">
        <v>204.6</v>
      </c>
      <c r="AC18" s="70" t="s">
        <v>118</v>
      </c>
    </row>
    <row r="19" spans="1:29" x14ac:dyDescent="0.25">
      <c r="A19" s="138">
        <v>2001</v>
      </c>
      <c r="B19" s="167">
        <v>7.57</v>
      </c>
      <c r="C19" s="167">
        <f t="shared" si="0"/>
        <v>0.45112285336856006</v>
      </c>
      <c r="D19" s="167">
        <v>1.4790000000000001</v>
      </c>
      <c r="E19" s="128" t="s">
        <v>118</v>
      </c>
      <c r="F19" s="167">
        <v>0.98799999999999999</v>
      </c>
      <c r="G19" s="70" t="s">
        <v>28</v>
      </c>
      <c r="H19" s="167">
        <v>0.94799999999999995</v>
      </c>
      <c r="I19" s="128" t="s">
        <v>27</v>
      </c>
      <c r="J19" s="167"/>
      <c r="K19" s="138">
        <v>2001</v>
      </c>
      <c r="L19" s="167">
        <v>3160.79</v>
      </c>
      <c r="M19" s="167">
        <f t="shared" si="1"/>
        <v>0.53086728317920517</v>
      </c>
      <c r="N19" s="167">
        <v>924.3</v>
      </c>
      <c r="O19" s="128" t="s">
        <v>22</v>
      </c>
      <c r="P19" s="167">
        <v>413.96</v>
      </c>
      <c r="Q19" s="128" t="s">
        <v>118</v>
      </c>
      <c r="R19" s="167">
        <v>339.7</v>
      </c>
      <c r="S19" s="128" t="s">
        <v>94</v>
      </c>
      <c r="T19" s="141"/>
      <c r="U19" s="138">
        <v>2001</v>
      </c>
      <c r="V19" s="167">
        <v>2498.0603999999998</v>
      </c>
      <c r="W19" s="167">
        <f t="shared" si="2"/>
        <v>0.5615383599211613</v>
      </c>
      <c r="X19" s="167">
        <v>772.2</v>
      </c>
      <c r="Y19" s="128" t="s">
        <v>22</v>
      </c>
      <c r="Z19" s="167">
        <v>463.57674000000003</v>
      </c>
      <c r="AA19" s="128" t="s">
        <v>42</v>
      </c>
      <c r="AB19" s="167">
        <v>166.98</v>
      </c>
      <c r="AC19" s="70" t="s">
        <v>118</v>
      </c>
    </row>
    <row r="20" spans="1:29" x14ac:dyDescent="0.25">
      <c r="A20" s="138">
        <v>2002</v>
      </c>
      <c r="B20" s="167">
        <v>7.7729999999999997</v>
      </c>
      <c r="C20" s="167">
        <f t="shared" si="0"/>
        <v>0.46082593593207261</v>
      </c>
      <c r="D20" s="167">
        <v>1.504</v>
      </c>
      <c r="E20" s="70" t="s">
        <v>118</v>
      </c>
      <c r="F20" s="167">
        <v>1.095</v>
      </c>
      <c r="G20" s="70" t="s">
        <v>28</v>
      </c>
      <c r="H20" s="167">
        <v>0.98299999999999998</v>
      </c>
      <c r="I20" s="128" t="s">
        <v>27</v>
      </c>
      <c r="J20" s="167"/>
      <c r="K20" s="138">
        <v>2002</v>
      </c>
      <c r="L20" s="167">
        <v>2847.16</v>
      </c>
      <c r="M20" s="167">
        <f t="shared" si="1"/>
        <v>0.54541370699223091</v>
      </c>
      <c r="N20" s="167">
        <v>782.1</v>
      </c>
      <c r="O20" s="128" t="s">
        <v>22</v>
      </c>
      <c r="P20" s="167">
        <v>488.97366000000005</v>
      </c>
      <c r="Q20" s="128" t="s">
        <v>118</v>
      </c>
      <c r="R20" s="167">
        <v>281.80642999999998</v>
      </c>
      <c r="S20" s="128" t="s">
        <v>29</v>
      </c>
      <c r="T20" s="141"/>
      <c r="U20" s="138">
        <v>2002</v>
      </c>
      <c r="V20" s="167">
        <v>2879.2090800000001</v>
      </c>
      <c r="W20" s="167">
        <f t="shared" si="2"/>
        <v>0.60250575480958124</v>
      </c>
      <c r="X20" s="167">
        <v>1042.8</v>
      </c>
      <c r="Y20" s="128" t="s">
        <v>22</v>
      </c>
      <c r="Z20" s="167">
        <v>483.51072000000005</v>
      </c>
      <c r="AA20" s="128" t="s">
        <v>42</v>
      </c>
      <c r="AB20" s="167">
        <v>208.42932000000002</v>
      </c>
      <c r="AC20" s="70" t="s">
        <v>118</v>
      </c>
    </row>
    <row r="21" spans="1:29" x14ac:dyDescent="0.25">
      <c r="A21" s="138">
        <v>2003</v>
      </c>
      <c r="B21" s="167">
        <v>8.7859999999999996</v>
      </c>
      <c r="C21" s="167">
        <f t="shared" si="0"/>
        <v>0.46870020487138636</v>
      </c>
      <c r="D21" s="167">
        <v>1.585</v>
      </c>
      <c r="E21" s="70" t="s">
        <v>118</v>
      </c>
      <c r="F21" s="167">
        <v>1.286</v>
      </c>
      <c r="G21" s="70" t="s">
        <v>28</v>
      </c>
      <c r="H21" s="167">
        <v>1.2470000000000001</v>
      </c>
      <c r="I21" s="70" t="s">
        <v>27</v>
      </c>
      <c r="J21" s="167"/>
      <c r="K21" s="138">
        <v>2003</v>
      </c>
      <c r="L21" s="167">
        <v>3135.51</v>
      </c>
      <c r="M21" s="167">
        <f t="shared" si="1"/>
        <v>0.56165104560342649</v>
      </c>
      <c r="N21" s="167">
        <v>987.5</v>
      </c>
      <c r="O21" s="128" t="s">
        <v>22</v>
      </c>
      <c r="P21" s="167">
        <v>479.81598000000002</v>
      </c>
      <c r="Q21" s="128" t="s">
        <v>118</v>
      </c>
      <c r="R21" s="167">
        <v>293.74648999999999</v>
      </c>
      <c r="S21" s="70" t="s">
        <v>29</v>
      </c>
      <c r="T21" s="141"/>
      <c r="U21" s="138">
        <v>2003</v>
      </c>
      <c r="V21" s="167">
        <v>3064.32456</v>
      </c>
      <c r="W21" s="167">
        <f t="shared" si="2"/>
        <v>0.6052230968641259</v>
      </c>
      <c r="X21" s="167">
        <v>1188</v>
      </c>
      <c r="Y21" s="128" t="s">
        <v>22</v>
      </c>
      <c r="Z21" s="167">
        <v>488.4</v>
      </c>
      <c r="AA21" s="128" t="s">
        <v>42</v>
      </c>
      <c r="AB21" s="167">
        <v>178.2</v>
      </c>
      <c r="AC21" s="70" t="s">
        <v>118</v>
      </c>
    </row>
    <row r="22" spans="1:29" x14ac:dyDescent="0.25">
      <c r="A22" s="138">
        <v>2004</v>
      </c>
      <c r="B22" s="167">
        <v>9.9079999999999995</v>
      </c>
      <c r="C22" s="167">
        <f t="shared" si="0"/>
        <v>0.48657650383528467</v>
      </c>
      <c r="D22" s="167">
        <v>1.905</v>
      </c>
      <c r="E22" s="128" t="s">
        <v>118</v>
      </c>
      <c r="F22" s="167">
        <v>1.57</v>
      </c>
      <c r="G22" s="70" t="s">
        <v>27</v>
      </c>
      <c r="H22" s="167">
        <v>1.3460000000000001</v>
      </c>
      <c r="I22" s="128" t="s">
        <v>28</v>
      </c>
      <c r="J22" s="167"/>
      <c r="K22" s="138">
        <v>2004</v>
      </c>
      <c r="L22" s="167">
        <v>3717.74</v>
      </c>
      <c r="M22" s="167">
        <f t="shared" si="1"/>
        <v>0.59007734806629841</v>
      </c>
      <c r="N22" s="167">
        <v>1350.9</v>
      </c>
      <c r="O22" s="128" t="s">
        <v>22</v>
      </c>
      <c r="P22" s="167">
        <v>483.41206</v>
      </c>
      <c r="Q22" s="128" t="s">
        <v>118</v>
      </c>
      <c r="R22" s="167">
        <v>359.44210000000004</v>
      </c>
      <c r="S22" s="128" t="s">
        <v>42</v>
      </c>
      <c r="T22" s="141"/>
      <c r="U22" s="138">
        <v>2004</v>
      </c>
      <c r="V22" s="167">
        <v>3977.3923199999999</v>
      </c>
      <c r="W22" s="167">
        <f t="shared" si="2"/>
        <v>0.66275584300419221</v>
      </c>
      <c r="X22" s="167">
        <v>1716</v>
      </c>
      <c r="Y22" s="128" t="s">
        <v>22</v>
      </c>
      <c r="Z22" s="167">
        <v>699.6</v>
      </c>
      <c r="AA22" s="128" t="s">
        <v>42</v>
      </c>
      <c r="AB22" s="167">
        <v>220.44</v>
      </c>
      <c r="AC22" s="70" t="s">
        <v>118</v>
      </c>
    </row>
    <row r="23" spans="1:29" x14ac:dyDescent="0.25">
      <c r="A23" s="138">
        <v>2005</v>
      </c>
      <c r="B23" s="167">
        <v>11.012</v>
      </c>
      <c r="C23" s="167">
        <f t="shared" si="0"/>
        <v>0.46313112967671632</v>
      </c>
      <c r="D23" s="167">
        <v>2.1</v>
      </c>
      <c r="E23" s="128" t="s">
        <v>118</v>
      </c>
      <c r="F23" s="167">
        <v>1.5</v>
      </c>
      <c r="G23" s="70" t="s">
        <v>27</v>
      </c>
      <c r="H23" s="167">
        <v>1.5</v>
      </c>
      <c r="I23" s="128" t="s">
        <v>22</v>
      </c>
      <c r="J23" s="167"/>
      <c r="K23" s="138">
        <v>2005</v>
      </c>
      <c r="L23" s="167">
        <v>3576.33</v>
      </c>
      <c r="M23" s="167">
        <f t="shared" si="1"/>
        <v>0.5896156394963552</v>
      </c>
      <c r="N23" s="167">
        <v>1303.5</v>
      </c>
      <c r="O23" s="128" t="s">
        <v>22</v>
      </c>
      <c r="P23" s="167">
        <v>450.75346000000002</v>
      </c>
      <c r="Q23" s="128" t="s">
        <v>118</v>
      </c>
      <c r="R23" s="167">
        <v>354.40664000000004</v>
      </c>
      <c r="S23" s="128" t="s">
        <v>29</v>
      </c>
      <c r="T23" s="141"/>
      <c r="U23" s="138">
        <v>2005</v>
      </c>
      <c r="V23" s="167">
        <v>4290.9438</v>
      </c>
      <c r="W23" s="167">
        <f t="shared" si="2"/>
        <v>0.71313111115554573</v>
      </c>
      <c r="X23" s="167">
        <v>1980</v>
      </c>
      <c r="Y23" s="128" t="s">
        <v>22</v>
      </c>
      <c r="Z23" s="167">
        <v>686.4</v>
      </c>
      <c r="AA23" s="128" t="s">
        <v>42</v>
      </c>
      <c r="AB23" s="167">
        <v>393.60552000000001</v>
      </c>
      <c r="AC23" s="128" t="s">
        <v>49</v>
      </c>
    </row>
    <row r="24" spans="1:29" x14ac:dyDescent="0.25">
      <c r="A24" s="138">
        <v>2006</v>
      </c>
      <c r="B24" s="167">
        <v>11.477</v>
      </c>
      <c r="C24" s="167">
        <f t="shared" si="0"/>
        <v>0.53080073189857979</v>
      </c>
      <c r="D24" s="167">
        <v>2.2999999999999998</v>
      </c>
      <c r="E24" s="128" t="s">
        <v>118</v>
      </c>
      <c r="F24" s="167">
        <v>2.1920000000000002</v>
      </c>
      <c r="G24" s="70" t="s">
        <v>27</v>
      </c>
      <c r="H24" s="167">
        <v>1.6</v>
      </c>
      <c r="I24" s="128" t="s">
        <v>22</v>
      </c>
      <c r="J24" s="167"/>
      <c r="K24" s="138">
        <v>2006</v>
      </c>
      <c r="L24" s="167">
        <v>4102.4937</v>
      </c>
      <c r="M24" s="167">
        <f t="shared" si="1"/>
        <v>0.58971294215515802</v>
      </c>
      <c r="N24" s="167">
        <v>1580</v>
      </c>
      <c r="O24" s="128" t="s">
        <v>22</v>
      </c>
      <c r="P24" s="167">
        <v>518.42565000000002</v>
      </c>
      <c r="Q24" s="128" t="s">
        <v>118</v>
      </c>
      <c r="R24" s="167">
        <v>320.86797999999999</v>
      </c>
      <c r="S24" s="128" t="s">
        <v>29</v>
      </c>
      <c r="T24" s="141"/>
      <c r="U24" s="138">
        <v>2006</v>
      </c>
      <c r="V24" s="167">
        <v>4932.2136600000003</v>
      </c>
      <c r="W24" s="167">
        <f t="shared" si="2"/>
        <v>0.74279728587427007</v>
      </c>
      <c r="X24" s="167">
        <v>2376</v>
      </c>
      <c r="Y24" s="128" t="s">
        <v>22</v>
      </c>
      <c r="Z24" s="167">
        <v>770.88</v>
      </c>
      <c r="AA24" s="128" t="s">
        <v>42</v>
      </c>
      <c r="AB24" s="167">
        <v>516.75492000000008</v>
      </c>
      <c r="AC24" s="128" t="s">
        <v>49</v>
      </c>
    </row>
    <row r="25" spans="1:29" x14ac:dyDescent="0.25">
      <c r="A25" s="138" t="s">
        <v>4</v>
      </c>
      <c r="B25" s="167">
        <v>12.11</v>
      </c>
      <c r="C25" s="167">
        <f t="shared" si="0"/>
        <v>0.58959537572254339</v>
      </c>
      <c r="D25" s="167">
        <v>2.6</v>
      </c>
      <c r="E25" s="128" t="s">
        <v>118</v>
      </c>
      <c r="F25" s="167">
        <v>2.54</v>
      </c>
      <c r="G25" s="70" t="s">
        <v>27</v>
      </c>
      <c r="H25" s="167">
        <v>2</v>
      </c>
      <c r="I25" s="128" t="s">
        <v>22</v>
      </c>
      <c r="J25" s="167"/>
      <c r="K25" s="138" t="s">
        <v>4</v>
      </c>
      <c r="L25" s="167">
        <v>4618.0074100000002</v>
      </c>
      <c r="M25" s="167">
        <f t="shared" si="1"/>
        <v>0.62419907420633614</v>
      </c>
      <c r="N25" s="167">
        <v>1998.7</v>
      </c>
      <c r="O25" s="128" t="s">
        <v>22</v>
      </c>
      <c r="P25" s="167">
        <v>551.93666000000007</v>
      </c>
      <c r="Q25" s="128" t="s">
        <v>118</v>
      </c>
      <c r="R25" s="167">
        <v>331.91928999999999</v>
      </c>
      <c r="S25" s="128" t="s">
        <v>29</v>
      </c>
      <c r="T25" s="141"/>
      <c r="U25" s="138" t="s">
        <v>4</v>
      </c>
      <c r="V25" s="167">
        <v>5603.0600999999997</v>
      </c>
      <c r="W25" s="167">
        <f t="shared" si="2"/>
        <v>0.76946976171110493</v>
      </c>
      <c r="X25" s="167">
        <v>2864.4</v>
      </c>
      <c r="Y25" s="128" t="s">
        <v>22</v>
      </c>
      <c r="Z25" s="167">
        <v>845.46</v>
      </c>
      <c r="AA25" s="128" t="s">
        <v>42</v>
      </c>
      <c r="AB25" s="167">
        <v>601.52532000000008</v>
      </c>
      <c r="AC25" s="128" t="s">
        <v>49</v>
      </c>
    </row>
    <row r="26" spans="1:29" x14ac:dyDescent="0.25">
      <c r="A26" s="138" t="s">
        <v>5</v>
      </c>
      <c r="B26" s="167">
        <v>12.996</v>
      </c>
      <c r="C26" s="167">
        <f t="shared" si="0"/>
        <v>0.57094490612496152</v>
      </c>
      <c r="D26" s="167">
        <v>2.9</v>
      </c>
      <c r="E26" s="128" t="s">
        <v>118</v>
      </c>
      <c r="F26" s="167">
        <v>2.3199999999999998</v>
      </c>
      <c r="G26" s="70" t="s">
        <v>27</v>
      </c>
      <c r="H26" s="167">
        <v>2.2000000000000002</v>
      </c>
      <c r="I26" s="128" t="s">
        <v>22</v>
      </c>
      <c r="J26" s="167"/>
      <c r="K26" s="138" t="s">
        <v>5</v>
      </c>
      <c r="L26" s="167">
        <v>4632.6121399999993</v>
      </c>
      <c r="M26" s="167">
        <f t="shared" si="1"/>
        <v>0.61973739722574761</v>
      </c>
      <c r="N26" s="167">
        <v>2133</v>
      </c>
      <c r="O26" s="128" t="s">
        <v>22</v>
      </c>
      <c r="P26" s="167">
        <v>397.37</v>
      </c>
      <c r="Q26" s="128" t="s">
        <v>118</v>
      </c>
      <c r="R26" s="167">
        <v>340.63299000000001</v>
      </c>
      <c r="S26" s="128" t="s">
        <v>29</v>
      </c>
      <c r="T26" s="141"/>
      <c r="U26" s="138" t="s">
        <v>5</v>
      </c>
      <c r="V26" s="167">
        <v>5689.5484800000004</v>
      </c>
      <c r="W26" s="167">
        <f t="shared" si="2"/>
        <v>0.78723229017990537</v>
      </c>
      <c r="X26" s="167">
        <v>3300</v>
      </c>
      <c r="Y26" s="128" t="s">
        <v>22</v>
      </c>
      <c r="Z26" s="167">
        <v>590.63400000000001</v>
      </c>
      <c r="AA26" s="128" t="s">
        <v>42</v>
      </c>
      <c r="AB26" s="167">
        <v>588.36228000000006</v>
      </c>
      <c r="AC26" s="128" t="s">
        <v>49</v>
      </c>
    </row>
    <row r="27" spans="1:29" x14ac:dyDescent="0.25">
      <c r="A27" s="138" t="s">
        <v>6</v>
      </c>
      <c r="B27" s="167">
        <v>10.795999999999999</v>
      </c>
      <c r="C27" s="167">
        <f t="shared" si="0"/>
        <v>0.59651722860318634</v>
      </c>
      <c r="D27" s="167">
        <v>2.4</v>
      </c>
      <c r="E27" s="128" t="s">
        <v>22</v>
      </c>
      <c r="F27" s="167">
        <v>2.14</v>
      </c>
      <c r="G27" s="70" t="s">
        <v>27</v>
      </c>
      <c r="H27" s="167">
        <v>1.9</v>
      </c>
      <c r="I27" s="128" t="s">
        <v>118</v>
      </c>
      <c r="J27" s="167"/>
      <c r="K27" s="138" t="s">
        <v>6</v>
      </c>
      <c r="L27" s="167">
        <v>3560.4762799999999</v>
      </c>
      <c r="M27" s="167">
        <f t="shared" si="1"/>
        <v>0.70354733552669535</v>
      </c>
      <c r="N27" s="167">
        <v>1911.8</v>
      </c>
      <c r="O27" s="128" t="s">
        <v>22</v>
      </c>
      <c r="P27" s="167">
        <v>307.67734999999999</v>
      </c>
      <c r="Q27" s="128" t="s">
        <v>49</v>
      </c>
      <c r="R27" s="167">
        <v>285.48624999999998</v>
      </c>
      <c r="S27" s="128" t="s">
        <v>29</v>
      </c>
      <c r="T27" s="141"/>
      <c r="U27" s="138" t="s">
        <v>6</v>
      </c>
      <c r="V27" s="167">
        <v>5671.2757199999996</v>
      </c>
      <c r="W27" s="167">
        <f t="shared" si="2"/>
        <v>0.84625529015894874</v>
      </c>
      <c r="X27" s="167">
        <v>3583.8</v>
      </c>
      <c r="Y27" s="128" t="s">
        <v>22</v>
      </c>
      <c r="Z27" s="167">
        <v>725.89308000000005</v>
      </c>
      <c r="AA27" s="128" t="s">
        <v>49</v>
      </c>
      <c r="AB27" s="167">
        <v>489.654</v>
      </c>
      <c r="AC27" s="128" t="s">
        <v>42</v>
      </c>
    </row>
    <row r="28" spans="1:29" x14ac:dyDescent="0.25">
      <c r="A28" s="138" t="s">
        <v>7</v>
      </c>
      <c r="B28" s="167">
        <v>13.968999999999999</v>
      </c>
      <c r="C28" s="167">
        <f t="shared" si="0"/>
        <v>0.61564893693177758</v>
      </c>
      <c r="D28" s="167">
        <v>3.1</v>
      </c>
      <c r="E28" s="128" t="s">
        <v>27</v>
      </c>
      <c r="F28" s="167">
        <v>2.9</v>
      </c>
      <c r="G28" s="70" t="s">
        <v>118</v>
      </c>
      <c r="H28" s="167">
        <v>2.6</v>
      </c>
      <c r="I28" s="128" t="s">
        <v>22</v>
      </c>
      <c r="J28" s="167"/>
      <c r="K28" s="138" t="s">
        <v>7</v>
      </c>
      <c r="L28" s="167">
        <v>4498.2323499999993</v>
      </c>
      <c r="M28" s="167">
        <f t="shared" si="1"/>
        <v>0.63809050459565531</v>
      </c>
      <c r="N28" s="167">
        <v>2093.5</v>
      </c>
      <c r="O28" s="128" t="s">
        <v>22</v>
      </c>
      <c r="P28" s="167">
        <v>418.7</v>
      </c>
      <c r="Q28" s="128" t="s">
        <v>118</v>
      </c>
      <c r="R28" s="167">
        <v>358.07934999999998</v>
      </c>
      <c r="S28" s="128" t="s">
        <v>29</v>
      </c>
      <c r="T28" s="141"/>
      <c r="U28" s="138" t="s">
        <v>7</v>
      </c>
      <c r="V28" s="167">
        <v>6246.6551399999998</v>
      </c>
      <c r="W28" s="167">
        <f t="shared" si="2"/>
        <v>0.80725826654166788</v>
      </c>
      <c r="X28" s="167">
        <v>3762</v>
      </c>
      <c r="Y28" s="128" t="s">
        <v>22</v>
      </c>
      <c r="Z28" s="167">
        <v>660</v>
      </c>
      <c r="AA28" s="128" t="s">
        <v>49</v>
      </c>
      <c r="AB28" s="167">
        <v>620.66399999999999</v>
      </c>
      <c r="AC28" s="128" t="s">
        <v>42</v>
      </c>
    </row>
    <row r="29" spans="1:29" x14ac:dyDescent="0.25">
      <c r="A29" s="141"/>
      <c r="B29" s="167"/>
      <c r="C29" s="167"/>
      <c r="D29" s="128"/>
      <c r="E29" s="167"/>
      <c r="F29" s="128"/>
      <c r="G29" s="167"/>
      <c r="H29" s="128"/>
      <c r="I29" s="141"/>
      <c r="J29" s="141"/>
      <c r="K29" s="141"/>
      <c r="L29" s="167"/>
      <c r="M29" s="167"/>
      <c r="N29" s="128"/>
      <c r="O29" s="167"/>
      <c r="P29" s="128"/>
      <c r="Q29" s="167"/>
      <c r="R29" s="128"/>
      <c r="S29" s="167"/>
      <c r="T29" s="141"/>
      <c r="U29" s="141"/>
      <c r="V29" s="167"/>
      <c r="W29" s="167"/>
      <c r="X29" s="128"/>
      <c r="Y29" s="167"/>
      <c r="Z29" s="128"/>
      <c r="AA29" s="167"/>
      <c r="AB29" s="128"/>
      <c r="AC29" s="167"/>
    </row>
    <row r="30" spans="1:29" x14ac:dyDescent="0.25">
      <c r="A30" s="141"/>
      <c r="B30" s="167"/>
      <c r="C30" s="167"/>
      <c r="D30" s="128"/>
      <c r="E30" s="167"/>
      <c r="F30" s="128"/>
      <c r="G30" s="167"/>
      <c r="H30" s="179"/>
      <c r="I30" s="141"/>
      <c r="J30" s="141"/>
      <c r="K30" s="137" t="s">
        <v>621</v>
      </c>
      <c r="L30" s="167"/>
      <c r="M30" s="167"/>
      <c r="N30" s="128"/>
      <c r="O30" s="167"/>
      <c r="P30" s="128"/>
      <c r="Q30" s="167"/>
      <c r="R30" s="128"/>
      <c r="S30" s="167"/>
      <c r="T30" s="141"/>
      <c r="U30" s="137" t="s">
        <v>621</v>
      </c>
      <c r="V30" s="167"/>
      <c r="W30" s="167"/>
      <c r="X30" s="128"/>
      <c r="Y30" s="167"/>
      <c r="Z30" s="128"/>
      <c r="AA30" s="167"/>
      <c r="AB30" s="128"/>
      <c r="AC30" s="167"/>
    </row>
  </sheetData>
  <mergeCells count="20">
    <mergeCell ref="B6:B7"/>
    <mergeCell ref="L6:L7"/>
    <mergeCell ref="AB6:AC6"/>
    <mergeCell ref="W6:W7"/>
    <mergeCell ref="P6:Q6"/>
    <mergeCell ref="R6:S6"/>
    <mergeCell ref="M6:M7"/>
    <mergeCell ref="X6:Y6"/>
    <mergeCell ref="Z6:AA6"/>
    <mergeCell ref="D6:E6"/>
    <mergeCell ref="F6:G6"/>
    <mergeCell ref="H6:I6"/>
    <mergeCell ref="C6:C7"/>
    <mergeCell ref="N6:O6"/>
    <mergeCell ref="A1:I2"/>
    <mergeCell ref="K1:S2"/>
    <mergeCell ref="U1:AC2"/>
    <mergeCell ref="B5:I5"/>
    <mergeCell ref="L5:S5"/>
    <mergeCell ref="V5:AC5"/>
  </mergeCells>
  <pageMargins left="1" right="1" top="1" bottom="1" header="0" footer="0"/>
  <pageSetup scale="93" orientation="landscape" r:id="rId1"/>
  <colBreaks count="2" manualBreakCount="2">
    <brk id="9" max="29" man="1"/>
    <brk id="19" max="29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59" customWidth="1"/>
    <col min="3" max="3" width="14" style="59" customWidth="1"/>
    <col min="4" max="4" width="13.28515625" style="58" customWidth="1"/>
    <col min="5" max="5" width="13.28515625" style="59" customWidth="1"/>
    <col min="6" max="6" width="13.28515625" style="58" customWidth="1"/>
    <col min="7" max="7" width="13.28515625" style="59" customWidth="1"/>
    <col min="8" max="8" width="13.28515625" style="58" customWidth="1"/>
    <col min="9" max="9" width="13.28515625" customWidth="1"/>
  </cols>
  <sheetData>
    <row r="1" spans="1:10" ht="15" customHeight="1" x14ac:dyDescent="0.25">
      <c r="A1" s="278" t="s">
        <v>434</v>
      </c>
      <c r="B1" s="278"/>
      <c r="C1" s="278"/>
      <c r="D1" s="278"/>
      <c r="E1" s="278"/>
      <c r="F1" s="278"/>
      <c r="G1" s="278"/>
      <c r="H1" s="278"/>
      <c r="I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10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10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10" x14ac:dyDescent="0.25">
      <c r="A5" s="105"/>
      <c r="B5" s="283" t="s">
        <v>168</v>
      </c>
      <c r="C5" s="283"/>
      <c r="D5" s="283"/>
      <c r="E5" s="283"/>
      <c r="F5" s="283"/>
      <c r="G5" s="283"/>
      <c r="H5" s="283"/>
      <c r="I5" s="283"/>
    </row>
    <row r="6" spans="1:10" s="11" customFormat="1" x14ac:dyDescent="0.25">
      <c r="A6" s="101"/>
      <c r="B6" s="282" t="s">
        <v>414</v>
      </c>
      <c r="C6" s="282" t="s">
        <v>299</v>
      </c>
      <c r="D6" s="271" t="s">
        <v>275</v>
      </c>
      <c r="E6" s="271"/>
      <c r="F6" s="271" t="s">
        <v>32</v>
      </c>
      <c r="G6" s="271"/>
      <c r="H6" s="271" t="s">
        <v>33</v>
      </c>
      <c r="I6" s="271"/>
    </row>
    <row r="7" spans="1:10" s="11" customFormat="1" ht="25.5" customHeight="1" x14ac:dyDescent="0.25">
      <c r="A7" s="100" t="s">
        <v>368</v>
      </c>
      <c r="B7" s="281"/>
      <c r="C7" s="281"/>
      <c r="D7" s="104" t="s">
        <v>8</v>
      </c>
      <c r="E7" s="95" t="s">
        <v>3</v>
      </c>
      <c r="F7" s="104" t="s">
        <v>8</v>
      </c>
      <c r="G7" s="95" t="s">
        <v>3</v>
      </c>
      <c r="H7" s="104" t="s">
        <v>8</v>
      </c>
      <c r="I7" s="104" t="s">
        <v>3</v>
      </c>
    </row>
    <row r="8" spans="1:10" x14ac:dyDescent="0.25">
      <c r="A8" s="138">
        <v>1990</v>
      </c>
      <c r="B8" s="167">
        <v>4.0999999999999996</v>
      </c>
      <c r="C8" s="167">
        <f t="shared" ref="C8:C28" si="0">(+D8/B8)+(+F8/B8)+(+H8/B8)</f>
        <v>0.61829268292682937</v>
      </c>
      <c r="D8" s="167">
        <v>1</v>
      </c>
      <c r="E8" s="70" t="s">
        <v>22</v>
      </c>
      <c r="F8" s="167">
        <v>0.8</v>
      </c>
      <c r="G8" s="70" t="s">
        <v>37</v>
      </c>
      <c r="H8" s="167">
        <v>0.73499999999999999</v>
      </c>
      <c r="I8" s="128" t="s">
        <v>73</v>
      </c>
      <c r="J8" s="59"/>
    </row>
    <row r="9" spans="1:10" x14ac:dyDescent="0.25">
      <c r="A9" s="138">
        <v>1991</v>
      </c>
      <c r="B9" s="167">
        <v>2.54</v>
      </c>
      <c r="C9" s="167">
        <f t="shared" si="0"/>
        <v>0.76417322834645673</v>
      </c>
      <c r="D9" s="167">
        <v>0.76</v>
      </c>
      <c r="E9" s="70" t="s">
        <v>22</v>
      </c>
      <c r="F9" s="167">
        <v>0.75</v>
      </c>
      <c r="G9" s="70" t="s">
        <v>37</v>
      </c>
      <c r="H9" s="167">
        <v>0.43099999999999999</v>
      </c>
      <c r="I9" s="128" t="s">
        <v>169</v>
      </c>
      <c r="J9" s="59"/>
    </row>
    <row r="10" spans="1:10" x14ac:dyDescent="0.25">
      <c r="A10" s="138">
        <v>1992</v>
      </c>
      <c r="B10" s="167">
        <v>1.96</v>
      </c>
      <c r="C10" s="167">
        <f t="shared" si="0"/>
        <v>0.71734693877551026</v>
      </c>
      <c r="D10" s="167">
        <v>0.57999999999999996</v>
      </c>
      <c r="E10" s="70" t="s">
        <v>22</v>
      </c>
      <c r="F10" s="167">
        <v>0.47599999999999998</v>
      </c>
      <c r="G10" s="70" t="s">
        <v>169</v>
      </c>
      <c r="H10" s="167">
        <v>0.35</v>
      </c>
      <c r="I10" s="70" t="s">
        <v>81</v>
      </c>
      <c r="J10" s="59"/>
    </row>
    <row r="11" spans="1:10" x14ac:dyDescent="0.25">
      <c r="A11" s="138">
        <v>1993</v>
      </c>
      <c r="B11" s="167">
        <v>2.39</v>
      </c>
      <c r="C11" s="167">
        <f t="shared" si="0"/>
        <v>0.55606694560669456</v>
      </c>
      <c r="D11" s="167">
        <v>0.52</v>
      </c>
      <c r="E11" s="70" t="s">
        <v>22</v>
      </c>
      <c r="F11" s="167">
        <v>0.45900000000000002</v>
      </c>
      <c r="G11" s="70" t="s">
        <v>169</v>
      </c>
      <c r="H11" s="167">
        <v>0.35</v>
      </c>
      <c r="I11" s="70" t="s">
        <v>81</v>
      </c>
      <c r="J11" s="59"/>
    </row>
    <row r="12" spans="1:10" x14ac:dyDescent="0.25">
      <c r="A12" s="138">
        <v>1994</v>
      </c>
      <c r="B12" s="167">
        <v>1.96</v>
      </c>
      <c r="C12" s="167">
        <f t="shared" si="0"/>
        <v>0.64438775510204083</v>
      </c>
      <c r="D12" s="167">
        <v>0.47</v>
      </c>
      <c r="E12" s="70" t="s">
        <v>22</v>
      </c>
      <c r="F12" s="167">
        <v>0.41399999999999998</v>
      </c>
      <c r="G12" s="70" t="s">
        <v>169</v>
      </c>
      <c r="H12" s="167">
        <v>0.379</v>
      </c>
      <c r="I12" s="70" t="s">
        <v>81</v>
      </c>
      <c r="J12" s="59"/>
    </row>
    <row r="13" spans="1:10" x14ac:dyDescent="0.25">
      <c r="A13" s="138">
        <v>1995</v>
      </c>
      <c r="B13" s="167">
        <v>3.19</v>
      </c>
      <c r="C13" s="167">
        <f t="shared" si="0"/>
        <v>0.83291536050156734</v>
      </c>
      <c r="D13" s="167">
        <v>1.4970000000000001</v>
      </c>
      <c r="E13" s="70" t="s">
        <v>72</v>
      </c>
      <c r="F13" s="167">
        <v>0.78</v>
      </c>
      <c r="G13" s="70" t="s">
        <v>22</v>
      </c>
      <c r="H13" s="167">
        <v>0.38</v>
      </c>
      <c r="I13" s="128" t="s">
        <v>81</v>
      </c>
      <c r="J13" s="59"/>
    </row>
    <row r="14" spans="1:10" x14ac:dyDescent="0.25">
      <c r="A14" s="138">
        <v>1996</v>
      </c>
      <c r="B14" s="167">
        <v>2.56</v>
      </c>
      <c r="C14" s="167">
        <f t="shared" si="0"/>
        <v>0.76406249999999998</v>
      </c>
      <c r="D14" s="167">
        <v>0.86199999999999999</v>
      </c>
      <c r="E14" s="70" t="s">
        <v>72</v>
      </c>
      <c r="F14" s="167">
        <v>0.58399999999999996</v>
      </c>
      <c r="G14" s="70" t="s">
        <v>81</v>
      </c>
      <c r="H14" s="167">
        <v>0.51</v>
      </c>
      <c r="I14" s="128" t="s">
        <v>22</v>
      </c>
      <c r="J14" s="59"/>
    </row>
    <row r="15" spans="1:10" x14ac:dyDescent="0.25">
      <c r="A15" s="138">
        <v>1997</v>
      </c>
      <c r="B15" s="167">
        <v>2.41</v>
      </c>
      <c r="C15" s="167">
        <f t="shared" si="0"/>
        <v>0.75809128630705391</v>
      </c>
      <c r="D15" s="167">
        <v>0.83</v>
      </c>
      <c r="E15" s="70" t="s">
        <v>22</v>
      </c>
      <c r="F15" s="167">
        <v>0.55000000000000004</v>
      </c>
      <c r="G15" s="70" t="s">
        <v>81</v>
      </c>
      <c r="H15" s="167">
        <v>0.44700000000000001</v>
      </c>
      <c r="I15" s="70" t="s">
        <v>169</v>
      </c>
      <c r="J15" s="59"/>
    </row>
    <row r="16" spans="1:10" x14ac:dyDescent="0.25">
      <c r="A16" s="138">
        <v>1998</v>
      </c>
      <c r="B16" s="167">
        <v>1.58</v>
      </c>
      <c r="C16" s="167">
        <f t="shared" si="0"/>
        <v>0.73101265822784811</v>
      </c>
      <c r="D16" s="167">
        <v>0.67500000000000004</v>
      </c>
      <c r="E16" s="128" t="s">
        <v>72</v>
      </c>
      <c r="F16" s="167">
        <v>0.25</v>
      </c>
      <c r="G16" s="70" t="s">
        <v>81</v>
      </c>
      <c r="H16" s="167">
        <v>0.23</v>
      </c>
      <c r="I16" s="128" t="s">
        <v>22</v>
      </c>
      <c r="J16" s="59"/>
    </row>
    <row r="17" spans="1:10" x14ac:dyDescent="0.25">
      <c r="A17" s="138">
        <v>1999</v>
      </c>
      <c r="B17" s="167">
        <v>1.32</v>
      </c>
      <c r="C17" s="167">
        <f t="shared" si="0"/>
        <v>0.73712121212121207</v>
      </c>
      <c r="D17" s="167">
        <v>0.433</v>
      </c>
      <c r="E17" s="128" t="s">
        <v>72</v>
      </c>
      <c r="F17" s="167">
        <v>0.3</v>
      </c>
      <c r="G17" s="70" t="s">
        <v>81</v>
      </c>
      <c r="H17" s="167">
        <v>0.24</v>
      </c>
      <c r="I17" s="128" t="s">
        <v>169</v>
      </c>
      <c r="J17" s="59"/>
    </row>
    <row r="18" spans="1:10" x14ac:dyDescent="0.25">
      <c r="A18" s="138">
        <v>2000</v>
      </c>
      <c r="B18" s="167">
        <v>1.36</v>
      </c>
      <c r="C18" s="167">
        <f t="shared" si="0"/>
        <v>0.71544117647058825</v>
      </c>
      <c r="D18" s="167">
        <v>0.5</v>
      </c>
      <c r="E18" s="128" t="s">
        <v>72</v>
      </c>
      <c r="F18" s="167">
        <v>0.25700000000000001</v>
      </c>
      <c r="G18" s="70" t="s">
        <v>81</v>
      </c>
      <c r="H18" s="167">
        <v>0.216</v>
      </c>
      <c r="I18" s="128" t="s">
        <v>169</v>
      </c>
      <c r="J18" s="59"/>
    </row>
    <row r="19" spans="1:10" x14ac:dyDescent="0.25">
      <c r="A19" s="138">
        <v>2001</v>
      </c>
      <c r="B19" s="167">
        <v>1.5</v>
      </c>
      <c r="C19" s="167">
        <f t="shared" si="0"/>
        <v>0.74733333333333329</v>
      </c>
      <c r="D19" s="167">
        <v>0.5</v>
      </c>
      <c r="E19" s="128" t="s">
        <v>72</v>
      </c>
      <c r="F19" s="167">
        <v>0.32100000000000001</v>
      </c>
      <c r="G19" s="70" t="s">
        <v>169</v>
      </c>
      <c r="H19" s="167">
        <v>0.3</v>
      </c>
      <c r="I19" s="128" t="s">
        <v>81</v>
      </c>
      <c r="J19" s="59"/>
    </row>
    <row r="20" spans="1:10" x14ac:dyDescent="0.25">
      <c r="A20" s="138">
        <v>2002</v>
      </c>
      <c r="B20" s="167">
        <v>1.98</v>
      </c>
      <c r="C20" s="167">
        <f t="shared" si="0"/>
        <v>0.77222222222222214</v>
      </c>
      <c r="D20" s="167">
        <v>0.72699999999999998</v>
      </c>
      <c r="E20" s="70" t="s">
        <v>72</v>
      </c>
      <c r="F20" s="167">
        <v>0.495</v>
      </c>
      <c r="G20" s="70" t="s">
        <v>22</v>
      </c>
      <c r="H20" s="167">
        <v>0.307</v>
      </c>
      <c r="I20" s="128" t="s">
        <v>169</v>
      </c>
      <c r="J20" s="59"/>
    </row>
    <row r="21" spans="1:10" x14ac:dyDescent="0.25">
      <c r="A21" s="138">
        <v>2003</v>
      </c>
      <c r="B21" s="167">
        <v>1.73</v>
      </c>
      <c r="C21" s="167">
        <f t="shared" si="0"/>
        <v>0.81502890173410414</v>
      </c>
      <c r="D21" s="167">
        <v>0.61</v>
      </c>
      <c r="E21" s="70" t="s">
        <v>22</v>
      </c>
      <c r="F21" s="167">
        <v>0.5</v>
      </c>
      <c r="G21" s="70" t="s">
        <v>72</v>
      </c>
      <c r="H21" s="167">
        <v>0.3</v>
      </c>
      <c r="I21" s="70" t="s">
        <v>81</v>
      </c>
      <c r="J21" s="59"/>
    </row>
    <row r="22" spans="1:10" x14ac:dyDescent="0.25">
      <c r="A22" s="138">
        <v>2004</v>
      </c>
      <c r="B22" s="167">
        <v>1.9</v>
      </c>
      <c r="C22" s="167">
        <f t="shared" si="0"/>
        <v>0.88947368421052619</v>
      </c>
      <c r="D22" s="167">
        <v>1.1399999999999999</v>
      </c>
      <c r="E22" s="128" t="s">
        <v>22</v>
      </c>
      <c r="F22" s="167">
        <v>0.3</v>
      </c>
      <c r="G22" s="70" t="s">
        <v>81</v>
      </c>
      <c r="H22" s="167">
        <v>0.25</v>
      </c>
      <c r="I22" s="128" t="s">
        <v>72</v>
      </c>
      <c r="J22" s="59"/>
    </row>
    <row r="23" spans="1:10" x14ac:dyDescent="0.25">
      <c r="A23" s="138">
        <v>2005</v>
      </c>
      <c r="B23" s="167">
        <v>1.52</v>
      </c>
      <c r="C23" s="167">
        <f t="shared" si="0"/>
        <v>0.92236842105263162</v>
      </c>
      <c r="D23" s="167">
        <v>1.1000000000000001</v>
      </c>
      <c r="E23" s="128" t="s">
        <v>22</v>
      </c>
      <c r="F23" s="167">
        <v>0.2</v>
      </c>
      <c r="G23" s="70" t="s">
        <v>81</v>
      </c>
      <c r="H23" s="167">
        <v>0.10199999999999999</v>
      </c>
      <c r="I23" s="128" t="s">
        <v>44</v>
      </c>
      <c r="J23" s="59"/>
    </row>
    <row r="24" spans="1:10" x14ac:dyDescent="0.25">
      <c r="A24" s="138">
        <v>2006</v>
      </c>
      <c r="B24" s="167">
        <v>1.1499999999999999</v>
      </c>
      <c r="C24" s="167">
        <f t="shared" si="0"/>
        <v>0.92173913043478262</v>
      </c>
      <c r="D24" s="167">
        <v>0.76</v>
      </c>
      <c r="E24" s="128" t="s">
        <v>22</v>
      </c>
      <c r="F24" s="167">
        <v>0.25</v>
      </c>
      <c r="G24" s="70" t="s">
        <v>81</v>
      </c>
      <c r="H24" s="167">
        <v>0.05</v>
      </c>
      <c r="I24" s="128" t="s">
        <v>24</v>
      </c>
      <c r="J24" s="59"/>
    </row>
    <row r="25" spans="1:10" x14ac:dyDescent="0.25">
      <c r="A25" s="138" t="s">
        <v>4</v>
      </c>
      <c r="B25" s="167">
        <v>1.2</v>
      </c>
      <c r="C25" s="167">
        <f t="shared" si="0"/>
        <v>0.91666666666666674</v>
      </c>
      <c r="D25" s="167">
        <v>0.8</v>
      </c>
      <c r="E25" s="128" t="s">
        <v>22</v>
      </c>
      <c r="F25" s="167">
        <v>0.25</v>
      </c>
      <c r="G25" s="70" t="s">
        <v>81</v>
      </c>
      <c r="H25" s="167">
        <v>0.05</v>
      </c>
      <c r="I25" s="128" t="s">
        <v>24</v>
      </c>
      <c r="J25" s="59"/>
    </row>
    <row r="26" spans="1:10" x14ac:dyDescent="0.25">
      <c r="A26" s="138" t="s">
        <v>5</v>
      </c>
      <c r="B26" s="167">
        <v>1.82</v>
      </c>
      <c r="C26" s="167">
        <f t="shared" si="0"/>
        <v>0.9263736263736263</v>
      </c>
      <c r="D26" s="167">
        <v>1.3</v>
      </c>
      <c r="E26" s="128" t="s">
        <v>22</v>
      </c>
      <c r="F26" s="167">
        <v>0.25</v>
      </c>
      <c r="G26" s="70" t="s">
        <v>81</v>
      </c>
      <c r="H26" s="167">
        <v>0.13600000000000001</v>
      </c>
      <c r="I26" s="128" t="s">
        <v>44</v>
      </c>
      <c r="J26" s="59"/>
    </row>
    <row r="27" spans="1:10" x14ac:dyDescent="0.25">
      <c r="A27" s="138" t="s">
        <v>6</v>
      </c>
      <c r="B27" s="167">
        <v>1.96</v>
      </c>
      <c r="C27" s="167">
        <f t="shared" si="0"/>
        <v>0.88877551020408163</v>
      </c>
      <c r="D27" s="167">
        <v>1.4</v>
      </c>
      <c r="E27" s="128" t="s">
        <v>22</v>
      </c>
      <c r="F27" s="167">
        <v>0.25</v>
      </c>
      <c r="G27" s="70" t="s">
        <v>81</v>
      </c>
      <c r="H27" s="167">
        <v>9.1999999999999998E-2</v>
      </c>
      <c r="I27" s="128" t="s">
        <v>44</v>
      </c>
      <c r="J27" s="59"/>
    </row>
    <row r="28" spans="1:10" x14ac:dyDescent="0.25">
      <c r="A28" s="138" t="s">
        <v>7</v>
      </c>
      <c r="B28" s="167">
        <v>2.25</v>
      </c>
      <c r="C28" s="167">
        <f t="shared" si="0"/>
        <v>0.90044444444444438</v>
      </c>
      <c r="D28" s="167">
        <v>1.6</v>
      </c>
      <c r="E28" s="128" t="s">
        <v>22</v>
      </c>
      <c r="F28" s="167">
        <v>0.25</v>
      </c>
      <c r="G28" s="70" t="s">
        <v>81</v>
      </c>
      <c r="H28" s="167">
        <v>0.17599999999999999</v>
      </c>
      <c r="I28" s="128" t="s">
        <v>78</v>
      </c>
      <c r="J28" s="59"/>
    </row>
    <row r="29" spans="1:10" x14ac:dyDescent="0.25">
      <c r="A29" s="141"/>
      <c r="B29" s="167"/>
      <c r="C29" s="167"/>
      <c r="D29" s="128"/>
      <c r="E29" s="167"/>
      <c r="F29" s="128"/>
      <c r="G29" s="167"/>
      <c r="H29" s="128"/>
      <c r="I29" s="141"/>
    </row>
    <row r="30" spans="1:10" x14ac:dyDescent="0.25">
      <c r="A30" s="141" t="s">
        <v>612</v>
      </c>
      <c r="B30" s="167"/>
      <c r="C30" s="167"/>
      <c r="D30" s="128"/>
      <c r="E30" s="167"/>
      <c r="F30" s="128"/>
      <c r="G30" s="167"/>
      <c r="H30" s="128"/>
      <c r="I30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Normal="100" workbookViewId="0">
      <selection activeCell="A90" sqref="A90"/>
    </sheetView>
  </sheetViews>
  <sheetFormatPr defaultRowHeight="15" x14ac:dyDescent="0.25"/>
  <cols>
    <col min="2" max="3" width="13.28515625" customWidth="1"/>
    <col min="4" max="4" width="14.85546875" customWidth="1"/>
    <col min="5" max="10" width="13.28515625" customWidth="1"/>
    <col min="11" max="11" width="1.7109375" customWidth="1"/>
    <col min="13" max="13" width="13.28515625" customWidth="1"/>
    <col min="14" max="14" width="14" customWidth="1"/>
    <col min="15" max="20" width="13.28515625" customWidth="1"/>
  </cols>
  <sheetData>
    <row r="1" spans="1:20" ht="15" customHeight="1" x14ac:dyDescent="0.25">
      <c r="A1" s="278" t="s">
        <v>366</v>
      </c>
      <c r="B1" s="278"/>
      <c r="C1" s="278"/>
      <c r="D1" s="278"/>
      <c r="E1" s="278"/>
      <c r="F1" s="278"/>
      <c r="G1" s="278"/>
      <c r="H1" s="278"/>
      <c r="I1" s="278"/>
      <c r="J1" s="278"/>
      <c r="L1" s="278" t="s">
        <v>371</v>
      </c>
      <c r="M1" s="278"/>
      <c r="N1" s="278"/>
      <c r="O1" s="278"/>
      <c r="P1" s="278"/>
      <c r="Q1" s="278"/>
      <c r="R1" s="278"/>
      <c r="S1" s="278"/>
      <c r="T1" s="278"/>
    </row>
    <row r="2" spans="1:2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1:20" x14ac:dyDescent="0.25">
      <c r="A3" s="5"/>
      <c r="B3" s="48"/>
      <c r="C3" s="92"/>
      <c r="D3" s="59"/>
      <c r="E3" s="59"/>
      <c r="F3" s="59"/>
      <c r="G3" s="59"/>
      <c r="H3" s="59"/>
      <c r="I3" s="59"/>
      <c r="L3" s="5"/>
      <c r="M3" s="48"/>
      <c r="N3" s="59"/>
      <c r="O3" s="58"/>
      <c r="P3" s="59"/>
      <c r="Q3" s="58"/>
      <c r="R3" s="59"/>
      <c r="S3" s="58"/>
    </row>
    <row r="4" spans="1:20" x14ac:dyDescent="0.25">
      <c r="A4" s="5"/>
      <c r="B4" s="48"/>
      <c r="C4" s="92"/>
      <c r="D4" s="59"/>
      <c r="E4" s="59"/>
      <c r="F4" s="59"/>
      <c r="G4" s="59"/>
      <c r="H4" s="59"/>
      <c r="I4" s="59"/>
      <c r="L4" s="5"/>
      <c r="M4" s="48"/>
      <c r="N4" s="59"/>
      <c r="O4" s="58"/>
      <c r="P4" s="59"/>
      <c r="Q4" s="58"/>
      <c r="R4" s="59"/>
      <c r="S4" s="58"/>
    </row>
    <row r="5" spans="1:20" x14ac:dyDescent="0.25">
      <c r="A5" s="105"/>
      <c r="B5" s="263" t="s">
        <v>367</v>
      </c>
      <c r="C5" s="263"/>
      <c r="D5" s="263"/>
      <c r="E5" s="263"/>
      <c r="F5" s="263"/>
      <c r="G5" s="263"/>
      <c r="H5" s="263"/>
      <c r="I5" s="263"/>
      <c r="J5" s="263"/>
      <c r="K5" s="141"/>
      <c r="L5" s="105"/>
      <c r="M5" s="263" t="s">
        <v>372</v>
      </c>
      <c r="N5" s="263"/>
      <c r="O5" s="263"/>
      <c r="P5" s="263"/>
      <c r="Q5" s="263"/>
      <c r="R5" s="263"/>
      <c r="S5" s="263"/>
      <c r="T5" s="263"/>
    </row>
    <row r="6" spans="1:20" x14ac:dyDescent="0.25">
      <c r="A6" s="101"/>
      <c r="B6" s="282" t="s">
        <v>369</v>
      </c>
      <c r="C6" s="282" t="s">
        <v>370</v>
      </c>
      <c r="D6" s="280" t="s">
        <v>299</v>
      </c>
      <c r="E6" s="271" t="s">
        <v>275</v>
      </c>
      <c r="F6" s="271"/>
      <c r="G6" s="279" t="s">
        <v>32</v>
      </c>
      <c r="H6" s="279"/>
      <c r="I6" s="279" t="s">
        <v>33</v>
      </c>
      <c r="J6" s="279"/>
      <c r="K6" s="165"/>
      <c r="L6" s="101"/>
      <c r="M6" s="282" t="s">
        <v>386</v>
      </c>
      <c r="N6" s="280" t="s">
        <v>299</v>
      </c>
      <c r="O6" s="271" t="s">
        <v>275</v>
      </c>
      <c r="P6" s="271"/>
      <c r="Q6" s="279" t="s">
        <v>32</v>
      </c>
      <c r="R6" s="279"/>
      <c r="S6" s="279" t="s">
        <v>33</v>
      </c>
      <c r="T6" s="279"/>
    </row>
    <row r="7" spans="1:20" ht="38.25" customHeight="1" x14ac:dyDescent="0.25">
      <c r="A7" s="100" t="s">
        <v>368</v>
      </c>
      <c r="B7" s="281"/>
      <c r="C7" s="281"/>
      <c r="D7" s="281"/>
      <c r="E7" s="100" t="s">
        <v>136</v>
      </c>
      <c r="F7" s="98" t="s">
        <v>3</v>
      </c>
      <c r="G7" s="100" t="s">
        <v>136</v>
      </c>
      <c r="H7" s="98" t="s">
        <v>3</v>
      </c>
      <c r="I7" s="100" t="s">
        <v>136</v>
      </c>
      <c r="J7" s="100" t="s">
        <v>3</v>
      </c>
      <c r="K7" s="165"/>
      <c r="L7" s="100" t="s">
        <v>368</v>
      </c>
      <c r="M7" s="281"/>
      <c r="N7" s="281"/>
      <c r="O7" s="100" t="s">
        <v>137</v>
      </c>
      <c r="P7" s="98" t="s">
        <v>3</v>
      </c>
      <c r="Q7" s="100" t="s">
        <v>137</v>
      </c>
      <c r="R7" s="98" t="s">
        <v>3</v>
      </c>
      <c r="S7" s="100" t="s">
        <v>137</v>
      </c>
      <c r="T7" s="100" t="s">
        <v>3</v>
      </c>
    </row>
    <row r="8" spans="1:20" x14ac:dyDescent="0.25">
      <c r="A8" s="138">
        <v>1990</v>
      </c>
      <c r="B8" s="166">
        <v>19300</v>
      </c>
      <c r="C8" s="166">
        <v>4050</v>
      </c>
      <c r="D8" s="167">
        <v>0.32766839378238344</v>
      </c>
      <c r="E8" s="4">
        <v>3523</v>
      </c>
      <c r="F8" s="128" t="s">
        <v>37</v>
      </c>
      <c r="G8" s="4">
        <v>1567</v>
      </c>
      <c r="H8" s="128" t="s">
        <v>38</v>
      </c>
      <c r="I8" s="167">
        <v>1234</v>
      </c>
      <c r="J8" s="128" t="s">
        <v>27</v>
      </c>
      <c r="K8" s="141"/>
      <c r="L8" s="138">
        <v>1990</v>
      </c>
      <c r="M8" s="167">
        <v>5300.880000000001</v>
      </c>
      <c r="N8" s="167">
        <v>0.37352288676597084</v>
      </c>
      <c r="O8" s="4">
        <v>1090</v>
      </c>
      <c r="P8" s="128" t="s">
        <v>29</v>
      </c>
      <c r="Q8" s="4">
        <v>540</v>
      </c>
      <c r="R8" s="128" t="s">
        <v>57</v>
      </c>
      <c r="S8" s="167">
        <v>350</v>
      </c>
      <c r="T8" s="128" t="s">
        <v>140</v>
      </c>
    </row>
    <row r="9" spans="1:20" x14ac:dyDescent="0.25">
      <c r="A9" s="138">
        <v>1991</v>
      </c>
      <c r="B9" s="166">
        <v>19700</v>
      </c>
      <c r="C9" s="166">
        <v>4121</v>
      </c>
      <c r="D9" s="167">
        <v>0.31984771573604065</v>
      </c>
      <c r="E9" s="4">
        <v>3251</v>
      </c>
      <c r="F9" s="128" t="s">
        <v>37</v>
      </c>
      <c r="G9" s="4">
        <v>1822</v>
      </c>
      <c r="H9" s="128" t="s">
        <v>38</v>
      </c>
      <c r="I9" s="167">
        <v>1228</v>
      </c>
      <c r="J9" s="128" t="s">
        <v>27</v>
      </c>
      <c r="K9" s="141"/>
      <c r="L9" s="138">
        <v>1991</v>
      </c>
      <c r="M9" s="167">
        <v>5223.8999999999996</v>
      </c>
      <c r="N9" s="167">
        <v>0.37768716859051671</v>
      </c>
      <c r="O9" s="4">
        <v>1090</v>
      </c>
      <c r="P9" s="128" t="s">
        <v>29</v>
      </c>
      <c r="Q9" s="4">
        <v>540</v>
      </c>
      <c r="R9" s="128" t="s">
        <v>57</v>
      </c>
      <c r="S9" s="167">
        <v>343</v>
      </c>
      <c r="T9" s="128" t="s">
        <v>140</v>
      </c>
    </row>
    <row r="10" spans="1:20" x14ac:dyDescent="0.25">
      <c r="A10" s="138">
        <v>1992</v>
      </c>
      <c r="B10" s="166">
        <v>19500</v>
      </c>
      <c r="C10" s="166">
        <v>4042</v>
      </c>
      <c r="D10" s="167">
        <v>0.30297435897435898</v>
      </c>
      <c r="E10" s="167">
        <v>2700</v>
      </c>
      <c r="F10" s="128" t="s">
        <v>24</v>
      </c>
      <c r="G10" s="167">
        <v>1972</v>
      </c>
      <c r="H10" s="128" t="s">
        <v>38</v>
      </c>
      <c r="I10" s="167">
        <v>1236</v>
      </c>
      <c r="J10" s="128" t="s">
        <v>27</v>
      </c>
      <c r="K10" s="141"/>
      <c r="L10" s="138">
        <v>1992</v>
      </c>
      <c r="M10" s="167">
        <v>5901.1999999999989</v>
      </c>
      <c r="N10" s="167">
        <v>0.33733816850810011</v>
      </c>
      <c r="O10" s="167">
        <v>1096</v>
      </c>
      <c r="P10" s="128" t="s">
        <v>29</v>
      </c>
      <c r="Q10" s="167">
        <v>541.6</v>
      </c>
      <c r="R10" s="128" t="s">
        <v>57</v>
      </c>
      <c r="S10" s="167">
        <v>353.1</v>
      </c>
      <c r="T10" s="128" t="s">
        <v>140</v>
      </c>
    </row>
    <row r="11" spans="1:20" x14ac:dyDescent="0.25">
      <c r="A11" s="138">
        <v>1993</v>
      </c>
      <c r="B11" s="166">
        <v>19800</v>
      </c>
      <c r="C11" s="166">
        <v>3695</v>
      </c>
      <c r="D11" s="167">
        <v>0.32873737373737377</v>
      </c>
      <c r="E11" s="167">
        <v>2820</v>
      </c>
      <c r="F11" s="128" t="s">
        <v>24</v>
      </c>
      <c r="G11" s="167">
        <v>2308</v>
      </c>
      <c r="H11" s="128" t="s">
        <v>38</v>
      </c>
      <c r="I11" s="167">
        <v>1381</v>
      </c>
      <c r="J11" s="128" t="s">
        <v>27</v>
      </c>
      <c r="K11" s="141"/>
      <c r="L11" s="138">
        <v>1993</v>
      </c>
      <c r="M11" s="167">
        <v>5918.5539999999992</v>
      </c>
      <c r="N11" s="167">
        <v>0.33043544081882165</v>
      </c>
      <c r="O11" s="167">
        <v>1074</v>
      </c>
      <c r="P11" s="128" t="s">
        <v>29</v>
      </c>
      <c r="Q11" s="167">
        <v>535.6</v>
      </c>
      <c r="R11" s="128" t="s">
        <v>57</v>
      </c>
      <c r="S11" s="167">
        <v>346.1</v>
      </c>
      <c r="T11" s="128" t="s">
        <v>140</v>
      </c>
    </row>
    <row r="12" spans="1:20" x14ac:dyDescent="0.25">
      <c r="A12" s="138">
        <v>1994</v>
      </c>
      <c r="B12" s="166">
        <v>19200</v>
      </c>
      <c r="C12" s="166">
        <v>3299</v>
      </c>
      <c r="D12" s="167">
        <v>0.33203125</v>
      </c>
      <c r="E12" s="167">
        <v>2670</v>
      </c>
      <c r="F12" s="128" t="s">
        <v>24</v>
      </c>
      <c r="G12" s="167">
        <v>2255</v>
      </c>
      <c r="H12" s="128" t="s">
        <v>38</v>
      </c>
      <c r="I12" s="167">
        <v>1450</v>
      </c>
      <c r="J12" s="128" t="s">
        <v>22</v>
      </c>
      <c r="K12" s="141"/>
      <c r="L12" s="138">
        <v>1994</v>
      </c>
      <c r="M12" s="167">
        <v>6386.1549999999997</v>
      </c>
      <c r="N12" s="167">
        <v>0.27136829594646544</v>
      </c>
      <c r="O12" s="167">
        <v>1006</v>
      </c>
      <c r="P12" s="128" t="s">
        <v>29</v>
      </c>
      <c r="Q12" s="167">
        <v>408.1</v>
      </c>
      <c r="R12" s="128" t="s">
        <v>57</v>
      </c>
      <c r="S12" s="167">
        <v>318.89999999999998</v>
      </c>
      <c r="T12" s="128" t="s">
        <v>140</v>
      </c>
    </row>
    <row r="13" spans="1:20" x14ac:dyDescent="0.25">
      <c r="A13" s="138">
        <v>1995</v>
      </c>
      <c r="B13" s="166">
        <v>19700</v>
      </c>
      <c r="C13" s="166">
        <v>3375</v>
      </c>
      <c r="D13" s="167">
        <v>0.33380710659898477</v>
      </c>
      <c r="E13" s="167">
        <v>2724</v>
      </c>
      <c r="F13" s="128" t="s">
        <v>24</v>
      </c>
      <c r="G13" s="167">
        <v>2172</v>
      </c>
      <c r="H13" s="128" t="s">
        <v>38</v>
      </c>
      <c r="I13" s="167">
        <v>1680</v>
      </c>
      <c r="J13" s="128" t="s">
        <v>22</v>
      </c>
      <c r="K13" s="141"/>
      <c r="L13" s="138">
        <v>1995</v>
      </c>
      <c r="M13" s="167">
        <v>6899.2929999999997</v>
      </c>
      <c r="N13" s="167">
        <v>0.28773962781403839</v>
      </c>
      <c r="O13" s="167">
        <v>1175</v>
      </c>
      <c r="P13" s="128" t="s">
        <v>29</v>
      </c>
      <c r="Q13" s="167">
        <v>397.9</v>
      </c>
      <c r="R13" s="128" t="s">
        <v>57</v>
      </c>
      <c r="S13" s="167">
        <v>412.3</v>
      </c>
      <c r="T13" s="128" t="s">
        <v>140</v>
      </c>
    </row>
    <row r="14" spans="1:20" x14ac:dyDescent="0.25">
      <c r="A14" s="138">
        <v>1996</v>
      </c>
      <c r="B14" s="166">
        <v>20800</v>
      </c>
      <c r="C14" s="166">
        <v>3577</v>
      </c>
      <c r="D14" s="167">
        <v>0.3330288461538462</v>
      </c>
      <c r="E14" s="167">
        <v>2874</v>
      </c>
      <c r="F14" s="128" t="s">
        <v>24</v>
      </c>
      <c r="G14" s="167">
        <v>2283</v>
      </c>
      <c r="H14" s="128" t="s">
        <v>38</v>
      </c>
      <c r="I14" s="167">
        <v>1770</v>
      </c>
      <c r="J14" s="128" t="s">
        <v>22</v>
      </c>
      <c r="K14" s="141"/>
      <c r="L14" s="138">
        <v>1996</v>
      </c>
      <c r="M14" s="167">
        <v>6921.6189999999997</v>
      </c>
      <c r="N14" s="167">
        <v>0.30175021190851448</v>
      </c>
      <c r="O14" s="167">
        <v>1181</v>
      </c>
      <c r="P14" s="128" t="s">
        <v>29</v>
      </c>
      <c r="Q14" s="167">
        <v>531</v>
      </c>
      <c r="R14" s="128" t="s">
        <v>57</v>
      </c>
      <c r="S14" s="167">
        <v>376.6</v>
      </c>
      <c r="T14" s="128" t="s">
        <v>140</v>
      </c>
    </row>
    <row r="15" spans="1:20" x14ac:dyDescent="0.25">
      <c r="A15" s="138">
        <v>1997</v>
      </c>
      <c r="B15" s="166">
        <v>21700</v>
      </c>
      <c r="C15" s="166">
        <v>3603</v>
      </c>
      <c r="D15" s="167">
        <v>0.33147465437788021</v>
      </c>
      <c r="E15" s="167">
        <v>2906</v>
      </c>
      <c r="F15" s="128" t="s">
        <v>24</v>
      </c>
      <c r="G15" s="167">
        <v>2327</v>
      </c>
      <c r="H15" s="128" t="s">
        <v>38</v>
      </c>
      <c r="I15" s="167">
        <v>1960</v>
      </c>
      <c r="J15" s="128" t="s">
        <v>22</v>
      </c>
      <c r="K15" s="141"/>
      <c r="L15" s="138">
        <v>1997</v>
      </c>
      <c r="M15" s="167">
        <v>7513.3790000000008</v>
      </c>
      <c r="N15" s="167">
        <v>0.27502938424908413</v>
      </c>
      <c r="O15" s="167">
        <v>1191</v>
      </c>
      <c r="P15" s="128" t="s">
        <v>29</v>
      </c>
      <c r="Q15" s="167">
        <v>442.9</v>
      </c>
      <c r="R15" s="128" t="s">
        <v>140</v>
      </c>
      <c r="S15" s="167">
        <v>432.5</v>
      </c>
      <c r="T15" s="128" t="s">
        <v>57</v>
      </c>
    </row>
    <row r="16" spans="1:20" x14ac:dyDescent="0.25">
      <c r="A16" s="138">
        <v>1998</v>
      </c>
      <c r="B16" s="166">
        <v>22600</v>
      </c>
      <c r="C16" s="166">
        <v>3713</v>
      </c>
      <c r="D16" s="167">
        <v>0.34154867256637167</v>
      </c>
      <c r="E16" s="167">
        <v>3005</v>
      </c>
      <c r="F16" s="128" t="s">
        <v>24</v>
      </c>
      <c r="G16" s="167">
        <v>2374</v>
      </c>
      <c r="H16" s="128" t="s">
        <v>38</v>
      </c>
      <c r="I16" s="167">
        <v>2340</v>
      </c>
      <c r="J16" s="128" t="s">
        <v>22</v>
      </c>
      <c r="K16" s="141"/>
      <c r="L16" s="138">
        <v>1998</v>
      </c>
      <c r="M16" s="167">
        <v>7477.7569999999996</v>
      </c>
      <c r="N16" s="167">
        <v>0.29860558453557667</v>
      </c>
      <c r="O16" s="167">
        <v>1277</v>
      </c>
      <c r="P16" s="128" t="s">
        <v>29</v>
      </c>
      <c r="Q16" s="167">
        <v>502.6</v>
      </c>
      <c r="R16" s="128" t="s">
        <v>140</v>
      </c>
      <c r="S16" s="167">
        <v>453.3</v>
      </c>
      <c r="T16" s="128" t="s">
        <v>57</v>
      </c>
    </row>
    <row r="17" spans="1:20" x14ac:dyDescent="0.25">
      <c r="A17" s="138">
        <v>1999</v>
      </c>
      <c r="B17" s="166">
        <v>23600</v>
      </c>
      <c r="C17" s="166">
        <v>3779</v>
      </c>
      <c r="D17" s="167">
        <v>0.34177966101694918</v>
      </c>
      <c r="E17" s="167">
        <v>3146</v>
      </c>
      <c r="F17" s="128" t="s">
        <v>24</v>
      </c>
      <c r="G17" s="167">
        <v>2530</v>
      </c>
      <c r="H17" s="128" t="s">
        <v>22</v>
      </c>
      <c r="I17" s="167">
        <v>2390</v>
      </c>
      <c r="J17" s="128" t="s">
        <v>38</v>
      </c>
      <c r="K17" s="141"/>
      <c r="L17" s="138">
        <v>1999</v>
      </c>
      <c r="M17" s="167">
        <v>8426.9660000000003</v>
      </c>
      <c r="N17" s="167">
        <v>0.25388734213476116</v>
      </c>
      <c r="O17" s="167">
        <v>1155</v>
      </c>
      <c r="P17" s="128" t="s">
        <v>29</v>
      </c>
      <c r="Q17" s="167">
        <v>501.8</v>
      </c>
      <c r="R17" s="128" t="s">
        <v>140</v>
      </c>
      <c r="S17" s="167">
        <v>482.7</v>
      </c>
      <c r="T17" s="128" t="s">
        <v>57</v>
      </c>
    </row>
    <row r="18" spans="1:20" x14ac:dyDescent="0.25">
      <c r="A18" s="138">
        <v>2000</v>
      </c>
      <c r="B18" s="166">
        <v>24300</v>
      </c>
      <c r="C18" s="166">
        <v>3668</v>
      </c>
      <c r="D18" s="167">
        <v>0.34641975308641976</v>
      </c>
      <c r="E18" s="167">
        <v>3245</v>
      </c>
      <c r="F18" s="128" t="s">
        <v>24</v>
      </c>
      <c r="G18" s="167">
        <v>2800</v>
      </c>
      <c r="H18" s="128" t="s">
        <v>22</v>
      </c>
      <c r="I18" s="167">
        <v>2373</v>
      </c>
      <c r="J18" s="128" t="s">
        <v>38</v>
      </c>
      <c r="K18" s="141"/>
      <c r="L18" s="138">
        <v>2000</v>
      </c>
      <c r="M18" s="167">
        <v>8783.2200000000012</v>
      </c>
      <c r="N18" s="167">
        <v>0.27185929533815612</v>
      </c>
      <c r="O18" s="167">
        <v>1158</v>
      </c>
      <c r="P18" s="128" t="s">
        <v>29</v>
      </c>
      <c r="Q18" s="167">
        <v>657.5</v>
      </c>
      <c r="R18" s="128" t="s">
        <v>140</v>
      </c>
      <c r="S18" s="167">
        <v>572.29999999999995</v>
      </c>
      <c r="T18" s="128" t="s">
        <v>57</v>
      </c>
    </row>
    <row r="19" spans="1:20" x14ac:dyDescent="0.25">
      <c r="A19" s="138">
        <v>2001</v>
      </c>
      <c r="B19" s="166">
        <v>24300</v>
      </c>
      <c r="C19" s="166">
        <v>2637</v>
      </c>
      <c r="D19" s="167">
        <v>0.37584362139917693</v>
      </c>
      <c r="E19" s="167">
        <v>3300</v>
      </c>
      <c r="F19" s="128" t="s">
        <v>24</v>
      </c>
      <c r="G19" s="167">
        <v>3250</v>
      </c>
      <c r="H19" s="128" t="s">
        <v>22</v>
      </c>
      <c r="I19" s="167">
        <v>2583</v>
      </c>
      <c r="J19" s="128" t="s">
        <v>38</v>
      </c>
      <c r="K19" s="141"/>
      <c r="L19" s="138">
        <v>2001</v>
      </c>
      <c r="M19" s="167">
        <v>8149.0199999999995</v>
      </c>
      <c r="N19" s="167">
        <v>0.2956429116629975</v>
      </c>
      <c r="O19" s="167">
        <v>1214</v>
      </c>
      <c r="P19" s="128" t="s">
        <v>29</v>
      </c>
      <c r="Q19" s="167">
        <v>620.29999999999995</v>
      </c>
      <c r="R19" s="128" t="s">
        <v>57</v>
      </c>
      <c r="S19" s="167">
        <v>574.9</v>
      </c>
      <c r="T19" s="128" t="s">
        <v>57</v>
      </c>
    </row>
    <row r="20" spans="1:20" x14ac:dyDescent="0.25">
      <c r="A20" s="138">
        <v>2002</v>
      </c>
      <c r="B20" s="166">
        <v>26100</v>
      </c>
      <c r="C20" s="166">
        <v>2707</v>
      </c>
      <c r="D20" s="167">
        <v>0.40483996168582376</v>
      </c>
      <c r="E20" s="167">
        <v>4510</v>
      </c>
      <c r="F20" s="128" t="s">
        <v>22</v>
      </c>
      <c r="G20" s="167">
        <v>3347.413</v>
      </c>
      <c r="H20" s="128" t="s">
        <v>24</v>
      </c>
      <c r="I20" s="167">
        <v>2708.91</v>
      </c>
      <c r="J20" s="128" t="s">
        <v>38</v>
      </c>
      <c r="K20" s="141"/>
      <c r="L20" s="138">
        <v>2002</v>
      </c>
      <c r="M20" s="167">
        <v>9203.0999999999985</v>
      </c>
      <c r="N20" s="167">
        <v>0.33000836674598782</v>
      </c>
      <c r="O20" s="167">
        <v>1171</v>
      </c>
      <c r="P20" s="128" t="s">
        <v>29</v>
      </c>
      <c r="Q20" s="167">
        <v>1200</v>
      </c>
      <c r="R20" s="128" t="s">
        <v>22</v>
      </c>
      <c r="S20" s="167">
        <v>666.1</v>
      </c>
      <c r="T20" s="128" t="s">
        <v>57</v>
      </c>
    </row>
    <row r="21" spans="1:20" x14ac:dyDescent="0.25">
      <c r="A21" s="138">
        <v>2003</v>
      </c>
      <c r="B21" s="166">
        <v>28000</v>
      </c>
      <c r="C21" s="166">
        <v>2703</v>
      </c>
      <c r="D21" s="167">
        <v>0.43714214285714287</v>
      </c>
      <c r="E21" s="167">
        <v>5970</v>
      </c>
      <c r="F21" s="128" t="s">
        <v>22</v>
      </c>
      <c r="G21" s="167">
        <v>3478.06</v>
      </c>
      <c r="H21" s="128" t="s">
        <v>24</v>
      </c>
      <c r="I21" s="167">
        <v>2791.92</v>
      </c>
      <c r="J21" s="128" t="s">
        <v>38</v>
      </c>
      <c r="K21" s="141"/>
      <c r="L21" s="138">
        <v>2003</v>
      </c>
      <c r="M21" s="167">
        <v>9413.3299999999981</v>
      </c>
      <c r="N21" s="167">
        <v>0.36027633154261041</v>
      </c>
      <c r="O21" s="167">
        <v>1450</v>
      </c>
      <c r="P21" s="128" t="s">
        <v>22</v>
      </c>
      <c r="Q21" s="167">
        <v>1261</v>
      </c>
      <c r="R21" s="128" t="s">
        <v>29</v>
      </c>
      <c r="S21" s="167">
        <v>680.4</v>
      </c>
      <c r="T21" s="128" t="s">
        <v>57</v>
      </c>
    </row>
    <row r="22" spans="1:20" x14ac:dyDescent="0.25">
      <c r="A22" s="138">
        <v>2004</v>
      </c>
      <c r="B22" s="166">
        <v>29900</v>
      </c>
      <c r="C22" s="166">
        <v>2516</v>
      </c>
      <c r="D22" s="167">
        <v>0.43758896321070234</v>
      </c>
      <c r="E22" s="167">
        <v>6900</v>
      </c>
      <c r="F22" s="128" t="s">
        <v>22</v>
      </c>
      <c r="G22" s="167">
        <v>3591.75</v>
      </c>
      <c r="H22" s="128" t="s">
        <v>24</v>
      </c>
      <c r="I22" s="167">
        <v>2592.16</v>
      </c>
      <c r="J22" s="128" t="s">
        <v>38</v>
      </c>
      <c r="K22" s="141"/>
      <c r="L22" s="138">
        <v>2004</v>
      </c>
      <c r="M22" s="167">
        <v>9774.4629999999997</v>
      </c>
      <c r="N22" s="167">
        <v>0.34567177756977546</v>
      </c>
      <c r="O22" s="167">
        <v>1660</v>
      </c>
      <c r="P22" s="128" t="s">
        <v>22</v>
      </c>
      <c r="Q22" s="167">
        <v>1015</v>
      </c>
      <c r="R22" s="128" t="s">
        <v>140</v>
      </c>
      <c r="S22" s="167">
        <v>703.75599999999997</v>
      </c>
      <c r="T22" s="128" t="s">
        <v>57</v>
      </c>
    </row>
    <row r="23" spans="1:20" x14ac:dyDescent="0.25">
      <c r="A23" s="138">
        <v>2005</v>
      </c>
      <c r="B23" s="166">
        <v>31009</v>
      </c>
      <c r="C23" s="166">
        <v>2481</v>
      </c>
      <c r="D23" s="167">
        <v>0.46248734238446904</v>
      </c>
      <c r="E23" s="167">
        <v>7800</v>
      </c>
      <c r="F23" s="128" t="s">
        <v>22</v>
      </c>
      <c r="G23" s="167">
        <v>3647.07</v>
      </c>
      <c r="H23" s="128" t="s">
        <v>24</v>
      </c>
      <c r="I23" s="167">
        <v>2894.2</v>
      </c>
      <c r="J23" s="128" t="s">
        <v>38</v>
      </c>
      <c r="K23" s="141"/>
      <c r="L23" s="138">
        <v>2005</v>
      </c>
      <c r="M23" s="167">
        <v>9795.2289999999994</v>
      </c>
      <c r="N23" s="167">
        <v>0.38581446130560093</v>
      </c>
      <c r="O23" s="167">
        <v>1940</v>
      </c>
      <c r="P23" s="128" t="s">
        <v>22</v>
      </c>
      <c r="Q23" s="167">
        <v>1120.8499999999999</v>
      </c>
      <c r="R23" s="128" t="s">
        <v>140</v>
      </c>
      <c r="S23" s="167">
        <v>718.29100000000005</v>
      </c>
      <c r="T23" s="128" t="s">
        <v>57</v>
      </c>
    </row>
    <row r="24" spans="1:20" x14ac:dyDescent="0.25">
      <c r="A24" s="138">
        <v>2006</v>
      </c>
      <c r="B24" s="166">
        <v>33900</v>
      </c>
      <c r="C24" s="166">
        <v>2284</v>
      </c>
      <c r="D24" s="167">
        <v>0.47578289085545722</v>
      </c>
      <c r="E24" s="167">
        <v>9360</v>
      </c>
      <c r="F24" s="128" t="s">
        <v>22</v>
      </c>
      <c r="G24" s="167">
        <v>3717.91</v>
      </c>
      <c r="H24" s="128" t="s">
        <v>24</v>
      </c>
      <c r="I24" s="167">
        <v>3051.13</v>
      </c>
      <c r="J24" s="128" t="s">
        <v>38</v>
      </c>
      <c r="K24" s="141"/>
      <c r="L24" s="138">
        <v>2006</v>
      </c>
      <c r="M24" s="167">
        <v>11775.748</v>
      </c>
      <c r="N24" s="167">
        <v>0.37564220973478712</v>
      </c>
      <c r="O24" s="167">
        <v>2350</v>
      </c>
      <c r="P24" s="128" t="s">
        <v>22</v>
      </c>
      <c r="Q24" s="167">
        <v>1277.8</v>
      </c>
      <c r="R24" s="128" t="s">
        <v>140</v>
      </c>
      <c r="S24" s="167">
        <v>795.66800000000001</v>
      </c>
      <c r="T24" s="128" t="s">
        <v>57</v>
      </c>
    </row>
    <row r="25" spans="1:20" x14ac:dyDescent="0.25">
      <c r="A25" s="138" t="s">
        <v>4</v>
      </c>
      <c r="B25" s="166">
        <v>38000</v>
      </c>
      <c r="C25" s="166">
        <v>2554</v>
      </c>
      <c r="D25" s="167">
        <v>0.51678947368421047</v>
      </c>
      <c r="E25" s="167">
        <v>12600</v>
      </c>
      <c r="F25" s="128" t="s">
        <v>22</v>
      </c>
      <c r="G25" s="167">
        <v>3955</v>
      </c>
      <c r="H25" s="128" t="s">
        <v>24</v>
      </c>
      <c r="I25" s="167">
        <v>3083</v>
      </c>
      <c r="J25" s="128" t="s">
        <v>38</v>
      </c>
      <c r="K25" s="141"/>
      <c r="L25" s="138" t="s">
        <v>4</v>
      </c>
      <c r="M25" s="167">
        <v>11997.8</v>
      </c>
      <c r="N25" s="167">
        <v>0.41061686309156686</v>
      </c>
      <c r="O25" s="167">
        <v>2750</v>
      </c>
      <c r="P25" s="128" t="s">
        <v>22</v>
      </c>
      <c r="Q25" s="167">
        <v>1318.88</v>
      </c>
      <c r="R25" s="128" t="s">
        <v>140</v>
      </c>
      <c r="S25" s="167">
        <v>857.61900000000003</v>
      </c>
      <c r="T25" s="128" t="s">
        <v>57</v>
      </c>
    </row>
    <row r="26" spans="1:20" x14ac:dyDescent="0.25">
      <c r="A26" s="138" t="s">
        <v>5</v>
      </c>
      <c r="B26" s="166">
        <v>39600</v>
      </c>
      <c r="C26" s="166">
        <v>2658</v>
      </c>
      <c r="D26" s="167">
        <v>0.51792929292929291</v>
      </c>
      <c r="E26" s="167">
        <v>13200</v>
      </c>
      <c r="F26" s="128" t="s">
        <v>22</v>
      </c>
      <c r="G26" s="167">
        <v>4190</v>
      </c>
      <c r="H26" s="128" t="s">
        <v>24</v>
      </c>
      <c r="I26" s="167">
        <v>3120</v>
      </c>
      <c r="J26" s="128" t="s">
        <v>38</v>
      </c>
      <c r="K26" s="141"/>
      <c r="L26" s="138" t="s">
        <v>5</v>
      </c>
      <c r="M26" s="167">
        <v>11123.87</v>
      </c>
      <c r="N26" s="167">
        <v>0.42285805209877497</v>
      </c>
      <c r="O26" s="167">
        <v>2700</v>
      </c>
      <c r="P26" s="128" t="s">
        <v>22</v>
      </c>
      <c r="Q26" s="167">
        <v>1282.92</v>
      </c>
      <c r="R26" s="128" t="s">
        <v>140</v>
      </c>
      <c r="S26" s="167">
        <v>720.89800000000002</v>
      </c>
      <c r="T26" s="128" t="s">
        <v>57</v>
      </c>
    </row>
    <row r="27" spans="1:20" x14ac:dyDescent="0.25">
      <c r="A27" s="138" t="s">
        <v>6</v>
      </c>
      <c r="B27" s="166">
        <v>36900</v>
      </c>
      <c r="C27" s="166">
        <v>1727</v>
      </c>
      <c r="D27" s="167">
        <v>0.5350948509485095</v>
      </c>
      <c r="E27" s="167">
        <v>12900</v>
      </c>
      <c r="F27" s="128" t="s">
        <v>22</v>
      </c>
      <c r="G27" s="167">
        <v>3815</v>
      </c>
      <c r="H27" s="128" t="s">
        <v>24</v>
      </c>
      <c r="I27" s="167">
        <v>3030</v>
      </c>
      <c r="J27" s="128" t="s">
        <v>38</v>
      </c>
      <c r="K27" s="141"/>
      <c r="L27" s="138" t="s">
        <v>6</v>
      </c>
      <c r="M27" s="167">
        <v>10001.428</v>
      </c>
      <c r="N27" s="167">
        <v>0.44870912433704468</v>
      </c>
      <c r="O27" s="167">
        <v>3100</v>
      </c>
      <c r="P27" s="128" t="s">
        <v>22</v>
      </c>
      <c r="Q27" s="167">
        <v>826.97699999999998</v>
      </c>
      <c r="R27" s="128" t="s">
        <v>140</v>
      </c>
      <c r="S27" s="167">
        <v>560.755</v>
      </c>
      <c r="T27" s="128" t="s">
        <v>57</v>
      </c>
    </row>
    <row r="28" spans="1:20" x14ac:dyDescent="0.25">
      <c r="A28" s="138" t="s">
        <v>7</v>
      </c>
      <c r="B28" s="166">
        <v>40800</v>
      </c>
      <c r="C28" s="166">
        <v>1726</v>
      </c>
      <c r="D28" s="167">
        <v>0.56642156862745097</v>
      </c>
      <c r="E28" s="167">
        <v>16200</v>
      </c>
      <c r="F28" s="128" t="s">
        <v>22</v>
      </c>
      <c r="G28" s="167">
        <v>3947</v>
      </c>
      <c r="H28" s="128" t="s">
        <v>24</v>
      </c>
      <c r="I28" s="167">
        <v>2963</v>
      </c>
      <c r="J28" s="128" t="s">
        <v>38</v>
      </c>
      <c r="K28" s="141"/>
      <c r="L28" s="138" t="s">
        <v>7</v>
      </c>
      <c r="M28" s="167">
        <v>11386.111999999999</v>
      </c>
      <c r="N28" s="167">
        <v>0.51443152851473806</v>
      </c>
      <c r="O28" s="167">
        <v>4000</v>
      </c>
      <c r="P28" s="128" t="s">
        <v>22</v>
      </c>
      <c r="Q28" s="167">
        <v>1246.2360000000001</v>
      </c>
      <c r="R28" s="128" t="s">
        <v>140</v>
      </c>
      <c r="S28" s="167">
        <v>611.13900000000001</v>
      </c>
      <c r="T28" s="128" t="s">
        <v>57</v>
      </c>
    </row>
  </sheetData>
  <mergeCells count="15">
    <mergeCell ref="L1:T2"/>
    <mergeCell ref="A1:J2"/>
    <mergeCell ref="B5:J5"/>
    <mergeCell ref="M5:T5"/>
    <mergeCell ref="E6:F6"/>
    <mergeCell ref="G6:H6"/>
    <mergeCell ref="I6:J6"/>
    <mergeCell ref="D6:D7"/>
    <mergeCell ref="O6:P6"/>
    <mergeCell ref="Q6:R6"/>
    <mergeCell ref="S6:T6"/>
    <mergeCell ref="N6:N7"/>
    <mergeCell ref="B6:B7"/>
    <mergeCell ref="M6:M7"/>
    <mergeCell ref="C6:C7"/>
  </mergeCells>
  <pageMargins left="0.7" right="0.7" top="0.75" bottom="0.75" header="0.3" footer="0.3"/>
  <pageSetup scale="69" orientation="portrait" r:id="rId1"/>
  <colBreaks count="1" manualBreakCount="1">
    <brk id="10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3" width="13.28515625" customWidth="1"/>
    <col min="4" max="4" width="14.5703125" customWidth="1"/>
    <col min="5" max="10" width="13.28515625" customWidth="1"/>
  </cols>
  <sheetData>
    <row r="1" spans="1:10" ht="15" customHeight="1" x14ac:dyDescent="0.25">
      <c r="A1" s="278" t="s">
        <v>435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10" x14ac:dyDescent="0.25">
      <c r="A3" s="110" t="s">
        <v>396</v>
      </c>
      <c r="B3" s="6"/>
      <c r="C3" s="6"/>
      <c r="D3" s="6"/>
      <c r="E3" s="6"/>
      <c r="F3" s="6"/>
      <c r="H3" s="6"/>
      <c r="I3" s="6"/>
    </row>
    <row r="4" spans="1:10" x14ac:dyDescent="0.25">
      <c r="A4" s="5"/>
      <c r="B4" s="6"/>
      <c r="C4" s="6"/>
      <c r="D4" s="6"/>
      <c r="E4" s="6"/>
      <c r="F4" s="6"/>
      <c r="H4" s="6"/>
      <c r="I4" s="6"/>
    </row>
    <row r="5" spans="1:10" x14ac:dyDescent="0.25">
      <c r="A5" s="105"/>
      <c r="B5" s="283" t="s">
        <v>105</v>
      </c>
      <c r="C5" s="283"/>
      <c r="D5" s="283"/>
      <c r="E5" s="283"/>
      <c r="F5" s="283"/>
      <c r="G5" s="283"/>
      <c r="H5" s="283"/>
      <c r="I5" s="283"/>
      <c r="J5" s="141"/>
    </row>
    <row r="6" spans="1:10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</row>
    <row r="7" spans="1:10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</row>
    <row r="8" spans="1:10" x14ac:dyDescent="0.25">
      <c r="A8" s="138">
        <v>1990</v>
      </c>
      <c r="B8" s="166">
        <v>217</v>
      </c>
      <c r="C8" s="157">
        <v>109</v>
      </c>
      <c r="D8" s="167">
        <f t="shared" ref="D8:D27" si="0">(E8+G8+I8)/B8</f>
        <v>0.31188940092165901</v>
      </c>
      <c r="E8" s="27">
        <v>45</v>
      </c>
      <c r="F8" s="12" t="s">
        <v>37</v>
      </c>
      <c r="G8" s="15">
        <v>16</v>
      </c>
      <c r="H8" s="12" t="s">
        <v>38</v>
      </c>
      <c r="I8" s="15">
        <v>6.68</v>
      </c>
      <c r="J8" s="128" t="s">
        <v>49</v>
      </c>
    </row>
    <row r="9" spans="1:10" x14ac:dyDescent="0.25">
      <c r="A9" s="138">
        <v>1991</v>
      </c>
      <c r="B9" s="166">
        <v>211</v>
      </c>
      <c r="C9" s="157">
        <v>103</v>
      </c>
      <c r="D9" s="167">
        <f t="shared" si="0"/>
        <v>0.31090047393364928</v>
      </c>
      <c r="E9" s="27">
        <v>40</v>
      </c>
      <c r="F9" s="12" t="s">
        <v>37</v>
      </c>
      <c r="G9" s="15">
        <v>17</v>
      </c>
      <c r="H9" s="12" t="s">
        <v>38</v>
      </c>
      <c r="I9" s="15">
        <v>8.6</v>
      </c>
      <c r="J9" s="128" t="s">
        <v>107</v>
      </c>
    </row>
    <row r="10" spans="1:10" x14ac:dyDescent="0.25">
      <c r="A10" s="138">
        <v>1992</v>
      </c>
      <c r="B10" s="166">
        <v>205</v>
      </c>
      <c r="C10" s="157">
        <v>85.3</v>
      </c>
      <c r="D10" s="167">
        <f t="shared" si="0"/>
        <v>0.30995121951219512</v>
      </c>
      <c r="E10" s="27">
        <v>35</v>
      </c>
      <c r="F10" s="12" t="s">
        <v>24</v>
      </c>
      <c r="G10" s="167">
        <v>17.5</v>
      </c>
      <c r="H10" s="12" t="s">
        <v>38</v>
      </c>
      <c r="I10" s="15">
        <v>11.04</v>
      </c>
      <c r="J10" s="128" t="s">
        <v>107</v>
      </c>
    </row>
    <row r="11" spans="1:10" x14ac:dyDescent="0.25">
      <c r="A11" s="138">
        <v>1993</v>
      </c>
      <c r="B11" s="166">
        <v>301</v>
      </c>
      <c r="C11" s="157">
        <v>87.9</v>
      </c>
      <c r="D11" s="167">
        <f t="shared" si="0"/>
        <v>0.51910299003322258</v>
      </c>
      <c r="E11" s="27">
        <v>129</v>
      </c>
      <c r="F11" s="12" t="s">
        <v>24</v>
      </c>
      <c r="G11" s="15">
        <v>17.5</v>
      </c>
      <c r="H11" s="12" t="s">
        <v>38</v>
      </c>
      <c r="I11" s="15">
        <v>9.75</v>
      </c>
      <c r="J11" s="128" t="s">
        <v>107</v>
      </c>
    </row>
    <row r="12" spans="1:10" x14ac:dyDescent="0.25">
      <c r="A12" s="138">
        <v>1994</v>
      </c>
      <c r="B12" s="166">
        <v>313</v>
      </c>
      <c r="C12" s="157">
        <v>109</v>
      </c>
      <c r="D12" s="167">
        <f t="shared" si="0"/>
        <v>0.49511182108626195</v>
      </c>
      <c r="E12" s="27">
        <v>100</v>
      </c>
      <c r="F12" s="12" t="s">
        <v>24</v>
      </c>
      <c r="G12" s="15">
        <v>37.47</v>
      </c>
      <c r="H12" s="12" t="s">
        <v>106</v>
      </c>
      <c r="I12" s="15">
        <v>17.5</v>
      </c>
      <c r="J12" s="128" t="s">
        <v>38</v>
      </c>
    </row>
    <row r="13" spans="1:10" x14ac:dyDescent="0.25">
      <c r="A13" s="138">
        <v>1995</v>
      </c>
      <c r="B13" s="166">
        <v>328</v>
      </c>
      <c r="C13" s="169">
        <v>108</v>
      </c>
      <c r="D13" s="167">
        <f t="shared" si="0"/>
        <v>0.49149390243902441</v>
      </c>
      <c r="E13" s="27">
        <v>100</v>
      </c>
      <c r="F13" s="12" t="s">
        <v>24</v>
      </c>
      <c r="G13" s="15">
        <v>43.71</v>
      </c>
      <c r="H13" s="12" t="s">
        <v>106</v>
      </c>
      <c r="I13" s="15">
        <v>17.5</v>
      </c>
      <c r="J13" s="128" t="s">
        <v>38</v>
      </c>
    </row>
    <row r="14" spans="1:10" x14ac:dyDescent="0.25">
      <c r="A14" s="138">
        <v>1996</v>
      </c>
      <c r="B14" s="166">
        <v>297</v>
      </c>
      <c r="C14" s="157">
        <v>94.7</v>
      </c>
      <c r="D14" s="167">
        <f t="shared" si="0"/>
        <v>0.51656565656565667</v>
      </c>
      <c r="E14" s="27">
        <v>100</v>
      </c>
      <c r="F14" s="12" t="s">
        <v>24</v>
      </c>
      <c r="G14" s="15">
        <v>35.92</v>
      </c>
      <c r="H14" s="12" t="s">
        <v>106</v>
      </c>
      <c r="I14" s="15">
        <v>17.5</v>
      </c>
      <c r="J14" s="128" t="s">
        <v>38</v>
      </c>
    </row>
    <row r="15" spans="1:10" x14ac:dyDescent="0.25">
      <c r="A15" s="138">
        <v>1997</v>
      </c>
      <c r="B15" s="166">
        <v>309</v>
      </c>
      <c r="C15" s="157">
        <v>112</v>
      </c>
      <c r="D15" s="167">
        <f t="shared" si="0"/>
        <v>0.49187702265372168</v>
      </c>
      <c r="E15" s="27">
        <v>100</v>
      </c>
      <c r="F15" s="12" t="s">
        <v>24</v>
      </c>
      <c r="G15" s="15">
        <v>34.49</v>
      </c>
      <c r="H15" s="12" t="s">
        <v>106</v>
      </c>
      <c r="I15" s="15">
        <v>17.5</v>
      </c>
      <c r="J15" s="128" t="s">
        <v>38</v>
      </c>
    </row>
    <row r="16" spans="1:10" x14ac:dyDescent="0.25">
      <c r="A16" s="138">
        <v>1998</v>
      </c>
      <c r="B16" s="166">
        <v>289</v>
      </c>
      <c r="C16" s="157">
        <v>87</v>
      </c>
      <c r="D16" s="167">
        <f t="shared" si="0"/>
        <v>0.53965397923875436</v>
      </c>
      <c r="E16" s="27">
        <v>100</v>
      </c>
      <c r="F16" s="12" t="s">
        <v>24</v>
      </c>
      <c r="G16" s="15">
        <v>38.46</v>
      </c>
      <c r="H16" s="12" t="s">
        <v>106</v>
      </c>
      <c r="I16" s="15">
        <v>17.5</v>
      </c>
      <c r="J16" s="128" t="s">
        <v>38</v>
      </c>
    </row>
    <row r="17" spans="1:10" x14ac:dyDescent="0.25">
      <c r="A17" s="138">
        <v>1999</v>
      </c>
      <c r="B17" s="166">
        <v>278</v>
      </c>
      <c r="C17" s="157">
        <v>95.4</v>
      </c>
      <c r="D17" s="167">
        <f t="shared" si="0"/>
        <v>0.51161870503597129</v>
      </c>
      <c r="E17" s="27">
        <v>100</v>
      </c>
      <c r="F17" s="12" t="s">
        <v>24</v>
      </c>
      <c r="G17" s="15">
        <v>24.73</v>
      </c>
      <c r="H17" s="12" t="s">
        <v>106</v>
      </c>
      <c r="I17" s="15">
        <v>17.5</v>
      </c>
      <c r="J17" s="128" t="s">
        <v>38</v>
      </c>
    </row>
    <row r="18" spans="1:10" x14ac:dyDescent="0.25">
      <c r="A18" s="138">
        <v>2000</v>
      </c>
      <c r="B18" s="166">
        <v>328</v>
      </c>
      <c r="C18" s="157">
        <v>101</v>
      </c>
      <c r="D18" s="167">
        <f t="shared" si="0"/>
        <v>0.55716463414634143</v>
      </c>
      <c r="E18" s="27">
        <v>100</v>
      </c>
      <c r="F18" s="12" t="s">
        <v>24</v>
      </c>
      <c r="G18" s="15">
        <v>65.25</v>
      </c>
      <c r="H18" s="12" t="s">
        <v>106</v>
      </c>
      <c r="I18" s="15">
        <v>17.5</v>
      </c>
      <c r="J18" s="128" t="s">
        <v>38</v>
      </c>
    </row>
    <row r="19" spans="1:10" x14ac:dyDescent="0.25">
      <c r="A19" s="138">
        <v>2001</v>
      </c>
      <c r="B19" s="166">
        <v>368</v>
      </c>
      <c r="C19" s="157">
        <v>97.8</v>
      </c>
      <c r="D19" s="167">
        <f t="shared" si="0"/>
        <v>0.61641304347826087</v>
      </c>
      <c r="E19" s="27">
        <v>109.34</v>
      </c>
      <c r="F19" s="12" t="s">
        <v>106</v>
      </c>
      <c r="G19" s="15">
        <v>100</v>
      </c>
      <c r="H19" s="12" t="s">
        <v>24</v>
      </c>
      <c r="I19" s="15">
        <v>17.5</v>
      </c>
      <c r="J19" s="128" t="s">
        <v>38</v>
      </c>
    </row>
    <row r="20" spans="1:10" x14ac:dyDescent="0.25">
      <c r="A20" s="138">
        <v>2002</v>
      </c>
      <c r="B20" s="166">
        <v>278</v>
      </c>
      <c r="C20" s="157">
        <v>81.099999999999994</v>
      </c>
      <c r="D20" s="167">
        <f t="shared" si="0"/>
        <v>0.53010791366906473</v>
      </c>
      <c r="E20" s="27">
        <v>100</v>
      </c>
      <c r="F20" s="12" t="s">
        <v>24</v>
      </c>
      <c r="G20" s="16">
        <v>29.87</v>
      </c>
      <c r="H20" s="12" t="s">
        <v>106</v>
      </c>
      <c r="I20" s="15">
        <v>17.5</v>
      </c>
      <c r="J20" s="128" t="s">
        <v>38</v>
      </c>
    </row>
    <row r="21" spans="1:10" x14ac:dyDescent="0.25">
      <c r="A21" s="138">
        <v>2003</v>
      </c>
      <c r="B21" s="166">
        <v>362</v>
      </c>
      <c r="C21" s="157">
        <v>78.599999999999994</v>
      </c>
      <c r="D21" s="167">
        <f t="shared" si="0"/>
        <v>0.57497237569060777</v>
      </c>
      <c r="E21" s="27">
        <v>100</v>
      </c>
      <c r="F21" s="12" t="s">
        <v>24</v>
      </c>
      <c r="G21" s="16">
        <v>74.489999999999995</v>
      </c>
      <c r="H21" s="12" t="s">
        <v>39</v>
      </c>
      <c r="I21" s="16">
        <v>33.65</v>
      </c>
      <c r="J21" s="128" t="s">
        <v>106</v>
      </c>
    </row>
    <row r="22" spans="1:10" x14ac:dyDescent="0.25">
      <c r="A22" s="138">
        <v>2004</v>
      </c>
      <c r="B22" s="166">
        <v>400</v>
      </c>
      <c r="C22" s="157">
        <v>99.2</v>
      </c>
      <c r="D22" s="167">
        <f t="shared" si="0"/>
        <v>0.57010000000000005</v>
      </c>
      <c r="E22" s="27">
        <v>100</v>
      </c>
      <c r="F22" s="12" t="s">
        <v>24</v>
      </c>
      <c r="G22" s="17">
        <v>68.8</v>
      </c>
      <c r="H22" s="12" t="s">
        <v>39</v>
      </c>
      <c r="I22" s="17">
        <v>59.24</v>
      </c>
      <c r="J22" s="128" t="s">
        <v>106</v>
      </c>
    </row>
    <row r="23" spans="1:10" x14ac:dyDescent="0.25">
      <c r="A23" s="138">
        <v>2005</v>
      </c>
      <c r="B23" s="166">
        <v>359</v>
      </c>
      <c r="C23" s="157">
        <v>78.099999999999994</v>
      </c>
      <c r="D23" s="167">
        <f t="shared" si="0"/>
        <v>0.57233983286908074</v>
      </c>
      <c r="E23" s="27">
        <v>100</v>
      </c>
      <c r="F23" s="12" t="s">
        <v>24</v>
      </c>
      <c r="G23" s="18">
        <v>68.849999999999994</v>
      </c>
      <c r="H23" s="12" t="s">
        <v>39</v>
      </c>
      <c r="I23" s="18">
        <v>36.619999999999997</v>
      </c>
      <c r="J23" s="128" t="s">
        <v>106</v>
      </c>
    </row>
    <row r="24" spans="1:10" x14ac:dyDescent="0.25">
      <c r="A24" s="138">
        <v>2006</v>
      </c>
      <c r="B24" s="166">
        <v>1090</v>
      </c>
      <c r="C24" s="157">
        <v>110</v>
      </c>
      <c r="D24" s="167">
        <f t="shared" si="0"/>
        <v>0.79914678899082559</v>
      </c>
      <c r="E24" s="27">
        <v>700</v>
      </c>
      <c r="F24" s="12" t="s">
        <v>22</v>
      </c>
      <c r="G24" s="18">
        <v>100</v>
      </c>
      <c r="H24" s="12" t="s">
        <v>24</v>
      </c>
      <c r="I24" s="18">
        <v>71.069999999999993</v>
      </c>
      <c r="J24" s="128" t="s">
        <v>39</v>
      </c>
    </row>
    <row r="25" spans="1:10" x14ac:dyDescent="0.25">
      <c r="A25" s="138" t="s">
        <v>4</v>
      </c>
      <c r="B25" s="166">
        <v>1120</v>
      </c>
      <c r="C25" s="157">
        <v>96.6</v>
      </c>
      <c r="D25" s="167">
        <f t="shared" si="0"/>
        <v>0.79593750000000008</v>
      </c>
      <c r="E25" s="27">
        <v>720</v>
      </c>
      <c r="F25" s="12" t="s">
        <v>22</v>
      </c>
      <c r="G25" s="167">
        <v>100</v>
      </c>
      <c r="H25" s="12" t="s">
        <v>24</v>
      </c>
      <c r="I25" s="167">
        <v>71.45</v>
      </c>
      <c r="J25" s="128" t="s">
        <v>39</v>
      </c>
    </row>
    <row r="26" spans="1:10" x14ac:dyDescent="0.25">
      <c r="A26" s="138" t="s">
        <v>5</v>
      </c>
      <c r="B26" s="166">
        <v>1140</v>
      </c>
      <c r="C26" s="157">
        <v>85.3</v>
      </c>
      <c r="D26" s="167">
        <f t="shared" si="0"/>
        <v>0.80764035087719299</v>
      </c>
      <c r="E26" s="27">
        <v>750</v>
      </c>
      <c r="F26" s="12" t="s">
        <v>22</v>
      </c>
      <c r="G26" s="167">
        <v>100</v>
      </c>
      <c r="H26" s="12" t="s">
        <v>24</v>
      </c>
      <c r="I26" s="167">
        <v>70.709999999999994</v>
      </c>
      <c r="J26" s="128" t="s">
        <v>39</v>
      </c>
    </row>
    <row r="27" spans="1:10" x14ac:dyDescent="0.25">
      <c r="A27" s="138">
        <v>2009</v>
      </c>
      <c r="B27" s="166">
        <v>1020</v>
      </c>
      <c r="C27" s="213" t="s">
        <v>394</v>
      </c>
      <c r="D27" s="167">
        <f t="shared" si="0"/>
        <v>0.8529411764705882</v>
      </c>
      <c r="E27" s="166">
        <v>700</v>
      </c>
      <c r="F27" s="12" t="s">
        <v>22</v>
      </c>
      <c r="G27" s="167">
        <v>100</v>
      </c>
      <c r="H27" s="12" t="s">
        <v>24</v>
      </c>
      <c r="I27" s="167">
        <v>70</v>
      </c>
      <c r="J27" s="128" t="s">
        <v>39</v>
      </c>
    </row>
    <row r="28" spans="1:10" x14ac:dyDescent="0.25">
      <c r="A28" s="8"/>
      <c r="B28" s="9"/>
      <c r="C28" s="9"/>
      <c r="D28" s="12"/>
      <c r="E28" s="9"/>
      <c r="F28" s="12"/>
      <c r="G28" s="9"/>
      <c r="H28" s="9"/>
      <c r="I28" s="9"/>
    </row>
    <row r="29" spans="1:10" x14ac:dyDescent="0.25">
      <c r="H29" s="10"/>
    </row>
    <row r="30" spans="1:10" x14ac:dyDescent="0.25">
      <c r="H30" s="10"/>
    </row>
    <row r="32" spans="1:10" x14ac:dyDescent="0.25">
      <c r="G32" s="10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scale="96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0.5703125" customWidth="1"/>
    <col min="3" max="3" width="12.5703125" customWidth="1"/>
    <col min="4" max="4" width="14.85546875" customWidth="1"/>
    <col min="5" max="5" width="11.42578125" customWidth="1"/>
    <col min="6" max="6" width="11.140625" bestFit="1" customWidth="1"/>
    <col min="7" max="7" width="10.85546875" customWidth="1"/>
    <col min="8" max="8" width="10.28515625" bestFit="1" customWidth="1"/>
    <col min="9" max="9" width="12.28515625" customWidth="1"/>
    <col min="10" max="10" width="9.140625" customWidth="1"/>
    <col min="11" max="11" width="3.5703125" customWidth="1"/>
    <col min="12" max="12" width="9.85546875" bestFit="1" customWidth="1"/>
    <col min="13" max="13" width="12.5703125" customWidth="1"/>
    <col min="14" max="14" width="14" customWidth="1"/>
    <col min="15" max="15" width="12.42578125" customWidth="1"/>
    <col min="16" max="16" width="10" customWidth="1"/>
    <col min="17" max="17" width="12.42578125" customWidth="1"/>
    <col min="18" max="18" width="16.7109375" customWidth="1"/>
    <col min="19" max="19" width="11.140625" bestFit="1" customWidth="1"/>
    <col min="20" max="20" width="16.140625" customWidth="1"/>
  </cols>
  <sheetData>
    <row r="1" spans="1:20" ht="15.75" customHeight="1" x14ac:dyDescent="0.25">
      <c r="A1" s="278" t="s">
        <v>436</v>
      </c>
      <c r="B1" s="278"/>
      <c r="C1" s="278"/>
      <c r="D1" s="278"/>
      <c r="E1" s="278"/>
      <c r="F1" s="278"/>
      <c r="G1" s="278"/>
      <c r="H1" s="278"/>
      <c r="I1" s="278"/>
      <c r="J1" s="278"/>
      <c r="L1" s="278" t="s">
        <v>438</v>
      </c>
      <c r="M1" s="278"/>
      <c r="N1" s="278"/>
      <c r="O1" s="278"/>
      <c r="P1" s="278"/>
      <c r="Q1" s="278"/>
      <c r="R1" s="278"/>
      <c r="S1" s="278"/>
      <c r="T1" s="278"/>
    </row>
    <row r="2" spans="1:20" ht="15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1:20" x14ac:dyDescent="0.25">
      <c r="A3" s="5"/>
      <c r="B3" s="6"/>
      <c r="C3" s="6"/>
      <c r="D3" s="6"/>
      <c r="E3" s="6"/>
      <c r="F3" s="6"/>
      <c r="H3" s="6"/>
      <c r="I3" s="6"/>
      <c r="J3" s="6"/>
      <c r="L3" s="110" t="s">
        <v>654</v>
      </c>
    </row>
    <row r="4" spans="1:20" x14ac:dyDescent="0.25">
      <c r="A4" s="5"/>
      <c r="B4" s="6"/>
      <c r="C4" s="6"/>
      <c r="D4" s="6"/>
      <c r="E4" s="6"/>
      <c r="F4" s="6"/>
      <c r="H4" s="6"/>
      <c r="I4" s="6"/>
      <c r="J4" s="6"/>
    </row>
    <row r="5" spans="1:20" x14ac:dyDescent="0.25">
      <c r="A5" s="105"/>
      <c r="B5" s="283" t="s">
        <v>108</v>
      </c>
      <c r="C5" s="283"/>
      <c r="D5" s="283"/>
      <c r="E5" s="283"/>
      <c r="F5" s="283"/>
      <c r="G5" s="283"/>
      <c r="H5" s="283"/>
      <c r="I5" s="283"/>
      <c r="J5" s="105"/>
      <c r="K5" s="292" t="s">
        <v>355</v>
      </c>
      <c r="L5" s="283"/>
      <c r="M5" s="283"/>
      <c r="N5" s="283"/>
      <c r="O5" s="283"/>
      <c r="P5" s="283"/>
      <c r="Q5" s="283"/>
      <c r="R5" s="283"/>
      <c r="S5" s="283"/>
      <c r="T5" s="141"/>
    </row>
    <row r="6" spans="1:20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  <c r="K6" s="99"/>
      <c r="L6" s="101"/>
      <c r="M6" s="282" t="s">
        <v>437</v>
      </c>
      <c r="N6" s="282" t="s">
        <v>299</v>
      </c>
      <c r="O6" s="279" t="s">
        <v>275</v>
      </c>
      <c r="P6" s="279"/>
      <c r="Q6" s="279" t="s">
        <v>32</v>
      </c>
      <c r="R6" s="279"/>
      <c r="S6" s="279" t="s">
        <v>33</v>
      </c>
      <c r="T6" s="279"/>
    </row>
    <row r="7" spans="1:20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  <c r="K7" s="99"/>
      <c r="L7" s="100" t="s">
        <v>368</v>
      </c>
      <c r="M7" s="281"/>
      <c r="N7" s="281"/>
      <c r="O7" s="100" t="s">
        <v>114</v>
      </c>
      <c r="P7" s="100" t="s">
        <v>3</v>
      </c>
      <c r="Q7" s="100" t="s">
        <v>114</v>
      </c>
      <c r="R7" s="100" t="s">
        <v>3</v>
      </c>
      <c r="S7" s="100" t="s">
        <v>114</v>
      </c>
      <c r="T7" s="100" t="s">
        <v>3</v>
      </c>
    </row>
    <row r="8" spans="1:20" x14ac:dyDescent="0.25">
      <c r="A8" s="138">
        <v>1990</v>
      </c>
      <c r="B8" s="167">
        <v>127</v>
      </c>
      <c r="C8" s="141">
        <v>61.6</v>
      </c>
      <c r="D8" s="167">
        <f t="shared" ref="D8:D27" si="0">(E8+G8+I8)/B8</f>
        <v>0.3645669291338583</v>
      </c>
      <c r="E8" s="15">
        <v>17</v>
      </c>
      <c r="F8" s="115" t="s">
        <v>37</v>
      </c>
      <c r="G8" s="15">
        <v>15.7</v>
      </c>
      <c r="H8" s="115" t="s">
        <v>22</v>
      </c>
      <c r="I8" s="15">
        <v>13.6</v>
      </c>
      <c r="J8" s="128" t="s">
        <v>78</v>
      </c>
      <c r="K8" s="180"/>
      <c r="L8" s="171">
        <v>2003</v>
      </c>
      <c r="M8" s="51">
        <v>91</v>
      </c>
      <c r="N8" s="172">
        <f t="shared" ref="N8:N15" si="1">+(O8+Q8+S8)/M8</f>
        <v>0.86373626373626378</v>
      </c>
      <c r="O8" s="17">
        <v>52.4</v>
      </c>
      <c r="P8" s="115" t="s">
        <v>22</v>
      </c>
      <c r="Q8" s="17">
        <v>16</v>
      </c>
      <c r="R8" s="115" t="s">
        <v>101</v>
      </c>
      <c r="S8" s="17">
        <v>10.199999999999999</v>
      </c>
      <c r="T8" s="128" t="s">
        <v>115</v>
      </c>
    </row>
    <row r="9" spans="1:20" x14ac:dyDescent="0.25">
      <c r="A9" s="138">
        <v>1991</v>
      </c>
      <c r="B9" s="167">
        <v>115</v>
      </c>
      <c r="C9" s="141">
        <v>53.4</v>
      </c>
      <c r="D9" s="167">
        <f t="shared" si="0"/>
        <v>0.37939130434782603</v>
      </c>
      <c r="E9" s="15">
        <v>16</v>
      </c>
      <c r="F9" s="115" t="s">
        <v>37</v>
      </c>
      <c r="G9" s="15">
        <v>14.43</v>
      </c>
      <c r="H9" s="115" t="s">
        <v>78</v>
      </c>
      <c r="I9" s="15">
        <v>13.2</v>
      </c>
      <c r="J9" s="128" t="s">
        <v>22</v>
      </c>
      <c r="K9" s="180"/>
      <c r="L9" s="171">
        <v>2004</v>
      </c>
      <c r="M9" s="52">
        <v>107.3</v>
      </c>
      <c r="N9" s="172">
        <f t="shared" si="1"/>
        <v>0.87791239515377451</v>
      </c>
      <c r="O9" s="17">
        <v>63.6</v>
      </c>
      <c r="P9" s="138" t="s">
        <v>22</v>
      </c>
      <c r="Q9" s="18">
        <v>15.6</v>
      </c>
      <c r="R9" s="115" t="s">
        <v>115</v>
      </c>
      <c r="S9" s="18">
        <v>15</v>
      </c>
      <c r="T9" s="246" t="s">
        <v>101</v>
      </c>
    </row>
    <row r="10" spans="1:20" x14ac:dyDescent="0.25">
      <c r="A10" s="138">
        <v>1992</v>
      </c>
      <c r="B10" s="167">
        <v>114</v>
      </c>
      <c r="C10" s="141">
        <v>49.7</v>
      </c>
      <c r="D10" s="167">
        <f t="shared" si="0"/>
        <v>0.39035087719298245</v>
      </c>
      <c r="E10" s="15">
        <v>19.2</v>
      </c>
      <c r="F10" s="12" t="s">
        <v>22</v>
      </c>
      <c r="G10" s="167">
        <v>14.5</v>
      </c>
      <c r="H10" s="12" t="s">
        <v>78</v>
      </c>
      <c r="I10" s="15">
        <v>10.8</v>
      </c>
      <c r="J10" s="128" t="s">
        <v>24</v>
      </c>
      <c r="K10" s="180"/>
      <c r="L10" s="171">
        <v>2005</v>
      </c>
      <c r="M10" s="52">
        <v>102.6</v>
      </c>
      <c r="N10" s="172">
        <f t="shared" si="1"/>
        <v>0.75633528265107208</v>
      </c>
      <c r="O10" s="18">
        <v>51.1</v>
      </c>
      <c r="P10" s="138" t="s">
        <v>22</v>
      </c>
      <c r="Q10" s="18">
        <v>16.399999999999999</v>
      </c>
      <c r="R10" s="115" t="s">
        <v>115</v>
      </c>
      <c r="S10" s="18">
        <v>10.1</v>
      </c>
      <c r="T10" s="246" t="s">
        <v>101</v>
      </c>
    </row>
    <row r="11" spans="1:20" x14ac:dyDescent="0.25">
      <c r="A11" s="138">
        <v>1993</v>
      </c>
      <c r="B11" s="167">
        <v>99.2</v>
      </c>
      <c r="C11" s="141">
        <v>36.799999999999997</v>
      </c>
      <c r="D11" s="167">
        <f t="shared" si="0"/>
        <v>0.438508064516129</v>
      </c>
      <c r="E11" s="15">
        <v>18.3</v>
      </c>
      <c r="F11" s="12" t="s">
        <v>22</v>
      </c>
      <c r="G11" s="15">
        <v>14.9</v>
      </c>
      <c r="H11" s="12" t="s">
        <v>78</v>
      </c>
      <c r="I11" s="15">
        <v>10.3</v>
      </c>
      <c r="J11" s="128" t="s">
        <v>24</v>
      </c>
      <c r="K11" s="180"/>
      <c r="L11" s="171">
        <v>2006</v>
      </c>
      <c r="M11" s="52">
        <v>107.2</v>
      </c>
      <c r="N11" s="172">
        <f t="shared" si="1"/>
        <v>0.72947761194029848</v>
      </c>
      <c r="O11" s="18">
        <v>49</v>
      </c>
      <c r="P11" s="138" t="s">
        <v>22</v>
      </c>
      <c r="Q11" s="18">
        <v>18.7</v>
      </c>
      <c r="R11" s="115" t="s">
        <v>115</v>
      </c>
      <c r="S11" s="18">
        <v>10.5</v>
      </c>
      <c r="T11" s="246" t="s">
        <v>101</v>
      </c>
    </row>
    <row r="12" spans="1:20" x14ac:dyDescent="0.25">
      <c r="A12" s="138">
        <v>1994</v>
      </c>
      <c r="B12" s="167">
        <v>108</v>
      </c>
      <c r="C12" s="141">
        <v>46.8</v>
      </c>
      <c r="D12" s="167">
        <f t="shared" si="0"/>
        <v>0.44074074074074071</v>
      </c>
      <c r="E12" s="15">
        <v>21.4</v>
      </c>
      <c r="F12" s="12" t="s">
        <v>22</v>
      </c>
      <c r="G12" s="15">
        <v>15.95</v>
      </c>
      <c r="H12" s="12" t="s">
        <v>78</v>
      </c>
      <c r="I12" s="15">
        <v>10.25</v>
      </c>
      <c r="J12" s="128" t="s">
        <v>38</v>
      </c>
      <c r="K12" s="180"/>
      <c r="L12" s="171" t="s">
        <v>4</v>
      </c>
      <c r="M12" s="162">
        <v>128.80000000000001</v>
      </c>
      <c r="N12" s="172">
        <f t="shared" si="1"/>
        <v>0.70962732919254645</v>
      </c>
      <c r="O12" s="167">
        <v>60</v>
      </c>
      <c r="P12" s="138" t="s">
        <v>22</v>
      </c>
      <c r="Q12" s="167">
        <v>21.1</v>
      </c>
      <c r="R12" s="115" t="s">
        <v>115</v>
      </c>
      <c r="S12" s="167">
        <v>10.3</v>
      </c>
      <c r="T12" s="246" t="s">
        <v>101</v>
      </c>
    </row>
    <row r="13" spans="1:20" x14ac:dyDescent="0.25">
      <c r="A13" s="138">
        <v>1995</v>
      </c>
      <c r="B13" s="167">
        <v>136</v>
      </c>
      <c r="C13" s="141">
        <v>60.9</v>
      </c>
      <c r="D13" s="167">
        <f t="shared" si="0"/>
        <v>0.44117647058823528</v>
      </c>
      <c r="E13" s="15">
        <v>33</v>
      </c>
      <c r="F13" s="12" t="s">
        <v>22</v>
      </c>
      <c r="G13" s="15">
        <v>17.89</v>
      </c>
      <c r="H13" s="12" t="s">
        <v>78</v>
      </c>
      <c r="I13" s="15">
        <v>9.11</v>
      </c>
      <c r="J13" s="128" t="s">
        <v>38</v>
      </c>
      <c r="K13" s="180"/>
      <c r="L13" s="171" t="s">
        <v>5</v>
      </c>
      <c r="M13" s="53">
        <v>124.5</v>
      </c>
      <c r="N13" s="172">
        <f t="shared" si="1"/>
        <v>0.6642570281124498</v>
      </c>
      <c r="O13" s="167">
        <v>50</v>
      </c>
      <c r="P13" s="138" t="s">
        <v>22</v>
      </c>
      <c r="Q13" s="167">
        <v>22.9</v>
      </c>
      <c r="R13" s="115" t="s">
        <v>115</v>
      </c>
      <c r="S13" s="167">
        <v>9.8000000000000007</v>
      </c>
      <c r="T13" s="246" t="s">
        <v>101</v>
      </c>
    </row>
    <row r="14" spans="1:20" x14ac:dyDescent="0.25">
      <c r="A14" s="138">
        <v>1996</v>
      </c>
      <c r="B14" s="167">
        <v>127</v>
      </c>
      <c r="C14" s="141">
        <v>56</v>
      </c>
      <c r="D14" s="167">
        <f t="shared" si="0"/>
        <v>0.44015748031496066</v>
      </c>
      <c r="E14" s="15">
        <v>29.6</v>
      </c>
      <c r="F14" s="12" t="s">
        <v>22</v>
      </c>
      <c r="G14" s="15">
        <v>17.420000000000002</v>
      </c>
      <c r="H14" s="12" t="s">
        <v>78</v>
      </c>
      <c r="I14" s="167">
        <v>8.8800000000000008</v>
      </c>
      <c r="J14" s="128" t="s">
        <v>38</v>
      </c>
      <c r="K14" s="180"/>
      <c r="L14" s="171" t="s">
        <v>6</v>
      </c>
      <c r="M14" s="53">
        <v>115.6</v>
      </c>
      <c r="N14" s="172">
        <f t="shared" si="1"/>
        <v>0.6046712802768166</v>
      </c>
      <c r="O14" s="167">
        <v>50</v>
      </c>
      <c r="P14" s="138" t="s">
        <v>22</v>
      </c>
      <c r="Q14" s="16">
        <v>13.8</v>
      </c>
      <c r="R14" s="115" t="s">
        <v>115</v>
      </c>
      <c r="S14" s="16">
        <v>6.1</v>
      </c>
      <c r="T14" s="246" t="s">
        <v>101</v>
      </c>
    </row>
    <row r="15" spans="1:20" x14ac:dyDescent="0.25">
      <c r="A15" s="138">
        <v>1997</v>
      </c>
      <c r="B15" s="167">
        <v>139</v>
      </c>
      <c r="C15" s="141">
        <v>60.1</v>
      </c>
      <c r="D15" s="167">
        <f t="shared" si="0"/>
        <v>0.45223021582733813</v>
      </c>
      <c r="E15" s="15">
        <v>33.299999999999997</v>
      </c>
      <c r="F15" s="12" t="s">
        <v>22</v>
      </c>
      <c r="G15" s="15">
        <v>21.34</v>
      </c>
      <c r="H15" s="12" t="s">
        <v>78</v>
      </c>
      <c r="I15" s="15">
        <v>8.2200000000000006</v>
      </c>
      <c r="J15" s="128" t="s">
        <v>38</v>
      </c>
      <c r="K15" s="180"/>
      <c r="L15" s="171" t="s">
        <v>7</v>
      </c>
      <c r="M15" s="181">
        <v>140.6</v>
      </c>
      <c r="N15" s="172">
        <f t="shared" si="1"/>
        <v>0.55761024182076813</v>
      </c>
      <c r="O15" s="167">
        <v>50</v>
      </c>
      <c r="P15" s="138" t="s">
        <v>22</v>
      </c>
      <c r="Q15" s="16">
        <v>18.3</v>
      </c>
      <c r="R15" s="115" t="s">
        <v>115</v>
      </c>
      <c r="S15" s="16">
        <v>10.1</v>
      </c>
      <c r="T15" s="246" t="s">
        <v>101</v>
      </c>
    </row>
    <row r="16" spans="1:20" x14ac:dyDescent="0.25">
      <c r="A16" s="138">
        <v>1998</v>
      </c>
      <c r="B16" s="167">
        <v>136</v>
      </c>
      <c r="C16" s="141">
        <v>53.34</v>
      </c>
      <c r="D16" s="167">
        <f t="shared" si="0"/>
        <v>0.46889705882352939</v>
      </c>
      <c r="E16" s="15">
        <v>30</v>
      </c>
      <c r="F16" s="12" t="s">
        <v>22</v>
      </c>
      <c r="G16" s="15">
        <v>25.3</v>
      </c>
      <c r="H16" s="12" t="s">
        <v>78</v>
      </c>
      <c r="I16" s="15">
        <v>8.4700000000000006</v>
      </c>
      <c r="J16" s="128" t="s">
        <v>38</v>
      </c>
      <c r="K16" s="180"/>
      <c r="L16" s="171"/>
      <c r="M16" s="15"/>
      <c r="N16" s="15"/>
      <c r="O16" s="12"/>
      <c r="P16" s="15"/>
      <c r="Q16" s="12"/>
      <c r="R16" s="15"/>
      <c r="S16" s="167"/>
      <c r="T16" s="158"/>
    </row>
    <row r="17" spans="1:20" x14ac:dyDescent="0.25">
      <c r="A17" s="138">
        <v>1999</v>
      </c>
      <c r="B17" s="167">
        <v>129</v>
      </c>
      <c r="C17" s="141">
        <v>42.4</v>
      </c>
      <c r="D17" s="167">
        <f t="shared" si="0"/>
        <v>0.50364341085271314</v>
      </c>
      <c r="E17" s="15">
        <v>29.7</v>
      </c>
      <c r="F17" s="12" t="s">
        <v>22</v>
      </c>
      <c r="G17" s="15">
        <v>27.31</v>
      </c>
      <c r="H17" s="12" t="s">
        <v>78</v>
      </c>
      <c r="I17" s="15">
        <v>7.96</v>
      </c>
      <c r="J17" s="128" t="s">
        <v>73</v>
      </c>
      <c r="K17" s="180"/>
      <c r="L17" s="171"/>
      <c r="M17" s="15"/>
      <c r="N17" s="15"/>
      <c r="O17" s="12"/>
      <c r="P17" s="15"/>
      <c r="Q17" s="12"/>
      <c r="R17" s="15"/>
      <c r="S17" s="167"/>
      <c r="T17" s="158"/>
    </row>
    <row r="18" spans="1:20" x14ac:dyDescent="0.25">
      <c r="A18" s="138">
        <v>2000</v>
      </c>
      <c r="B18" s="167">
        <v>135</v>
      </c>
      <c r="C18" s="141">
        <v>40.9</v>
      </c>
      <c r="D18" s="167">
        <f t="shared" si="0"/>
        <v>0.51777777777777767</v>
      </c>
      <c r="E18" s="15">
        <v>33.64</v>
      </c>
      <c r="F18" s="12" t="s">
        <v>78</v>
      </c>
      <c r="G18" s="15">
        <v>28.8</v>
      </c>
      <c r="H18" s="12" t="s">
        <v>22</v>
      </c>
      <c r="I18" s="15">
        <v>7.46</v>
      </c>
      <c r="J18" s="128" t="s">
        <v>38</v>
      </c>
      <c r="K18" s="180"/>
      <c r="L18" s="171"/>
      <c r="M18" s="15"/>
      <c r="N18" s="15"/>
      <c r="O18" s="12"/>
      <c r="P18" s="15"/>
      <c r="Q18" s="12"/>
      <c r="R18" s="15"/>
      <c r="S18" s="167"/>
      <c r="T18" s="158"/>
    </row>
    <row r="19" spans="1:20" x14ac:dyDescent="0.25">
      <c r="A19" s="138">
        <v>2001</v>
      </c>
      <c r="B19" s="167">
        <v>133</v>
      </c>
      <c r="C19" s="141">
        <v>37.6</v>
      </c>
      <c r="D19" s="167">
        <f t="shared" si="0"/>
        <v>0.53526315789473677</v>
      </c>
      <c r="E19" s="15">
        <v>33.49</v>
      </c>
      <c r="F19" s="12" t="s">
        <v>78</v>
      </c>
      <c r="G19" s="15">
        <v>28.2</v>
      </c>
      <c r="H19" s="12" t="s">
        <v>22</v>
      </c>
      <c r="I19" s="15">
        <v>9.5</v>
      </c>
      <c r="J19" s="128" t="s">
        <v>44</v>
      </c>
      <c r="K19" s="180"/>
      <c r="L19" s="171"/>
      <c r="M19" s="15"/>
      <c r="N19" s="15"/>
      <c r="O19" s="12"/>
      <c r="P19" s="15"/>
      <c r="Q19" s="12"/>
      <c r="R19" s="15"/>
      <c r="S19" s="167"/>
      <c r="T19" s="158"/>
    </row>
    <row r="20" spans="1:20" x14ac:dyDescent="0.25">
      <c r="A20" s="138">
        <v>2002</v>
      </c>
      <c r="B20" s="167">
        <v>122</v>
      </c>
      <c r="C20" s="141">
        <v>32.299999999999997</v>
      </c>
      <c r="D20" s="167">
        <f t="shared" si="0"/>
        <v>0.55229508196721311</v>
      </c>
      <c r="E20" s="18">
        <v>29.47</v>
      </c>
      <c r="F20" s="12" t="s">
        <v>78</v>
      </c>
      <c r="G20" s="16">
        <v>29.3</v>
      </c>
      <c r="H20" s="12" t="s">
        <v>22</v>
      </c>
      <c r="I20" s="18">
        <v>8.61</v>
      </c>
      <c r="J20" s="128" t="s">
        <v>44</v>
      </c>
      <c r="K20" s="180"/>
      <c r="L20" s="171"/>
      <c r="M20" s="15"/>
      <c r="N20" s="15"/>
      <c r="O20" s="12"/>
      <c r="P20" s="15"/>
      <c r="Q20" s="12"/>
      <c r="R20" s="15"/>
      <c r="S20" s="167"/>
      <c r="T20" s="158"/>
    </row>
    <row r="21" spans="1:20" x14ac:dyDescent="0.25">
      <c r="A21" s="138">
        <v>2003</v>
      </c>
      <c r="B21" s="167">
        <v>131</v>
      </c>
      <c r="C21" s="141">
        <v>33.5</v>
      </c>
      <c r="D21" s="167">
        <f t="shared" si="0"/>
        <v>0.56432061068702288</v>
      </c>
      <c r="E21" s="16">
        <v>33.369999999999997</v>
      </c>
      <c r="F21" s="12" t="s">
        <v>78</v>
      </c>
      <c r="G21" s="16">
        <v>31</v>
      </c>
      <c r="H21" s="12" t="s">
        <v>22</v>
      </c>
      <c r="I21" s="16">
        <v>9.5559999999999992</v>
      </c>
      <c r="J21" s="128" t="s">
        <v>44</v>
      </c>
      <c r="K21" s="180"/>
      <c r="L21" s="171"/>
      <c r="M21" s="15"/>
      <c r="N21" s="15"/>
      <c r="O21" s="12"/>
      <c r="P21" s="15"/>
      <c r="Q21" s="12"/>
      <c r="R21" s="15"/>
      <c r="S21" s="167"/>
      <c r="T21" s="158"/>
    </row>
    <row r="22" spans="1:20" x14ac:dyDescent="0.25">
      <c r="A22" s="138">
        <v>2004</v>
      </c>
      <c r="B22" s="167">
        <v>159</v>
      </c>
      <c r="C22" s="141">
        <v>41.5</v>
      </c>
      <c r="D22" s="167">
        <f t="shared" si="0"/>
        <v>0.59515723270440246</v>
      </c>
      <c r="E22" s="17">
        <v>41.88</v>
      </c>
      <c r="F22" s="12" t="s">
        <v>78</v>
      </c>
      <c r="G22" s="17">
        <v>38.5</v>
      </c>
      <c r="H22" s="12" t="s">
        <v>22</v>
      </c>
      <c r="I22" s="17">
        <v>14.25</v>
      </c>
      <c r="J22" s="128" t="s">
        <v>44</v>
      </c>
      <c r="K22" s="180"/>
      <c r="L22" s="171"/>
      <c r="M22" s="15"/>
      <c r="N22" s="15"/>
      <c r="O22" s="12"/>
      <c r="P22" s="15"/>
      <c r="Q22" s="12"/>
      <c r="R22" s="15"/>
      <c r="S22" s="167"/>
      <c r="T22" s="158"/>
    </row>
    <row r="23" spans="1:20" x14ac:dyDescent="0.25">
      <c r="A23" s="138">
        <v>2005</v>
      </c>
      <c r="B23" s="167">
        <v>186</v>
      </c>
      <c r="C23" s="141">
        <v>58</v>
      </c>
      <c r="D23" s="167">
        <f t="shared" si="0"/>
        <v>0.56650537634408593</v>
      </c>
      <c r="E23" s="18">
        <v>48.04</v>
      </c>
      <c r="F23" s="12" t="s">
        <v>78</v>
      </c>
      <c r="G23" s="18">
        <v>40</v>
      </c>
      <c r="H23" s="12" t="s">
        <v>22</v>
      </c>
      <c r="I23" s="18">
        <v>17.329999999999998</v>
      </c>
      <c r="J23" s="128" t="s">
        <v>44</v>
      </c>
      <c r="K23" s="180"/>
      <c r="L23" s="171"/>
      <c r="M23" s="15"/>
      <c r="N23" s="15"/>
      <c r="O23" s="12"/>
      <c r="P23" s="15"/>
      <c r="Q23" s="12"/>
      <c r="R23" s="15"/>
      <c r="S23" s="167"/>
      <c r="T23" s="158"/>
    </row>
    <row r="24" spans="1:20" x14ac:dyDescent="0.25">
      <c r="A24" s="138">
        <v>2006</v>
      </c>
      <c r="B24" s="167">
        <v>186</v>
      </c>
      <c r="C24" s="141">
        <v>59.8</v>
      </c>
      <c r="D24" s="167">
        <f t="shared" si="0"/>
        <v>0.56123655913978499</v>
      </c>
      <c r="E24" s="18">
        <v>43.9</v>
      </c>
      <c r="F24" s="12" t="s">
        <v>22</v>
      </c>
      <c r="G24" s="18">
        <v>43.28</v>
      </c>
      <c r="H24" s="12" t="s">
        <v>78</v>
      </c>
      <c r="I24" s="18">
        <v>17.21</v>
      </c>
      <c r="J24" s="128" t="s">
        <v>44</v>
      </c>
      <c r="K24" s="180"/>
      <c r="L24" s="171"/>
      <c r="M24" s="15"/>
      <c r="N24" s="15"/>
      <c r="O24" s="12"/>
      <c r="P24" s="15"/>
      <c r="Q24" s="12"/>
      <c r="R24" s="15"/>
      <c r="S24" s="167"/>
      <c r="T24" s="158"/>
    </row>
    <row r="25" spans="1:20" x14ac:dyDescent="0.25">
      <c r="A25" s="138" t="s">
        <v>4</v>
      </c>
      <c r="B25" s="167">
        <v>212</v>
      </c>
      <c r="C25" s="141">
        <v>57</v>
      </c>
      <c r="D25" s="167">
        <f t="shared" si="0"/>
        <v>0.60542452830188676</v>
      </c>
      <c r="E25" s="167">
        <v>66.7</v>
      </c>
      <c r="F25" s="12" t="s">
        <v>22</v>
      </c>
      <c r="G25" s="167">
        <v>44.91</v>
      </c>
      <c r="H25" s="12" t="s">
        <v>78</v>
      </c>
      <c r="I25" s="167">
        <v>16.739999999999998</v>
      </c>
      <c r="J25" s="128" t="s">
        <v>44</v>
      </c>
      <c r="K25" s="180"/>
      <c r="L25" s="171"/>
      <c r="M25" s="15"/>
      <c r="N25" s="15"/>
      <c r="O25" s="12"/>
      <c r="P25" s="15"/>
      <c r="Q25" s="12"/>
      <c r="R25" s="15"/>
      <c r="S25" s="167"/>
      <c r="T25" s="158"/>
    </row>
    <row r="26" spans="1:20" x14ac:dyDescent="0.25">
      <c r="A26" s="138" t="s">
        <v>5</v>
      </c>
      <c r="B26" s="167">
        <v>218</v>
      </c>
      <c r="C26" s="141">
        <v>55.9</v>
      </c>
      <c r="D26" s="167">
        <f t="shared" si="0"/>
        <v>0.60279816513761464</v>
      </c>
      <c r="E26" s="167">
        <v>81</v>
      </c>
      <c r="F26" s="12" t="s">
        <v>22</v>
      </c>
      <c r="G26" s="167">
        <v>33.69</v>
      </c>
      <c r="H26" s="12" t="s">
        <v>78</v>
      </c>
      <c r="I26" s="167">
        <v>16.72</v>
      </c>
      <c r="J26" s="128" t="s">
        <v>44</v>
      </c>
      <c r="K26" s="180"/>
      <c r="L26" s="171"/>
      <c r="M26" s="15"/>
      <c r="N26" s="15"/>
      <c r="O26" s="12"/>
      <c r="P26" s="15"/>
      <c r="Q26" s="12"/>
      <c r="R26" s="15"/>
      <c r="S26" s="167"/>
      <c r="T26" s="158"/>
    </row>
    <row r="27" spans="1:20" x14ac:dyDescent="0.25">
      <c r="A27" s="138" t="s">
        <v>6</v>
      </c>
      <c r="B27" s="167">
        <v>221</v>
      </c>
      <c r="C27" s="141">
        <v>47.8</v>
      </c>
      <c r="D27" s="167">
        <f t="shared" si="0"/>
        <v>0.63678733031674217</v>
      </c>
      <c r="E27" s="167">
        <v>93.5</v>
      </c>
      <c r="F27" s="12" t="s">
        <v>22</v>
      </c>
      <c r="G27" s="167">
        <v>34.93</v>
      </c>
      <c r="H27" s="12" t="s">
        <v>78</v>
      </c>
      <c r="I27" s="167">
        <v>12.3</v>
      </c>
      <c r="J27" s="128" t="s">
        <v>44</v>
      </c>
      <c r="K27" s="180"/>
      <c r="L27" s="171"/>
      <c r="M27" s="15"/>
      <c r="N27" s="15"/>
      <c r="O27" s="12"/>
      <c r="P27" s="15"/>
      <c r="Q27" s="12"/>
      <c r="R27" s="15"/>
      <c r="S27" s="167"/>
      <c r="T27" s="158"/>
    </row>
    <row r="28" spans="1:20" x14ac:dyDescent="0.25">
      <c r="B28" s="10"/>
      <c r="H28" s="10"/>
      <c r="J28" s="60"/>
      <c r="K28" s="80"/>
      <c r="L28" s="15"/>
      <c r="M28" s="15"/>
      <c r="N28" s="12"/>
      <c r="O28" s="15"/>
      <c r="P28" s="12"/>
      <c r="Q28" s="15"/>
      <c r="R28" s="9"/>
      <c r="S28" s="21"/>
    </row>
  </sheetData>
  <mergeCells count="15">
    <mergeCell ref="L1:T2"/>
    <mergeCell ref="B5:I5"/>
    <mergeCell ref="E6:F6"/>
    <mergeCell ref="G6:H6"/>
    <mergeCell ref="I6:J6"/>
    <mergeCell ref="D6:D7"/>
    <mergeCell ref="K5:S5"/>
    <mergeCell ref="O6:P6"/>
    <mergeCell ref="Q6:R6"/>
    <mergeCell ref="S6:T6"/>
    <mergeCell ref="N6:N7"/>
    <mergeCell ref="B6:B7"/>
    <mergeCell ref="C6:C7"/>
    <mergeCell ref="A1:J2"/>
    <mergeCell ref="M6:M7"/>
  </mergeCells>
  <pageMargins left="0.7" right="0.7" top="0.75" bottom="0.75" header="0.3" footer="0.3"/>
  <pageSetup orientation="landscape" r:id="rId1"/>
  <colBreaks count="1" manualBreakCount="1">
    <brk id="10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topLeftCell="AS1" zoomScaleNormal="100" workbookViewId="0">
      <selection activeCell="A90" sqref="A90"/>
    </sheetView>
  </sheetViews>
  <sheetFormatPr defaultRowHeight="15" x14ac:dyDescent="0.25"/>
  <cols>
    <col min="1" max="1" width="15.42578125" customWidth="1"/>
    <col min="2" max="2" width="13.28515625" customWidth="1"/>
    <col min="3" max="3" width="13.85546875" customWidth="1"/>
    <col min="4" max="8" width="13.28515625" customWidth="1"/>
    <col min="9" max="9" width="16.5703125" customWidth="1"/>
    <col min="10" max="10" width="2.140625" style="60" customWidth="1"/>
    <col min="11" max="19" width="15.42578125" customWidth="1"/>
    <col min="20" max="20" width="2.28515625" customWidth="1"/>
    <col min="21" max="21" width="15.42578125" customWidth="1"/>
    <col min="22" max="28" width="13.7109375" customWidth="1"/>
    <col min="29" max="29" width="21.7109375" customWidth="1"/>
    <col min="30" max="30" width="2.140625" customWidth="1"/>
    <col min="31" max="31" width="15.42578125" customWidth="1"/>
    <col min="32" max="39" width="14.140625" customWidth="1"/>
    <col min="40" max="40" width="2.85546875" customWidth="1"/>
    <col min="41" max="49" width="15.42578125" customWidth="1"/>
    <col min="50" max="50" width="2.85546875" customWidth="1"/>
    <col min="51" max="59" width="15.42578125" customWidth="1"/>
  </cols>
  <sheetData>
    <row r="1" spans="1:59" ht="15" customHeight="1" x14ac:dyDescent="0.25">
      <c r="A1" s="278" t="s">
        <v>439</v>
      </c>
      <c r="B1" s="278"/>
      <c r="C1" s="278"/>
      <c r="D1" s="278"/>
      <c r="E1" s="278"/>
      <c r="F1" s="278"/>
      <c r="G1" s="278"/>
      <c r="H1" s="278"/>
      <c r="I1" s="278"/>
      <c r="J1" s="4"/>
      <c r="K1" s="278" t="s">
        <v>442</v>
      </c>
      <c r="L1" s="278"/>
      <c r="M1" s="278"/>
      <c r="N1" s="278"/>
      <c r="O1" s="278"/>
      <c r="P1" s="278"/>
      <c r="Q1" s="278"/>
      <c r="R1" s="278"/>
      <c r="S1" s="278"/>
      <c r="U1" s="278" t="s">
        <v>444</v>
      </c>
      <c r="V1" s="278"/>
      <c r="W1" s="278"/>
      <c r="X1" s="278"/>
      <c r="Y1" s="278"/>
      <c r="Z1" s="278"/>
      <c r="AA1" s="278"/>
      <c r="AB1" s="278"/>
      <c r="AC1" s="278"/>
      <c r="AE1" s="278" t="s">
        <v>446</v>
      </c>
      <c r="AF1" s="278"/>
      <c r="AG1" s="278"/>
      <c r="AH1" s="278"/>
      <c r="AI1" s="278"/>
      <c r="AJ1" s="278"/>
      <c r="AK1" s="278"/>
      <c r="AL1" s="278"/>
      <c r="AM1" s="278"/>
      <c r="AO1" s="278" t="s">
        <v>449</v>
      </c>
      <c r="AP1" s="278"/>
      <c r="AQ1" s="278"/>
      <c r="AR1" s="278"/>
      <c r="AS1" s="278"/>
      <c r="AT1" s="278"/>
      <c r="AU1" s="278"/>
      <c r="AV1" s="278"/>
      <c r="AW1" s="278"/>
      <c r="AY1" s="278" t="s">
        <v>451</v>
      </c>
      <c r="AZ1" s="278"/>
      <c r="BA1" s="278"/>
      <c r="BB1" s="278"/>
      <c r="BC1" s="278"/>
      <c r="BD1" s="278"/>
      <c r="BE1" s="278"/>
      <c r="BF1" s="278"/>
      <c r="BG1" s="278"/>
    </row>
    <row r="2" spans="1:5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  <c r="K2" s="278"/>
      <c r="L2" s="278"/>
      <c r="M2" s="278"/>
      <c r="N2" s="278"/>
      <c r="O2" s="278"/>
      <c r="P2" s="278"/>
      <c r="Q2" s="278"/>
      <c r="R2" s="278"/>
      <c r="S2" s="278"/>
      <c r="U2" s="278"/>
      <c r="V2" s="278"/>
      <c r="W2" s="278"/>
      <c r="X2" s="278"/>
      <c r="Y2" s="278"/>
      <c r="Z2" s="278"/>
      <c r="AA2" s="278"/>
      <c r="AB2" s="278"/>
      <c r="AC2" s="278"/>
      <c r="AE2" s="278"/>
      <c r="AF2" s="278"/>
      <c r="AG2" s="278"/>
      <c r="AH2" s="278"/>
      <c r="AI2" s="278"/>
      <c r="AJ2" s="278"/>
      <c r="AK2" s="278"/>
      <c r="AL2" s="278"/>
      <c r="AM2" s="278"/>
      <c r="AO2" s="278"/>
      <c r="AP2" s="278"/>
      <c r="AQ2" s="278"/>
      <c r="AR2" s="278"/>
      <c r="AS2" s="278"/>
      <c r="AT2" s="278"/>
      <c r="AU2" s="278"/>
      <c r="AV2" s="278"/>
      <c r="AW2" s="278"/>
      <c r="AY2" s="278"/>
      <c r="AZ2" s="278"/>
      <c r="BA2" s="278"/>
      <c r="BB2" s="278"/>
      <c r="BC2" s="278"/>
      <c r="BD2" s="278"/>
      <c r="BE2" s="278"/>
      <c r="BF2" s="278"/>
      <c r="BG2" s="278"/>
    </row>
    <row r="3" spans="1:59" x14ac:dyDescent="0.25">
      <c r="A3" s="5"/>
      <c r="B3" s="6"/>
      <c r="C3" s="6"/>
      <c r="D3" s="6"/>
      <c r="E3" s="6"/>
      <c r="F3" s="6"/>
      <c r="H3" s="6"/>
      <c r="I3" s="6"/>
      <c r="J3" s="6"/>
      <c r="K3" s="110" t="s">
        <v>448</v>
      </c>
      <c r="L3" s="6"/>
      <c r="M3" s="6"/>
      <c r="AO3" s="110" t="s">
        <v>448</v>
      </c>
      <c r="AY3" s="110" t="s">
        <v>448</v>
      </c>
    </row>
    <row r="4" spans="1:59" x14ac:dyDescent="0.25">
      <c r="A4" s="5"/>
      <c r="B4" s="6"/>
      <c r="C4" s="6"/>
      <c r="D4" s="6"/>
      <c r="E4" s="6"/>
      <c r="F4" s="6"/>
      <c r="H4" s="6"/>
      <c r="I4" s="6"/>
      <c r="J4" s="6"/>
      <c r="K4" s="6"/>
      <c r="L4" s="6"/>
      <c r="M4" s="6"/>
    </row>
    <row r="5" spans="1:59" x14ac:dyDescent="0.25">
      <c r="A5" s="105"/>
      <c r="B5" s="283" t="s">
        <v>91</v>
      </c>
      <c r="C5" s="283"/>
      <c r="D5" s="283"/>
      <c r="E5" s="283"/>
      <c r="F5" s="283"/>
      <c r="G5" s="283"/>
      <c r="H5" s="283"/>
      <c r="I5" s="283"/>
      <c r="J5" s="105"/>
      <c r="K5" s="283" t="s">
        <v>93</v>
      </c>
      <c r="L5" s="283"/>
      <c r="M5" s="283"/>
      <c r="N5" s="283"/>
      <c r="O5" s="283"/>
      <c r="P5" s="283"/>
      <c r="Q5" s="283"/>
      <c r="R5" s="283"/>
      <c r="S5" s="283"/>
      <c r="T5" s="141"/>
      <c r="U5" s="283" t="s">
        <v>96</v>
      </c>
      <c r="V5" s="283"/>
      <c r="W5" s="283"/>
      <c r="X5" s="283"/>
      <c r="Y5" s="283"/>
      <c r="Z5" s="283"/>
      <c r="AA5" s="283"/>
      <c r="AB5" s="283"/>
      <c r="AC5" s="283"/>
      <c r="AD5" s="105"/>
      <c r="AE5" s="283" t="s">
        <v>100</v>
      </c>
      <c r="AF5" s="283"/>
      <c r="AG5" s="283"/>
      <c r="AH5" s="283"/>
      <c r="AI5" s="283"/>
      <c r="AJ5" s="283"/>
      <c r="AK5" s="283"/>
      <c r="AL5" s="283"/>
      <c r="AM5" s="283"/>
      <c r="AN5" s="141"/>
      <c r="AO5" s="283" t="s">
        <v>102</v>
      </c>
      <c r="AP5" s="283"/>
      <c r="AQ5" s="283"/>
      <c r="AR5" s="283"/>
      <c r="AS5" s="283"/>
      <c r="AT5" s="283"/>
      <c r="AU5" s="283"/>
      <c r="AV5" s="283"/>
      <c r="AW5" s="283"/>
      <c r="AX5" s="105"/>
      <c r="AY5" s="283" t="s">
        <v>655</v>
      </c>
      <c r="AZ5" s="283"/>
      <c r="BA5" s="283"/>
      <c r="BB5" s="283"/>
      <c r="BC5" s="283"/>
      <c r="BD5" s="283"/>
      <c r="BE5" s="283"/>
      <c r="BF5" s="283"/>
      <c r="BG5" s="283"/>
    </row>
    <row r="6" spans="1:59" s="13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99"/>
      <c r="K6" s="101"/>
      <c r="L6" s="282" t="s">
        <v>440</v>
      </c>
      <c r="M6" s="282" t="s">
        <v>299</v>
      </c>
      <c r="N6" s="271" t="s">
        <v>275</v>
      </c>
      <c r="O6" s="271"/>
      <c r="P6" s="279" t="s">
        <v>32</v>
      </c>
      <c r="Q6" s="279"/>
      <c r="R6" s="279" t="s">
        <v>33</v>
      </c>
      <c r="S6" s="279"/>
      <c r="T6" s="182"/>
      <c r="U6" s="101"/>
      <c r="V6" s="282" t="s">
        <v>443</v>
      </c>
      <c r="W6" s="282" t="s">
        <v>299</v>
      </c>
      <c r="X6" s="271" t="s">
        <v>275</v>
      </c>
      <c r="Y6" s="271"/>
      <c r="Z6" s="279" t="s">
        <v>32</v>
      </c>
      <c r="AA6" s="279"/>
      <c r="AB6" s="279" t="s">
        <v>33</v>
      </c>
      <c r="AC6" s="279"/>
      <c r="AD6" s="99"/>
      <c r="AE6" s="101"/>
      <c r="AF6" s="282" t="s">
        <v>445</v>
      </c>
      <c r="AG6" s="282" t="s">
        <v>299</v>
      </c>
      <c r="AH6" s="271" t="s">
        <v>275</v>
      </c>
      <c r="AI6" s="271"/>
      <c r="AJ6" s="279" t="s">
        <v>32</v>
      </c>
      <c r="AK6" s="279"/>
      <c r="AL6" s="279" t="s">
        <v>33</v>
      </c>
      <c r="AM6" s="279"/>
      <c r="AN6" s="182"/>
      <c r="AO6" s="101"/>
      <c r="AP6" s="282" t="s">
        <v>447</v>
      </c>
      <c r="AQ6" s="282" t="s">
        <v>299</v>
      </c>
      <c r="AR6" s="271" t="s">
        <v>275</v>
      </c>
      <c r="AS6" s="271"/>
      <c r="AT6" s="279" t="s">
        <v>32</v>
      </c>
      <c r="AU6" s="279"/>
      <c r="AV6" s="279" t="s">
        <v>33</v>
      </c>
      <c r="AW6" s="279"/>
      <c r="AX6" s="99"/>
      <c r="AY6" s="101"/>
      <c r="AZ6" s="282" t="s">
        <v>450</v>
      </c>
      <c r="BA6" s="282" t="s">
        <v>299</v>
      </c>
      <c r="BB6" s="271" t="s">
        <v>275</v>
      </c>
      <c r="BC6" s="271"/>
      <c r="BD6" s="279" t="s">
        <v>32</v>
      </c>
      <c r="BE6" s="279"/>
      <c r="BF6" s="279" t="s">
        <v>33</v>
      </c>
      <c r="BG6" s="279"/>
    </row>
    <row r="7" spans="1:59" s="13" customFormat="1" ht="25.5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100" t="s">
        <v>9</v>
      </c>
      <c r="O7" s="100" t="s">
        <v>3</v>
      </c>
      <c r="P7" s="100" t="s">
        <v>109</v>
      </c>
      <c r="Q7" s="100" t="s">
        <v>3</v>
      </c>
      <c r="R7" s="100" t="s">
        <v>109</v>
      </c>
      <c r="S7" s="100" t="s">
        <v>3</v>
      </c>
      <c r="T7" s="182"/>
      <c r="U7" s="100" t="s">
        <v>368</v>
      </c>
      <c r="V7" s="281"/>
      <c r="W7" s="281"/>
      <c r="X7" s="100" t="s">
        <v>110</v>
      </c>
      <c r="Y7" s="100" t="s">
        <v>3</v>
      </c>
      <c r="Z7" s="100" t="s">
        <v>110</v>
      </c>
      <c r="AA7" s="100" t="s">
        <v>3</v>
      </c>
      <c r="AB7" s="100" t="s">
        <v>110</v>
      </c>
      <c r="AC7" s="100" t="s">
        <v>3</v>
      </c>
      <c r="AD7" s="99"/>
      <c r="AE7" s="100" t="s">
        <v>368</v>
      </c>
      <c r="AF7" s="281"/>
      <c r="AG7" s="281"/>
      <c r="AH7" s="100" t="s">
        <v>111</v>
      </c>
      <c r="AI7" s="100" t="s">
        <v>3</v>
      </c>
      <c r="AJ7" s="100" t="s">
        <v>111</v>
      </c>
      <c r="AK7" s="100" t="s">
        <v>3</v>
      </c>
      <c r="AL7" s="100" t="s">
        <v>111</v>
      </c>
      <c r="AM7" s="100" t="s">
        <v>3</v>
      </c>
      <c r="AN7" s="182"/>
      <c r="AO7" s="100" t="s">
        <v>368</v>
      </c>
      <c r="AP7" s="281"/>
      <c r="AQ7" s="281"/>
      <c r="AR7" s="100" t="s">
        <v>112</v>
      </c>
      <c r="AS7" s="100" t="s">
        <v>3</v>
      </c>
      <c r="AT7" s="100" t="s">
        <v>112</v>
      </c>
      <c r="AU7" s="100" t="s">
        <v>3</v>
      </c>
      <c r="AV7" s="100" t="s">
        <v>112</v>
      </c>
      <c r="AW7" s="100" t="s">
        <v>3</v>
      </c>
      <c r="AX7" s="99"/>
      <c r="AY7" s="100" t="s">
        <v>368</v>
      </c>
      <c r="AZ7" s="281"/>
      <c r="BA7" s="281"/>
      <c r="BB7" s="100" t="s">
        <v>113</v>
      </c>
      <c r="BC7" s="100" t="s">
        <v>3</v>
      </c>
      <c r="BD7" s="100" t="s">
        <v>113</v>
      </c>
      <c r="BE7" s="100" t="s">
        <v>3</v>
      </c>
      <c r="BF7" s="100" t="s">
        <v>113</v>
      </c>
      <c r="BG7" s="100" t="s">
        <v>3</v>
      </c>
    </row>
    <row r="8" spans="1:59" x14ac:dyDescent="0.25">
      <c r="A8" s="138">
        <v>1990</v>
      </c>
      <c r="B8" s="166">
        <v>974</v>
      </c>
      <c r="C8" s="167">
        <f t="shared" ref="C8:C27" si="0">(D8+F8+H8)/B8</f>
        <v>0.5760780287474333</v>
      </c>
      <c r="D8" s="15">
        <v>280</v>
      </c>
      <c r="E8" s="12" t="s">
        <v>37</v>
      </c>
      <c r="F8" s="15">
        <v>196</v>
      </c>
      <c r="G8" s="12" t="s">
        <v>38</v>
      </c>
      <c r="H8" s="15">
        <v>85.1</v>
      </c>
      <c r="I8" s="128" t="s">
        <v>92</v>
      </c>
      <c r="J8" s="180"/>
      <c r="K8" s="171">
        <v>1990</v>
      </c>
      <c r="L8" s="15">
        <v>2.73</v>
      </c>
      <c r="M8" s="172" t="e">
        <f t="shared" ref="M8:M27" si="1">+(N8+P8+R8)/L8</f>
        <v>#VALUE!</v>
      </c>
      <c r="N8" s="15">
        <v>1.64</v>
      </c>
      <c r="O8" s="12" t="s">
        <v>39</v>
      </c>
      <c r="P8" s="15">
        <v>1.0900000000000001</v>
      </c>
      <c r="Q8" s="12" t="s">
        <v>94</v>
      </c>
      <c r="R8" s="213" t="s">
        <v>394</v>
      </c>
      <c r="S8" s="128" t="s">
        <v>310</v>
      </c>
      <c r="T8" s="182"/>
      <c r="U8" s="171">
        <v>1990</v>
      </c>
      <c r="V8" s="27">
        <v>198</v>
      </c>
      <c r="W8" s="172">
        <f t="shared" ref="W8:W27" si="2">+(X8+Z8+AB8)/V8</f>
        <v>0.59343434343434343</v>
      </c>
      <c r="X8" s="15">
        <v>56.5</v>
      </c>
      <c r="Y8" s="12" t="s">
        <v>29</v>
      </c>
      <c r="Z8" s="15">
        <v>32.299999999999997</v>
      </c>
      <c r="AA8" s="39" t="s">
        <v>92</v>
      </c>
      <c r="AB8" s="15">
        <v>28.7</v>
      </c>
      <c r="AC8" s="128" t="s">
        <v>99</v>
      </c>
      <c r="AD8" s="183"/>
      <c r="AE8" s="171">
        <v>1990</v>
      </c>
      <c r="AF8" s="27">
        <v>486</v>
      </c>
      <c r="AG8" s="172">
        <f t="shared" ref="AG8:AG27" si="3">+(AH8+AJ8+AL8)/AF8</f>
        <v>0.67078189300411528</v>
      </c>
      <c r="AH8" s="15">
        <v>240</v>
      </c>
      <c r="AI8" s="12" t="s">
        <v>37</v>
      </c>
      <c r="AJ8" s="15">
        <v>57.8</v>
      </c>
      <c r="AK8" s="12" t="s">
        <v>97</v>
      </c>
      <c r="AL8" s="15">
        <v>28.2</v>
      </c>
      <c r="AM8" s="128" t="s">
        <v>118</v>
      </c>
      <c r="AN8" s="182"/>
      <c r="AO8" s="171">
        <v>1990</v>
      </c>
      <c r="AP8" s="31">
        <v>55.6</v>
      </c>
      <c r="AQ8" s="172">
        <f t="shared" ref="AQ8:AQ25" si="4">+(AR8+AT8+AV8)/AP8</f>
        <v>1</v>
      </c>
      <c r="AR8" s="15">
        <v>21.5</v>
      </c>
      <c r="AS8" s="12" t="s">
        <v>29</v>
      </c>
      <c r="AT8" s="15">
        <v>21.1</v>
      </c>
      <c r="AU8" s="39" t="s">
        <v>103</v>
      </c>
      <c r="AV8" s="15">
        <v>13</v>
      </c>
      <c r="AW8" s="128" t="s">
        <v>37</v>
      </c>
      <c r="AX8" s="183"/>
      <c r="AY8" s="171">
        <v>1990</v>
      </c>
      <c r="AZ8" s="27">
        <v>178</v>
      </c>
      <c r="BA8" s="172">
        <f t="shared" ref="BA8:BA27" si="5">+(BB8+BD8)/AZ8</f>
        <v>1</v>
      </c>
      <c r="BB8" s="15">
        <v>135</v>
      </c>
      <c r="BC8" s="12" t="s">
        <v>38</v>
      </c>
      <c r="BD8" s="15">
        <v>43</v>
      </c>
      <c r="BE8" s="12" t="s">
        <v>27</v>
      </c>
      <c r="BF8" s="213" t="s">
        <v>394</v>
      </c>
      <c r="BG8" s="128" t="s">
        <v>310</v>
      </c>
    </row>
    <row r="9" spans="1:59" x14ac:dyDescent="0.25">
      <c r="A9" s="138">
        <v>1991</v>
      </c>
      <c r="B9" s="166">
        <v>1010</v>
      </c>
      <c r="C9" s="167">
        <f t="shared" si="0"/>
        <v>0.5809405940594059</v>
      </c>
      <c r="D9" s="15">
        <v>280</v>
      </c>
      <c r="E9" s="12" t="s">
        <v>37</v>
      </c>
      <c r="F9" s="15">
        <v>192.26</v>
      </c>
      <c r="G9" s="12" t="s">
        <v>38</v>
      </c>
      <c r="H9" s="15">
        <v>114.49</v>
      </c>
      <c r="I9" s="128" t="s">
        <v>92</v>
      </c>
      <c r="J9" s="180"/>
      <c r="K9" s="171">
        <v>1991</v>
      </c>
      <c r="L9" s="15">
        <v>8.5500000000000007</v>
      </c>
      <c r="M9" s="172">
        <f t="shared" si="1"/>
        <v>0.88187134502923969</v>
      </c>
      <c r="N9" s="15">
        <v>3</v>
      </c>
      <c r="O9" s="12" t="s">
        <v>37</v>
      </c>
      <c r="P9" s="15">
        <v>2.38</v>
      </c>
      <c r="Q9" s="12" t="s">
        <v>29</v>
      </c>
      <c r="R9" s="15">
        <v>2.16</v>
      </c>
      <c r="S9" s="128" t="s">
        <v>39</v>
      </c>
      <c r="T9" s="182"/>
      <c r="U9" s="171">
        <v>1991</v>
      </c>
      <c r="V9" s="27">
        <v>207</v>
      </c>
      <c r="W9" s="172">
        <f t="shared" si="2"/>
        <v>0.63536231884057959</v>
      </c>
      <c r="X9" s="15">
        <v>68.05</v>
      </c>
      <c r="Y9" s="12" t="s">
        <v>29</v>
      </c>
      <c r="Z9" s="15">
        <v>34.409999999999997</v>
      </c>
      <c r="AA9" s="39" t="s">
        <v>92</v>
      </c>
      <c r="AB9" s="15">
        <v>29.06</v>
      </c>
      <c r="AC9" s="128" t="s">
        <v>99</v>
      </c>
      <c r="AD9" s="183"/>
      <c r="AE9" s="171">
        <v>1991</v>
      </c>
      <c r="AF9" s="27">
        <v>470</v>
      </c>
      <c r="AG9" s="172">
        <f t="shared" si="3"/>
        <v>0.73863829787234037</v>
      </c>
      <c r="AH9" s="15">
        <v>259.39999999999998</v>
      </c>
      <c r="AI9" s="12" t="s">
        <v>37</v>
      </c>
      <c r="AJ9" s="15">
        <v>58.73</v>
      </c>
      <c r="AK9" s="12" t="s">
        <v>97</v>
      </c>
      <c r="AL9" s="15">
        <v>29.03</v>
      </c>
      <c r="AM9" s="128" t="s">
        <v>101</v>
      </c>
      <c r="AN9" s="182"/>
      <c r="AO9" s="171">
        <v>1991</v>
      </c>
      <c r="AP9" s="31">
        <v>56</v>
      </c>
      <c r="AQ9" s="172">
        <f t="shared" si="4"/>
        <v>1</v>
      </c>
      <c r="AR9" s="15">
        <v>22.47</v>
      </c>
      <c r="AS9" s="12" t="s">
        <v>29</v>
      </c>
      <c r="AT9" s="15">
        <v>18.53</v>
      </c>
      <c r="AU9" s="39" t="s">
        <v>103</v>
      </c>
      <c r="AV9" s="15">
        <v>15</v>
      </c>
      <c r="AW9" s="128" t="s">
        <v>37</v>
      </c>
      <c r="AX9" s="183"/>
      <c r="AY9" s="171">
        <v>1991</v>
      </c>
      <c r="AZ9" s="27">
        <v>151</v>
      </c>
      <c r="BA9" s="172">
        <f t="shared" si="5"/>
        <v>1.1980132450331127</v>
      </c>
      <c r="BB9" s="15">
        <v>131.5</v>
      </c>
      <c r="BC9" s="12" t="s">
        <v>38</v>
      </c>
      <c r="BD9" s="15">
        <v>49.4</v>
      </c>
      <c r="BE9" s="12" t="s">
        <v>27</v>
      </c>
      <c r="BF9" s="213" t="s">
        <v>394</v>
      </c>
      <c r="BG9" s="128" t="s">
        <v>310</v>
      </c>
    </row>
    <row r="10" spans="1:59" x14ac:dyDescent="0.25">
      <c r="A10" s="138">
        <v>1992</v>
      </c>
      <c r="B10" s="166">
        <v>1010</v>
      </c>
      <c r="C10" s="167">
        <f t="shared" si="0"/>
        <v>0.5736435643564356</v>
      </c>
      <c r="D10" s="15">
        <v>280</v>
      </c>
      <c r="E10" s="12" t="s">
        <v>24</v>
      </c>
      <c r="F10" s="167">
        <v>186.38</v>
      </c>
      <c r="G10" s="12" t="s">
        <v>38</v>
      </c>
      <c r="H10" s="15">
        <v>113</v>
      </c>
      <c r="I10" s="128" t="s">
        <v>92</v>
      </c>
      <c r="J10" s="180"/>
      <c r="K10" s="171">
        <v>1992</v>
      </c>
      <c r="L10" s="15">
        <v>9.52</v>
      </c>
      <c r="M10" s="172">
        <f t="shared" si="1"/>
        <v>0.87394957983193289</v>
      </c>
      <c r="N10" s="15">
        <v>3</v>
      </c>
      <c r="O10" s="12" t="s">
        <v>24</v>
      </c>
      <c r="P10" s="15">
        <v>2.89</v>
      </c>
      <c r="Q10" s="12" t="s">
        <v>39</v>
      </c>
      <c r="R10" s="15">
        <v>2.4300000000000002</v>
      </c>
      <c r="S10" s="128" t="s">
        <v>29</v>
      </c>
      <c r="T10" s="182"/>
      <c r="U10" s="171">
        <v>1992</v>
      </c>
      <c r="V10" s="27">
        <v>193</v>
      </c>
      <c r="W10" s="172">
        <f t="shared" si="2"/>
        <v>0.60559585492227974</v>
      </c>
      <c r="X10" s="15">
        <v>57.45</v>
      </c>
      <c r="Y10" s="12" t="s">
        <v>29</v>
      </c>
      <c r="Z10" s="15">
        <v>31.9</v>
      </c>
      <c r="AA10" s="39" t="s">
        <v>92</v>
      </c>
      <c r="AB10" s="15">
        <v>27.53</v>
      </c>
      <c r="AC10" s="128" t="s">
        <v>99</v>
      </c>
      <c r="AD10" s="183"/>
      <c r="AE10" s="171">
        <v>1992</v>
      </c>
      <c r="AF10" s="27">
        <v>378</v>
      </c>
      <c r="AG10" s="172">
        <f t="shared" si="3"/>
        <v>0.81346560846560845</v>
      </c>
      <c r="AH10" s="15">
        <v>221</v>
      </c>
      <c r="AI10" s="12" t="s">
        <v>24</v>
      </c>
      <c r="AJ10" s="15">
        <v>55.69</v>
      </c>
      <c r="AK10" s="12" t="s">
        <v>97</v>
      </c>
      <c r="AL10" s="15">
        <v>30.8</v>
      </c>
      <c r="AM10" s="128" t="s">
        <v>22</v>
      </c>
      <c r="AN10" s="182"/>
      <c r="AO10" s="171">
        <v>1992</v>
      </c>
      <c r="AP10" s="31">
        <v>59.2</v>
      </c>
      <c r="AQ10" s="172">
        <f t="shared" si="4"/>
        <v>1.0006756756756756</v>
      </c>
      <c r="AR10" s="15">
        <v>27.52</v>
      </c>
      <c r="AS10" s="12" t="s">
        <v>29</v>
      </c>
      <c r="AT10" s="15">
        <v>16.72</v>
      </c>
      <c r="AU10" s="39" t="s">
        <v>103</v>
      </c>
      <c r="AV10" s="15">
        <v>15</v>
      </c>
      <c r="AW10" s="128" t="s">
        <v>24</v>
      </c>
      <c r="AX10" s="183"/>
      <c r="AY10" s="171">
        <v>1992</v>
      </c>
      <c r="AZ10" s="27">
        <v>192</v>
      </c>
      <c r="BA10" s="172">
        <f t="shared" si="5"/>
        <v>1.0010416666666666</v>
      </c>
      <c r="BB10" s="15">
        <v>135.19999999999999</v>
      </c>
      <c r="BC10" s="12" t="s">
        <v>38</v>
      </c>
      <c r="BD10" s="15">
        <v>57</v>
      </c>
      <c r="BE10" s="12" t="s">
        <v>27</v>
      </c>
      <c r="BF10" s="213" t="s">
        <v>394</v>
      </c>
      <c r="BG10" s="128" t="s">
        <v>310</v>
      </c>
    </row>
    <row r="11" spans="1:59" x14ac:dyDescent="0.25">
      <c r="A11" s="138">
        <v>1993</v>
      </c>
      <c r="B11" s="166">
        <v>928</v>
      </c>
      <c r="C11" s="167">
        <f t="shared" si="0"/>
        <v>0.5702262931034483</v>
      </c>
      <c r="D11" s="15">
        <v>244</v>
      </c>
      <c r="E11" s="12" t="s">
        <v>24</v>
      </c>
      <c r="F11" s="15">
        <v>188.08</v>
      </c>
      <c r="G11" s="12" t="s">
        <v>38</v>
      </c>
      <c r="H11" s="15">
        <v>97.09</v>
      </c>
      <c r="I11" s="128" t="s">
        <v>92</v>
      </c>
      <c r="J11" s="180"/>
      <c r="K11" s="171">
        <v>1993</v>
      </c>
      <c r="L11" s="15">
        <v>8.58</v>
      </c>
      <c r="M11" s="172">
        <f t="shared" si="1"/>
        <v>0.86130536130536128</v>
      </c>
      <c r="N11" s="15">
        <v>3.13</v>
      </c>
      <c r="O11" s="12" t="s">
        <v>39</v>
      </c>
      <c r="P11" s="15">
        <v>2.2599999999999998</v>
      </c>
      <c r="Q11" s="12" t="s">
        <v>29</v>
      </c>
      <c r="R11" s="15">
        <v>2</v>
      </c>
      <c r="S11" s="128" t="s">
        <v>24</v>
      </c>
      <c r="T11" s="182"/>
      <c r="U11" s="171">
        <v>1993</v>
      </c>
      <c r="V11" s="27">
        <v>175</v>
      </c>
      <c r="W11" s="172">
        <f t="shared" si="2"/>
        <v>0.63919999999999999</v>
      </c>
      <c r="X11" s="15">
        <v>51.12</v>
      </c>
      <c r="Y11" s="12" t="s">
        <v>29</v>
      </c>
      <c r="Z11" s="15">
        <v>36.880000000000003</v>
      </c>
      <c r="AA11" s="39" t="s">
        <v>92</v>
      </c>
      <c r="AB11" s="15">
        <v>23.86</v>
      </c>
      <c r="AC11" s="128" t="s">
        <v>99</v>
      </c>
      <c r="AD11" s="183"/>
      <c r="AE11" s="171">
        <v>1993</v>
      </c>
      <c r="AF11" s="27">
        <v>378</v>
      </c>
      <c r="AG11" s="172">
        <f t="shared" si="3"/>
        <v>0.6729100529100529</v>
      </c>
      <c r="AH11" s="15">
        <v>167</v>
      </c>
      <c r="AI11" s="12" t="s">
        <v>24</v>
      </c>
      <c r="AJ11" s="15">
        <v>56.82</v>
      </c>
      <c r="AK11" s="12" t="s">
        <v>97</v>
      </c>
      <c r="AL11" s="15">
        <v>30.54</v>
      </c>
      <c r="AM11" s="128" t="s">
        <v>22</v>
      </c>
      <c r="AN11" s="182"/>
      <c r="AO11" s="171">
        <v>1993</v>
      </c>
      <c r="AP11" s="31">
        <v>55.6</v>
      </c>
      <c r="AQ11" s="172">
        <f t="shared" si="4"/>
        <v>1.0001798561151078</v>
      </c>
      <c r="AR11" s="15">
        <v>28.81</v>
      </c>
      <c r="AS11" s="12" t="s">
        <v>29</v>
      </c>
      <c r="AT11" s="15">
        <v>16</v>
      </c>
      <c r="AU11" s="39" t="s">
        <v>103</v>
      </c>
      <c r="AV11" s="15">
        <v>10.8</v>
      </c>
      <c r="AW11" s="128" t="s">
        <v>24</v>
      </c>
      <c r="AX11" s="183"/>
      <c r="AY11" s="171">
        <v>1993</v>
      </c>
      <c r="AZ11" s="27">
        <v>178</v>
      </c>
      <c r="BA11" s="172">
        <f t="shared" si="5"/>
        <v>1.0007865168539325</v>
      </c>
      <c r="BB11" s="15">
        <v>123.14</v>
      </c>
      <c r="BC11" s="12" t="s">
        <v>38</v>
      </c>
      <c r="BD11" s="15">
        <v>55</v>
      </c>
      <c r="BE11" s="12" t="s">
        <v>27</v>
      </c>
      <c r="BF11" s="213" t="s">
        <v>394</v>
      </c>
      <c r="BG11" s="128" t="s">
        <v>310</v>
      </c>
    </row>
    <row r="12" spans="1:59" x14ac:dyDescent="0.25">
      <c r="A12" s="138">
        <v>1994</v>
      </c>
      <c r="B12" s="166">
        <v>932</v>
      </c>
      <c r="C12" s="167">
        <f t="shared" si="0"/>
        <v>0.52275751072961374</v>
      </c>
      <c r="D12" s="15">
        <v>240</v>
      </c>
      <c r="E12" s="12" t="s">
        <v>24</v>
      </c>
      <c r="F12" s="15">
        <v>149.88999999999999</v>
      </c>
      <c r="G12" s="12" t="s">
        <v>38</v>
      </c>
      <c r="H12" s="15">
        <v>97.32</v>
      </c>
      <c r="I12" s="128" t="s">
        <v>92</v>
      </c>
      <c r="J12" s="180"/>
      <c r="K12" s="171">
        <v>1994</v>
      </c>
      <c r="L12" s="15">
        <v>10.199999999999999</v>
      </c>
      <c r="M12" s="172">
        <f t="shared" si="1"/>
        <v>0.83519607843137267</v>
      </c>
      <c r="N12" s="15">
        <v>4.1189999999999998</v>
      </c>
      <c r="O12" s="12" t="s">
        <v>39</v>
      </c>
      <c r="P12" s="15">
        <v>2.4</v>
      </c>
      <c r="Q12" s="12" t="s">
        <v>29</v>
      </c>
      <c r="R12" s="15">
        <v>2</v>
      </c>
      <c r="S12" s="128" t="s">
        <v>24</v>
      </c>
      <c r="T12" s="182"/>
      <c r="U12" s="171">
        <v>1994</v>
      </c>
      <c r="V12" s="27">
        <v>190</v>
      </c>
      <c r="W12" s="172">
        <f t="shared" si="2"/>
        <v>0.63389473684210529</v>
      </c>
      <c r="X12" s="15">
        <v>50.19</v>
      </c>
      <c r="Y12" s="12" t="s">
        <v>29</v>
      </c>
      <c r="Z12" s="15">
        <v>39.49</v>
      </c>
      <c r="AA12" s="39" t="s">
        <v>92</v>
      </c>
      <c r="AB12" s="15">
        <v>30.76</v>
      </c>
      <c r="AC12" s="128" t="s">
        <v>99</v>
      </c>
      <c r="AD12" s="183"/>
      <c r="AE12" s="171">
        <v>1994</v>
      </c>
      <c r="AF12" s="27">
        <v>401</v>
      </c>
      <c r="AG12" s="172">
        <f t="shared" si="3"/>
        <v>0.65775561097256852</v>
      </c>
      <c r="AH12" s="15">
        <v>164.5</v>
      </c>
      <c r="AI12" s="12" t="s">
        <v>24</v>
      </c>
      <c r="AJ12" s="15">
        <v>67.959999999999994</v>
      </c>
      <c r="AK12" s="12" t="s">
        <v>97</v>
      </c>
      <c r="AL12" s="15">
        <v>31.3</v>
      </c>
      <c r="AM12" s="128" t="s">
        <v>22</v>
      </c>
      <c r="AN12" s="182"/>
      <c r="AO12" s="171">
        <v>1994</v>
      </c>
      <c r="AP12" s="31">
        <v>53.2</v>
      </c>
      <c r="AQ12" s="172">
        <f t="shared" si="4"/>
        <v>1.0007518796992481</v>
      </c>
      <c r="AR12" s="15">
        <v>34.71</v>
      </c>
      <c r="AS12" s="12" t="s">
        <v>29</v>
      </c>
      <c r="AT12" s="15">
        <v>13.93</v>
      </c>
      <c r="AU12" s="39" t="s">
        <v>103</v>
      </c>
      <c r="AV12" s="15">
        <v>4.5999999999999996</v>
      </c>
      <c r="AW12" s="128" t="s">
        <v>24</v>
      </c>
      <c r="AX12" s="183"/>
      <c r="AY12" s="171">
        <v>1994</v>
      </c>
      <c r="AZ12" s="27">
        <v>172</v>
      </c>
      <c r="BA12" s="172">
        <f t="shared" si="5"/>
        <v>1.000813953488372</v>
      </c>
      <c r="BB12" s="15">
        <v>105.14</v>
      </c>
      <c r="BC12" s="12" t="s">
        <v>38</v>
      </c>
      <c r="BD12" s="15">
        <v>67</v>
      </c>
      <c r="BE12" s="12" t="s">
        <v>27</v>
      </c>
      <c r="BF12" s="213" t="s">
        <v>394</v>
      </c>
      <c r="BG12" s="128" t="s">
        <v>310</v>
      </c>
    </row>
    <row r="13" spans="1:59" x14ac:dyDescent="0.25">
      <c r="A13" s="138">
        <v>1995</v>
      </c>
      <c r="B13" s="166">
        <v>1040</v>
      </c>
      <c r="C13" s="167">
        <f t="shared" si="0"/>
        <v>0.53147115384615384</v>
      </c>
      <c r="D13" s="15">
        <v>251</v>
      </c>
      <c r="E13" s="12" t="s">
        <v>24</v>
      </c>
      <c r="F13" s="15">
        <v>181.82</v>
      </c>
      <c r="G13" s="12" t="s">
        <v>38</v>
      </c>
      <c r="H13" s="15">
        <v>119.91</v>
      </c>
      <c r="I13" s="128" t="s">
        <v>92</v>
      </c>
      <c r="J13" s="180"/>
      <c r="K13" s="171">
        <v>1995</v>
      </c>
      <c r="L13" s="15">
        <v>10.199999999999999</v>
      </c>
      <c r="M13" s="172">
        <f t="shared" si="1"/>
        <v>0.83921568627450993</v>
      </c>
      <c r="N13" s="15">
        <v>4.28</v>
      </c>
      <c r="O13" s="12" t="s">
        <v>39</v>
      </c>
      <c r="P13" s="15">
        <v>2.2799999999999998</v>
      </c>
      <c r="Q13" s="12" t="s">
        <v>29</v>
      </c>
      <c r="R13" s="15">
        <v>2</v>
      </c>
      <c r="S13" s="128" t="s">
        <v>24</v>
      </c>
      <c r="T13" s="182"/>
      <c r="U13" s="171">
        <v>1995</v>
      </c>
      <c r="V13" s="27">
        <v>234</v>
      </c>
      <c r="W13" s="172">
        <f t="shared" si="2"/>
        <v>0.61102564102564094</v>
      </c>
      <c r="X13" s="15">
        <v>69.88</v>
      </c>
      <c r="Y13" s="12" t="s">
        <v>29</v>
      </c>
      <c r="Z13" s="15">
        <v>42.2</v>
      </c>
      <c r="AA13" s="39" t="s">
        <v>92</v>
      </c>
      <c r="AB13" s="15">
        <v>30.9</v>
      </c>
      <c r="AC13" s="128" t="s">
        <v>99</v>
      </c>
      <c r="AD13" s="183"/>
      <c r="AE13" s="171">
        <v>1995</v>
      </c>
      <c r="AF13" s="27">
        <v>473</v>
      </c>
      <c r="AG13" s="172">
        <f t="shared" si="3"/>
        <v>0.59517970401691334</v>
      </c>
      <c r="AH13" s="15">
        <v>181</v>
      </c>
      <c r="AI13" s="12" t="s">
        <v>24</v>
      </c>
      <c r="AJ13" s="15">
        <v>58.32</v>
      </c>
      <c r="AK13" s="12" t="s">
        <v>27</v>
      </c>
      <c r="AL13" s="15">
        <v>42.2</v>
      </c>
      <c r="AM13" s="128" t="s">
        <v>97</v>
      </c>
      <c r="AN13" s="182"/>
      <c r="AO13" s="171">
        <v>1995</v>
      </c>
      <c r="AP13" s="31">
        <v>61.5</v>
      </c>
      <c r="AQ13" s="172">
        <f t="shared" si="4"/>
        <v>0.999349593495935</v>
      </c>
      <c r="AR13" s="15">
        <v>35.97</v>
      </c>
      <c r="AS13" s="12" t="s">
        <v>29</v>
      </c>
      <c r="AT13" s="15">
        <v>21.39</v>
      </c>
      <c r="AU13" s="39" t="s">
        <v>103</v>
      </c>
      <c r="AV13" s="15">
        <v>4.0999999999999996</v>
      </c>
      <c r="AW13" s="128" t="s">
        <v>24</v>
      </c>
      <c r="AX13" s="183"/>
      <c r="AY13" s="171">
        <v>1995</v>
      </c>
      <c r="AZ13" s="27">
        <v>144</v>
      </c>
      <c r="BA13" s="172">
        <f t="shared" si="5"/>
        <v>0.99944444444444458</v>
      </c>
      <c r="BB13" s="15">
        <v>125.31</v>
      </c>
      <c r="BC13" s="12" t="s">
        <v>38</v>
      </c>
      <c r="BD13" s="15">
        <v>18.61</v>
      </c>
      <c r="BE13" s="12" t="s">
        <v>27</v>
      </c>
      <c r="BF13" s="213" t="s">
        <v>394</v>
      </c>
      <c r="BG13" s="128" t="s">
        <v>310</v>
      </c>
    </row>
    <row r="14" spans="1:59" x14ac:dyDescent="0.25">
      <c r="A14" s="138">
        <v>1996</v>
      </c>
      <c r="B14" s="166">
        <v>1060</v>
      </c>
      <c r="C14" s="167">
        <f t="shared" si="0"/>
        <v>0.51428301886792449</v>
      </c>
      <c r="D14" s="15">
        <v>230</v>
      </c>
      <c r="E14" s="12" t="s">
        <v>24</v>
      </c>
      <c r="F14" s="15">
        <v>192.65</v>
      </c>
      <c r="G14" s="12" t="s">
        <v>38</v>
      </c>
      <c r="H14" s="167">
        <v>122.49</v>
      </c>
      <c r="I14" s="128" t="s">
        <v>92</v>
      </c>
      <c r="J14" s="180"/>
      <c r="K14" s="171">
        <v>1996</v>
      </c>
      <c r="L14" s="15">
        <v>17.3</v>
      </c>
      <c r="M14" s="172">
        <f t="shared" si="1"/>
        <v>0.74161849710982652</v>
      </c>
      <c r="N14" s="15">
        <v>6</v>
      </c>
      <c r="O14" s="12" t="s">
        <v>118</v>
      </c>
      <c r="P14" s="15">
        <v>4.51</v>
      </c>
      <c r="Q14" s="12" t="s">
        <v>39</v>
      </c>
      <c r="R14" s="15">
        <v>2.3199999999999998</v>
      </c>
      <c r="S14" s="128" t="s">
        <v>29</v>
      </c>
      <c r="T14" s="182"/>
      <c r="U14" s="171">
        <v>1996</v>
      </c>
      <c r="V14" s="27">
        <v>232</v>
      </c>
      <c r="W14" s="172">
        <f t="shared" si="2"/>
        <v>0.60064655172413794</v>
      </c>
      <c r="X14" s="15">
        <v>66.8</v>
      </c>
      <c r="Y14" s="12" t="s">
        <v>29</v>
      </c>
      <c r="Z14" s="15">
        <v>42.17</v>
      </c>
      <c r="AA14" s="39" t="s">
        <v>92</v>
      </c>
      <c r="AB14" s="15">
        <v>30.38</v>
      </c>
      <c r="AC14" s="128" t="s">
        <v>99</v>
      </c>
      <c r="AD14" s="183"/>
      <c r="AE14" s="171">
        <v>1996</v>
      </c>
      <c r="AF14" s="27">
        <v>493</v>
      </c>
      <c r="AG14" s="172">
        <f t="shared" si="3"/>
        <v>0.59423935091277891</v>
      </c>
      <c r="AH14" s="15">
        <v>170</v>
      </c>
      <c r="AI14" s="12" t="s">
        <v>24</v>
      </c>
      <c r="AJ14" s="15">
        <v>61.58</v>
      </c>
      <c r="AK14" s="12" t="s">
        <v>97</v>
      </c>
      <c r="AL14" s="15">
        <v>61.38</v>
      </c>
      <c r="AM14" s="128" t="s">
        <v>27</v>
      </c>
      <c r="AN14" s="182"/>
      <c r="AO14" s="171">
        <v>1996</v>
      </c>
      <c r="AP14" s="31">
        <v>69.5</v>
      </c>
      <c r="AQ14" s="172">
        <f t="shared" si="4"/>
        <v>1</v>
      </c>
      <c r="AR14" s="15">
        <v>34.770000000000003</v>
      </c>
      <c r="AS14" s="12" t="s">
        <v>29</v>
      </c>
      <c r="AT14" s="15">
        <v>26.73</v>
      </c>
      <c r="AU14" s="39" t="s">
        <v>103</v>
      </c>
      <c r="AV14" s="15">
        <v>8</v>
      </c>
      <c r="AW14" s="128" t="s">
        <v>24</v>
      </c>
      <c r="AX14" s="183"/>
      <c r="AY14" s="171">
        <v>1996</v>
      </c>
      <c r="AZ14" s="27">
        <v>143</v>
      </c>
      <c r="BA14" s="172">
        <f t="shared" si="5"/>
        <v>0.99846153846153829</v>
      </c>
      <c r="BB14" s="15">
        <v>130.13999999999999</v>
      </c>
      <c r="BC14" s="12" t="s">
        <v>38</v>
      </c>
      <c r="BD14" s="15">
        <v>12.64</v>
      </c>
      <c r="BE14" s="12" t="s">
        <v>27</v>
      </c>
      <c r="BF14" s="213" t="s">
        <v>394</v>
      </c>
      <c r="BG14" s="128" t="s">
        <v>310</v>
      </c>
    </row>
    <row r="15" spans="1:59" x14ac:dyDescent="0.25">
      <c r="A15" s="138">
        <v>1997</v>
      </c>
      <c r="B15" s="166">
        <v>1140</v>
      </c>
      <c r="C15" s="167">
        <f t="shared" si="0"/>
        <v>0.53245614035087718</v>
      </c>
      <c r="D15" s="15">
        <v>280</v>
      </c>
      <c r="E15" s="12" t="s">
        <v>24</v>
      </c>
      <c r="F15" s="15">
        <v>190.53</v>
      </c>
      <c r="G15" s="12" t="s">
        <v>38</v>
      </c>
      <c r="H15" s="15">
        <v>136.47</v>
      </c>
      <c r="I15" s="128" t="s">
        <v>92</v>
      </c>
      <c r="J15" s="180"/>
      <c r="K15" s="171">
        <v>1997</v>
      </c>
      <c r="L15" s="15">
        <v>17.8</v>
      </c>
      <c r="M15" s="172">
        <f t="shared" si="1"/>
        <v>0.76011235955056178</v>
      </c>
      <c r="N15" s="15">
        <v>6</v>
      </c>
      <c r="O15" s="12" t="s">
        <v>118</v>
      </c>
      <c r="P15" s="15">
        <v>4.99</v>
      </c>
      <c r="Q15" s="12" t="s">
        <v>39</v>
      </c>
      <c r="R15" s="15">
        <v>2.54</v>
      </c>
      <c r="S15" s="128" t="s">
        <v>29</v>
      </c>
      <c r="T15" s="182"/>
      <c r="U15" s="171">
        <v>1997</v>
      </c>
      <c r="V15" s="27">
        <v>245</v>
      </c>
      <c r="W15" s="172">
        <f t="shared" si="2"/>
        <v>0.60795918367346935</v>
      </c>
      <c r="X15" s="15">
        <v>72.08</v>
      </c>
      <c r="Y15" s="12" t="s">
        <v>29</v>
      </c>
      <c r="Z15" s="15">
        <v>44.31</v>
      </c>
      <c r="AA15" s="39" t="s">
        <v>92</v>
      </c>
      <c r="AB15" s="15">
        <v>32.56</v>
      </c>
      <c r="AC15" s="128" t="s">
        <v>99</v>
      </c>
      <c r="AD15" s="183"/>
      <c r="AE15" s="171">
        <v>1997</v>
      </c>
      <c r="AF15" s="27">
        <v>534</v>
      </c>
      <c r="AG15" s="172">
        <f t="shared" si="3"/>
        <v>0.61707865168539322</v>
      </c>
      <c r="AH15" s="15">
        <v>208</v>
      </c>
      <c r="AI15" s="12" t="s">
        <v>24</v>
      </c>
      <c r="AJ15" s="15">
        <v>62.7</v>
      </c>
      <c r="AK15" s="12" t="s">
        <v>97</v>
      </c>
      <c r="AL15" s="15">
        <v>58.82</v>
      </c>
      <c r="AM15" s="128" t="s">
        <v>27</v>
      </c>
      <c r="AN15" s="182"/>
      <c r="AO15" s="171">
        <v>1997</v>
      </c>
      <c r="AP15" s="31">
        <v>72.5</v>
      </c>
      <c r="AQ15" s="172">
        <f t="shared" si="4"/>
        <v>0.99958620689655175</v>
      </c>
      <c r="AR15" s="15">
        <v>33.57</v>
      </c>
      <c r="AS15" s="12" t="s">
        <v>103</v>
      </c>
      <c r="AT15" s="15">
        <v>26.9</v>
      </c>
      <c r="AU15" s="39" t="s">
        <v>29</v>
      </c>
      <c r="AV15" s="15">
        <v>12</v>
      </c>
      <c r="AW15" s="128" t="s">
        <v>24</v>
      </c>
      <c r="AX15" s="183"/>
      <c r="AY15" s="171">
        <v>1997</v>
      </c>
      <c r="AZ15" s="27">
        <v>146</v>
      </c>
      <c r="BA15" s="172">
        <f t="shared" si="5"/>
        <v>1.0027397260273971</v>
      </c>
      <c r="BB15" s="15">
        <v>131.63999999999999</v>
      </c>
      <c r="BC15" s="12" t="s">
        <v>38</v>
      </c>
      <c r="BD15" s="15">
        <v>14.76</v>
      </c>
      <c r="BE15" s="12" t="s">
        <v>27</v>
      </c>
      <c r="BF15" s="213" t="s">
        <v>394</v>
      </c>
      <c r="BG15" s="128" t="s">
        <v>310</v>
      </c>
    </row>
    <row r="16" spans="1:59" x14ac:dyDescent="0.25">
      <c r="A16" s="138">
        <v>1998</v>
      </c>
      <c r="B16" s="166">
        <v>1180</v>
      </c>
      <c r="C16" s="167">
        <f t="shared" si="0"/>
        <v>0.54390677966101686</v>
      </c>
      <c r="D16" s="15">
        <v>290</v>
      </c>
      <c r="E16" s="12" t="s">
        <v>24</v>
      </c>
      <c r="F16" s="15">
        <v>208.3</v>
      </c>
      <c r="G16" s="12" t="s">
        <v>38</v>
      </c>
      <c r="H16" s="15">
        <v>143.51</v>
      </c>
      <c r="I16" s="128" t="s">
        <v>27</v>
      </c>
      <c r="J16" s="180"/>
      <c r="K16" s="171">
        <v>1998</v>
      </c>
      <c r="L16" s="15">
        <v>19</v>
      </c>
      <c r="M16" s="172">
        <f t="shared" si="1"/>
        <v>0.77210526315789474</v>
      </c>
      <c r="N16" s="15">
        <v>7.64</v>
      </c>
      <c r="O16" s="12" t="s">
        <v>118</v>
      </c>
      <c r="P16" s="15">
        <v>4.5199999999999996</v>
      </c>
      <c r="Q16" s="12" t="s">
        <v>39</v>
      </c>
      <c r="R16" s="15">
        <v>2.5099999999999998</v>
      </c>
      <c r="S16" s="128" t="s">
        <v>29</v>
      </c>
      <c r="T16" s="182"/>
      <c r="U16" s="171">
        <v>1998</v>
      </c>
      <c r="V16" s="27">
        <v>218</v>
      </c>
      <c r="W16" s="172">
        <f t="shared" si="2"/>
        <v>0.65082568807339447</v>
      </c>
      <c r="X16" s="15">
        <v>69.2</v>
      </c>
      <c r="Y16" s="12" t="s">
        <v>29</v>
      </c>
      <c r="Z16" s="15">
        <v>44.49</v>
      </c>
      <c r="AA16" s="39" t="s">
        <v>92</v>
      </c>
      <c r="AB16" s="15">
        <v>28.19</v>
      </c>
      <c r="AC16" s="128" t="s">
        <v>98</v>
      </c>
      <c r="AD16" s="183"/>
      <c r="AE16" s="171">
        <v>1998</v>
      </c>
      <c r="AF16" s="27">
        <v>569</v>
      </c>
      <c r="AG16" s="172">
        <f t="shared" si="3"/>
        <v>0.60188049209138839</v>
      </c>
      <c r="AH16" s="15">
        <v>208</v>
      </c>
      <c r="AI16" s="12" t="s">
        <v>24</v>
      </c>
      <c r="AJ16" s="15">
        <v>70.150000000000006</v>
      </c>
      <c r="AK16" s="12" t="s">
        <v>97</v>
      </c>
      <c r="AL16" s="15">
        <v>64.319999999999993</v>
      </c>
      <c r="AM16" s="128" t="s">
        <v>27</v>
      </c>
      <c r="AN16" s="182"/>
      <c r="AO16" s="171">
        <v>1998</v>
      </c>
      <c r="AP16" s="31">
        <v>73.599999999999994</v>
      </c>
      <c r="AQ16" s="172">
        <f t="shared" si="4"/>
        <v>1.0004483695652173</v>
      </c>
      <c r="AR16" s="15">
        <v>38.19</v>
      </c>
      <c r="AS16" s="12" t="s">
        <v>103</v>
      </c>
      <c r="AT16" s="15">
        <v>25.443000000000001</v>
      </c>
      <c r="AU16" s="39" t="s">
        <v>29</v>
      </c>
      <c r="AV16" s="15">
        <v>10</v>
      </c>
      <c r="AW16" s="128" t="s">
        <v>24</v>
      </c>
      <c r="AX16" s="183"/>
      <c r="AY16" s="171">
        <v>1998</v>
      </c>
      <c r="AZ16" s="27">
        <v>162</v>
      </c>
      <c r="BA16" s="172">
        <f t="shared" si="5"/>
        <v>1.0001234567901234</v>
      </c>
      <c r="BB16" s="15">
        <v>146.76</v>
      </c>
      <c r="BC16" s="12" t="s">
        <v>38</v>
      </c>
      <c r="BD16" s="15">
        <v>15.26</v>
      </c>
      <c r="BE16" s="12" t="s">
        <v>27</v>
      </c>
      <c r="BF16" s="213" t="s">
        <v>394</v>
      </c>
      <c r="BG16" s="128" t="s">
        <v>310</v>
      </c>
    </row>
    <row r="17" spans="1:59" x14ac:dyDescent="0.25">
      <c r="A17" s="138">
        <v>1999</v>
      </c>
      <c r="B17" s="166">
        <v>1170</v>
      </c>
      <c r="C17" s="167">
        <f t="shared" si="0"/>
        <v>0.51781196581196587</v>
      </c>
      <c r="D17" s="15">
        <v>300</v>
      </c>
      <c r="E17" s="12" t="s">
        <v>24</v>
      </c>
      <c r="F17" s="15">
        <v>186.24</v>
      </c>
      <c r="G17" s="12" t="s">
        <v>38</v>
      </c>
      <c r="H17" s="15">
        <v>119.6</v>
      </c>
      <c r="I17" s="128" t="s">
        <v>27</v>
      </c>
      <c r="J17" s="180"/>
      <c r="K17" s="171">
        <v>1999</v>
      </c>
      <c r="L17" s="15">
        <v>19.5</v>
      </c>
      <c r="M17" s="172">
        <f t="shared" si="1"/>
        <v>0.74717948717948723</v>
      </c>
      <c r="N17" s="15">
        <v>7.86</v>
      </c>
      <c r="O17" s="12" t="s">
        <v>118</v>
      </c>
      <c r="P17" s="15">
        <v>4.1399999999999997</v>
      </c>
      <c r="Q17" s="12" t="s">
        <v>39</v>
      </c>
      <c r="R17" s="15">
        <v>2.57</v>
      </c>
      <c r="S17" s="128" t="s">
        <v>29</v>
      </c>
      <c r="T17" s="182"/>
      <c r="U17" s="171">
        <v>1999</v>
      </c>
      <c r="V17" s="27">
        <v>207</v>
      </c>
      <c r="W17" s="172">
        <f t="shared" si="2"/>
        <v>0.6798067632850241</v>
      </c>
      <c r="X17" s="15">
        <v>67.17</v>
      </c>
      <c r="Y17" s="12" t="s">
        <v>29</v>
      </c>
      <c r="Z17" s="15">
        <v>45.29</v>
      </c>
      <c r="AA17" s="39" t="s">
        <v>97</v>
      </c>
      <c r="AB17" s="15">
        <v>28.26</v>
      </c>
      <c r="AC17" s="128" t="s">
        <v>98</v>
      </c>
      <c r="AD17" s="183"/>
      <c r="AE17" s="171">
        <v>1999</v>
      </c>
      <c r="AF17" s="27">
        <v>603</v>
      </c>
      <c r="AG17" s="172">
        <f t="shared" si="3"/>
        <v>0.60122719734660024</v>
      </c>
      <c r="AH17" s="15">
        <v>215</v>
      </c>
      <c r="AI17" s="12" t="s">
        <v>24</v>
      </c>
      <c r="AJ17" s="15">
        <v>74.14</v>
      </c>
      <c r="AK17" s="12" t="s">
        <v>97</v>
      </c>
      <c r="AL17" s="15">
        <v>73.400000000000006</v>
      </c>
      <c r="AM17" s="128" t="s">
        <v>27</v>
      </c>
      <c r="AN17" s="182"/>
      <c r="AO17" s="171">
        <v>1999</v>
      </c>
      <c r="AP17" s="31">
        <v>84.8</v>
      </c>
      <c r="AQ17" s="172">
        <f t="shared" si="4"/>
        <v>1.006132075471698</v>
      </c>
      <c r="AR17" s="15">
        <v>38.840000000000003</v>
      </c>
      <c r="AS17" s="12" t="s">
        <v>103</v>
      </c>
      <c r="AT17" s="15">
        <v>34.479999999999997</v>
      </c>
      <c r="AU17" s="39" t="s">
        <v>29</v>
      </c>
      <c r="AV17" s="15">
        <v>12</v>
      </c>
      <c r="AW17" s="128" t="s">
        <v>24</v>
      </c>
      <c r="AX17" s="183"/>
      <c r="AY17" s="171">
        <v>1999</v>
      </c>
      <c r="AZ17" s="27">
        <v>134</v>
      </c>
      <c r="BA17" s="172">
        <f t="shared" si="5"/>
        <v>1.0031791044776119</v>
      </c>
      <c r="BB17" s="15">
        <v>124.226</v>
      </c>
      <c r="BC17" s="12" t="s">
        <v>38</v>
      </c>
      <c r="BD17" s="15">
        <v>10.199999999999999</v>
      </c>
      <c r="BE17" s="12" t="s">
        <v>27</v>
      </c>
      <c r="BF17" s="213" t="s">
        <v>394</v>
      </c>
      <c r="BG17" s="128" t="s">
        <v>310</v>
      </c>
    </row>
    <row r="18" spans="1:59" x14ac:dyDescent="0.25">
      <c r="A18" s="138">
        <v>2000</v>
      </c>
      <c r="B18" s="166">
        <v>1290</v>
      </c>
      <c r="C18" s="167">
        <f t="shared" si="0"/>
        <v>0.52115503875968994</v>
      </c>
      <c r="D18" s="15">
        <v>315</v>
      </c>
      <c r="E18" s="12" t="s">
        <v>24</v>
      </c>
      <c r="F18" s="15">
        <v>190.79</v>
      </c>
      <c r="G18" s="12" t="s">
        <v>38</v>
      </c>
      <c r="H18" s="15">
        <v>166.5</v>
      </c>
      <c r="I18" s="128" t="s">
        <v>27</v>
      </c>
      <c r="J18" s="180"/>
      <c r="K18" s="171">
        <v>2000</v>
      </c>
      <c r="L18" s="15">
        <v>17.100000000000001</v>
      </c>
      <c r="M18" s="172">
        <f t="shared" si="1"/>
        <v>0.71052631578947367</v>
      </c>
      <c r="N18" s="15">
        <v>5.72</v>
      </c>
      <c r="O18" s="12" t="s">
        <v>118</v>
      </c>
      <c r="P18" s="15">
        <v>3.71</v>
      </c>
      <c r="Q18" s="12" t="s">
        <v>39</v>
      </c>
      <c r="R18" s="15">
        <v>2.72</v>
      </c>
      <c r="S18" s="128" t="s">
        <v>29</v>
      </c>
      <c r="T18" s="182"/>
      <c r="U18" s="171">
        <v>2000</v>
      </c>
      <c r="V18" s="27">
        <v>217</v>
      </c>
      <c r="W18" s="172">
        <f t="shared" si="2"/>
        <v>0.67506912442396316</v>
      </c>
      <c r="X18" s="15">
        <v>74.75</v>
      </c>
      <c r="Y18" s="12" t="s">
        <v>29</v>
      </c>
      <c r="Z18" s="15">
        <v>43.91</v>
      </c>
      <c r="AA18" s="39" t="s">
        <v>97</v>
      </c>
      <c r="AB18" s="15">
        <v>27.83</v>
      </c>
      <c r="AC18" s="128" t="s">
        <v>99</v>
      </c>
      <c r="AD18" s="183"/>
      <c r="AE18" s="171">
        <v>2000</v>
      </c>
      <c r="AF18" s="27">
        <v>635</v>
      </c>
      <c r="AG18" s="172">
        <f t="shared" si="3"/>
        <v>0.6021732283464567</v>
      </c>
      <c r="AH18" s="15">
        <v>225</v>
      </c>
      <c r="AI18" s="12" t="s">
        <v>24</v>
      </c>
      <c r="AJ18" s="15">
        <v>98.7</v>
      </c>
      <c r="AK18" s="12" t="s">
        <v>27</v>
      </c>
      <c r="AL18" s="15">
        <v>58.68</v>
      </c>
      <c r="AM18" s="128" t="s">
        <v>97</v>
      </c>
      <c r="AN18" s="182"/>
      <c r="AO18" s="171">
        <v>2000</v>
      </c>
      <c r="AP18" s="31">
        <v>101</v>
      </c>
      <c r="AQ18" s="172">
        <f t="shared" si="4"/>
        <v>0.99544554455445555</v>
      </c>
      <c r="AR18" s="15">
        <v>47.02</v>
      </c>
      <c r="AS18" s="12" t="s">
        <v>29</v>
      </c>
      <c r="AT18" s="15">
        <v>39.520000000000003</v>
      </c>
      <c r="AU18" s="39" t="s">
        <v>103</v>
      </c>
      <c r="AV18" s="15">
        <v>14</v>
      </c>
      <c r="AW18" s="128" t="s">
        <v>24</v>
      </c>
      <c r="AX18" s="183"/>
      <c r="AY18" s="171">
        <v>2000</v>
      </c>
      <c r="AZ18" s="27">
        <v>148</v>
      </c>
      <c r="BA18" s="172">
        <f t="shared" si="5"/>
        <v>0.99817567567567556</v>
      </c>
      <c r="BB18" s="15">
        <v>134.22999999999999</v>
      </c>
      <c r="BC18" s="12" t="s">
        <v>38</v>
      </c>
      <c r="BD18" s="15">
        <v>13.5</v>
      </c>
      <c r="BE18" s="12" t="s">
        <v>27</v>
      </c>
      <c r="BF18" s="213" t="s">
        <v>394</v>
      </c>
      <c r="BG18" s="128" t="s">
        <v>310</v>
      </c>
    </row>
    <row r="19" spans="1:59" x14ac:dyDescent="0.25">
      <c r="A19" s="138">
        <v>2001</v>
      </c>
      <c r="B19" s="166">
        <v>1350</v>
      </c>
      <c r="C19" s="167">
        <f t="shared" si="0"/>
        <v>0.53263703703703702</v>
      </c>
      <c r="D19" s="15">
        <v>320</v>
      </c>
      <c r="E19" s="12" t="s">
        <v>24</v>
      </c>
      <c r="F19" s="15">
        <v>205</v>
      </c>
      <c r="G19" s="12" t="s">
        <v>27</v>
      </c>
      <c r="H19" s="15">
        <v>194.06</v>
      </c>
      <c r="I19" s="128" t="s">
        <v>38</v>
      </c>
      <c r="J19" s="180"/>
      <c r="K19" s="171">
        <v>2001</v>
      </c>
      <c r="L19" s="15">
        <v>16.899999999999999</v>
      </c>
      <c r="M19" s="172">
        <f t="shared" si="1"/>
        <v>0.71183431952662735</v>
      </c>
      <c r="N19" s="15">
        <v>5.94</v>
      </c>
      <c r="O19" s="12" t="s">
        <v>118</v>
      </c>
      <c r="P19" s="15">
        <v>3.7</v>
      </c>
      <c r="Q19" s="12" t="s">
        <v>39</v>
      </c>
      <c r="R19" s="15">
        <v>2.39</v>
      </c>
      <c r="S19" s="128" t="s">
        <v>29</v>
      </c>
      <c r="T19" s="182"/>
      <c r="U19" s="171">
        <v>2001</v>
      </c>
      <c r="V19" s="27">
        <v>232</v>
      </c>
      <c r="W19" s="172">
        <f t="shared" si="2"/>
        <v>0.65715517241379307</v>
      </c>
      <c r="X19" s="15">
        <v>68.11</v>
      </c>
      <c r="Y19" s="12" t="s">
        <v>29</v>
      </c>
      <c r="Z19" s="15">
        <v>45.91</v>
      </c>
      <c r="AA19" s="39" t="s">
        <v>92</v>
      </c>
      <c r="AB19" s="15">
        <v>38.44</v>
      </c>
      <c r="AC19" s="128" t="s">
        <v>98</v>
      </c>
      <c r="AD19" s="183"/>
      <c r="AE19" s="171">
        <v>2001</v>
      </c>
      <c r="AF19" s="27">
        <v>683</v>
      </c>
      <c r="AG19" s="172">
        <f t="shared" si="3"/>
        <v>0.64</v>
      </c>
      <c r="AH19" s="15">
        <v>252</v>
      </c>
      <c r="AI19" s="12" t="s">
        <v>24</v>
      </c>
      <c r="AJ19" s="15">
        <v>116.9</v>
      </c>
      <c r="AK19" s="12" t="s">
        <v>27</v>
      </c>
      <c r="AL19" s="15">
        <v>68.22</v>
      </c>
      <c r="AM19" s="128" t="s">
        <v>97</v>
      </c>
      <c r="AN19" s="182"/>
      <c r="AO19" s="171">
        <v>2001</v>
      </c>
      <c r="AP19" s="31">
        <v>104</v>
      </c>
      <c r="AQ19" s="172">
        <f t="shared" si="4"/>
        <v>0.99538461538461553</v>
      </c>
      <c r="AR19" s="41">
        <v>50.77</v>
      </c>
      <c r="AS19" s="38" t="s">
        <v>29</v>
      </c>
      <c r="AT19" s="41">
        <v>40.75</v>
      </c>
      <c r="AU19" s="40" t="s">
        <v>103</v>
      </c>
      <c r="AV19" s="41">
        <v>12</v>
      </c>
      <c r="AW19" s="128" t="s">
        <v>24</v>
      </c>
      <c r="AX19" s="183"/>
      <c r="AY19" s="171">
        <v>2001</v>
      </c>
      <c r="AZ19" s="27">
        <v>152</v>
      </c>
      <c r="BA19" s="172">
        <f t="shared" si="5"/>
        <v>0.99861842105263154</v>
      </c>
      <c r="BB19" s="15">
        <v>140.59</v>
      </c>
      <c r="BC19" s="12" t="s">
        <v>38</v>
      </c>
      <c r="BD19" s="15">
        <v>11.2</v>
      </c>
      <c r="BE19" s="12" t="s">
        <v>27</v>
      </c>
      <c r="BF19" s="213" t="s">
        <v>394</v>
      </c>
      <c r="BG19" s="128" t="s">
        <v>310</v>
      </c>
    </row>
    <row r="20" spans="1:59" x14ac:dyDescent="0.25">
      <c r="A20" s="138">
        <v>2002</v>
      </c>
      <c r="B20" s="166">
        <v>1350</v>
      </c>
      <c r="C20" s="167">
        <f t="shared" si="0"/>
        <v>0.50911111111111107</v>
      </c>
      <c r="D20" s="18">
        <v>310</v>
      </c>
      <c r="E20" s="12" t="s">
        <v>24</v>
      </c>
      <c r="F20" s="16">
        <v>189.3</v>
      </c>
      <c r="G20" s="12" t="s">
        <v>38</v>
      </c>
      <c r="H20" s="18">
        <v>188</v>
      </c>
      <c r="I20" s="128" t="s">
        <v>27</v>
      </c>
      <c r="J20" s="180"/>
      <c r="K20" s="171">
        <v>2002</v>
      </c>
      <c r="L20" s="16">
        <v>19.8</v>
      </c>
      <c r="M20" s="172">
        <f t="shared" si="1"/>
        <v>0.76262626262626265</v>
      </c>
      <c r="N20" s="15">
        <v>6.9</v>
      </c>
      <c r="O20" s="12" t="s">
        <v>118</v>
      </c>
      <c r="P20" s="16">
        <v>6.2</v>
      </c>
      <c r="Q20" s="12" t="s">
        <v>39</v>
      </c>
      <c r="R20" s="18">
        <v>2</v>
      </c>
      <c r="S20" s="128" t="s">
        <v>95</v>
      </c>
      <c r="T20" s="182"/>
      <c r="U20" s="171">
        <v>2002</v>
      </c>
      <c r="V20" s="29">
        <v>266</v>
      </c>
      <c r="W20" s="172">
        <f t="shared" si="2"/>
        <v>0.62804511278195485</v>
      </c>
      <c r="X20" s="15">
        <v>74.42</v>
      </c>
      <c r="Y20" s="12" t="s">
        <v>29</v>
      </c>
      <c r="Z20" s="16">
        <v>48.65</v>
      </c>
      <c r="AA20" s="39" t="s">
        <v>92</v>
      </c>
      <c r="AB20" s="18">
        <v>43.99</v>
      </c>
      <c r="AC20" s="128" t="s">
        <v>98</v>
      </c>
      <c r="AD20" s="183"/>
      <c r="AE20" s="171">
        <v>2002</v>
      </c>
      <c r="AF20" s="29">
        <v>672</v>
      </c>
      <c r="AG20" s="172">
        <f t="shared" si="3"/>
        <v>0.63739583333333338</v>
      </c>
      <c r="AH20" s="15">
        <v>239</v>
      </c>
      <c r="AI20" s="12" t="s">
        <v>24</v>
      </c>
      <c r="AJ20" s="16">
        <v>120.8</v>
      </c>
      <c r="AK20" s="12" t="s">
        <v>27</v>
      </c>
      <c r="AL20" s="18">
        <v>68.53</v>
      </c>
      <c r="AM20" s="128" t="s">
        <v>97</v>
      </c>
      <c r="AN20" s="182"/>
      <c r="AO20" s="171">
        <v>2002</v>
      </c>
      <c r="AP20" s="34">
        <v>93.7</v>
      </c>
      <c r="AQ20" s="172">
        <f t="shared" si="4"/>
        <v>0.99989327641408743</v>
      </c>
      <c r="AR20" s="41">
        <v>48.95</v>
      </c>
      <c r="AS20" s="38" t="s">
        <v>29</v>
      </c>
      <c r="AT20" s="16">
        <v>38.74</v>
      </c>
      <c r="AU20" s="40" t="s">
        <v>103</v>
      </c>
      <c r="AV20" s="18">
        <v>6</v>
      </c>
      <c r="AW20" s="128" t="s">
        <v>24</v>
      </c>
      <c r="AX20" s="183"/>
      <c r="AY20" s="171">
        <v>2002</v>
      </c>
      <c r="AZ20" s="29">
        <v>154</v>
      </c>
      <c r="BA20" s="172">
        <f t="shared" si="5"/>
        <v>0.9998701298701298</v>
      </c>
      <c r="BB20" s="15">
        <v>144.47999999999999</v>
      </c>
      <c r="BC20" s="12" t="s">
        <v>38</v>
      </c>
      <c r="BD20" s="16">
        <v>9.5</v>
      </c>
      <c r="BE20" s="12" t="s">
        <v>27</v>
      </c>
      <c r="BF20" s="213" t="s">
        <v>394</v>
      </c>
      <c r="BG20" s="128" t="s">
        <v>310</v>
      </c>
    </row>
    <row r="21" spans="1:59" x14ac:dyDescent="0.25">
      <c r="A21" s="138">
        <v>2003</v>
      </c>
      <c r="B21" s="166">
        <v>1330</v>
      </c>
      <c r="C21" s="167">
        <f t="shared" si="0"/>
        <v>0.46060902255639097</v>
      </c>
      <c r="D21" s="16">
        <v>259.16000000000003</v>
      </c>
      <c r="E21" s="12" t="s">
        <v>24</v>
      </c>
      <c r="F21" s="16">
        <v>190.21</v>
      </c>
      <c r="G21" s="12" t="s">
        <v>27</v>
      </c>
      <c r="H21" s="16">
        <v>163.24</v>
      </c>
      <c r="I21" s="128" t="s">
        <v>38</v>
      </c>
      <c r="J21" s="180"/>
      <c r="K21" s="171">
        <v>2003</v>
      </c>
      <c r="L21" s="17">
        <v>28.1</v>
      </c>
      <c r="M21" s="172">
        <f t="shared" si="1"/>
        <v>0.83309608540925262</v>
      </c>
      <c r="N21" s="17">
        <v>15.34</v>
      </c>
      <c r="O21" s="12" t="s">
        <v>118</v>
      </c>
      <c r="P21" s="17">
        <v>5.57</v>
      </c>
      <c r="Q21" s="12" t="s">
        <v>39</v>
      </c>
      <c r="R21" s="17">
        <v>2.5</v>
      </c>
      <c r="S21" s="128" t="s">
        <v>24</v>
      </c>
      <c r="T21" s="182"/>
      <c r="U21" s="171">
        <v>2003</v>
      </c>
      <c r="V21" s="30">
        <v>272</v>
      </c>
      <c r="W21" s="172">
        <f t="shared" si="2"/>
        <v>0.63727941176470593</v>
      </c>
      <c r="X21" s="17">
        <v>74.8</v>
      </c>
      <c r="Y21" s="12" t="s">
        <v>29</v>
      </c>
      <c r="Z21" s="17">
        <v>50.67</v>
      </c>
      <c r="AA21" s="39" t="s">
        <v>92</v>
      </c>
      <c r="AB21" s="17">
        <v>47.87</v>
      </c>
      <c r="AC21" s="128" t="s">
        <v>98</v>
      </c>
      <c r="AD21" s="183"/>
      <c r="AE21" s="171">
        <v>2003</v>
      </c>
      <c r="AF21" s="30">
        <v>681</v>
      </c>
      <c r="AG21" s="172">
        <f t="shared" si="3"/>
        <v>0.64607929515418505</v>
      </c>
      <c r="AH21" s="17">
        <v>247</v>
      </c>
      <c r="AI21" s="12" t="s">
        <v>24</v>
      </c>
      <c r="AJ21" s="17">
        <v>115.8</v>
      </c>
      <c r="AK21" s="12" t="s">
        <v>27</v>
      </c>
      <c r="AL21" s="17">
        <v>77.180000000000007</v>
      </c>
      <c r="AM21" s="128" t="s">
        <v>97</v>
      </c>
      <c r="AN21" s="182"/>
      <c r="AO21" s="171">
        <v>2003</v>
      </c>
      <c r="AP21" s="32">
        <v>101</v>
      </c>
      <c r="AQ21" s="172">
        <f t="shared" si="4"/>
        <v>1.0034653465346535</v>
      </c>
      <c r="AR21" s="17">
        <v>52.7</v>
      </c>
      <c r="AS21" s="12" t="s">
        <v>29</v>
      </c>
      <c r="AT21" s="17">
        <v>42.28</v>
      </c>
      <c r="AU21" s="39" t="s">
        <v>103</v>
      </c>
      <c r="AV21" s="17">
        <v>6.37</v>
      </c>
      <c r="AW21" s="128" t="s">
        <v>24</v>
      </c>
      <c r="AX21" s="183"/>
      <c r="AY21" s="171">
        <v>2003</v>
      </c>
      <c r="AZ21" s="30">
        <v>136</v>
      </c>
      <c r="BA21" s="172">
        <f t="shared" si="5"/>
        <v>1.0016176470588236</v>
      </c>
      <c r="BB21" s="17">
        <v>124.42</v>
      </c>
      <c r="BC21" s="12" t="s">
        <v>38</v>
      </c>
      <c r="BD21" s="17">
        <v>11.8</v>
      </c>
      <c r="BE21" s="12" t="s">
        <v>27</v>
      </c>
      <c r="BF21" s="213" t="s">
        <v>394</v>
      </c>
      <c r="BG21" s="128" t="s">
        <v>310</v>
      </c>
    </row>
    <row r="22" spans="1:59" x14ac:dyDescent="0.25">
      <c r="A22" s="138">
        <v>2004</v>
      </c>
      <c r="B22" s="166">
        <v>1370</v>
      </c>
      <c r="C22" s="167">
        <f t="shared" si="0"/>
        <v>0.45551094890510946</v>
      </c>
      <c r="D22" s="17">
        <v>268.55</v>
      </c>
      <c r="E22" s="12" t="s">
        <v>24</v>
      </c>
      <c r="F22" s="17">
        <v>168.8</v>
      </c>
      <c r="G22" s="12" t="s">
        <v>27</v>
      </c>
      <c r="H22" s="17">
        <v>186.7</v>
      </c>
      <c r="I22" s="128" t="s">
        <v>38</v>
      </c>
      <c r="J22" s="180"/>
      <c r="K22" s="184">
        <v>2004</v>
      </c>
      <c r="L22" s="18">
        <v>14.9</v>
      </c>
      <c r="M22" s="185">
        <f t="shared" si="1"/>
        <v>1.4208053691275169</v>
      </c>
      <c r="N22" s="42">
        <v>9.5</v>
      </c>
      <c r="O22" s="186" t="s">
        <v>623</v>
      </c>
      <c r="P22" s="116">
        <v>7.17</v>
      </c>
      <c r="Q22" s="38" t="s">
        <v>441</v>
      </c>
      <c r="R22" s="116">
        <v>4.5</v>
      </c>
      <c r="S22" s="43" t="s">
        <v>104</v>
      </c>
      <c r="T22" s="182"/>
      <c r="U22" s="171">
        <v>2004</v>
      </c>
      <c r="V22" s="28">
        <v>275</v>
      </c>
      <c r="W22" s="172">
        <f t="shared" si="2"/>
        <v>0.60181818181818181</v>
      </c>
      <c r="X22" s="17">
        <v>73.66</v>
      </c>
      <c r="Y22" s="12" t="s">
        <v>29</v>
      </c>
      <c r="Z22" s="18">
        <v>48.82</v>
      </c>
      <c r="AA22" s="12" t="s">
        <v>98</v>
      </c>
      <c r="AB22" s="18">
        <v>43.02</v>
      </c>
      <c r="AC22" s="128" t="s">
        <v>92</v>
      </c>
      <c r="AD22" s="183"/>
      <c r="AE22" s="171">
        <v>2004</v>
      </c>
      <c r="AF22" s="28">
        <v>701</v>
      </c>
      <c r="AG22" s="172">
        <f t="shared" si="3"/>
        <v>0.6170613409415121</v>
      </c>
      <c r="AH22" s="17">
        <v>244.36</v>
      </c>
      <c r="AI22" s="12" t="s">
        <v>24</v>
      </c>
      <c r="AJ22" s="18">
        <v>112.4</v>
      </c>
      <c r="AK22" s="12" t="s">
        <v>27</v>
      </c>
      <c r="AL22" s="18">
        <v>75.8</v>
      </c>
      <c r="AM22" s="128" t="s">
        <v>22</v>
      </c>
      <c r="AN22" s="182"/>
      <c r="AO22" s="171">
        <v>2004</v>
      </c>
      <c r="AP22" s="33">
        <v>103</v>
      </c>
      <c r="AQ22" s="172">
        <f t="shared" si="4"/>
        <v>0.99932038834951464</v>
      </c>
      <c r="AR22" s="17">
        <v>60.3</v>
      </c>
      <c r="AS22" s="12" t="s">
        <v>29</v>
      </c>
      <c r="AT22" s="18">
        <v>38.82</v>
      </c>
      <c r="AU22" s="39" t="s">
        <v>103</v>
      </c>
      <c r="AV22" s="18">
        <v>3.81</v>
      </c>
      <c r="AW22" s="128" t="s">
        <v>24</v>
      </c>
      <c r="AX22" s="183"/>
      <c r="AY22" s="171">
        <v>2004</v>
      </c>
      <c r="AZ22" s="28">
        <v>177</v>
      </c>
      <c r="BA22" s="172">
        <f t="shared" si="5"/>
        <v>0.91367231638418078</v>
      </c>
      <c r="BB22" s="17">
        <v>151.52000000000001</v>
      </c>
      <c r="BC22" s="12" t="s">
        <v>38</v>
      </c>
      <c r="BD22" s="18">
        <v>10.199999999999999</v>
      </c>
      <c r="BE22" s="12" t="s">
        <v>27</v>
      </c>
      <c r="BF22" s="213" t="s">
        <v>394</v>
      </c>
      <c r="BG22" s="128" t="s">
        <v>310</v>
      </c>
    </row>
    <row r="23" spans="1:59" x14ac:dyDescent="0.25">
      <c r="A23" s="138">
        <v>2005</v>
      </c>
      <c r="B23" s="166">
        <v>1460</v>
      </c>
      <c r="C23" s="167">
        <f t="shared" si="0"/>
        <v>0.4561712328767123</v>
      </c>
      <c r="D23" s="18">
        <v>277.18</v>
      </c>
      <c r="E23" s="12" t="s">
        <v>24</v>
      </c>
      <c r="F23" s="18">
        <v>199.93</v>
      </c>
      <c r="G23" s="12" t="s">
        <v>38</v>
      </c>
      <c r="H23" s="18">
        <v>188.9</v>
      </c>
      <c r="I23" s="128" t="s">
        <v>27</v>
      </c>
      <c r="J23" s="180"/>
      <c r="K23" s="184">
        <v>2005</v>
      </c>
      <c r="L23" s="18">
        <v>15.4</v>
      </c>
      <c r="M23" s="185">
        <f t="shared" si="1"/>
        <v>1.0941558441558443</v>
      </c>
      <c r="N23" s="18">
        <v>7.4</v>
      </c>
      <c r="O23" s="38" t="s">
        <v>441</v>
      </c>
      <c r="P23" s="116">
        <v>5</v>
      </c>
      <c r="Q23" s="43" t="s">
        <v>104</v>
      </c>
      <c r="R23" s="116">
        <v>4.45</v>
      </c>
      <c r="S23" s="186" t="s">
        <v>623</v>
      </c>
      <c r="T23" s="182"/>
      <c r="U23" s="171">
        <v>2005</v>
      </c>
      <c r="V23" s="28">
        <v>301</v>
      </c>
      <c r="W23" s="172">
        <f t="shared" si="2"/>
        <v>0.58431893687707637</v>
      </c>
      <c r="X23" s="18">
        <v>76.39</v>
      </c>
      <c r="Y23" s="12" t="s">
        <v>29</v>
      </c>
      <c r="Z23" s="18">
        <v>52.75</v>
      </c>
      <c r="AA23" s="12" t="s">
        <v>98</v>
      </c>
      <c r="AB23" s="18">
        <v>46.74</v>
      </c>
      <c r="AC23" s="128" t="s">
        <v>92</v>
      </c>
      <c r="AD23" s="183"/>
      <c r="AE23" s="171">
        <v>2005</v>
      </c>
      <c r="AF23" s="28">
        <v>730</v>
      </c>
      <c r="AG23" s="172">
        <f t="shared" si="3"/>
        <v>0.62623287671232875</v>
      </c>
      <c r="AH23" s="18">
        <v>249.45</v>
      </c>
      <c r="AI23" s="12" t="s">
        <v>24</v>
      </c>
      <c r="AJ23" s="18">
        <v>112.6</v>
      </c>
      <c r="AK23" s="12" t="s">
        <v>27</v>
      </c>
      <c r="AL23" s="18">
        <v>95.1</v>
      </c>
      <c r="AM23" s="128" t="s">
        <v>22</v>
      </c>
      <c r="AN23" s="182"/>
      <c r="AO23" s="171">
        <v>2005</v>
      </c>
      <c r="AP23" s="33">
        <v>99.9</v>
      </c>
      <c r="AQ23" s="172">
        <f t="shared" si="4"/>
        <v>0.99999999999999989</v>
      </c>
      <c r="AR23" s="18">
        <v>56.7</v>
      </c>
      <c r="AS23" s="12" t="s">
        <v>29</v>
      </c>
      <c r="AT23" s="18">
        <v>39.119999999999997</v>
      </c>
      <c r="AU23" s="39" t="s">
        <v>103</v>
      </c>
      <c r="AV23" s="18">
        <v>4.08</v>
      </c>
      <c r="AW23" s="128" t="s">
        <v>24</v>
      </c>
      <c r="AX23" s="183"/>
      <c r="AY23" s="171">
        <v>2005</v>
      </c>
      <c r="AZ23" s="28">
        <v>159</v>
      </c>
      <c r="BA23" s="172">
        <f t="shared" si="5"/>
        <v>0.93949685534591187</v>
      </c>
      <c r="BB23" s="18">
        <v>139.68</v>
      </c>
      <c r="BC23" s="12" t="s">
        <v>38</v>
      </c>
      <c r="BD23" s="18">
        <v>9.6999999999999993</v>
      </c>
      <c r="BE23" s="12" t="s">
        <v>27</v>
      </c>
      <c r="BF23" s="213" t="s">
        <v>394</v>
      </c>
      <c r="BG23" s="128" t="s">
        <v>310</v>
      </c>
    </row>
    <row r="24" spans="1:59" x14ac:dyDescent="0.25">
      <c r="A24" s="138">
        <v>2006</v>
      </c>
      <c r="B24" s="166">
        <v>1570</v>
      </c>
      <c r="C24" s="167">
        <f t="shared" si="0"/>
        <v>0.44264331210191088</v>
      </c>
      <c r="D24" s="18">
        <v>277</v>
      </c>
      <c r="E24" s="12" t="s">
        <v>24</v>
      </c>
      <c r="F24" s="18">
        <v>232.95</v>
      </c>
      <c r="G24" s="12" t="s">
        <v>38</v>
      </c>
      <c r="H24" s="18">
        <v>185</v>
      </c>
      <c r="I24" s="128" t="s">
        <v>27</v>
      </c>
      <c r="J24" s="180"/>
      <c r="K24" s="184">
        <v>2006</v>
      </c>
      <c r="L24" s="18">
        <v>16.2</v>
      </c>
      <c r="M24" s="185">
        <f t="shared" si="1"/>
        <v>1.0969135802469137</v>
      </c>
      <c r="N24" s="18">
        <v>7.6</v>
      </c>
      <c r="O24" s="38" t="s">
        <v>441</v>
      </c>
      <c r="P24" s="116">
        <v>5.17</v>
      </c>
      <c r="Q24" s="186" t="s">
        <v>623</v>
      </c>
      <c r="R24" s="116">
        <v>5</v>
      </c>
      <c r="S24" s="43" t="s">
        <v>104</v>
      </c>
      <c r="T24" s="182"/>
      <c r="U24" s="171">
        <v>2006</v>
      </c>
      <c r="V24" s="28">
        <v>332</v>
      </c>
      <c r="W24" s="172">
        <f t="shared" si="2"/>
        <v>0.51966867469879519</v>
      </c>
      <c r="X24" s="18">
        <v>66.67</v>
      </c>
      <c r="Y24" s="12" t="s">
        <v>29</v>
      </c>
      <c r="Z24" s="18">
        <v>57.14</v>
      </c>
      <c r="AA24" s="12" t="s">
        <v>98</v>
      </c>
      <c r="AB24" s="18">
        <v>48.72</v>
      </c>
      <c r="AC24" s="128" t="s">
        <v>92</v>
      </c>
      <c r="AD24" s="183"/>
      <c r="AE24" s="171">
        <v>2006</v>
      </c>
      <c r="AF24" s="28">
        <v>741</v>
      </c>
      <c r="AG24" s="172">
        <f t="shared" si="3"/>
        <v>0.62368421052631573</v>
      </c>
      <c r="AH24" s="18">
        <v>255.05</v>
      </c>
      <c r="AI24" s="12" t="s">
        <v>24</v>
      </c>
      <c r="AJ24" s="18">
        <v>105.1</v>
      </c>
      <c r="AK24" s="12" t="s">
        <v>27</v>
      </c>
      <c r="AL24" s="18">
        <v>102</v>
      </c>
      <c r="AM24" s="128" t="s">
        <v>22</v>
      </c>
      <c r="AN24" s="182"/>
      <c r="AO24" s="171">
        <v>2006</v>
      </c>
      <c r="AP24" s="33">
        <v>95.7</v>
      </c>
      <c r="AQ24" s="172">
        <f t="shared" si="4"/>
        <v>1.0001044932079415</v>
      </c>
      <c r="AR24" s="18">
        <v>53.88</v>
      </c>
      <c r="AS24" s="12" t="s">
        <v>29</v>
      </c>
      <c r="AT24" s="18">
        <v>39.119999999999997</v>
      </c>
      <c r="AU24" s="39" t="s">
        <v>103</v>
      </c>
      <c r="AV24" s="18">
        <v>2.71</v>
      </c>
      <c r="AW24" s="128" t="s">
        <v>24</v>
      </c>
      <c r="AX24" s="183"/>
      <c r="AY24" s="171">
        <v>2006</v>
      </c>
      <c r="AZ24" s="28">
        <v>168</v>
      </c>
      <c r="BA24" s="172">
        <f t="shared" si="5"/>
        <v>0.94226190476190486</v>
      </c>
      <c r="BB24" s="18">
        <v>146.9</v>
      </c>
      <c r="BC24" s="12" t="s">
        <v>38</v>
      </c>
      <c r="BD24" s="18">
        <v>11.4</v>
      </c>
      <c r="BE24" s="12" t="s">
        <v>27</v>
      </c>
      <c r="BF24" s="213" t="s">
        <v>394</v>
      </c>
      <c r="BG24" s="128" t="s">
        <v>310</v>
      </c>
    </row>
    <row r="25" spans="1:59" x14ac:dyDescent="0.25">
      <c r="A25" s="138" t="s">
        <v>4</v>
      </c>
      <c r="B25" s="166">
        <v>1670</v>
      </c>
      <c r="C25" s="167">
        <f t="shared" si="0"/>
        <v>0.45729940119760476</v>
      </c>
      <c r="D25" s="167">
        <v>279.77</v>
      </c>
      <c r="E25" s="12" t="s">
        <v>24</v>
      </c>
      <c r="F25" s="167">
        <v>254.92</v>
      </c>
      <c r="G25" s="12" t="s">
        <v>38</v>
      </c>
      <c r="H25" s="167">
        <v>229</v>
      </c>
      <c r="I25" s="128" t="s">
        <v>55</v>
      </c>
      <c r="J25" s="180"/>
      <c r="K25" s="184" t="s">
        <v>4</v>
      </c>
      <c r="L25" s="187">
        <v>14.8</v>
      </c>
      <c r="M25" s="185">
        <f t="shared" si="1"/>
        <v>1.2162162162162162</v>
      </c>
      <c r="N25" s="187">
        <v>6.8</v>
      </c>
      <c r="O25" s="38" t="s">
        <v>441</v>
      </c>
      <c r="P25" s="188">
        <v>6</v>
      </c>
      <c r="Q25" s="43" t="s">
        <v>104</v>
      </c>
      <c r="R25" s="188">
        <v>5.2</v>
      </c>
      <c r="S25" s="186" t="s">
        <v>623</v>
      </c>
      <c r="T25" s="182"/>
      <c r="U25" s="171" t="s">
        <v>4</v>
      </c>
      <c r="V25" s="166">
        <v>395</v>
      </c>
      <c r="W25" s="172">
        <f t="shared" si="2"/>
        <v>0.41167088607594943</v>
      </c>
      <c r="X25" s="167">
        <v>68.349999999999994</v>
      </c>
      <c r="Y25" s="12" t="s">
        <v>29</v>
      </c>
      <c r="Z25" s="167">
        <v>49.31</v>
      </c>
      <c r="AA25" s="12" t="s">
        <v>98</v>
      </c>
      <c r="AB25" s="167">
        <v>44.95</v>
      </c>
      <c r="AC25" s="128" t="s">
        <v>92</v>
      </c>
      <c r="AD25" s="183"/>
      <c r="AE25" s="171" t="s">
        <v>4</v>
      </c>
      <c r="AF25" s="166">
        <v>748</v>
      </c>
      <c r="AG25" s="172">
        <f t="shared" si="3"/>
        <v>0.62120320855614974</v>
      </c>
      <c r="AH25" s="167">
        <v>248.36</v>
      </c>
      <c r="AI25" s="12" t="s">
        <v>24</v>
      </c>
      <c r="AJ25" s="167">
        <v>116</v>
      </c>
      <c r="AK25" s="12" t="s">
        <v>22</v>
      </c>
      <c r="AL25" s="167">
        <v>100.3</v>
      </c>
      <c r="AM25" s="128" t="s">
        <v>27</v>
      </c>
      <c r="AN25" s="182"/>
      <c r="AO25" s="184" t="s">
        <v>4</v>
      </c>
      <c r="AP25" s="185">
        <v>100</v>
      </c>
      <c r="AQ25" s="185">
        <f t="shared" si="4"/>
        <v>1.0029999999999999</v>
      </c>
      <c r="AR25" s="187">
        <v>60.15</v>
      </c>
      <c r="AS25" s="38" t="s">
        <v>29</v>
      </c>
      <c r="AT25" s="187">
        <v>39.909999999999997</v>
      </c>
      <c r="AU25" s="40" t="s">
        <v>103</v>
      </c>
      <c r="AV25" s="187">
        <v>0.24</v>
      </c>
      <c r="AW25" s="188" t="s">
        <v>24</v>
      </c>
      <c r="AX25" s="189"/>
      <c r="AY25" s="171" t="s">
        <v>4</v>
      </c>
      <c r="AZ25" s="166">
        <v>179</v>
      </c>
      <c r="BA25" s="172">
        <f t="shared" si="5"/>
        <v>0.93770949720670382</v>
      </c>
      <c r="BB25" s="167">
        <v>153.65</v>
      </c>
      <c r="BC25" s="12" t="s">
        <v>38</v>
      </c>
      <c r="BD25" s="167">
        <v>14.2</v>
      </c>
      <c r="BE25" s="12" t="s">
        <v>27</v>
      </c>
      <c r="BF25" s="213" t="s">
        <v>394</v>
      </c>
      <c r="BG25" s="128" t="s">
        <v>310</v>
      </c>
    </row>
    <row r="26" spans="1:59" x14ac:dyDescent="0.25">
      <c r="A26" s="138" t="s">
        <v>5</v>
      </c>
      <c r="B26" s="166">
        <v>1560</v>
      </c>
      <c r="C26" s="167">
        <f t="shared" si="0"/>
        <v>0.46516666666666673</v>
      </c>
      <c r="D26" s="167">
        <v>266.81</v>
      </c>
      <c r="E26" s="12" t="s">
        <v>24</v>
      </c>
      <c r="F26" s="167">
        <v>259.64999999999998</v>
      </c>
      <c r="G26" s="12" t="s">
        <v>38</v>
      </c>
      <c r="H26" s="167">
        <v>199.2</v>
      </c>
      <c r="I26" s="128" t="s">
        <v>27</v>
      </c>
      <c r="J26" s="180"/>
      <c r="K26" s="184" t="s">
        <v>5</v>
      </c>
      <c r="L26" s="16">
        <v>14.6</v>
      </c>
      <c r="M26" s="185">
        <f t="shared" si="1"/>
        <v>1.5712328767123289</v>
      </c>
      <c r="N26" s="187">
        <v>8.14</v>
      </c>
      <c r="O26" s="186" t="s">
        <v>623</v>
      </c>
      <c r="P26" s="188">
        <v>8</v>
      </c>
      <c r="Q26" s="43" t="s">
        <v>104</v>
      </c>
      <c r="R26" s="188">
        <v>6.8</v>
      </c>
      <c r="S26" s="38" t="s">
        <v>441</v>
      </c>
      <c r="T26" s="182"/>
      <c r="U26" s="171" t="s">
        <v>5</v>
      </c>
      <c r="V26" s="29">
        <v>350</v>
      </c>
      <c r="W26" s="172">
        <f t="shared" si="2"/>
        <v>0.39534285714285716</v>
      </c>
      <c r="X26" s="167">
        <v>59.26</v>
      </c>
      <c r="Y26" s="12" t="s">
        <v>29</v>
      </c>
      <c r="Z26" s="167">
        <v>41.64</v>
      </c>
      <c r="AA26" s="12" t="s">
        <v>98</v>
      </c>
      <c r="AB26" s="167">
        <v>37.47</v>
      </c>
      <c r="AC26" s="128" t="s">
        <v>92</v>
      </c>
      <c r="AD26" s="183"/>
      <c r="AE26" s="171" t="s">
        <v>5</v>
      </c>
      <c r="AF26" s="29">
        <v>742</v>
      </c>
      <c r="AG26" s="172">
        <f t="shared" si="3"/>
        <v>0.62117250673854441</v>
      </c>
      <c r="AH26" s="167">
        <v>242.41</v>
      </c>
      <c r="AI26" s="12" t="s">
        <v>24</v>
      </c>
      <c r="AJ26" s="167">
        <v>129</v>
      </c>
      <c r="AK26" s="12" t="s">
        <v>22</v>
      </c>
      <c r="AL26" s="167">
        <v>89.5</v>
      </c>
      <c r="AM26" s="128" t="s">
        <v>27</v>
      </c>
      <c r="AN26" s="182"/>
      <c r="AO26" s="171" t="s">
        <v>5</v>
      </c>
      <c r="AP26" s="34">
        <v>89.4</v>
      </c>
      <c r="AQ26" s="172">
        <f>+(AR26+AT26+0)/AP26</f>
        <v>0.99977628635346749</v>
      </c>
      <c r="AR26" s="167">
        <v>54.9</v>
      </c>
      <c r="AS26" s="12" t="s">
        <v>29</v>
      </c>
      <c r="AT26" s="167">
        <v>34.479999999999997</v>
      </c>
      <c r="AU26" s="39" t="s">
        <v>103</v>
      </c>
      <c r="AV26" s="213" t="s">
        <v>394</v>
      </c>
      <c r="AW26" s="128" t="s">
        <v>310</v>
      </c>
      <c r="AX26" s="183"/>
      <c r="AY26" s="171" t="s">
        <v>5</v>
      </c>
      <c r="AZ26" s="29">
        <v>203</v>
      </c>
      <c r="BA26" s="172">
        <f t="shared" si="5"/>
        <v>0.9218226600985221</v>
      </c>
      <c r="BB26" s="167">
        <v>167.73</v>
      </c>
      <c r="BC26" s="12" t="s">
        <v>38</v>
      </c>
      <c r="BD26" s="167">
        <v>19.399999999999999</v>
      </c>
      <c r="BE26" s="12" t="s">
        <v>27</v>
      </c>
      <c r="BF26" s="213" t="s">
        <v>394</v>
      </c>
      <c r="BG26" s="128" t="s">
        <v>310</v>
      </c>
    </row>
    <row r="27" spans="1:59" x14ac:dyDescent="0.25">
      <c r="A27" s="138">
        <v>2009</v>
      </c>
      <c r="B27" s="166">
        <v>1400</v>
      </c>
      <c r="C27" s="167">
        <f t="shared" si="0"/>
        <v>0.44975000000000004</v>
      </c>
      <c r="D27" s="167">
        <v>261.85000000000002</v>
      </c>
      <c r="E27" s="12" t="s">
        <v>24</v>
      </c>
      <c r="F27" s="167">
        <v>202.8</v>
      </c>
      <c r="G27" s="12" t="s">
        <v>55</v>
      </c>
      <c r="H27" s="167">
        <v>165</v>
      </c>
      <c r="I27" s="128" t="s">
        <v>27</v>
      </c>
      <c r="J27" s="180"/>
      <c r="K27" s="171">
        <v>2009</v>
      </c>
      <c r="L27" s="16">
        <v>13.8</v>
      </c>
      <c r="M27" s="172">
        <f t="shared" si="1"/>
        <v>1.4347826086956521</v>
      </c>
      <c r="N27" s="167">
        <v>8</v>
      </c>
      <c r="O27" s="43" t="s">
        <v>104</v>
      </c>
      <c r="P27" s="128">
        <v>6.8</v>
      </c>
      <c r="Q27" s="38" t="s">
        <v>441</v>
      </c>
      <c r="R27" s="128">
        <v>5</v>
      </c>
      <c r="S27" s="186" t="s">
        <v>623</v>
      </c>
      <c r="T27" s="182"/>
      <c r="U27" s="184">
        <v>2009</v>
      </c>
      <c r="V27" s="29">
        <v>363</v>
      </c>
      <c r="W27" s="172">
        <f t="shared" si="2"/>
        <v>0.58055096418732788</v>
      </c>
      <c r="X27" s="167">
        <v>100</v>
      </c>
      <c r="Y27" s="38" t="s">
        <v>22</v>
      </c>
      <c r="Z27" s="16">
        <v>58.94</v>
      </c>
      <c r="AA27" s="38" t="s">
        <v>29</v>
      </c>
      <c r="AB27" s="16">
        <v>51.8</v>
      </c>
      <c r="AC27" s="128" t="s">
        <v>98</v>
      </c>
      <c r="AD27" s="183"/>
      <c r="AE27" s="184">
        <v>2009</v>
      </c>
      <c r="AF27" s="29">
        <v>775</v>
      </c>
      <c r="AG27" s="172">
        <f t="shared" si="3"/>
        <v>0.67802580645161292</v>
      </c>
      <c r="AH27" s="167">
        <v>237.27</v>
      </c>
      <c r="AI27" s="38" t="s">
        <v>24</v>
      </c>
      <c r="AJ27" s="16">
        <v>165</v>
      </c>
      <c r="AK27" s="38" t="s">
        <v>22</v>
      </c>
      <c r="AL27" s="16">
        <v>123.2</v>
      </c>
      <c r="AM27" s="128" t="s">
        <v>27</v>
      </c>
      <c r="AN27" s="182"/>
      <c r="AO27" s="184">
        <v>2009</v>
      </c>
      <c r="AP27" s="34">
        <v>91.7</v>
      </c>
      <c r="AQ27" s="172">
        <f>+(AR27+AT27+0)/AP27</f>
        <v>0.99989094874591056</v>
      </c>
      <c r="AR27" s="167">
        <v>57.19</v>
      </c>
      <c r="AS27" s="38" t="s">
        <v>29</v>
      </c>
      <c r="AT27" s="16">
        <v>34.5</v>
      </c>
      <c r="AU27" s="40" t="s">
        <v>103</v>
      </c>
      <c r="AV27" s="213" t="s">
        <v>394</v>
      </c>
      <c r="AW27" s="128" t="s">
        <v>310</v>
      </c>
      <c r="AX27" s="183"/>
      <c r="AY27" s="184">
        <v>2009</v>
      </c>
      <c r="AZ27" s="29">
        <v>138</v>
      </c>
      <c r="BA27" s="172">
        <f t="shared" si="5"/>
        <v>0.90514492753623188</v>
      </c>
      <c r="BB27" s="167">
        <v>116.91</v>
      </c>
      <c r="BC27" s="38" t="s">
        <v>38</v>
      </c>
      <c r="BD27" s="16">
        <v>8</v>
      </c>
      <c r="BE27" s="38" t="s">
        <v>27</v>
      </c>
      <c r="BF27" s="213" t="s">
        <v>394</v>
      </c>
      <c r="BG27" s="128" t="s">
        <v>310</v>
      </c>
    </row>
    <row r="28" spans="1:59" x14ac:dyDescent="0.25">
      <c r="A28" s="55"/>
      <c r="B28" s="23"/>
      <c r="C28" s="9"/>
      <c r="D28" s="12"/>
      <c r="E28" s="9"/>
      <c r="F28" s="12"/>
      <c r="G28" s="9"/>
      <c r="H28" s="9"/>
      <c r="I28" s="20"/>
      <c r="J28" s="82"/>
      <c r="K28" s="80"/>
      <c r="L28" s="16"/>
      <c r="M28" s="9"/>
      <c r="N28" s="43"/>
      <c r="O28" s="9"/>
      <c r="P28" s="38"/>
      <c r="Q28" s="9"/>
      <c r="R28" s="44"/>
      <c r="S28" s="21"/>
      <c r="T28" s="60"/>
      <c r="AN28" s="60"/>
    </row>
    <row r="29" spans="1:59" x14ac:dyDescent="0.25">
      <c r="A29" s="55"/>
      <c r="B29" s="23"/>
      <c r="C29" s="9"/>
      <c r="D29" s="12"/>
      <c r="E29" s="9"/>
      <c r="F29" s="12"/>
      <c r="G29" s="9"/>
      <c r="H29" s="9"/>
      <c r="I29" s="20"/>
      <c r="J29" s="82"/>
      <c r="K29" s="190" t="s">
        <v>624</v>
      </c>
      <c r="L29" s="16"/>
      <c r="M29" s="9"/>
      <c r="N29" s="43"/>
      <c r="O29" s="9"/>
      <c r="P29" s="38"/>
      <c r="Q29" s="9"/>
      <c r="R29" s="44"/>
      <c r="S29" s="21"/>
      <c r="AU29" s="114"/>
    </row>
    <row r="30" spans="1:59" x14ac:dyDescent="0.25">
      <c r="A30" s="8"/>
      <c r="B30" s="9"/>
      <c r="C30" s="9"/>
      <c r="D30" s="12"/>
      <c r="E30" s="9"/>
      <c r="F30" s="12"/>
      <c r="G30" s="9"/>
      <c r="H30" s="9"/>
      <c r="I30" s="9"/>
      <c r="J30" s="81"/>
      <c r="K30" s="190" t="s">
        <v>622</v>
      </c>
      <c r="M30" s="9"/>
      <c r="N30" s="12"/>
      <c r="O30" s="9"/>
      <c r="P30" s="12"/>
      <c r="Q30" s="9"/>
      <c r="R30" s="9"/>
      <c r="S30" s="9"/>
    </row>
    <row r="31" spans="1:59" x14ac:dyDescent="0.25">
      <c r="B31" s="10"/>
      <c r="H31" s="10"/>
    </row>
    <row r="32" spans="1:59" x14ac:dyDescent="0.25">
      <c r="B32" s="10"/>
      <c r="H32" s="10"/>
    </row>
  </sheetData>
  <mergeCells count="42">
    <mergeCell ref="N6:O6"/>
    <mergeCell ref="P6:Q6"/>
    <mergeCell ref="R6:S6"/>
    <mergeCell ref="K5:S5"/>
    <mergeCell ref="B5:I5"/>
    <mergeCell ref="M6:M7"/>
    <mergeCell ref="D6:E6"/>
    <mergeCell ref="F6:G6"/>
    <mergeCell ref="H6:I6"/>
    <mergeCell ref="C6:C7"/>
    <mergeCell ref="B6:B7"/>
    <mergeCell ref="L6:L7"/>
    <mergeCell ref="AE5:AM5"/>
    <mergeCell ref="AH6:AI6"/>
    <mergeCell ref="AJ6:AK6"/>
    <mergeCell ref="AL6:AM6"/>
    <mergeCell ref="AG6:AG7"/>
    <mergeCell ref="AF6:AF7"/>
    <mergeCell ref="X6:Y6"/>
    <mergeCell ref="Z6:AA6"/>
    <mergeCell ref="AB6:AC6"/>
    <mergeCell ref="W6:W7"/>
    <mergeCell ref="U5:AC5"/>
    <mergeCell ref="V6:V7"/>
    <mergeCell ref="AO5:AW5"/>
    <mergeCell ref="AY5:BG5"/>
    <mergeCell ref="AR6:AS6"/>
    <mergeCell ref="AT6:AU6"/>
    <mergeCell ref="AV6:AW6"/>
    <mergeCell ref="AQ6:AQ7"/>
    <mergeCell ref="BB6:BC6"/>
    <mergeCell ref="BD6:BE6"/>
    <mergeCell ref="BF6:BG6"/>
    <mergeCell ref="BA6:BA7"/>
    <mergeCell ref="AP6:AP7"/>
    <mergeCell ref="AZ6:AZ7"/>
    <mergeCell ref="AY1:BG2"/>
    <mergeCell ref="A1:I2"/>
    <mergeCell ref="K1:S2"/>
    <mergeCell ref="U1:AC2"/>
    <mergeCell ref="AE1:AM2"/>
    <mergeCell ref="AO1:AW2"/>
  </mergeCells>
  <pageMargins left="0.7" right="0.7" top="0.75" bottom="0.75" header="0.3" footer="0.3"/>
  <pageSetup scale="86" orientation="landscape" r:id="rId1"/>
  <rowBreaks count="2" manualBreakCount="2">
    <brk id="31" max="16383" man="1"/>
    <brk id="56" max="16383" man="1"/>
  </rowBreaks>
  <colBreaks count="5" manualBreakCount="5">
    <brk id="9" max="1048575" man="1"/>
    <brk id="19" max="1048575" man="1"/>
    <brk id="29" max="1048575" man="1"/>
    <brk id="39" max="1048575" man="1"/>
    <brk id="49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0.7109375" bestFit="1" customWidth="1"/>
    <col min="3" max="3" width="13.140625" customWidth="1"/>
    <col min="4" max="4" width="10.42578125" customWidth="1"/>
    <col min="5" max="5" width="10.5703125" bestFit="1" customWidth="1"/>
    <col min="6" max="6" width="11.140625" bestFit="1" customWidth="1"/>
    <col min="7" max="7" width="9.7109375" bestFit="1" customWidth="1"/>
    <col min="8" max="8" width="13.42578125" customWidth="1"/>
    <col min="9" max="9" width="14.85546875" customWidth="1"/>
    <col min="10" max="10" width="4.140625" customWidth="1"/>
    <col min="12" max="12" width="13.28515625" customWidth="1"/>
    <col min="13" max="13" width="13.85546875" customWidth="1"/>
    <col min="14" max="19" width="13.28515625" customWidth="1"/>
  </cols>
  <sheetData>
    <row r="1" spans="1:19" ht="15" customHeight="1" x14ac:dyDescent="0.25">
      <c r="A1" s="278" t="s">
        <v>452</v>
      </c>
      <c r="B1" s="278"/>
      <c r="C1" s="278"/>
      <c r="D1" s="278"/>
      <c r="E1" s="278"/>
      <c r="F1" s="278"/>
      <c r="G1" s="278"/>
      <c r="H1" s="278"/>
      <c r="I1" s="278"/>
      <c r="J1" s="78"/>
      <c r="K1" s="278" t="s">
        <v>453</v>
      </c>
      <c r="L1" s="278"/>
      <c r="M1" s="278"/>
      <c r="N1" s="278"/>
      <c r="O1" s="278"/>
      <c r="P1" s="278"/>
      <c r="Q1" s="278"/>
      <c r="R1" s="278"/>
      <c r="S1" s="278"/>
    </row>
    <row r="2" spans="1:1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78"/>
      <c r="K2" s="278"/>
      <c r="L2" s="278"/>
      <c r="M2" s="278"/>
      <c r="N2" s="278"/>
      <c r="O2" s="278"/>
      <c r="P2" s="278"/>
      <c r="Q2" s="278"/>
      <c r="R2" s="278"/>
      <c r="S2" s="278"/>
    </row>
    <row r="3" spans="1:19" ht="15.75" x14ac:dyDescent="0.25">
      <c r="A3" s="111"/>
      <c r="B3" s="111"/>
      <c r="C3" s="111"/>
      <c r="D3" s="111"/>
      <c r="E3" s="111"/>
      <c r="F3" s="111"/>
      <c r="G3" s="111"/>
      <c r="H3" s="111"/>
      <c r="I3" s="111"/>
      <c r="J3" s="78"/>
      <c r="K3" s="110" t="s">
        <v>448</v>
      </c>
      <c r="L3" s="111"/>
      <c r="M3" s="111"/>
      <c r="N3" s="111"/>
      <c r="O3" s="111"/>
      <c r="P3" s="111"/>
      <c r="Q3" s="111"/>
      <c r="R3" s="111"/>
      <c r="S3" s="111"/>
    </row>
    <row r="4" spans="1:19" x14ac:dyDescent="0.25">
      <c r="A4" s="5"/>
      <c r="B4" s="6"/>
      <c r="C4" s="6"/>
      <c r="D4" s="6"/>
      <c r="E4" s="6"/>
      <c r="F4" s="6"/>
      <c r="H4" s="6"/>
      <c r="I4" s="6"/>
      <c r="J4" s="6"/>
    </row>
    <row r="5" spans="1:19" x14ac:dyDescent="0.25">
      <c r="A5" s="105"/>
      <c r="B5" s="283" t="s">
        <v>65</v>
      </c>
      <c r="C5" s="283"/>
      <c r="D5" s="283"/>
      <c r="E5" s="283"/>
      <c r="F5" s="283"/>
      <c r="G5" s="283"/>
      <c r="H5" s="283"/>
      <c r="I5" s="283"/>
      <c r="J5" s="105"/>
      <c r="K5" s="105"/>
      <c r="L5" s="283" t="s">
        <v>64</v>
      </c>
      <c r="M5" s="283"/>
      <c r="N5" s="283"/>
      <c r="O5" s="283"/>
      <c r="P5" s="283"/>
      <c r="Q5" s="283"/>
      <c r="R5" s="283"/>
      <c r="S5" s="283"/>
    </row>
    <row r="6" spans="1:19" s="13" customFormat="1" ht="15" customHeight="1" x14ac:dyDescent="0.25">
      <c r="A6" s="101"/>
      <c r="B6" s="282" t="s">
        <v>390</v>
      </c>
      <c r="C6" s="282" t="s">
        <v>300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99"/>
      <c r="K6" s="101"/>
      <c r="L6" s="282" t="s">
        <v>390</v>
      </c>
      <c r="M6" s="282" t="s">
        <v>299</v>
      </c>
      <c r="N6" s="279" t="s">
        <v>275</v>
      </c>
      <c r="O6" s="279"/>
      <c r="P6" s="279" t="s">
        <v>32</v>
      </c>
      <c r="Q6" s="279"/>
      <c r="R6" s="279" t="s">
        <v>33</v>
      </c>
      <c r="S6" s="279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100" t="s">
        <v>8</v>
      </c>
      <c r="O7" s="100" t="s">
        <v>3</v>
      </c>
      <c r="P7" s="100" t="s">
        <v>8</v>
      </c>
      <c r="Q7" s="100" t="s">
        <v>3</v>
      </c>
      <c r="R7" s="100" t="s">
        <v>8</v>
      </c>
      <c r="S7" s="100" t="s">
        <v>3</v>
      </c>
    </row>
    <row r="8" spans="1:19" x14ac:dyDescent="0.25">
      <c r="A8" s="138">
        <v>1990</v>
      </c>
      <c r="B8" s="166">
        <v>15300</v>
      </c>
      <c r="C8" s="167">
        <f t="shared" ref="C8:C27" si="0">(D8+F8+H8)/B8</f>
        <v>0.98784313725490192</v>
      </c>
      <c r="D8" s="27">
        <v>12371</v>
      </c>
      <c r="E8" s="12" t="s">
        <v>28</v>
      </c>
      <c r="F8" s="27">
        <v>2384</v>
      </c>
      <c r="G8" s="12" t="s">
        <v>38</v>
      </c>
      <c r="H8" s="27">
        <v>359</v>
      </c>
      <c r="I8" s="128" t="s">
        <v>35</v>
      </c>
      <c r="J8" s="180"/>
      <c r="K8" s="138">
        <v>2004</v>
      </c>
      <c r="L8" s="166">
        <v>28800</v>
      </c>
      <c r="M8" s="167">
        <f t="shared" ref="M8:M13" si="1">(N8+P8+R8)/L8</f>
        <v>0.99888888888888894</v>
      </c>
      <c r="N8" s="30">
        <v>25169</v>
      </c>
      <c r="O8" s="12" t="s">
        <v>28</v>
      </c>
      <c r="P8" s="30">
        <v>3559</v>
      </c>
      <c r="Q8" s="12" t="s">
        <v>38</v>
      </c>
      <c r="R8" s="117">
        <v>40</v>
      </c>
      <c r="S8" s="128" t="s">
        <v>49</v>
      </c>
    </row>
    <row r="9" spans="1:19" x14ac:dyDescent="0.25">
      <c r="A9" s="138">
        <v>1991</v>
      </c>
      <c r="B9" s="166">
        <v>15700</v>
      </c>
      <c r="C9" s="167">
        <f t="shared" si="0"/>
        <v>0.99337579617834393</v>
      </c>
      <c r="D9" s="27">
        <v>12866</v>
      </c>
      <c r="E9" s="12" t="s">
        <v>28</v>
      </c>
      <c r="F9" s="27">
        <v>2365</v>
      </c>
      <c r="G9" s="12" t="s">
        <v>38</v>
      </c>
      <c r="H9" s="27">
        <v>365</v>
      </c>
      <c r="I9" s="128" t="s">
        <v>35</v>
      </c>
      <c r="J9" s="191"/>
      <c r="K9" s="138">
        <v>2005</v>
      </c>
      <c r="L9" s="166">
        <v>29300</v>
      </c>
      <c r="M9" s="167">
        <f>(N9+P9)/L9</f>
        <v>1.0010580204778157</v>
      </c>
      <c r="N9" s="28">
        <v>25621</v>
      </c>
      <c r="O9" s="12" t="s">
        <v>28</v>
      </c>
      <c r="P9" s="28">
        <v>3710</v>
      </c>
      <c r="Q9" s="12" t="s">
        <v>38</v>
      </c>
      <c r="R9" s="213" t="s">
        <v>394</v>
      </c>
      <c r="S9" s="128" t="s">
        <v>310</v>
      </c>
    </row>
    <row r="10" spans="1:19" x14ac:dyDescent="0.25">
      <c r="A10" s="138">
        <v>1992</v>
      </c>
      <c r="B10" s="166">
        <v>15300</v>
      </c>
      <c r="C10" s="167">
        <f t="shared" si="0"/>
        <v>0.99418300653594771</v>
      </c>
      <c r="D10" s="27">
        <v>12545</v>
      </c>
      <c r="E10" s="12" t="s">
        <v>28</v>
      </c>
      <c r="F10" s="166">
        <v>2308</v>
      </c>
      <c r="G10" s="12" t="s">
        <v>38</v>
      </c>
      <c r="H10" s="27">
        <v>358</v>
      </c>
      <c r="I10" s="128" t="s">
        <v>35</v>
      </c>
      <c r="J10" s="191"/>
      <c r="K10" s="138">
        <v>2006</v>
      </c>
      <c r="L10" s="166">
        <v>31600</v>
      </c>
      <c r="M10" s="167">
        <f>(N10+P10)/L10</f>
        <v>0.99971518987341768</v>
      </c>
      <c r="N10" s="28">
        <v>27434</v>
      </c>
      <c r="O10" s="12" t="s">
        <v>28</v>
      </c>
      <c r="P10" s="28">
        <v>4157</v>
      </c>
      <c r="Q10" s="12" t="s">
        <v>38</v>
      </c>
      <c r="R10" s="213" t="s">
        <v>394</v>
      </c>
      <c r="S10" s="128" t="s">
        <v>310</v>
      </c>
    </row>
    <row r="11" spans="1:19" x14ac:dyDescent="0.25">
      <c r="A11" s="138">
        <v>1993</v>
      </c>
      <c r="B11" s="166">
        <v>12400</v>
      </c>
      <c r="C11" s="167">
        <f t="shared" si="0"/>
        <v>0.99435483870967745</v>
      </c>
      <c r="D11" s="27">
        <v>9580</v>
      </c>
      <c r="E11" s="12" t="s">
        <v>28</v>
      </c>
      <c r="F11" s="27">
        <v>2395</v>
      </c>
      <c r="G11" s="12" t="s">
        <v>38</v>
      </c>
      <c r="H11" s="27">
        <v>355</v>
      </c>
      <c r="I11" s="128" t="s">
        <v>60</v>
      </c>
      <c r="J11" s="191"/>
      <c r="K11" s="138" t="s">
        <v>4</v>
      </c>
      <c r="L11" s="166">
        <v>39000</v>
      </c>
      <c r="M11" s="167">
        <f t="shared" si="1"/>
        <v>1.0007435897435897</v>
      </c>
      <c r="N11" s="166">
        <v>34612</v>
      </c>
      <c r="O11" s="12" t="s">
        <v>28</v>
      </c>
      <c r="P11" s="166">
        <v>4337</v>
      </c>
      <c r="Q11" s="12" t="s">
        <v>38</v>
      </c>
      <c r="R11" s="192">
        <v>80</v>
      </c>
      <c r="S11" s="128" t="s">
        <v>24</v>
      </c>
    </row>
    <row r="12" spans="1:19" x14ac:dyDescent="0.25">
      <c r="A12" s="138">
        <v>1994</v>
      </c>
      <c r="B12" s="166">
        <v>15700</v>
      </c>
      <c r="C12" s="167">
        <f t="shared" si="0"/>
        <v>0.99605095541401278</v>
      </c>
      <c r="D12" s="27">
        <v>13240</v>
      </c>
      <c r="E12" s="12" t="s">
        <v>28</v>
      </c>
      <c r="F12" s="27">
        <v>2317</v>
      </c>
      <c r="G12" s="12" t="s">
        <v>38</v>
      </c>
      <c r="H12" s="27">
        <v>81</v>
      </c>
      <c r="I12" s="128" t="s">
        <v>27</v>
      </c>
      <c r="J12" s="191"/>
      <c r="K12" s="138" t="s">
        <v>5</v>
      </c>
      <c r="L12" s="166">
        <v>29900</v>
      </c>
      <c r="M12" s="167">
        <f t="shared" si="1"/>
        <v>0.99892976588628768</v>
      </c>
      <c r="N12" s="166">
        <v>25403</v>
      </c>
      <c r="O12" s="12" t="s">
        <v>28</v>
      </c>
      <c r="P12" s="166">
        <v>4385</v>
      </c>
      <c r="Q12" s="12" t="s">
        <v>38</v>
      </c>
      <c r="R12" s="192">
        <v>80</v>
      </c>
      <c r="S12" s="128" t="s">
        <v>24</v>
      </c>
    </row>
    <row r="13" spans="1:19" x14ac:dyDescent="0.25">
      <c r="A13" s="138">
        <v>1995</v>
      </c>
      <c r="B13" s="166">
        <v>15600</v>
      </c>
      <c r="C13" s="167">
        <f t="shared" si="0"/>
        <v>1.0003846153846154</v>
      </c>
      <c r="D13" s="27">
        <v>13140</v>
      </c>
      <c r="E13" s="12" t="s">
        <v>28</v>
      </c>
      <c r="F13" s="27">
        <v>2357</v>
      </c>
      <c r="G13" s="12" t="s">
        <v>38</v>
      </c>
      <c r="H13" s="27">
        <v>109</v>
      </c>
      <c r="I13" s="128" t="s">
        <v>27</v>
      </c>
      <c r="J13" s="191"/>
      <c r="K13" s="138">
        <v>2009</v>
      </c>
      <c r="L13" s="166">
        <v>29400</v>
      </c>
      <c r="M13" s="167">
        <f t="shared" si="1"/>
        <v>1.0016666666666667</v>
      </c>
      <c r="N13" s="166">
        <v>25410</v>
      </c>
      <c r="O13" s="38" t="s">
        <v>28</v>
      </c>
      <c r="P13" s="166">
        <v>3960</v>
      </c>
      <c r="Q13" s="38" t="s">
        <v>38</v>
      </c>
      <c r="R13" s="141">
        <v>79</v>
      </c>
      <c r="S13" s="128" t="s">
        <v>24</v>
      </c>
    </row>
    <row r="14" spans="1:19" x14ac:dyDescent="0.25">
      <c r="A14" s="138">
        <v>1996</v>
      </c>
      <c r="B14" s="166">
        <v>16200</v>
      </c>
      <c r="C14" s="167">
        <f t="shared" si="0"/>
        <v>0.99925925925925929</v>
      </c>
      <c r="D14" s="27">
        <v>13745</v>
      </c>
      <c r="E14" s="12" t="s">
        <v>28</v>
      </c>
      <c r="F14" s="27">
        <v>2331</v>
      </c>
      <c r="G14" s="12" t="s">
        <v>38</v>
      </c>
      <c r="H14" s="166">
        <v>112</v>
      </c>
      <c r="I14" s="128" t="s">
        <v>27</v>
      </c>
      <c r="J14" s="191"/>
      <c r="K14" s="141"/>
      <c r="L14" s="141"/>
      <c r="M14" s="141"/>
      <c r="N14" s="141"/>
      <c r="O14" s="141"/>
      <c r="P14" s="141"/>
      <c r="Q14" s="141"/>
      <c r="R14" s="141"/>
      <c r="S14" s="141"/>
    </row>
    <row r="15" spans="1:19" x14ac:dyDescent="0.25">
      <c r="A15" s="138">
        <v>1997</v>
      </c>
      <c r="B15" s="166">
        <v>20500</v>
      </c>
      <c r="C15" s="167">
        <f t="shared" si="0"/>
        <v>0.99634146341463414</v>
      </c>
      <c r="D15" s="27">
        <v>18000</v>
      </c>
      <c r="E15" s="12" t="s">
        <v>28</v>
      </c>
      <c r="F15" s="27">
        <v>2300</v>
      </c>
      <c r="G15" s="12" t="s">
        <v>38</v>
      </c>
      <c r="H15" s="27">
        <v>125</v>
      </c>
      <c r="I15" s="128" t="s">
        <v>27</v>
      </c>
      <c r="J15" s="191"/>
      <c r="K15" s="141"/>
      <c r="L15" s="141"/>
      <c r="M15" s="141"/>
      <c r="N15" s="141"/>
      <c r="O15" s="141"/>
      <c r="P15" s="141"/>
      <c r="Q15" s="141"/>
      <c r="R15" s="141"/>
      <c r="S15" s="141"/>
    </row>
    <row r="16" spans="1:19" x14ac:dyDescent="0.25">
      <c r="A16" s="138">
        <v>1998</v>
      </c>
      <c r="B16" s="166">
        <v>26200</v>
      </c>
      <c r="C16" s="167">
        <f t="shared" si="0"/>
        <v>0.99656488549618316</v>
      </c>
      <c r="D16" s="27">
        <v>23600</v>
      </c>
      <c r="E16" s="12" t="s">
        <v>28</v>
      </c>
      <c r="F16" s="27">
        <v>2370</v>
      </c>
      <c r="G16" s="12" t="s">
        <v>38</v>
      </c>
      <c r="H16" s="27">
        <v>140</v>
      </c>
      <c r="I16" s="128" t="s">
        <v>27</v>
      </c>
      <c r="J16" s="191"/>
      <c r="K16" s="141"/>
      <c r="L16" s="141"/>
      <c r="M16" s="141"/>
      <c r="N16" s="141"/>
      <c r="O16" s="141"/>
      <c r="P16" s="141"/>
      <c r="Q16" s="141"/>
      <c r="R16" s="141"/>
      <c r="S16" s="141"/>
    </row>
    <row r="17" spans="1:19" x14ac:dyDescent="0.25">
      <c r="A17" s="138">
        <v>1999</v>
      </c>
      <c r="B17" s="166">
        <v>24600</v>
      </c>
      <c r="C17" s="167">
        <f t="shared" si="0"/>
        <v>0.99227642276422767</v>
      </c>
      <c r="D17" s="27">
        <v>21900</v>
      </c>
      <c r="E17" s="12" t="s">
        <v>28</v>
      </c>
      <c r="F17" s="27">
        <v>2370</v>
      </c>
      <c r="G17" s="12" t="s">
        <v>38</v>
      </c>
      <c r="H17" s="27">
        <v>140</v>
      </c>
      <c r="I17" s="128" t="s">
        <v>27</v>
      </c>
      <c r="J17" s="191"/>
      <c r="K17" s="141"/>
      <c r="L17" s="141"/>
      <c r="M17" s="141"/>
      <c r="N17" s="141"/>
      <c r="O17" s="141"/>
      <c r="P17" s="141"/>
      <c r="Q17" s="141"/>
      <c r="R17" s="141"/>
      <c r="S17" s="141"/>
    </row>
    <row r="18" spans="1:19" x14ac:dyDescent="0.25">
      <c r="A18" s="138">
        <v>2000</v>
      </c>
      <c r="B18" s="166">
        <v>24800</v>
      </c>
      <c r="C18" s="167">
        <f t="shared" si="0"/>
        <v>0.97947580645161292</v>
      </c>
      <c r="D18" s="27">
        <v>21800</v>
      </c>
      <c r="E18" s="12" t="s">
        <v>28</v>
      </c>
      <c r="F18" s="27">
        <v>2291</v>
      </c>
      <c r="G18" s="12" t="s">
        <v>38</v>
      </c>
      <c r="H18" s="27">
        <v>200</v>
      </c>
      <c r="I18" s="128" t="s">
        <v>61</v>
      </c>
      <c r="J18" s="191"/>
      <c r="K18" s="141"/>
      <c r="L18" s="141"/>
      <c r="M18" s="141"/>
      <c r="N18" s="141"/>
      <c r="O18" s="141"/>
      <c r="P18" s="141"/>
      <c r="Q18" s="141"/>
      <c r="R18" s="141"/>
      <c r="S18" s="141"/>
    </row>
    <row r="19" spans="1:19" x14ac:dyDescent="0.25">
      <c r="A19" s="138">
        <v>2001</v>
      </c>
      <c r="B19" s="166">
        <v>31100</v>
      </c>
      <c r="C19" s="167">
        <f t="shared" si="0"/>
        <v>0.98858520900321545</v>
      </c>
      <c r="D19" s="27">
        <v>27300</v>
      </c>
      <c r="E19" s="12" t="s">
        <v>28</v>
      </c>
      <c r="F19" s="27">
        <v>3195</v>
      </c>
      <c r="G19" s="12" t="s">
        <v>38</v>
      </c>
      <c r="H19" s="27">
        <v>250</v>
      </c>
      <c r="I19" s="128" t="s">
        <v>61</v>
      </c>
      <c r="J19" s="191"/>
      <c r="K19" s="141"/>
      <c r="L19" s="141"/>
      <c r="M19" s="141"/>
      <c r="N19" s="141"/>
      <c r="O19" s="141"/>
      <c r="P19" s="141"/>
      <c r="Q19" s="141"/>
      <c r="R19" s="141"/>
      <c r="S19" s="141"/>
    </row>
    <row r="20" spans="1:19" x14ac:dyDescent="0.25">
      <c r="A20" s="138">
        <v>2002</v>
      </c>
      <c r="B20" s="166">
        <v>33300</v>
      </c>
      <c r="C20" s="167">
        <f t="shared" si="0"/>
        <v>0.98837837837837839</v>
      </c>
      <c r="D20" s="28">
        <v>28873</v>
      </c>
      <c r="E20" s="12" t="s">
        <v>28</v>
      </c>
      <c r="F20" s="29">
        <v>3345</v>
      </c>
      <c r="G20" s="12" t="s">
        <v>38</v>
      </c>
      <c r="H20" s="28">
        <v>695</v>
      </c>
      <c r="I20" s="128" t="s">
        <v>60</v>
      </c>
      <c r="J20" s="191"/>
      <c r="K20" s="141"/>
      <c r="L20" s="141"/>
      <c r="M20" s="141"/>
      <c r="N20" s="141"/>
      <c r="O20" s="141"/>
      <c r="P20" s="141"/>
      <c r="Q20" s="141"/>
      <c r="R20" s="141"/>
      <c r="S20" s="141"/>
    </row>
    <row r="21" spans="1:19" x14ac:dyDescent="0.25">
      <c r="A21" s="138">
        <v>2003</v>
      </c>
      <c r="B21" s="166">
        <v>40400</v>
      </c>
      <c r="C21" s="167">
        <f t="shared" si="0"/>
        <v>1.0041831683168316</v>
      </c>
      <c r="D21" s="29">
        <v>37920</v>
      </c>
      <c r="E21" s="12" t="s">
        <v>28</v>
      </c>
      <c r="F21" s="29">
        <v>2263</v>
      </c>
      <c r="G21" s="12" t="s">
        <v>38</v>
      </c>
      <c r="H21" s="29">
        <v>386</v>
      </c>
      <c r="I21" s="128" t="s">
        <v>60</v>
      </c>
      <c r="J21" s="191"/>
      <c r="K21" s="141"/>
      <c r="L21" s="141"/>
      <c r="M21" s="141"/>
      <c r="N21" s="141"/>
      <c r="O21" s="141"/>
      <c r="P21" s="141"/>
      <c r="Q21" s="141"/>
      <c r="R21" s="141"/>
      <c r="S21" s="141"/>
    </row>
    <row r="22" spans="1:19" x14ac:dyDescent="0.25">
      <c r="A22" s="138">
        <v>2004</v>
      </c>
      <c r="B22" s="166">
        <v>27600</v>
      </c>
      <c r="C22" s="167">
        <f t="shared" si="0"/>
        <v>0.99510869565217386</v>
      </c>
      <c r="D22" s="30">
        <v>23779</v>
      </c>
      <c r="E22" s="12" t="s">
        <v>28</v>
      </c>
      <c r="F22" s="30">
        <v>3599</v>
      </c>
      <c r="G22" s="12" t="s">
        <v>38</v>
      </c>
      <c r="H22" s="30">
        <v>87</v>
      </c>
      <c r="I22" s="128" t="s">
        <v>62</v>
      </c>
      <c r="J22" s="191"/>
      <c r="K22" s="141"/>
      <c r="L22" s="141"/>
      <c r="M22" s="141"/>
      <c r="N22" s="141"/>
      <c r="O22" s="141"/>
      <c r="P22" s="141"/>
      <c r="Q22" s="141"/>
      <c r="R22" s="141"/>
      <c r="S22" s="141"/>
    </row>
    <row r="23" spans="1:19" x14ac:dyDescent="0.25">
      <c r="A23" s="138">
        <v>2005</v>
      </c>
      <c r="B23" s="166">
        <v>43100</v>
      </c>
      <c r="C23" s="167">
        <f t="shared" si="0"/>
        <v>0.99672853828306263</v>
      </c>
      <c r="D23" s="28">
        <v>39162</v>
      </c>
      <c r="E23" s="12" t="s">
        <v>28</v>
      </c>
      <c r="F23" s="28">
        <v>3710</v>
      </c>
      <c r="G23" s="12" t="s">
        <v>38</v>
      </c>
      <c r="H23" s="28">
        <v>87</v>
      </c>
      <c r="I23" s="128" t="s">
        <v>63</v>
      </c>
      <c r="J23" s="191"/>
      <c r="K23" s="141"/>
      <c r="L23" s="141"/>
      <c r="M23" s="141"/>
      <c r="N23" s="141"/>
      <c r="O23" s="141"/>
      <c r="P23" s="141"/>
      <c r="Q23" s="141"/>
      <c r="R23" s="141"/>
      <c r="S23" s="141"/>
    </row>
    <row r="24" spans="1:19" x14ac:dyDescent="0.25">
      <c r="A24" s="138">
        <v>2006</v>
      </c>
      <c r="B24" s="166">
        <v>52800</v>
      </c>
      <c r="C24" s="167">
        <f t="shared" si="0"/>
        <v>0.99759469696969694</v>
      </c>
      <c r="D24" s="28">
        <v>48129</v>
      </c>
      <c r="E24" s="12" t="s">
        <v>28</v>
      </c>
      <c r="F24" s="28">
        <v>4157</v>
      </c>
      <c r="G24" s="12" t="s">
        <v>38</v>
      </c>
      <c r="H24" s="28">
        <v>387</v>
      </c>
      <c r="I24" s="128" t="s">
        <v>61</v>
      </c>
      <c r="J24" s="191"/>
      <c r="K24" s="141"/>
      <c r="L24" s="141"/>
      <c r="M24" s="141"/>
      <c r="N24" s="141"/>
      <c r="O24" s="141"/>
      <c r="P24" s="141"/>
      <c r="Q24" s="141"/>
      <c r="R24" s="141"/>
      <c r="S24" s="141"/>
    </row>
    <row r="25" spans="1:19" x14ac:dyDescent="0.25">
      <c r="A25" s="138" t="s">
        <v>4</v>
      </c>
      <c r="B25" s="166">
        <v>62000</v>
      </c>
      <c r="C25" s="167">
        <f t="shared" si="0"/>
        <v>0.99651612903225806</v>
      </c>
      <c r="D25" s="166">
        <v>57267</v>
      </c>
      <c r="E25" s="12" t="s">
        <v>28</v>
      </c>
      <c r="F25" s="166">
        <v>4337</v>
      </c>
      <c r="G25" s="12" t="s">
        <v>38</v>
      </c>
      <c r="H25" s="166">
        <v>180</v>
      </c>
      <c r="I25" s="128" t="s">
        <v>61</v>
      </c>
      <c r="J25" s="191"/>
      <c r="K25" s="141"/>
      <c r="L25" s="141"/>
      <c r="M25" s="141"/>
      <c r="N25" s="141"/>
      <c r="O25" s="141"/>
      <c r="P25" s="141"/>
      <c r="Q25" s="141"/>
      <c r="R25" s="141"/>
      <c r="S25" s="141"/>
    </row>
    <row r="26" spans="1:19" x14ac:dyDescent="0.25">
      <c r="A26" s="138" t="s">
        <v>5</v>
      </c>
      <c r="B26" s="166">
        <v>63000</v>
      </c>
      <c r="C26" s="167">
        <f t="shared" si="0"/>
        <v>0.99328571428571433</v>
      </c>
      <c r="D26" s="166">
        <v>58000</v>
      </c>
      <c r="E26" s="12" t="s">
        <v>28</v>
      </c>
      <c r="F26" s="166">
        <v>4383</v>
      </c>
      <c r="G26" s="12" t="s">
        <v>38</v>
      </c>
      <c r="H26" s="166">
        <v>194</v>
      </c>
      <c r="I26" s="128" t="s">
        <v>61</v>
      </c>
      <c r="J26" s="191"/>
      <c r="K26" s="141"/>
      <c r="L26" s="141"/>
      <c r="M26" s="141"/>
      <c r="N26" s="141"/>
      <c r="O26" s="141"/>
      <c r="P26" s="141"/>
      <c r="Q26" s="141"/>
      <c r="R26" s="141"/>
      <c r="S26" s="141"/>
    </row>
    <row r="27" spans="1:19" x14ac:dyDescent="0.25">
      <c r="A27" s="138" t="s">
        <v>6</v>
      </c>
      <c r="B27" s="166">
        <v>62900</v>
      </c>
      <c r="C27" s="167">
        <f t="shared" si="0"/>
        <v>0.99379968203497615</v>
      </c>
      <c r="D27" s="166">
        <v>58000</v>
      </c>
      <c r="E27" s="12" t="s">
        <v>28</v>
      </c>
      <c r="F27" s="166">
        <v>4330</v>
      </c>
      <c r="G27" s="12" t="s">
        <v>38</v>
      </c>
      <c r="H27" s="166">
        <v>180</v>
      </c>
      <c r="I27" s="128" t="s">
        <v>61</v>
      </c>
      <c r="J27" s="191"/>
      <c r="K27" s="141"/>
      <c r="L27" s="141"/>
      <c r="M27" s="141"/>
      <c r="N27" s="141"/>
      <c r="O27" s="141"/>
      <c r="P27" s="141"/>
      <c r="Q27" s="141"/>
      <c r="R27" s="141"/>
      <c r="S27" s="141"/>
    </row>
    <row r="28" spans="1:19" x14ac:dyDescent="0.25">
      <c r="B28" s="10"/>
      <c r="H28" s="10"/>
    </row>
    <row r="29" spans="1:19" x14ac:dyDescent="0.25">
      <c r="J29" s="48"/>
    </row>
    <row r="30" spans="1:19" x14ac:dyDescent="0.25">
      <c r="J30" s="77"/>
    </row>
    <row r="31" spans="1:19" x14ac:dyDescent="0.25">
      <c r="J31" s="77"/>
    </row>
    <row r="32" spans="1:19" x14ac:dyDescent="0.25">
      <c r="J32" s="20"/>
    </row>
    <row r="33" spans="10:10" x14ac:dyDescent="0.25">
      <c r="J33" s="20"/>
    </row>
    <row r="34" spans="10:10" x14ac:dyDescent="0.25">
      <c r="J34" s="20"/>
    </row>
    <row r="35" spans="10:10" x14ac:dyDescent="0.25">
      <c r="J35" s="20"/>
    </row>
    <row r="36" spans="10:10" x14ac:dyDescent="0.25">
      <c r="J36" s="20"/>
    </row>
    <row r="37" spans="10:10" x14ac:dyDescent="0.25">
      <c r="J37" s="20"/>
    </row>
  </sheetData>
  <mergeCells count="14">
    <mergeCell ref="A1:I2"/>
    <mergeCell ref="L6:L7"/>
    <mergeCell ref="K1:S2"/>
    <mergeCell ref="L5:S5"/>
    <mergeCell ref="N6:O6"/>
    <mergeCell ref="P6:Q6"/>
    <mergeCell ref="R6:S6"/>
    <mergeCell ref="M6:M7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scale="92" orientation="landscape" r:id="rId1"/>
  <colBreaks count="1" manualBreakCount="1">
    <brk id="9" max="3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1.140625" bestFit="1" customWidth="1"/>
    <col min="3" max="3" width="10.5703125" bestFit="1" customWidth="1"/>
    <col min="4" max="4" width="14.5703125" customWidth="1"/>
    <col min="5" max="5" width="10.5703125" customWidth="1"/>
    <col min="6" max="6" width="11.140625" bestFit="1" customWidth="1"/>
    <col min="7" max="7" width="11.28515625" bestFit="1" customWidth="1"/>
    <col min="8" max="8" width="10.28515625" bestFit="1" customWidth="1"/>
    <col min="9" max="9" width="11.42578125" customWidth="1"/>
    <col min="10" max="21" width="9.140625" style="60"/>
  </cols>
  <sheetData>
    <row r="1" spans="1:22" ht="15" customHeight="1" x14ac:dyDescent="0.25">
      <c r="A1" s="278" t="s">
        <v>454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22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22" ht="18.75" customHeight="1" x14ac:dyDescent="0.25">
      <c r="A3" s="118"/>
      <c r="B3" s="118"/>
      <c r="C3" s="118"/>
      <c r="D3" s="118"/>
      <c r="E3" s="118"/>
      <c r="F3" s="118"/>
      <c r="G3" s="118"/>
      <c r="H3" s="118"/>
      <c r="I3" s="118"/>
    </row>
    <row r="4" spans="1:22" x14ac:dyDescent="0.25">
      <c r="A4" s="5"/>
      <c r="B4" s="6"/>
      <c r="C4" s="6"/>
      <c r="D4" s="6"/>
      <c r="E4" s="6"/>
      <c r="F4" s="6"/>
      <c r="H4" s="6"/>
      <c r="I4" s="6"/>
    </row>
    <row r="5" spans="1:22" x14ac:dyDescent="0.25">
      <c r="A5" s="105"/>
      <c r="B5" s="283" t="s">
        <v>89</v>
      </c>
      <c r="C5" s="283"/>
      <c r="D5" s="283"/>
      <c r="E5" s="283"/>
      <c r="F5" s="283"/>
      <c r="G5" s="283"/>
      <c r="H5" s="283"/>
      <c r="I5" s="283"/>
      <c r="J5" s="182"/>
    </row>
    <row r="6" spans="1:22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</row>
    <row r="7" spans="1:22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</row>
    <row r="8" spans="1:22" x14ac:dyDescent="0.25">
      <c r="A8" s="138">
        <v>1990</v>
      </c>
      <c r="B8" s="166">
        <v>50500</v>
      </c>
      <c r="C8" s="193">
        <v>14200</v>
      </c>
      <c r="D8" s="167">
        <f t="shared" ref="D8:D27" si="0">(E8+G8+I8)/B8</f>
        <v>0.48534653465346533</v>
      </c>
      <c r="E8" s="27">
        <v>11200</v>
      </c>
      <c r="F8" s="12" t="s">
        <v>37</v>
      </c>
      <c r="G8" s="27">
        <v>6910</v>
      </c>
      <c r="H8" s="12" t="s">
        <v>90</v>
      </c>
      <c r="I8" s="27">
        <v>6400</v>
      </c>
      <c r="J8" s="176" t="s">
        <v>22</v>
      </c>
      <c r="V8" s="60"/>
    </row>
    <row r="9" spans="1:22" x14ac:dyDescent="0.25">
      <c r="A9" s="138">
        <v>1991</v>
      </c>
      <c r="B9" s="166">
        <v>46300</v>
      </c>
      <c r="C9" s="193">
        <v>14500</v>
      </c>
      <c r="D9" s="167">
        <f t="shared" si="0"/>
        <v>0.26652267818574515</v>
      </c>
      <c r="E9" s="27">
        <v>9250</v>
      </c>
      <c r="F9" s="12" t="s">
        <v>37</v>
      </c>
      <c r="G9" s="27">
        <v>1880</v>
      </c>
      <c r="H9" s="12" t="s">
        <v>122</v>
      </c>
      <c r="I9" s="27">
        <v>1210</v>
      </c>
      <c r="J9" s="128" t="s">
        <v>118</v>
      </c>
      <c r="V9" s="60"/>
    </row>
    <row r="10" spans="1:22" x14ac:dyDescent="0.25">
      <c r="A10" s="138">
        <v>1992</v>
      </c>
      <c r="B10" s="166">
        <v>42800</v>
      </c>
      <c r="C10" s="193">
        <v>14100</v>
      </c>
      <c r="D10" s="167">
        <f t="shared" si="0"/>
        <v>0.38738317757009344</v>
      </c>
      <c r="E10" s="27">
        <v>6400</v>
      </c>
      <c r="F10" s="12" t="s">
        <v>22</v>
      </c>
      <c r="G10" s="27">
        <v>6180</v>
      </c>
      <c r="H10" s="12" t="s">
        <v>90</v>
      </c>
      <c r="I10" s="27">
        <v>4000</v>
      </c>
      <c r="J10" s="128" t="s">
        <v>24</v>
      </c>
      <c r="V10" s="60"/>
    </row>
    <row r="11" spans="1:22" x14ac:dyDescent="0.25">
      <c r="A11" s="138">
        <v>1993</v>
      </c>
      <c r="B11" s="166">
        <v>36800</v>
      </c>
      <c r="C11" s="193">
        <v>10700</v>
      </c>
      <c r="D11" s="167">
        <f t="shared" si="0"/>
        <v>0.41923913043478261</v>
      </c>
      <c r="E11" s="27">
        <v>6350</v>
      </c>
      <c r="F11" s="12" t="s">
        <v>22</v>
      </c>
      <c r="G11" s="27">
        <v>5778</v>
      </c>
      <c r="H11" s="12" t="s">
        <v>90</v>
      </c>
      <c r="I11" s="27">
        <v>3300</v>
      </c>
      <c r="J11" s="128" t="s">
        <v>24</v>
      </c>
      <c r="V11" s="60"/>
    </row>
    <row r="12" spans="1:22" x14ac:dyDescent="0.25">
      <c r="A12" s="138">
        <v>1994</v>
      </c>
      <c r="B12" s="166">
        <v>39800</v>
      </c>
      <c r="C12" s="193">
        <v>12180</v>
      </c>
      <c r="D12" s="167">
        <f t="shared" si="0"/>
        <v>0.41467336683417083</v>
      </c>
      <c r="E12" s="27">
        <v>7430</v>
      </c>
      <c r="F12" s="12" t="s">
        <v>22</v>
      </c>
      <c r="G12" s="27">
        <v>6274</v>
      </c>
      <c r="H12" s="12" t="s">
        <v>90</v>
      </c>
      <c r="I12" s="27">
        <v>2800</v>
      </c>
      <c r="J12" s="128" t="s">
        <v>24</v>
      </c>
      <c r="V12" s="60"/>
    </row>
    <row r="13" spans="1:22" x14ac:dyDescent="0.25">
      <c r="A13" s="138">
        <v>1995</v>
      </c>
      <c r="B13" s="166">
        <v>40700</v>
      </c>
      <c r="C13" s="193">
        <v>12800</v>
      </c>
      <c r="D13" s="167">
        <f t="shared" si="0"/>
        <v>0.37565110565110565</v>
      </c>
      <c r="E13" s="27">
        <v>6399</v>
      </c>
      <c r="F13" s="12" t="s">
        <v>90</v>
      </c>
      <c r="G13" s="27">
        <v>5790</v>
      </c>
      <c r="H13" s="12" t="s">
        <v>22</v>
      </c>
      <c r="I13" s="27">
        <v>3100</v>
      </c>
      <c r="J13" s="128" t="s">
        <v>24</v>
      </c>
      <c r="V13" s="60"/>
    </row>
    <row r="14" spans="1:22" x14ac:dyDescent="0.25">
      <c r="A14" s="138">
        <v>1996</v>
      </c>
      <c r="B14" s="166">
        <v>42000</v>
      </c>
      <c r="C14" s="193">
        <v>13300</v>
      </c>
      <c r="D14" s="167">
        <f t="shared" si="0"/>
        <v>0.38219047619047619</v>
      </c>
      <c r="E14" s="27">
        <v>6552</v>
      </c>
      <c r="F14" s="12" t="s">
        <v>90</v>
      </c>
      <c r="G14" s="27">
        <v>6300</v>
      </c>
      <c r="H14" s="12" t="s">
        <v>22</v>
      </c>
      <c r="I14" s="27">
        <v>3200</v>
      </c>
      <c r="J14" s="128" t="s">
        <v>24</v>
      </c>
      <c r="V14" s="60"/>
    </row>
    <row r="15" spans="1:22" x14ac:dyDescent="0.25">
      <c r="A15" s="138">
        <v>1997</v>
      </c>
      <c r="B15" s="166">
        <v>45500</v>
      </c>
      <c r="C15" s="193">
        <v>13300</v>
      </c>
      <c r="D15" s="167">
        <f t="shared" si="0"/>
        <v>0.44039560439560438</v>
      </c>
      <c r="E15" s="27">
        <v>7848</v>
      </c>
      <c r="F15" s="12" t="s">
        <v>90</v>
      </c>
      <c r="G15" s="27">
        <v>7530</v>
      </c>
      <c r="H15" s="12" t="s">
        <v>22</v>
      </c>
      <c r="I15" s="27">
        <v>4660</v>
      </c>
      <c r="J15" s="128" t="s">
        <v>24</v>
      </c>
      <c r="V15" s="60"/>
    </row>
    <row r="16" spans="1:22" x14ac:dyDescent="0.25">
      <c r="A16" s="138">
        <v>1998</v>
      </c>
      <c r="B16" s="166">
        <v>46100</v>
      </c>
      <c r="C16" s="193">
        <v>12900</v>
      </c>
      <c r="D16" s="167">
        <f t="shared" si="0"/>
        <v>0.42407809110629069</v>
      </c>
      <c r="E16" s="27">
        <v>7850</v>
      </c>
      <c r="F16" s="12" t="s">
        <v>90</v>
      </c>
      <c r="G16" s="27">
        <v>7500</v>
      </c>
      <c r="H16" s="12" t="s">
        <v>22</v>
      </c>
      <c r="I16" s="27">
        <v>4200</v>
      </c>
      <c r="J16" s="128" t="s">
        <v>24</v>
      </c>
      <c r="V16" s="60"/>
    </row>
    <row r="17" spans="1:22" x14ac:dyDescent="0.25">
      <c r="A17" s="138">
        <v>1999</v>
      </c>
      <c r="B17" s="166">
        <v>42600</v>
      </c>
      <c r="C17" s="193">
        <v>11800</v>
      </c>
      <c r="D17" s="167">
        <f t="shared" si="0"/>
        <v>0.41314553990610331</v>
      </c>
      <c r="E17" s="27">
        <v>7500</v>
      </c>
      <c r="F17" s="12" t="s">
        <v>90</v>
      </c>
      <c r="G17" s="27">
        <v>6000</v>
      </c>
      <c r="H17" s="12" t="s">
        <v>22</v>
      </c>
      <c r="I17" s="27">
        <v>4100</v>
      </c>
      <c r="J17" s="128" t="s">
        <v>24</v>
      </c>
      <c r="V17" s="60"/>
    </row>
    <row r="18" spans="1:22" x14ac:dyDescent="0.25">
      <c r="A18" s="138">
        <v>2000</v>
      </c>
      <c r="B18" s="166">
        <v>41600</v>
      </c>
      <c r="C18" s="193">
        <v>11200</v>
      </c>
      <c r="D18" s="167">
        <f t="shared" si="0"/>
        <v>0.40673076923076923</v>
      </c>
      <c r="E18" s="27">
        <v>7200</v>
      </c>
      <c r="F18" s="12" t="s">
        <v>90</v>
      </c>
      <c r="G18" s="27">
        <v>5820</v>
      </c>
      <c r="H18" s="12" t="s">
        <v>22</v>
      </c>
      <c r="I18" s="27">
        <v>3900</v>
      </c>
      <c r="J18" s="128" t="s">
        <v>24</v>
      </c>
      <c r="V18" s="60"/>
    </row>
    <row r="19" spans="1:22" x14ac:dyDescent="0.25">
      <c r="A19" s="138">
        <v>2001</v>
      </c>
      <c r="B19" s="166">
        <v>40000</v>
      </c>
      <c r="C19" s="193">
        <v>9230</v>
      </c>
      <c r="D19" s="167">
        <f t="shared" si="0"/>
        <v>0.4425</v>
      </c>
      <c r="E19" s="27">
        <v>7400</v>
      </c>
      <c r="F19" s="12" t="s">
        <v>90</v>
      </c>
      <c r="G19" s="27">
        <v>6300</v>
      </c>
      <c r="H19" s="12" t="s">
        <v>22</v>
      </c>
      <c r="I19" s="27">
        <v>4000</v>
      </c>
      <c r="J19" s="128" t="s">
        <v>24</v>
      </c>
      <c r="V19" s="60"/>
    </row>
    <row r="20" spans="1:22" x14ac:dyDescent="0.25">
      <c r="A20" s="138">
        <v>2002</v>
      </c>
      <c r="B20" s="166">
        <v>42600</v>
      </c>
      <c r="C20" s="193">
        <v>10700</v>
      </c>
      <c r="D20" s="167">
        <f t="shared" si="0"/>
        <v>0.42819248826291079</v>
      </c>
      <c r="E20" s="27">
        <v>7341</v>
      </c>
      <c r="F20" s="12" t="s">
        <v>90</v>
      </c>
      <c r="G20" s="27">
        <v>6900</v>
      </c>
      <c r="H20" s="12" t="s">
        <v>22</v>
      </c>
      <c r="I20" s="27">
        <v>4000</v>
      </c>
      <c r="J20" s="128" t="s">
        <v>24</v>
      </c>
      <c r="V20" s="60"/>
    </row>
    <row r="21" spans="1:22" x14ac:dyDescent="0.25">
      <c r="A21" s="138">
        <v>2003</v>
      </c>
      <c r="B21" s="166">
        <v>43000</v>
      </c>
      <c r="C21" s="193">
        <v>10300</v>
      </c>
      <c r="D21" s="167">
        <f t="shared" si="0"/>
        <v>0.4412558139534884</v>
      </c>
      <c r="E21" s="27">
        <v>7550</v>
      </c>
      <c r="F21" s="12" t="s">
        <v>22</v>
      </c>
      <c r="G21" s="27">
        <v>7424</v>
      </c>
      <c r="H21" s="12" t="s">
        <v>90</v>
      </c>
      <c r="I21" s="27">
        <v>4000</v>
      </c>
      <c r="J21" s="128" t="s">
        <v>24</v>
      </c>
      <c r="V21" s="60"/>
    </row>
    <row r="22" spans="1:22" x14ac:dyDescent="0.25">
      <c r="A22" s="138">
        <v>2004</v>
      </c>
      <c r="B22" s="166">
        <v>44600</v>
      </c>
      <c r="C22" s="193">
        <v>10400</v>
      </c>
      <c r="D22" s="167">
        <f t="shared" si="0"/>
        <v>0.4519506726457399</v>
      </c>
      <c r="E22" s="27">
        <v>8507</v>
      </c>
      <c r="F22" s="12" t="s">
        <v>90</v>
      </c>
      <c r="G22" s="27">
        <v>7650</v>
      </c>
      <c r="H22" s="12" t="s">
        <v>22</v>
      </c>
      <c r="I22" s="27">
        <v>4000</v>
      </c>
      <c r="J22" s="128" t="s">
        <v>24</v>
      </c>
      <c r="V22" s="60"/>
    </row>
    <row r="23" spans="1:22" x14ac:dyDescent="0.25">
      <c r="A23" s="138">
        <v>2005</v>
      </c>
      <c r="B23" s="166">
        <v>46900</v>
      </c>
      <c r="C23" s="193">
        <v>10300</v>
      </c>
      <c r="D23" s="167">
        <f t="shared" si="0"/>
        <v>0.47601279317697226</v>
      </c>
      <c r="E23" s="27">
        <v>9195</v>
      </c>
      <c r="F23" s="12" t="s">
        <v>22</v>
      </c>
      <c r="G23" s="27">
        <v>9130</v>
      </c>
      <c r="H23" s="12" t="s">
        <v>90</v>
      </c>
      <c r="I23" s="27">
        <v>4000</v>
      </c>
      <c r="J23" s="128" t="s">
        <v>24</v>
      </c>
      <c r="V23" s="60"/>
    </row>
    <row r="24" spans="1:22" x14ac:dyDescent="0.25">
      <c r="A24" s="138">
        <v>2006</v>
      </c>
      <c r="B24" s="166">
        <v>46700</v>
      </c>
      <c r="C24" s="193">
        <v>8680</v>
      </c>
      <c r="D24" s="167">
        <f t="shared" si="0"/>
        <v>0.52034261241970026</v>
      </c>
      <c r="E24" s="27">
        <v>11600</v>
      </c>
      <c r="F24" s="12" t="s">
        <v>22</v>
      </c>
      <c r="G24" s="27">
        <v>8700</v>
      </c>
      <c r="H24" s="12" t="s">
        <v>90</v>
      </c>
      <c r="I24" s="27">
        <v>4000</v>
      </c>
      <c r="J24" s="128" t="s">
        <v>24</v>
      </c>
      <c r="V24" s="60"/>
    </row>
    <row r="25" spans="1:22" x14ac:dyDescent="0.25">
      <c r="A25" s="138" t="s">
        <v>4</v>
      </c>
      <c r="B25" s="166">
        <v>50800</v>
      </c>
      <c r="C25" s="193">
        <v>8480</v>
      </c>
      <c r="D25" s="167">
        <f t="shared" si="0"/>
        <v>0.55511811023622049</v>
      </c>
      <c r="E25" s="27">
        <v>15100</v>
      </c>
      <c r="F25" s="12" t="s">
        <v>22</v>
      </c>
      <c r="G25" s="27">
        <v>8900</v>
      </c>
      <c r="H25" s="12" t="s">
        <v>90</v>
      </c>
      <c r="I25" s="27">
        <v>4200</v>
      </c>
      <c r="J25" s="128" t="s">
        <v>24</v>
      </c>
      <c r="V25" s="60"/>
    </row>
    <row r="26" spans="1:22" x14ac:dyDescent="0.25">
      <c r="A26" s="138" t="s">
        <v>5</v>
      </c>
      <c r="B26" s="166">
        <v>51000</v>
      </c>
      <c r="C26" s="193">
        <v>8590</v>
      </c>
      <c r="D26" s="167">
        <f t="shared" si="0"/>
        <v>0.52647058823529413</v>
      </c>
      <c r="E26" s="27">
        <v>15200</v>
      </c>
      <c r="F26" s="12" t="s">
        <v>22</v>
      </c>
      <c r="G26" s="27">
        <v>7850</v>
      </c>
      <c r="H26" s="12" t="s">
        <v>90</v>
      </c>
      <c r="I26" s="27">
        <v>3800</v>
      </c>
      <c r="J26" s="128" t="s">
        <v>24</v>
      </c>
      <c r="V26" s="60"/>
    </row>
    <row r="27" spans="1:22" x14ac:dyDescent="0.25">
      <c r="A27" s="138" t="s">
        <v>6</v>
      </c>
      <c r="B27" s="166">
        <v>50000</v>
      </c>
      <c r="C27" s="193">
        <v>7640</v>
      </c>
      <c r="D27" s="167">
        <f t="shared" si="0"/>
        <v>0.55000000000000004</v>
      </c>
      <c r="E27" s="166">
        <v>18000</v>
      </c>
      <c r="F27" s="12" t="s">
        <v>22</v>
      </c>
      <c r="G27" s="166">
        <v>6000</v>
      </c>
      <c r="H27" s="12" t="s">
        <v>90</v>
      </c>
      <c r="I27" s="166">
        <v>3500</v>
      </c>
      <c r="J27" s="128" t="s">
        <v>24</v>
      </c>
      <c r="V27" s="60"/>
    </row>
    <row r="28" spans="1:22" x14ac:dyDescent="0.25">
      <c r="B28" s="22"/>
      <c r="H28" s="10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7109375" customWidth="1"/>
    <col min="4" max="9" width="13.28515625" customWidth="1"/>
    <col min="10" max="10" width="2.42578125" customWidth="1"/>
    <col min="12" max="13" width="13.28515625" customWidth="1"/>
    <col min="14" max="14" width="13.7109375" customWidth="1"/>
    <col min="15" max="20" width="13.28515625" customWidth="1"/>
    <col min="21" max="21" width="2.7109375" customWidth="1"/>
    <col min="23" max="23" width="13.28515625" customWidth="1"/>
    <col min="24" max="24" width="13.7109375" customWidth="1"/>
    <col min="25" max="30" width="13.28515625" customWidth="1"/>
  </cols>
  <sheetData>
    <row r="1" spans="1:30" ht="15" customHeight="1" x14ac:dyDescent="0.25">
      <c r="A1" s="278" t="s">
        <v>455</v>
      </c>
      <c r="B1" s="278"/>
      <c r="C1" s="278"/>
      <c r="D1" s="278"/>
      <c r="E1" s="278"/>
      <c r="F1" s="278"/>
      <c r="G1" s="278"/>
      <c r="H1" s="278"/>
      <c r="I1" s="278"/>
      <c r="J1" s="4"/>
      <c r="K1" s="278" t="s">
        <v>456</v>
      </c>
      <c r="L1" s="278"/>
      <c r="M1" s="278"/>
      <c r="N1" s="278"/>
      <c r="O1" s="278"/>
      <c r="P1" s="278"/>
      <c r="Q1" s="278"/>
      <c r="R1" s="278"/>
      <c r="S1" s="278"/>
      <c r="T1" s="278"/>
      <c r="V1" s="278" t="s">
        <v>457</v>
      </c>
      <c r="W1" s="278"/>
      <c r="X1" s="278"/>
      <c r="Y1" s="278"/>
      <c r="Z1" s="278"/>
      <c r="AA1" s="278"/>
      <c r="AB1" s="278"/>
      <c r="AC1" s="278"/>
      <c r="AD1" s="278"/>
    </row>
    <row r="2" spans="1:3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  <c r="K2" s="278"/>
      <c r="L2" s="278"/>
      <c r="M2" s="278"/>
      <c r="N2" s="278"/>
      <c r="O2" s="278"/>
      <c r="P2" s="278"/>
      <c r="Q2" s="278"/>
      <c r="R2" s="278"/>
      <c r="S2" s="278"/>
      <c r="T2" s="278"/>
      <c r="V2" s="278"/>
      <c r="W2" s="278"/>
      <c r="X2" s="278"/>
      <c r="Y2" s="278"/>
      <c r="Z2" s="278"/>
      <c r="AA2" s="278"/>
      <c r="AB2" s="278"/>
      <c r="AC2" s="278"/>
      <c r="AD2" s="278"/>
    </row>
    <row r="3" spans="1:30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6"/>
      <c r="L3" s="111"/>
      <c r="M3" s="111"/>
      <c r="N3" s="111"/>
      <c r="O3" s="111"/>
      <c r="P3" s="111"/>
      <c r="Q3" s="111"/>
      <c r="R3" s="111"/>
      <c r="S3" s="111"/>
      <c r="T3" s="111"/>
      <c r="V3" s="111"/>
      <c r="W3" s="111"/>
      <c r="X3" s="111"/>
      <c r="Y3" s="111"/>
      <c r="Z3" s="111"/>
      <c r="AA3" s="111"/>
      <c r="AB3" s="111"/>
      <c r="AC3" s="111"/>
      <c r="AD3" s="111"/>
    </row>
    <row r="4" spans="1:30" x14ac:dyDescent="0.25">
      <c r="A4" s="5"/>
      <c r="B4" s="6"/>
      <c r="C4" s="6"/>
      <c r="D4" s="6"/>
      <c r="E4" s="6"/>
      <c r="F4" s="6"/>
      <c r="H4" s="6"/>
      <c r="I4" s="6"/>
      <c r="J4" s="6"/>
    </row>
    <row r="5" spans="1:30" x14ac:dyDescent="0.25">
      <c r="A5" s="105"/>
      <c r="B5" s="283" t="s">
        <v>86</v>
      </c>
      <c r="C5" s="283"/>
      <c r="D5" s="283"/>
      <c r="E5" s="283"/>
      <c r="F5" s="283"/>
      <c r="G5" s="283"/>
      <c r="H5" s="283"/>
      <c r="I5" s="283"/>
      <c r="J5" s="105"/>
      <c r="K5" s="141"/>
      <c r="L5" s="283" t="s">
        <v>87</v>
      </c>
      <c r="M5" s="283"/>
      <c r="N5" s="283"/>
      <c r="O5" s="283"/>
      <c r="P5" s="283"/>
      <c r="Q5" s="283"/>
      <c r="R5" s="283"/>
      <c r="S5" s="283"/>
      <c r="T5" s="105"/>
      <c r="U5" s="141"/>
      <c r="V5" s="283" t="s">
        <v>88</v>
      </c>
      <c r="W5" s="283"/>
      <c r="X5" s="283"/>
      <c r="Y5" s="283"/>
      <c r="Z5" s="283"/>
      <c r="AA5" s="283"/>
      <c r="AB5" s="283"/>
      <c r="AC5" s="283"/>
      <c r="AD5" s="141"/>
    </row>
    <row r="6" spans="1:30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99"/>
      <c r="K6" s="101"/>
      <c r="L6" s="282" t="s">
        <v>390</v>
      </c>
      <c r="M6" s="282" t="s">
        <v>391</v>
      </c>
      <c r="N6" s="282" t="s">
        <v>299</v>
      </c>
      <c r="O6" s="279" t="s">
        <v>275</v>
      </c>
      <c r="P6" s="279"/>
      <c r="Q6" s="279" t="s">
        <v>32</v>
      </c>
      <c r="R6" s="279"/>
      <c r="S6" s="279" t="s">
        <v>33</v>
      </c>
      <c r="T6" s="279"/>
      <c r="U6" s="99"/>
      <c r="V6" s="101"/>
      <c r="W6" s="282" t="s">
        <v>390</v>
      </c>
      <c r="X6" s="282" t="s">
        <v>299</v>
      </c>
      <c r="Y6" s="279" t="s">
        <v>275</v>
      </c>
      <c r="Z6" s="279"/>
      <c r="AA6" s="279" t="s">
        <v>32</v>
      </c>
      <c r="AB6" s="279"/>
      <c r="AC6" s="279" t="s">
        <v>33</v>
      </c>
      <c r="AD6" s="279"/>
    </row>
    <row r="7" spans="1:30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281"/>
      <c r="O7" s="100" t="s">
        <v>8</v>
      </c>
      <c r="P7" s="100" t="s">
        <v>3</v>
      </c>
      <c r="Q7" s="100" t="s">
        <v>8</v>
      </c>
      <c r="R7" s="100" t="s">
        <v>3</v>
      </c>
      <c r="S7" s="100" t="s">
        <v>8</v>
      </c>
      <c r="T7" s="100" t="s">
        <v>3</v>
      </c>
      <c r="U7" s="99"/>
      <c r="V7" s="100" t="s">
        <v>368</v>
      </c>
      <c r="W7" s="281"/>
      <c r="X7" s="281"/>
      <c r="Y7" s="100" t="s">
        <v>8</v>
      </c>
      <c r="Z7" s="100" t="s">
        <v>3</v>
      </c>
      <c r="AA7" s="100" t="s">
        <v>8</v>
      </c>
      <c r="AB7" s="100" t="s">
        <v>3</v>
      </c>
      <c r="AC7" s="100" t="s">
        <v>8</v>
      </c>
      <c r="AD7" s="100" t="s">
        <v>3</v>
      </c>
    </row>
    <row r="8" spans="1:30" x14ac:dyDescent="0.25">
      <c r="A8" s="138">
        <v>1990</v>
      </c>
      <c r="B8" s="166">
        <v>129</v>
      </c>
      <c r="C8" s="167">
        <f t="shared" ref="C8:C27" si="0">(D8+F8+H8)/B8</f>
        <v>0.96000000000000008</v>
      </c>
      <c r="D8" s="31">
        <v>87.8</v>
      </c>
      <c r="E8" s="12" t="s">
        <v>118</v>
      </c>
      <c r="F8" s="31">
        <v>31</v>
      </c>
      <c r="G8" s="12" t="s">
        <v>37</v>
      </c>
      <c r="H8" s="31">
        <v>5.04</v>
      </c>
      <c r="I8" s="128" t="s">
        <v>38</v>
      </c>
      <c r="J8" s="191"/>
      <c r="K8" s="138">
        <v>1990</v>
      </c>
      <c r="L8" s="166">
        <v>135</v>
      </c>
      <c r="M8" s="141">
        <v>5.93</v>
      </c>
      <c r="N8" s="167">
        <f t="shared" ref="N8:N27" si="1">(O8+Q8+S8)/L8</f>
        <v>0.94496296296296289</v>
      </c>
      <c r="O8" s="31">
        <v>84</v>
      </c>
      <c r="P8" s="12" t="s">
        <v>37</v>
      </c>
      <c r="Q8" s="31">
        <v>38.299999999999997</v>
      </c>
      <c r="R8" s="12" t="s">
        <v>118</v>
      </c>
      <c r="S8" s="31">
        <v>5.27</v>
      </c>
      <c r="T8" s="128" t="s">
        <v>38</v>
      </c>
      <c r="U8" s="191"/>
      <c r="V8" s="138">
        <v>1990</v>
      </c>
      <c r="W8" s="172">
        <v>27.2</v>
      </c>
      <c r="X8" s="167">
        <f t="shared" ref="X8:X27" si="2">(Y8+AA8+AC8)/W8</f>
        <v>1</v>
      </c>
      <c r="Y8" s="31">
        <v>15.8</v>
      </c>
      <c r="Z8" s="12" t="s">
        <v>118</v>
      </c>
      <c r="AA8" s="31">
        <v>10</v>
      </c>
      <c r="AB8" s="12" t="s">
        <v>37</v>
      </c>
      <c r="AC8" s="31">
        <v>1.4</v>
      </c>
      <c r="AD8" s="128" t="s">
        <v>38</v>
      </c>
    </row>
    <row r="9" spans="1:30" x14ac:dyDescent="0.25">
      <c r="A9" s="138">
        <v>1991</v>
      </c>
      <c r="B9" s="166">
        <v>128</v>
      </c>
      <c r="C9" s="167">
        <f t="shared" si="0"/>
        <v>0.9655156250000001</v>
      </c>
      <c r="D9" s="31">
        <v>88.9</v>
      </c>
      <c r="E9" s="12" t="s">
        <v>118</v>
      </c>
      <c r="F9" s="31">
        <v>30</v>
      </c>
      <c r="G9" s="12" t="s">
        <v>37</v>
      </c>
      <c r="H9" s="31">
        <v>4.6859999999999999</v>
      </c>
      <c r="I9" s="128" t="s">
        <v>38</v>
      </c>
      <c r="J9" s="191"/>
      <c r="K9" s="138">
        <v>1991</v>
      </c>
      <c r="L9" s="166">
        <v>133</v>
      </c>
      <c r="M9" s="141">
        <v>5.2</v>
      </c>
      <c r="N9" s="167">
        <f t="shared" si="1"/>
        <v>0.95067669172932334</v>
      </c>
      <c r="O9" s="31">
        <v>82</v>
      </c>
      <c r="P9" s="12" t="s">
        <v>37</v>
      </c>
      <c r="Q9" s="31">
        <v>38</v>
      </c>
      <c r="R9" s="12" t="s">
        <v>118</v>
      </c>
      <c r="S9" s="31">
        <v>6.44</v>
      </c>
      <c r="T9" s="128" t="s">
        <v>38</v>
      </c>
      <c r="U9" s="191"/>
      <c r="V9" s="138">
        <v>1991</v>
      </c>
      <c r="W9" s="172">
        <v>26.1</v>
      </c>
      <c r="X9" s="167">
        <f t="shared" si="2"/>
        <v>0.99961685823754787</v>
      </c>
      <c r="Y9" s="31">
        <v>16</v>
      </c>
      <c r="Z9" s="12" t="s">
        <v>118</v>
      </c>
      <c r="AA9" s="31">
        <v>9.5</v>
      </c>
      <c r="AB9" s="12" t="s">
        <v>37</v>
      </c>
      <c r="AC9" s="31">
        <v>0.59</v>
      </c>
      <c r="AD9" s="128" t="s">
        <v>38</v>
      </c>
    </row>
    <row r="10" spans="1:30" x14ac:dyDescent="0.25">
      <c r="A10" s="138">
        <v>1992</v>
      </c>
      <c r="B10" s="166">
        <v>132</v>
      </c>
      <c r="C10" s="167">
        <f t="shared" si="0"/>
        <v>0.96742424242424241</v>
      </c>
      <c r="D10" s="31">
        <v>94.9</v>
      </c>
      <c r="E10" s="12" t="s">
        <v>118</v>
      </c>
      <c r="F10" s="172">
        <v>28</v>
      </c>
      <c r="G10" s="12" t="s">
        <v>24</v>
      </c>
      <c r="H10" s="31">
        <v>4.8</v>
      </c>
      <c r="I10" s="128" t="s">
        <v>38</v>
      </c>
      <c r="J10" s="191"/>
      <c r="K10" s="138">
        <v>1992</v>
      </c>
      <c r="L10" s="166">
        <v>124</v>
      </c>
      <c r="M10" s="141">
        <v>5.44</v>
      </c>
      <c r="N10" s="167">
        <f t="shared" si="1"/>
        <v>0.9419354838709677</v>
      </c>
      <c r="O10" s="31">
        <v>70</v>
      </c>
      <c r="P10" s="12" t="s">
        <v>24</v>
      </c>
      <c r="Q10" s="172">
        <v>41</v>
      </c>
      <c r="R10" s="12" t="s">
        <v>118</v>
      </c>
      <c r="S10" s="31">
        <v>5.8</v>
      </c>
      <c r="T10" s="128" t="s">
        <v>38</v>
      </c>
      <c r="U10" s="191"/>
      <c r="V10" s="138">
        <v>1992</v>
      </c>
      <c r="W10" s="172">
        <v>24.3</v>
      </c>
      <c r="X10" s="167">
        <f t="shared" si="2"/>
        <v>1.0004115226337447</v>
      </c>
      <c r="Y10" s="31">
        <v>17</v>
      </c>
      <c r="Z10" s="12" t="s">
        <v>118</v>
      </c>
      <c r="AA10" s="172">
        <v>6</v>
      </c>
      <c r="AB10" s="12" t="s">
        <v>24</v>
      </c>
      <c r="AC10" s="31">
        <v>1.31</v>
      </c>
      <c r="AD10" s="128" t="s">
        <v>38</v>
      </c>
    </row>
    <row r="11" spans="1:30" x14ac:dyDescent="0.25">
      <c r="A11" s="138">
        <v>1993</v>
      </c>
      <c r="B11" s="166">
        <v>137</v>
      </c>
      <c r="C11" s="167">
        <f t="shared" si="0"/>
        <v>0.97810218978102192</v>
      </c>
      <c r="D11" s="31">
        <v>109</v>
      </c>
      <c r="E11" s="12" t="s">
        <v>118</v>
      </c>
      <c r="F11" s="31">
        <v>20</v>
      </c>
      <c r="G11" s="12" t="s">
        <v>24</v>
      </c>
      <c r="H11" s="31">
        <v>5</v>
      </c>
      <c r="I11" s="128" t="s">
        <v>38</v>
      </c>
      <c r="J11" s="191"/>
      <c r="K11" s="138">
        <v>1993</v>
      </c>
      <c r="L11" s="166">
        <v>113</v>
      </c>
      <c r="M11" s="141">
        <v>6.78</v>
      </c>
      <c r="N11" s="167">
        <f t="shared" si="1"/>
        <v>0.92035398230088494</v>
      </c>
      <c r="O11" s="31">
        <v>50</v>
      </c>
      <c r="P11" s="12" t="s">
        <v>24</v>
      </c>
      <c r="Q11" s="31">
        <v>48</v>
      </c>
      <c r="R11" s="12" t="s">
        <v>118</v>
      </c>
      <c r="S11" s="31">
        <v>6</v>
      </c>
      <c r="T11" s="128" t="s">
        <v>38</v>
      </c>
      <c r="U11" s="191"/>
      <c r="V11" s="138">
        <v>1993</v>
      </c>
      <c r="W11" s="172">
        <v>24.4</v>
      </c>
      <c r="X11" s="167">
        <f t="shared" si="2"/>
        <v>1.0016393442622953</v>
      </c>
      <c r="Y11" s="31">
        <v>19</v>
      </c>
      <c r="Z11" s="12" t="s">
        <v>118</v>
      </c>
      <c r="AA11" s="31">
        <v>4</v>
      </c>
      <c r="AB11" s="12" t="s">
        <v>24</v>
      </c>
      <c r="AC11" s="31">
        <v>1.44</v>
      </c>
      <c r="AD11" s="128" t="s">
        <v>38</v>
      </c>
    </row>
    <row r="12" spans="1:30" x14ac:dyDescent="0.25">
      <c r="A12" s="138">
        <v>1994</v>
      </c>
      <c r="B12" s="166">
        <v>139</v>
      </c>
      <c r="C12" s="167">
        <f t="shared" si="0"/>
        <v>0.97122302158273377</v>
      </c>
      <c r="D12" s="31">
        <v>114</v>
      </c>
      <c r="E12" s="12" t="s">
        <v>118</v>
      </c>
      <c r="F12" s="31">
        <v>15</v>
      </c>
      <c r="G12" s="12" t="s">
        <v>24</v>
      </c>
      <c r="H12" s="31">
        <v>6</v>
      </c>
      <c r="I12" s="128" t="s">
        <v>38</v>
      </c>
      <c r="J12" s="191"/>
      <c r="K12" s="138">
        <v>1994</v>
      </c>
      <c r="L12" s="166">
        <v>103</v>
      </c>
      <c r="M12" s="141">
        <v>6.44</v>
      </c>
      <c r="N12" s="167">
        <f t="shared" si="1"/>
        <v>0.92038834951456305</v>
      </c>
      <c r="O12" s="31">
        <v>47.8</v>
      </c>
      <c r="P12" s="12" t="s">
        <v>118</v>
      </c>
      <c r="Q12" s="31">
        <v>40</v>
      </c>
      <c r="R12" s="12" t="s">
        <v>24</v>
      </c>
      <c r="S12" s="31">
        <v>7</v>
      </c>
      <c r="T12" s="128" t="s">
        <v>38</v>
      </c>
      <c r="U12" s="191"/>
      <c r="V12" s="138">
        <v>1994</v>
      </c>
      <c r="W12" s="172">
        <v>27.1</v>
      </c>
      <c r="X12" s="167">
        <f t="shared" si="2"/>
        <v>0.9988929889298892</v>
      </c>
      <c r="Y12" s="31">
        <v>22.1</v>
      </c>
      <c r="Z12" s="12" t="s">
        <v>118</v>
      </c>
      <c r="AA12" s="31">
        <v>3</v>
      </c>
      <c r="AB12" s="12" t="s">
        <v>24</v>
      </c>
      <c r="AC12" s="31">
        <v>1.97</v>
      </c>
      <c r="AD12" s="128" t="s">
        <v>38</v>
      </c>
    </row>
    <row r="13" spans="1:30" x14ac:dyDescent="0.25">
      <c r="A13" s="138">
        <v>1995</v>
      </c>
      <c r="B13" s="166">
        <v>139</v>
      </c>
      <c r="C13" s="167">
        <f t="shared" si="0"/>
        <v>0.97086330935251786</v>
      </c>
      <c r="D13" s="31">
        <v>102</v>
      </c>
      <c r="E13" s="12" t="s">
        <v>118</v>
      </c>
      <c r="F13" s="31">
        <v>27</v>
      </c>
      <c r="G13" s="12" t="s">
        <v>24</v>
      </c>
      <c r="H13" s="31">
        <v>5.95</v>
      </c>
      <c r="I13" s="128" t="s">
        <v>38</v>
      </c>
      <c r="J13" s="191"/>
      <c r="K13" s="138">
        <v>1995</v>
      </c>
      <c r="L13" s="166">
        <v>153</v>
      </c>
      <c r="M13" s="141">
        <v>5.26</v>
      </c>
      <c r="N13" s="167">
        <f t="shared" si="1"/>
        <v>0.94980392156862736</v>
      </c>
      <c r="O13" s="31">
        <v>85</v>
      </c>
      <c r="P13" s="12" t="s">
        <v>24</v>
      </c>
      <c r="Q13" s="31">
        <v>51</v>
      </c>
      <c r="R13" s="12" t="s">
        <v>118</v>
      </c>
      <c r="S13" s="31">
        <v>9.32</v>
      </c>
      <c r="T13" s="128" t="s">
        <v>38</v>
      </c>
      <c r="U13" s="191"/>
      <c r="V13" s="138">
        <v>1995</v>
      </c>
      <c r="W13" s="172">
        <v>34.200000000000003</v>
      </c>
      <c r="X13" s="167">
        <f t="shared" si="2"/>
        <v>0.99999999999999978</v>
      </c>
      <c r="Y13" s="31">
        <v>29.8</v>
      </c>
      <c r="Z13" s="12" t="s">
        <v>118</v>
      </c>
      <c r="AA13" s="31">
        <v>3.6</v>
      </c>
      <c r="AB13" s="12" t="s">
        <v>24</v>
      </c>
      <c r="AC13" s="31">
        <v>0.8</v>
      </c>
      <c r="AD13" s="128" t="s">
        <v>38</v>
      </c>
    </row>
    <row r="14" spans="1:30" x14ac:dyDescent="0.25">
      <c r="A14" s="138">
        <v>1996</v>
      </c>
      <c r="B14" s="166">
        <v>139</v>
      </c>
      <c r="C14" s="167">
        <f t="shared" si="0"/>
        <v>0.97237410071942443</v>
      </c>
      <c r="D14" s="31">
        <v>105</v>
      </c>
      <c r="E14" s="12" t="s">
        <v>118</v>
      </c>
      <c r="F14" s="31">
        <v>25</v>
      </c>
      <c r="G14" s="12" t="s">
        <v>24</v>
      </c>
      <c r="H14" s="172">
        <v>5.16</v>
      </c>
      <c r="I14" s="128" t="s">
        <v>38</v>
      </c>
      <c r="J14" s="191"/>
      <c r="K14" s="138">
        <v>1996</v>
      </c>
      <c r="L14" s="166">
        <v>150</v>
      </c>
      <c r="M14" s="141">
        <v>6.1</v>
      </c>
      <c r="N14" s="167">
        <f t="shared" si="1"/>
        <v>0.93786666666666674</v>
      </c>
      <c r="O14" s="31">
        <v>80</v>
      </c>
      <c r="P14" s="12" t="s">
        <v>24</v>
      </c>
      <c r="Q14" s="31">
        <v>52.6</v>
      </c>
      <c r="R14" s="12" t="s">
        <v>118</v>
      </c>
      <c r="S14" s="172">
        <v>8.08</v>
      </c>
      <c r="T14" s="128" t="s">
        <v>38</v>
      </c>
      <c r="U14" s="191"/>
      <c r="V14" s="138">
        <v>1996</v>
      </c>
      <c r="W14" s="172">
        <v>34.799999999999997</v>
      </c>
      <c r="X14" s="167">
        <f t="shared" si="2"/>
        <v>1.0011494252873565</v>
      </c>
      <c r="Y14" s="31">
        <v>30.64</v>
      </c>
      <c r="Z14" s="12" t="s">
        <v>118</v>
      </c>
      <c r="AA14" s="31">
        <v>3.5</v>
      </c>
      <c r="AB14" s="12" t="s">
        <v>24</v>
      </c>
      <c r="AC14" s="172">
        <v>0.7</v>
      </c>
      <c r="AD14" s="128" t="s">
        <v>38</v>
      </c>
    </row>
    <row r="15" spans="1:30" x14ac:dyDescent="0.25">
      <c r="A15" s="138">
        <v>1997</v>
      </c>
      <c r="B15" s="166">
        <v>155</v>
      </c>
      <c r="C15" s="167">
        <f t="shared" si="0"/>
        <v>0.97206451612903233</v>
      </c>
      <c r="D15" s="31">
        <v>115.86</v>
      </c>
      <c r="E15" s="12" t="s">
        <v>118</v>
      </c>
      <c r="F15" s="31">
        <v>30</v>
      </c>
      <c r="G15" s="12" t="s">
        <v>24</v>
      </c>
      <c r="H15" s="31">
        <v>4.8099999999999996</v>
      </c>
      <c r="I15" s="128" t="s">
        <v>38</v>
      </c>
      <c r="J15" s="191"/>
      <c r="K15" s="138">
        <v>1997</v>
      </c>
      <c r="L15" s="166">
        <v>144</v>
      </c>
      <c r="M15" s="141">
        <v>8.43</v>
      </c>
      <c r="N15" s="167">
        <f t="shared" si="1"/>
        <v>0.92520833333333341</v>
      </c>
      <c r="O15" s="31">
        <v>70</v>
      </c>
      <c r="P15" s="12" t="s">
        <v>24</v>
      </c>
      <c r="Q15" s="31">
        <v>55.68</v>
      </c>
      <c r="R15" s="12" t="s">
        <v>118</v>
      </c>
      <c r="S15" s="31">
        <v>7.55</v>
      </c>
      <c r="T15" s="128" t="s">
        <v>38</v>
      </c>
      <c r="U15" s="191"/>
      <c r="V15" s="138">
        <v>1997</v>
      </c>
      <c r="W15" s="172">
        <v>39.200000000000003</v>
      </c>
      <c r="X15" s="167">
        <f t="shared" si="2"/>
        <v>1.0005102040816325</v>
      </c>
      <c r="Y15" s="31">
        <v>25.07</v>
      </c>
      <c r="Z15" s="12" t="s">
        <v>118</v>
      </c>
      <c r="AA15" s="31">
        <v>13.5</v>
      </c>
      <c r="AB15" s="12" t="s">
        <v>24</v>
      </c>
      <c r="AC15" s="31">
        <v>0.65</v>
      </c>
      <c r="AD15" s="128" t="s">
        <v>38</v>
      </c>
    </row>
    <row r="16" spans="1:30" x14ac:dyDescent="0.25">
      <c r="A16" s="138">
        <v>1998</v>
      </c>
      <c r="B16" s="166">
        <v>160</v>
      </c>
      <c r="C16" s="167">
        <f t="shared" si="0"/>
        <v>0.95074999999999998</v>
      </c>
      <c r="D16" s="31">
        <v>116.48</v>
      </c>
      <c r="E16" s="12" t="s">
        <v>118</v>
      </c>
      <c r="F16" s="31">
        <v>30</v>
      </c>
      <c r="G16" s="12" t="s">
        <v>24</v>
      </c>
      <c r="H16" s="31">
        <v>5.64</v>
      </c>
      <c r="I16" s="128" t="s">
        <v>38</v>
      </c>
      <c r="J16" s="191"/>
      <c r="K16" s="138">
        <v>1998</v>
      </c>
      <c r="L16" s="166">
        <v>153</v>
      </c>
      <c r="M16" s="141">
        <v>10.6</v>
      </c>
      <c r="N16" s="167">
        <f t="shared" si="1"/>
        <v>0.88575163398692813</v>
      </c>
      <c r="O16" s="31">
        <v>70</v>
      </c>
      <c r="P16" s="12" t="s">
        <v>24</v>
      </c>
      <c r="Q16" s="31">
        <v>56.61</v>
      </c>
      <c r="R16" s="12" t="s">
        <v>118</v>
      </c>
      <c r="S16" s="31">
        <v>8.91</v>
      </c>
      <c r="T16" s="128" t="s">
        <v>38</v>
      </c>
      <c r="U16" s="191"/>
      <c r="V16" s="138">
        <v>1998</v>
      </c>
      <c r="W16" s="172">
        <v>41.3</v>
      </c>
      <c r="X16" s="167">
        <f t="shared" si="2"/>
        <v>0.99515738498789352</v>
      </c>
      <c r="Y16" s="31">
        <v>26.86</v>
      </c>
      <c r="Z16" s="12" t="s">
        <v>118</v>
      </c>
      <c r="AA16" s="31">
        <v>13.5</v>
      </c>
      <c r="AB16" s="12" t="s">
        <v>24</v>
      </c>
      <c r="AC16" s="31">
        <v>0.74</v>
      </c>
      <c r="AD16" s="128" t="s">
        <v>38</v>
      </c>
    </row>
    <row r="17" spans="1:30" x14ac:dyDescent="0.25">
      <c r="A17" s="138">
        <v>1999</v>
      </c>
      <c r="B17" s="166">
        <v>164</v>
      </c>
      <c r="C17" s="167">
        <f t="shared" si="0"/>
        <v>0.96926829268292691</v>
      </c>
      <c r="D17" s="31">
        <v>121.3</v>
      </c>
      <c r="E17" s="12" t="s">
        <v>118</v>
      </c>
      <c r="F17" s="31">
        <v>32</v>
      </c>
      <c r="G17" s="12" t="s">
        <v>24</v>
      </c>
      <c r="H17" s="31">
        <v>5.66</v>
      </c>
      <c r="I17" s="128" t="s">
        <v>38</v>
      </c>
      <c r="J17" s="191"/>
      <c r="K17" s="138">
        <v>1999</v>
      </c>
      <c r="L17" s="166">
        <v>151</v>
      </c>
      <c r="M17" s="141">
        <v>9.8000000000000007</v>
      </c>
      <c r="N17" s="167">
        <f t="shared" si="1"/>
        <v>0.8880794701986755</v>
      </c>
      <c r="O17" s="31">
        <v>67</v>
      </c>
      <c r="P17" s="12" t="s">
        <v>24</v>
      </c>
      <c r="Q17" s="31">
        <v>58.16</v>
      </c>
      <c r="R17" s="12" t="s">
        <v>118</v>
      </c>
      <c r="S17" s="31">
        <v>8.94</v>
      </c>
      <c r="T17" s="128" t="s">
        <v>38</v>
      </c>
      <c r="U17" s="191"/>
      <c r="V17" s="138">
        <v>1999</v>
      </c>
      <c r="W17" s="172">
        <v>51.2</v>
      </c>
      <c r="X17" s="167">
        <f t="shared" si="2"/>
        <v>0.99863281249999991</v>
      </c>
      <c r="Y17" s="31">
        <v>37.01</v>
      </c>
      <c r="Z17" s="12" t="s">
        <v>118</v>
      </c>
      <c r="AA17" s="31">
        <v>13.4</v>
      </c>
      <c r="AB17" s="12" t="s">
        <v>24</v>
      </c>
      <c r="AC17" s="31">
        <v>0.72</v>
      </c>
      <c r="AD17" s="128" t="s">
        <v>38</v>
      </c>
    </row>
    <row r="18" spans="1:30" x14ac:dyDescent="0.25">
      <c r="A18" s="138">
        <v>2000</v>
      </c>
      <c r="B18" s="166">
        <v>160</v>
      </c>
      <c r="C18" s="167">
        <f t="shared" si="0"/>
        <v>0.96724999999999994</v>
      </c>
      <c r="D18" s="31">
        <v>114.46</v>
      </c>
      <c r="E18" s="12" t="s">
        <v>118</v>
      </c>
      <c r="F18" s="31">
        <v>34</v>
      </c>
      <c r="G18" s="12" t="s">
        <v>24</v>
      </c>
      <c r="H18" s="31">
        <v>6.3</v>
      </c>
      <c r="I18" s="128" t="s">
        <v>38</v>
      </c>
      <c r="J18" s="191"/>
      <c r="K18" s="138">
        <v>2000</v>
      </c>
      <c r="L18" s="166">
        <v>153</v>
      </c>
      <c r="M18" s="141">
        <v>10.3</v>
      </c>
      <c r="N18" s="167">
        <f t="shared" si="1"/>
        <v>0.89392156862745087</v>
      </c>
      <c r="O18" s="31">
        <v>71</v>
      </c>
      <c r="P18" s="12" t="s">
        <v>24</v>
      </c>
      <c r="Q18" s="31">
        <v>55.82</v>
      </c>
      <c r="R18" s="12" t="s">
        <v>118</v>
      </c>
      <c r="S18" s="31">
        <v>9.9499999999999993</v>
      </c>
      <c r="T18" s="128" t="s">
        <v>38</v>
      </c>
      <c r="U18" s="191"/>
      <c r="V18" s="138">
        <v>2000</v>
      </c>
      <c r="W18" s="172">
        <v>51.4</v>
      </c>
      <c r="X18" s="167">
        <f t="shared" si="2"/>
        <v>0.9982490272373542</v>
      </c>
      <c r="Y18" s="31">
        <v>36.49</v>
      </c>
      <c r="Z18" s="12" t="s">
        <v>118</v>
      </c>
      <c r="AA18" s="31">
        <v>14.1</v>
      </c>
      <c r="AB18" s="12" t="s">
        <v>24</v>
      </c>
      <c r="AC18" s="31">
        <v>0.72</v>
      </c>
      <c r="AD18" s="128" t="s">
        <v>38</v>
      </c>
    </row>
    <row r="19" spans="1:30" x14ac:dyDescent="0.25">
      <c r="A19" s="138">
        <v>2001</v>
      </c>
      <c r="B19" s="166">
        <v>172</v>
      </c>
      <c r="C19" s="167">
        <f t="shared" si="0"/>
        <v>0.95953488372093021</v>
      </c>
      <c r="D19" s="31">
        <v>130.31</v>
      </c>
      <c r="E19" s="12" t="s">
        <v>118</v>
      </c>
      <c r="F19" s="31">
        <v>27</v>
      </c>
      <c r="G19" s="12" t="s">
        <v>24</v>
      </c>
      <c r="H19" s="31">
        <v>7.73</v>
      </c>
      <c r="I19" s="128" t="s">
        <v>38</v>
      </c>
      <c r="J19" s="191"/>
      <c r="K19" s="138">
        <v>2001</v>
      </c>
      <c r="L19" s="166">
        <v>187</v>
      </c>
      <c r="M19" s="141">
        <v>12.1</v>
      </c>
      <c r="N19" s="167">
        <f t="shared" si="1"/>
        <v>0.89609625668449189</v>
      </c>
      <c r="O19" s="31">
        <v>96</v>
      </c>
      <c r="P19" s="12" t="s">
        <v>24</v>
      </c>
      <c r="Q19" s="31">
        <v>62.6</v>
      </c>
      <c r="R19" s="12" t="s">
        <v>118</v>
      </c>
      <c r="S19" s="31">
        <v>8.9700000000000006</v>
      </c>
      <c r="T19" s="128" t="s">
        <v>38</v>
      </c>
      <c r="U19" s="191"/>
      <c r="V19" s="138">
        <v>2001</v>
      </c>
      <c r="W19" s="172">
        <v>52.3</v>
      </c>
      <c r="X19" s="167">
        <f t="shared" si="2"/>
        <v>0.99866156787762905</v>
      </c>
      <c r="Y19" s="31">
        <v>37.01</v>
      </c>
      <c r="Z19" s="12" t="s">
        <v>118</v>
      </c>
      <c r="AA19" s="31">
        <v>14.5</v>
      </c>
      <c r="AB19" s="12" t="s">
        <v>24</v>
      </c>
      <c r="AC19" s="31">
        <v>0.72</v>
      </c>
      <c r="AD19" s="128" t="s">
        <v>38</v>
      </c>
    </row>
    <row r="20" spans="1:30" x14ac:dyDescent="0.25">
      <c r="A20" s="138">
        <v>2002</v>
      </c>
      <c r="B20" s="166">
        <v>178</v>
      </c>
      <c r="C20" s="167">
        <f t="shared" si="0"/>
        <v>0.95</v>
      </c>
      <c r="D20" s="33">
        <v>132.9</v>
      </c>
      <c r="E20" s="12" t="s">
        <v>118</v>
      </c>
      <c r="F20" s="34">
        <v>27</v>
      </c>
      <c r="G20" s="12" t="s">
        <v>24</v>
      </c>
      <c r="H20" s="33">
        <v>9.1999999999999993</v>
      </c>
      <c r="I20" s="128" t="s">
        <v>38</v>
      </c>
      <c r="J20" s="191"/>
      <c r="K20" s="138">
        <v>2002</v>
      </c>
      <c r="L20" s="166">
        <v>196</v>
      </c>
      <c r="M20" s="141">
        <v>14.8</v>
      </c>
      <c r="N20" s="167">
        <f t="shared" si="1"/>
        <v>0.87739795918367347</v>
      </c>
      <c r="O20" s="33">
        <v>96</v>
      </c>
      <c r="P20" s="12" t="s">
        <v>24</v>
      </c>
      <c r="Q20" s="34">
        <v>63.76</v>
      </c>
      <c r="R20" s="12" t="s">
        <v>118</v>
      </c>
      <c r="S20" s="33">
        <v>12.21</v>
      </c>
      <c r="T20" s="128" t="s">
        <v>38</v>
      </c>
      <c r="U20" s="191"/>
      <c r="V20" s="138">
        <v>2002</v>
      </c>
      <c r="W20" s="172">
        <v>57.9</v>
      </c>
      <c r="X20" s="167">
        <f t="shared" si="2"/>
        <v>0.99240069084628679</v>
      </c>
      <c r="Y20" s="33">
        <v>40</v>
      </c>
      <c r="Z20" s="12" t="s">
        <v>118</v>
      </c>
      <c r="AA20" s="34">
        <v>14.5</v>
      </c>
      <c r="AB20" s="12" t="s">
        <v>24</v>
      </c>
      <c r="AC20" s="33">
        <v>2.96</v>
      </c>
      <c r="AD20" s="128" t="s">
        <v>38</v>
      </c>
    </row>
    <row r="21" spans="1:30" x14ac:dyDescent="0.25">
      <c r="A21" s="138">
        <v>2003</v>
      </c>
      <c r="B21" s="166">
        <v>195</v>
      </c>
      <c r="C21" s="167">
        <f t="shared" si="0"/>
        <v>0.94020512820512825</v>
      </c>
      <c r="D21" s="34">
        <v>148.35</v>
      </c>
      <c r="E21" s="12" t="s">
        <v>118</v>
      </c>
      <c r="F21" s="34">
        <v>28</v>
      </c>
      <c r="G21" s="12" t="s">
        <v>24</v>
      </c>
      <c r="H21" s="34">
        <v>6.99</v>
      </c>
      <c r="I21" s="128" t="s">
        <v>38</v>
      </c>
      <c r="J21" s="191"/>
      <c r="K21" s="138">
        <v>2003</v>
      </c>
      <c r="L21" s="166">
        <v>207</v>
      </c>
      <c r="M21" s="141">
        <v>14</v>
      </c>
      <c r="N21" s="167">
        <f t="shared" si="1"/>
        <v>0.87323671497584532</v>
      </c>
      <c r="O21" s="34">
        <v>97</v>
      </c>
      <c r="P21" s="12" t="s">
        <v>24</v>
      </c>
      <c r="Q21" s="34">
        <v>70.95</v>
      </c>
      <c r="R21" s="12" t="s">
        <v>118</v>
      </c>
      <c r="S21" s="34">
        <v>12.81</v>
      </c>
      <c r="T21" s="128" t="s">
        <v>38</v>
      </c>
      <c r="U21" s="191"/>
      <c r="V21" s="138">
        <v>2003</v>
      </c>
      <c r="W21" s="172">
        <v>64.400000000000006</v>
      </c>
      <c r="X21" s="167">
        <f t="shared" si="2"/>
        <v>0.9874223602484471</v>
      </c>
      <c r="Y21" s="34">
        <v>46.86</v>
      </c>
      <c r="Z21" s="12" t="s">
        <v>118</v>
      </c>
      <c r="AA21" s="34">
        <v>15</v>
      </c>
      <c r="AB21" s="12" t="s">
        <v>24</v>
      </c>
      <c r="AC21" s="34">
        <v>1.73</v>
      </c>
      <c r="AD21" s="128" t="s">
        <v>38</v>
      </c>
    </row>
    <row r="22" spans="1:30" x14ac:dyDescent="0.25">
      <c r="A22" s="138">
        <v>2004</v>
      </c>
      <c r="B22" s="166">
        <v>194</v>
      </c>
      <c r="C22" s="167">
        <f t="shared" si="0"/>
        <v>0.95711340206185569</v>
      </c>
      <c r="D22" s="32">
        <v>153.24</v>
      </c>
      <c r="E22" s="12" t="s">
        <v>118</v>
      </c>
      <c r="F22" s="32">
        <v>28</v>
      </c>
      <c r="G22" s="12" t="s">
        <v>24</v>
      </c>
      <c r="H22" s="32">
        <v>4.4400000000000004</v>
      </c>
      <c r="I22" s="128" t="s">
        <v>67</v>
      </c>
      <c r="J22" s="191"/>
      <c r="K22" s="138">
        <v>2004</v>
      </c>
      <c r="L22" s="166">
        <v>211</v>
      </c>
      <c r="M22" s="141">
        <v>13.7</v>
      </c>
      <c r="N22" s="167">
        <f t="shared" si="1"/>
        <v>0.8786729857819906</v>
      </c>
      <c r="O22" s="32">
        <v>97</v>
      </c>
      <c r="P22" s="12" t="s">
        <v>24</v>
      </c>
      <c r="Q22" s="32">
        <v>76.400000000000006</v>
      </c>
      <c r="R22" s="12" t="s">
        <v>118</v>
      </c>
      <c r="S22" s="32">
        <v>12</v>
      </c>
      <c r="T22" s="128" t="s">
        <v>38</v>
      </c>
      <c r="U22" s="191"/>
      <c r="V22" s="138">
        <v>2004</v>
      </c>
      <c r="W22" s="172">
        <v>66.599999999999994</v>
      </c>
      <c r="X22" s="167">
        <f t="shared" si="2"/>
        <v>0.98738738738738729</v>
      </c>
      <c r="Y22" s="32">
        <v>46.76</v>
      </c>
      <c r="Z22" s="12" t="s">
        <v>118</v>
      </c>
      <c r="AA22" s="32">
        <v>15</v>
      </c>
      <c r="AB22" s="12" t="s">
        <v>24</v>
      </c>
      <c r="AC22" s="32">
        <v>4</v>
      </c>
      <c r="AD22" s="128" t="s">
        <v>38</v>
      </c>
    </row>
    <row r="23" spans="1:30" x14ac:dyDescent="0.25">
      <c r="A23" s="138">
        <v>2005</v>
      </c>
      <c r="B23" s="166">
        <v>211</v>
      </c>
      <c r="C23" s="167">
        <f t="shared" si="0"/>
        <v>0.94213270142180106</v>
      </c>
      <c r="D23" s="33">
        <v>163.71</v>
      </c>
      <c r="E23" s="12" t="s">
        <v>118</v>
      </c>
      <c r="F23" s="33">
        <v>29</v>
      </c>
      <c r="G23" s="12" t="s">
        <v>24</v>
      </c>
      <c r="H23" s="33">
        <v>6.08</v>
      </c>
      <c r="I23" s="128" t="s">
        <v>38</v>
      </c>
      <c r="J23" s="191"/>
      <c r="K23" s="138">
        <v>2005</v>
      </c>
      <c r="L23" s="166">
        <v>216</v>
      </c>
      <c r="M23" s="141">
        <v>13.3</v>
      </c>
      <c r="N23" s="167">
        <f t="shared" si="1"/>
        <v>0.88324074074074077</v>
      </c>
      <c r="O23" s="33">
        <v>97.4</v>
      </c>
      <c r="P23" s="12" t="s">
        <v>24</v>
      </c>
      <c r="Q23" s="33">
        <v>82.96</v>
      </c>
      <c r="R23" s="12" t="s">
        <v>118</v>
      </c>
      <c r="S23" s="33">
        <v>10.42</v>
      </c>
      <c r="T23" s="128" t="s">
        <v>38</v>
      </c>
      <c r="U23" s="191"/>
      <c r="V23" s="138">
        <v>2005</v>
      </c>
      <c r="W23" s="172">
        <v>77.7</v>
      </c>
      <c r="X23" s="167">
        <f t="shared" si="2"/>
        <v>0.98983268983268979</v>
      </c>
      <c r="Y23" s="33">
        <v>56.41</v>
      </c>
      <c r="Z23" s="12" t="s">
        <v>118</v>
      </c>
      <c r="AA23" s="33">
        <v>15.5</v>
      </c>
      <c r="AB23" s="12" t="s">
        <v>24</v>
      </c>
      <c r="AC23" s="33">
        <v>5</v>
      </c>
      <c r="AD23" s="128" t="s">
        <v>38</v>
      </c>
    </row>
    <row r="24" spans="1:30" x14ac:dyDescent="0.25">
      <c r="A24" s="138">
        <v>2006</v>
      </c>
      <c r="B24" s="166">
        <v>218</v>
      </c>
      <c r="C24" s="167">
        <f t="shared" si="0"/>
        <v>0.94330275229357796</v>
      </c>
      <c r="D24" s="33">
        <v>168.13</v>
      </c>
      <c r="E24" s="12" t="s">
        <v>118</v>
      </c>
      <c r="F24" s="33">
        <v>29</v>
      </c>
      <c r="G24" s="12" t="s">
        <v>24</v>
      </c>
      <c r="H24" s="33">
        <v>8.51</v>
      </c>
      <c r="I24" s="128" t="s">
        <v>38</v>
      </c>
      <c r="J24" s="191"/>
      <c r="K24" s="138">
        <v>2006</v>
      </c>
      <c r="L24" s="166">
        <v>222</v>
      </c>
      <c r="M24" s="141">
        <v>14.4</v>
      </c>
      <c r="N24" s="167">
        <f t="shared" si="1"/>
        <v>0.87909909909909922</v>
      </c>
      <c r="O24" s="33">
        <v>98.4</v>
      </c>
      <c r="P24" s="12" t="s">
        <v>24</v>
      </c>
      <c r="Q24" s="33">
        <v>86.27</v>
      </c>
      <c r="R24" s="12" t="s">
        <v>118</v>
      </c>
      <c r="S24" s="33">
        <v>10.49</v>
      </c>
      <c r="T24" s="128" t="s">
        <v>38</v>
      </c>
      <c r="U24" s="191"/>
      <c r="V24" s="138">
        <v>2006</v>
      </c>
      <c r="W24" s="172">
        <v>74.599999999999994</v>
      </c>
      <c r="X24" s="167">
        <f t="shared" si="2"/>
        <v>0.98847184986595171</v>
      </c>
      <c r="Y24" s="33">
        <v>53.14</v>
      </c>
      <c r="Z24" s="12" t="s">
        <v>118</v>
      </c>
      <c r="AA24" s="33">
        <v>15.6</v>
      </c>
      <c r="AB24" s="12" t="s">
        <v>24</v>
      </c>
      <c r="AC24" s="33">
        <v>5</v>
      </c>
      <c r="AD24" s="128" t="s">
        <v>38</v>
      </c>
    </row>
    <row r="25" spans="1:30" x14ac:dyDescent="0.25">
      <c r="A25" s="138" t="s">
        <v>4</v>
      </c>
      <c r="B25" s="166">
        <v>209</v>
      </c>
      <c r="C25" s="167">
        <f t="shared" si="0"/>
        <v>0.93751196172248807</v>
      </c>
      <c r="D25" s="172">
        <v>160.94</v>
      </c>
      <c r="E25" s="12" t="s">
        <v>118</v>
      </c>
      <c r="F25" s="172">
        <v>27</v>
      </c>
      <c r="G25" s="12" t="s">
        <v>24</v>
      </c>
      <c r="H25" s="172">
        <v>8</v>
      </c>
      <c r="I25" s="128" t="s">
        <v>38</v>
      </c>
      <c r="J25" s="191"/>
      <c r="K25" s="138" t="s">
        <v>4</v>
      </c>
      <c r="L25" s="166">
        <v>223</v>
      </c>
      <c r="M25" s="141">
        <v>12.8</v>
      </c>
      <c r="N25" s="167">
        <f t="shared" si="1"/>
        <v>0.87237668161434978</v>
      </c>
      <c r="O25" s="172">
        <v>96.8</v>
      </c>
      <c r="P25" s="12" t="s">
        <v>24</v>
      </c>
      <c r="Q25" s="172">
        <v>83.64</v>
      </c>
      <c r="R25" s="12" t="s">
        <v>118</v>
      </c>
      <c r="S25" s="172">
        <v>14.1</v>
      </c>
      <c r="T25" s="128" t="s">
        <v>38</v>
      </c>
      <c r="U25" s="191"/>
      <c r="V25" s="138" t="s">
        <v>4</v>
      </c>
      <c r="W25" s="172">
        <v>79.599999999999994</v>
      </c>
      <c r="X25" s="167">
        <f t="shared" si="2"/>
        <v>0.97927135678391974</v>
      </c>
      <c r="Y25" s="172">
        <v>59.45</v>
      </c>
      <c r="Z25" s="12" t="s">
        <v>118</v>
      </c>
      <c r="AA25" s="172">
        <v>14.5</v>
      </c>
      <c r="AB25" s="12" t="s">
        <v>24</v>
      </c>
      <c r="AC25" s="172">
        <v>4</v>
      </c>
      <c r="AD25" s="128" t="s">
        <v>38</v>
      </c>
    </row>
    <row r="26" spans="1:30" x14ac:dyDescent="0.25">
      <c r="A26" s="138" t="s">
        <v>5</v>
      </c>
      <c r="B26" s="166">
        <v>193</v>
      </c>
      <c r="C26" s="167">
        <f t="shared" si="0"/>
        <v>0.93077720207253878</v>
      </c>
      <c r="D26" s="172">
        <v>146.13999999999999</v>
      </c>
      <c r="E26" s="12" t="s">
        <v>118</v>
      </c>
      <c r="F26" s="172">
        <v>25</v>
      </c>
      <c r="G26" s="12" t="s">
        <v>24</v>
      </c>
      <c r="H26" s="172">
        <v>8.5</v>
      </c>
      <c r="I26" s="128" t="s">
        <v>38</v>
      </c>
      <c r="J26" s="191"/>
      <c r="K26" s="138" t="s">
        <v>5</v>
      </c>
      <c r="L26" s="166">
        <v>203</v>
      </c>
      <c r="M26" s="141">
        <v>11.9</v>
      </c>
      <c r="N26" s="167">
        <f t="shared" si="1"/>
        <v>0.87655172413793103</v>
      </c>
      <c r="O26" s="172">
        <v>87.7</v>
      </c>
      <c r="P26" s="12" t="s">
        <v>24</v>
      </c>
      <c r="Q26" s="172">
        <v>75.540000000000006</v>
      </c>
      <c r="R26" s="12" t="s">
        <v>118</v>
      </c>
      <c r="S26" s="172">
        <v>14.7</v>
      </c>
      <c r="T26" s="128" t="s">
        <v>38</v>
      </c>
      <c r="U26" s="191"/>
      <c r="V26" s="138" t="s">
        <v>5</v>
      </c>
      <c r="W26" s="172">
        <v>72.3</v>
      </c>
      <c r="X26" s="167">
        <f t="shared" si="2"/>
        <v>0.97510373443983411</v>
      </c>
      <c r="Y26" s="172">
        <v>54</v>
      </c>
      <c r="Z26" s="12" t="s">
        <v>118</v>
      </c>
      <c r="AA26" s="172">
        <v>12.5</v>
      </c>
      <c r="AB26" s="12" t="s">
        <v>24</v>
      </c>
      <c r="AC26" s="172">
        <v>4</v>
      </c>
      <c r="AD26" s="128" t="s">
        <v>38</v>
      </c>
    </row>
    <row r="27" spans="1:30" x14ac:dyDescent="0.25">
      <c r="A27" s="138" t="s">
        <v>6</v>
      </c>
      <c r="B27" s="166">
        <v>184</v>
      </c>
      <c r="C27" s="167">
        <f t="shared" si="0"/>
        <v>0.93777173913043466</v>
      </c>
      <c r="D27" s="167">
        <v>140.82</v>
      </c>
      <c r="E27" s="12" t="s">
        <v>118</v>
      </c>
      <c r="F27" s="167">
        <v>24.5</v>
      </c>
      <c r="G27" s="12" t="s">
        <v>24</v>
      </c>
      <c r="H27" s="167">
        <v>7.23</v>
      </c>
      <c r="I27" s="128" t="s">
        <v>67</v>
      </c>
      <c r="J27" s="191"/>
      <c r="K27" s="138" t="s">
        <v>6</v>
      </c>
      <c r="L27" s="166">
        <v>194</v>
      </c>
      <c r="M27" s="141">
        <v>12.7</v>
      </c>
      <c r="N27" s="167">
        <f t="shared" si="1"/>
        <v>0.85783505154639172</v>
      </c>
      <c r="O27" s="167">
        <v>83.2</v>
      </c>
      <c r="P27" s="12" t="s">
        <v>24</v>
      </c>
      <c r="Q27" s="167">
        <v>75.12</v>
      </c>
      <c r="R27" s="12" t="s">
        <v>118</v>
      </c>
      <c r="S27" s="167">
        <v>8.1</v>
      </c>
      <c r="T27" s="128" t="s">
        <v>38</v>
      </c>
      <c r="U27" s="191"/>
      <c r="V27" s="138" t="s">
        <v>6</v>
      </c>
      <c r="W27" s="167">
        <v>70.8</v>
      </c>
      <c r="X27" s="167">
        <f t="shared" si="2"/>
        <v>0.98813559322033895</v>
      </c>
      <c r="Y27" s="167">
        <v>55.46</v>
      </c>
      <c r="Z27" s="12" t="s">
        <v>118</v>
      </c>
      <c r="AA27" s="167">
        <v>11.9</v>
      </c>
      <c r="AB27" s="12" t="s">
        <v>24</v>
      </c>
      <c r="AC27" s="167">
        <v>2.6</v>
      </c>
      <c r="AD27" s="128" t="s">
        <v>38</v>
      </c>
    </row>
    <row r="28" spans="1:30" x14ac:dyDescent="0.25">
      <c r="B28" s="10"/>
      <c r="H28" s="10"/>
      <c r="U28" s="8"/>
    </row>
    <row r="29" spans="1:30" x14ac:dyDescent="0.25">
      <c r="A29" s="35"/>
    </row>
    <row r="30" spans="1:30" ht="15" customHeight="1" x14ac:dyDescent="0.25">
      <c r="A30" s="12"/>
    </row>
    <row r="31" spans="1:30" x14ac:dyDescent="0.25">
      <c r="A31" s="12"/>
    </row>
    <row r="54" spans="1:1" x14ac:dyDescent="0.25">
      <c r="A54" s="35"/>
    </row>
    <row r="55" spans="1:1" ht="15" customHeight="1" x14ac:dyDescent="0.25">
      <c r="A55" s="12"/>
    </row>
    <row r="56" spans="1:1" x14ac:dyDescent="0.25">
      <c r="A56" s="12"/>
    </row>
    <row r="77" spans="2:10" x14ac:dyDescent="0.25">
      <c r="B77" s="9"/>
      <c r="C77" s="9"/>
      <c r="D77" s="12"/>
      <c r="E77" s="9"/>
      <c r="F77" s="12"/>
      <c r="G77" s="9"/>
      <c r="H77" s="9"/>
      <c r="I77" s="9"/>
      <c r="J77" s="9"/>
    </row>
  </sheetData>
  <mergeCells count="22">
    <mergeCell ref="V1:AD2"/>
    <mergeCell ref="V5:AC5"/>
    <mergeCell ref="Y6:Z6"/>
    <mergeCell ref="AA6:AB6"/>
    <mergeCell ref="AC6:AD6"/>
    <mergeCell ref="X6:X7"/>
    <mergeCell ref="W6:W7"/>
    <mergeCell ref="K1:T2"/>
    <mergeCell ref="D6:E6"/>
    <mergeCell ref="F6:G6"/>
    <mergeCell ref="H6:I6"/>
    <mergeCell ref="C6:C7"/>
    <mergeCell ref="B5:I5"/>
    <mergeCell ref="B6:B7"/>
    <mergeCell ref="A1:I2"/>
    <mergeCell ref="L5:S5"/>
    <mergeCell ref="O6:P6"/>
    <mergeCell ref="Q6:R6"/>
    <mergeCell ref="S6:T6"/>
    <mergeCell ref="N6:N7"/>
    <mergeCell ref="L6:L7"/>
    <mergeCell ref="M6:M7"/>
  </mergeCells>
  <pageMargins left="0.7" right="0.7" top="0.75" bottom="0.75" header="0.3" footer="0.3"/>
  <pageSetup scale="65" orientation="landscape" r:id="rId1"/>
  <rowBreaks count="2" manualBreakCount="2">
    <brk id="28" max="16383" man="1"/>
    <brk id="53" max="16383" man="1"/>
  </rowBreaks>
  <colBreaks count="2" manualBreakCount="2">
    <brk id="9" max="27" man="1"/>
    <brk id="20" max="27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85546875" customWidth="1"/>
    <col min="4" max="9" width="13.28515625" customWidth="1"/>
  </cols>
  <sheetData>
    <row r="1" spans="1:12" x14ac:dyDescent="0.25">
      <c r="A1" s="278" t="s">
        <v>458</v>
      </c>
      <c r="B1" s="278"/>
      <c r="C1" s="278"/>
      <c r="D1" s="278"/>
      <c r="E1" s="278"/>
      <c r="F1" s="278"/>
      <c r="G1" s="278"/>
      <c r="H1" s="278"/>
      <c r="I1" s="278"/>
    </row>
    <row r="2" spans="1:12" ht="23.2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12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4" spans="1:12" x14ac:dyDescent="0.25">
      <c r="A4" s="5"/>
      <c r="B4" s="6"/>
      <c r="C4" s="6"/>
      <c r="D4" s="6"/>
      <c r="E4" s="6"/>
      <c r="F4" s="6"/>
      <c r="H4" s="6"/>
      <c r="I4" s="6"/>
    </row>
    <row r="5" spans="1:12" x14ac:dyDescent="0.25">
      <c r="A5" s="105"/>
      <c r="B5" s="283" t="s">
        <v>84</v>
      </c>
      <c r="C5" s="283"/>
      <c r="D5" s="283"/>
      <c r="E5" s="283"/>
      <c r="F5" s="283"/>
      <c r="G5" s="283"/>
      <c r="H5" s="283"/>
      <c r="I5" s="283"/>
    </row>
    <row r="6" spans="1:12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</row>
    <row r="7" spans="1:12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</row>
    <row r="8" spans="1:12" x14ac:dyDescent="0.25">
      <c r="A8" s="138">
        <v>1990</v>
      </c>
      <c r="B8" s="167">
        <v>27.5</v>
      </c>
      <c r="C8" s="167">
        <f t="shared" ref="C8:C27" si="0">(D8+F8+H8)/B8</f>
        <v>0.76181818181818184</v>
      </c>
      <c r="D8" s="15">
        <v>9</v>
      </c>
      <c r="E8" s="12" t="s">
        <v>37</v>
      </c>
      <c r="F8" s="15">
        <v>6.99</v>
      </c>
      <c r="G8" s="12" t="s">
        <v>38</v>
      </c>
      <c r="H8" s="15">
        <v>4.96</v>
      </c>
      <c r="I8" s="176" t="s">
        <v>626</v>
      </c>
    </row>
    <row r="9" spans="1:12" x14ac:dyDescent="0.25">
      <c r="A9" s="138">
        <v>1991</v>
      </c>
      <c r="B9" s="167">
        <v>26.1</v>
      </c>
      <c r="C9" s="167">
        <f t="shared" si="0"/>
        <v>0.75977011494252877</v>
      </c>
      <c r="D9" s="15">
        <v>8.56</v>
      </c>
      <c r="E9" s="12" t="s">
        <v>37</v>
      </c>
      <c r="F9" s="15">
        <v>7.41</v>
      </c>
      <c r="G9" s="12" t="s">
        <v>38</v>
      </c>
      <c r="H9" s="15">
        <v>3.86</v>
      </c>
      <c r="I9" s="128" t="s">
        <v>57</v>
      </c>
    </row>
    <row r="10" spans="1:12" x14ac:dyDescent="0.25">
      <c r="A10" s="138">
        <v>1992</v>
      </c>
      <c r="B10" s="167">
        <v>23.9</v>
      </c>
      <c r="C10" s="167">
        <f t="shared" si="0"/>
        <v>0.59414225941422594</v>
      </c>
      <c r="D10" s="15">
        <v>7.27</v>
      </c>
      <c r="E10" s="12" t="s">
        <v>38</v>
      </c>
      <c r="F10" s="15">
        <v>3.47</v>
      </c>
      <c r="G10" s="12" t="s">
        <v>24</v>
      </c>
      <c r="H10" s="15">
        <v>3.46</v>
      </c>
      <c r="I10" s="128" t="s">
        <v>57</v>
      </c>
    </row>
    <row r="11" spans="1:12" x14ac:dyDescent="0.25">
      <c r="A11" s="138">
        <v>1993</v>
      </c>
      <c r="B11" s="167">
        <v>20.399999999999999</v>
      </c>
      <c r="C11" s="167">
        <f t="shared" si="0"/>
        <v>0.60441176470588232</v>
      </c>
      <c r="D11" s="15">
        <v>6.84</v>
      </c>
      <c r="E11" s="12" t="s">
        <v>38</v>
      </c>
      <c r="F11" s="15">
        <v>2.86</v>
      </c>
      <c r="G11" s="12" t="s">
        <v>57</v>
      </c>
      <c r="H11" s="15">
        <v>2.63</v>
      </c>
      <c r="I11" s="12" t="s">
        <v>24</v>
      </c>
    </row>
    <row r="12" spans="1:12" x14ac:dyDescent="0.25">
      <c r="A12" s="138">
        <v>1994</v>
      </c>
      <c r="B12" s="167">
        <v>23.1</v>
      </c>
      <c r="C12" s="167">
        <f t="shared" si="0"/>
        <v>0.6212121212121211</v>
      </c>
      <c r="D12" s="15">
        <v>8.0399999999999991</v>
      </c>
      <c r="E12" s="12" t="s">
        <v>38</v>
      </c>
      <c r="F12" s="15">
        <v>3.29</v>
      </c>
      <c r="G12" s="12" t="s">
        <v>57</v>
      </c>
      <c r="H12" s="15">
        <v>3.02</v>
      </c>
      <c r="I12" s="12" t="s">
        <v>85</v>
      </c>
      <c r="L12" s="37"/>
    </row>
    <row r="13" spans="1:12" x14ac:dyDescent="0.25">
      <c r="A13" s="138">
        <v>1995</v>
      </c>
      <c r="B13" s="167">
        <v>24.8</v>
      </c>
      <c r="C13" s="167">
        <f t="shared" si="0"/>
        <v>0.62741935483870959</v>
      </c>
      <c r="D13" s="15">
        <v>9.07</v>
      </c>
      <c r="E13" s="12" t="s">
        <v>38</v>
      </c>
      <c r="F13" s="15">
        <v>3.28</v>
      </c>
      <c r="G13" s="12" t="s">
        <v>57</v>
      </c>
      <c r="H13" s="15">
        <v>3.21</v>
      </c>
      <c r="I13" s="12" t="s">
        <v>85</v>
      </c>
    </row>
    <row r="14" spans="1:12" x14ac:dyDescent="0.25">
      <c r="A14" s="138">
        <v>1996</v>
      </c>
      <c r="B14" s="167">
        <v>23.3</v>
      </c>
      <c r="C14" s="167">
        <f t="shared" si="0"/>
        <v>0.60815450643776825</v>
      </c>
      <c r="D14" s="15">
        <v>8.1199999999999992</v>
      </c>
      <c r="E14" s="12" t="s">
        <v>38</v>
      </c>
      <c r="F14" s="15">
        <v>3.33</v>
      </c>
      <c r="G14" s="12" t="s">
        <v>57</v>
      </c>
      <c r="H14" s="15">
        <v>2.72</v>
      </c>
      <c r="I14" s="12" t="s">
        <v>85</v>
      </c>
    </row>
    <row r="15" spans="1:12" x14ac:dyDescent="0.25">
      <c r="A15" s="138">
        <v>1997</v>
      </c>
      <c r="B15" s="167">
        <v>25.2</v>
      </c>
      <c r="C15" s="167">
        <f t="shared" si="0"/>
        <v>0.62738095238095237</v>
      </c>
      <c r="D15" s="15">
        <v>8.99</v>
      </c>
      <c r="E15" s="12" t="s">
        <v>38</v>
      </c>
      <c r="F15" s="15">
        <v>3.42</v>
      </c>
      <c r="G15" s="12" t="s">
        <v>57</v>
      </c>
      <c r="H15" s="15">
        <v>3.4</v>
      </c>
      <c r="I15" s="128" t="s">
        <v>24</v>
      </c>
    </row>
    <row r="16" spans="1:12" x14ac:dyDescent="0.25">
      <c r="A16" s="138">
        <v>1998</v>
      </c>
      <c r="B16" s="167">
        <v>26</v>
      </c>
      <c r="C16" s="167">
        <f t="shared" si="0"/>
        <v>0.62615384615384617</v>
      </c>
      <c r="D16" s="15">
        <v>9.1999999999999993</v>
      </c>
      <c r="E16" s="12" t="s">
        <v>38</v>
      </c>
      <c r="F16" s="15">
        <v>3.58</v>
      </c>
      <c r="G16" s="12" t="s">
        <v>57</v>
      </c>
      <c r="H16" s="15">
        <v>3.5</v>
      </c>
      <c r="I16" s="128" t="s">
        <v>24</v>
      </c>
    </row>
    <row r="17" spans="1:9" x14ac:dyDescent="0.25">
      <c r="A17" s="138">
        <v>1999</v>
      </c>
      <c r="B17" s="167">
        <v>27.3</v>
      </c>
      <c r="C17" s="167">
        <f t="shared" si="0"/>
        <v>0.63113553113553111</v>
      </c>
      <c r="D17" s="15">
        <v>8.48</v>
      </c>
      <c r="E17" s="12" t="s">
        <v>38</v>
      </c>
      <c r="F17" s="15">
        <v>4.55</v>
      </c>
      <c r="G17" s="12" t="s">
        <v>85</v>
      </c>
      <c r="H17" s="15">
        <v>4.2</v>
      </c>
      <c r="I17" s="128" t="s">
        <v>24</v>
      </c>
    </row>
    <row r="18" spans="1:9" x14ac:dyDescent="0.25">
      <c r="A18" s="138">
        <v>2000</v>
      </c>
      <c r="B18" s="167">
        <v>27</v>
      </c>
      <c r="C18" s="167">
        <f t="shared" si="0"/>
        <v>0.61814814814814811</v>
      </c>
      <c r="D18" s="15">
        <v>9.1999999999999993</v>
      </c>
      <c r="E18" s="12" t="s">
        <v>38</v>
      </c>
      <c r="F18" s="15">
        <v>3.79</v>
      </c>
      <c r="G18" s="12" t="s">
        <v>85</v>
      </c>
      <c r="H18" s="15">
        <v>3.7</v>
      </c>
      <c r="I18" s="128" t="s">
        <v>24</v>
      </c>
    </row>
    <row r="19" spans="1:9" x14ac:dyDescent="0.25">
      <c r="A19" s="138">
        <v>2001</v>
      </c>
      <c r="B19" s="167">
        <v>26.4</v>
      </c>
      <c r="C19" s="167">
        <f t="shared" si="0"/>
        <v>0.61515151515151512</v>
      </c>
      <c r="D19" s="15">
        <v>8.24</v>
      </c>
      <c r="E19" s="12" t="s">
        <v>38</v>
      </c>
      <c r="F19" s="15">
        <v>4.3</v>
      </c>
      <c r="G19" s="12" t="s">
        <v>24</v>
      </c>
      <c r="H19" s="15">
        <v>3.7</v>
      </c>
      <c r="I19" s="128" t="s">
        <v>85</v>
      </c>
    </row>
    <row r="20" spans="1:9" x14ac:dyDescent="0.25">
      <c r="A20" s="138">
        <v>2002</v>
      </c>
      <c r="B20" s="167">
        <v>27.1</v>
      </c>
      <c r="C20" s="167">
        <f t="shared" si="0"/>
        <v>0.61697416974169739</v>
      </c>
      <c r="D20" s="15">
        <v>8.52</v>
      </c>
      <c r="E20" s="12" t="s">
        <v>38</v>
      </c>
      <c r="F20" s="15">
        <v>4.4000000000000004</v>
      </c>
      <c r="G20" s="12" t="s">
        <v>24</v>
      </c>
      <c r="H20" s="15">
        <v>3.8</v>
      </c>
      <c r="I20" s="128" t="s">
        <v>85</v>
      </c>
    </row>
    <row r="21" spans="1:9" x14ac:dyDescent="0.25">
      <c r="A21" s="138">
        <v>2003</v>
      </c>
      <c r="B21" s="167">
        <v>29.9</v>
      </c>
      <c r="C21" s="167">
        <f t="shared" si="0"/>
        <v>0.62876254180602009</v>
      </c>
      <c r="D21" s="15">
        <v>9.1</v>
      </c>
      <c r="E21" s="12" t="s">
        <v>38</v>
      </c>
      <c r="F21" s="15">
        <v>5.47</v>
      </c>
      <c r="G21" s="12" t="s">
        <v>24</v>
      </c>
      <c r="H21" s="15">
        <v>4.2300000000000004</v>
      </c>
      <c r="I21" s="128" t="s">
        <v>85</v>
      </c>
    </row>
    <row r="22" spans="1:9" x14ac:dyDescent="0.25">
      <c r="A22" s="138">
        <v>2004</v>
      </c>
      <c r="B22" s="167">
        <v>32.200000000000003</v>
      </c>
      <c r="C22" s="167">
        <f t="shared" si="0"/>
        <v>0.65559006211180115</v>
      </c>
      <c r="D22" s="15">
        <v>10.1</v>
      </c>
      <c r="E22" s="12" t="s">
        <v>38</v>
      </c>
      <c r="F22" s="15">
        <v>6.41</v>
      </c>
      <c r="G22" s="12" t="s">
        <v>24</v>
      </c>
      <c r="H22" s="15">
        <v>4.5999999999999996</v>
      </c>
      <c r="I22" s="128" t="s">
        <v>85</v>
      </c>
    </row>
    <row r="23" spans="1:9" x14ac:dyDescent="0.25">
      <c r="A23" s="138">
        <v>2005</v>
      </c>
      <c r="B23" s="167">
        <v>33.799999999999997</v>
      </c>
      <c r="C23" s="167">
        <f t="shared" si="0"/>
        <v>0.65443786982248531</v>
      </c>
      <c r="D23" s="15">
        <v>10.14</v>
      </c>
      <c r="E23" s="12" t="s">
        <v>38</v>
      </c>
      <c r="F23" s="15">
        <v>7.14</v>
      </c>
      <c r="G23" s="12" t="s">
        <v>24</v>
      </c>
      <c r="H23" s="15">
        <v>4.84</v>
      </c>
      <c r="I23" s="128" t="s">
        <v>85</v>
      </c>
    </row>
    <row r="24" spans="1:9" x14ac:dyDescent="0.25">
      <c r="A24" s="138">
        <v>2006</v>
      </c>
      <c r="B24" s="167">
        <v>30.4</v>
      </c>
      <c r="C24" s="167">
        <f t="shared" si="0"/>
        <v>0.55427631578947367</v>
      </c>
      <c r="D24" s="15">
        <v>8.52</v>
      </c>
      <c r="E24" s="12" t="s">
        <v>38</v>
      </c>
      <c r="F24" s="15">
        <v>4.6100000000000003</v>
      </c>
      <c r="G24" s="12" t="s">
        <v>85</v>
      </c>
      <c r="H24" s="15">
        <v>3.72</v>
      </c>
      <c r="I24" s="128" t="s">
        <v>24</v>
      </c>
    </row>
    <row r="25" spans="1:9" x14ac:dyDescent="0.25">
      <c r="A25" s="138" t="s">
        <v>4</v>
      </c>
      <c r="B25" s="167">
        <v>35.700000000000003</v>
      </c>
      <c r="C25" s="167">
        <f t="shared" si="0"/>
        <v>0.65378151260504191</v>
      </c>
      <c r="D25" s="15">
        <v>11.09</v>
      </c>
      <c r="E25" s="12" t="s">
        <v>38</v>
      </c>
      <c r="F25" s="15">
        <v>7.28</v>
      </c>
      <c r="G25" s="12" t="s">
        <v>24</v>
      </c>
      <c r="H25" s="15">
        <v>4.97</v>
      </c>
      <c r="I25" s="128" t="s">
        <v>85</v>
      </c>
    </row>
    <row r="26" spans="1:9" x14ac:dyDescent="0.25">
      <c r="A26" s="138" t="s">
        <v>5</v>
      </c>
      <c r="B26" s="167">
        <v>34.5</v>
      </c>
      <c r="C26" s="167">
        <f t="shared" si="0"/>
        <v>0.64231884057971012</v>
      </c>
      <c r="D26" s="15">
        <v>10.46</v>
      </c>
      <c r="E26" s="12" t="s">
        <v>38</v>
      </c>
      <c r="F26" s="15">
        <v>6.73</v>
      </c>
      <c r="G26" s="12" t="s">
        <v>24</v>
      </c>
      <c r="H26" s="15">
        <v>4.97</v>
      </c>
      <c r="I26" s="128" t="s">
        <v>85</v>
      </c>
    </row>
    <row r="27" spans="1:9" x14ac:dyDescent="0.25">
      <c r="A27" s="138" t="s">
        <v>6</v>
      </c>
      <c r="B27" s="167">
        <v>20.8</v>
      </c>
      <c r="C27" s="167">
        <f t="shared" si="0"/>
        <v>0.52980769230769231</v>
      </c>
      <c r="D27" s="167">
        <v>4.32</v>
      </c>
      <c r="E27" s="12" t="s">
        <v>38</v>
      </c>
      <c r="F27" s="167">
        <v>3.7</v>
      </c>
      <c r="G27" s="12" t="s">
        <v>24</v>
      </c>
      <c r="H27" s="167">
        <v>3</v>
      </c>
      <c r="I27" s="128" t="s">
        <v>22</v>
      </c>
    </row>
    <row r="28" spans="1:9" x14ac:dyDescent="0.25">
      <c r="A28" s="195" t="s">
        <v>625</v>
      </c>
      <c r="B28" s="141"/>
      <c r="C28" s="141"/>
      <c r="D28" s="141"/>
      <c r="E28" s="141"/>
      <c r="F28" s="141"/>
      <c r="G28" s="141"/>
      <c r="H28" s="157"/>
      <c r="I28" s="141"/>
    </row>
    <row r="29" spans="1:9" x14ac:dyDescent="0.25">
      <c r="B29" s="36"/>
    </row>
    <row r="30" spans="1:9" x14ac:dyDescent="0.25">
      <c r="B30" s="36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1"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85546875" customWidth="1"/>
    <col min="4" max="8" width="13.28515625" customWidth="1"/>
    <col min="9" max="9" width="13.42578125" bestFit="1" customWidth="1"/>
    <col min="10" max="10" width="3" style="60" customWidth="1"/>
    <col min="11" max="11" width="9.140625" style="60"/>
    <col min="12" max="12" width="13.28515625" style="60" customWidth="1"/>
    <col min="13" max="13" width="14.140625" style="60" customWidth="1"/>
    <col min="14" max="18" width="13.28515625" style="60" customWidth="1"/>
    <col min="19" max="19" width="15.85546875" customWidth="1"/>
  </cols>
  <sheetData>
    <row r="1" spans="1:20" ht="15" customHeight="1" x14ac:dyDescent="0.25">
      <c r="A1" s="278" t="s">
        <v>459</v>
      </c>
      <c r="B1" s="278"/>
      <c r="C1" s="278"/>
      <c r="D1" s="278"/>
      <c r="E1" s="278"/>
      <c r="F1" s="278"/>
      <c r="G1" s="278"/>
      <c r="H1" s="278"/>
      <c r="I1" s="278"/>
      <c r="K1" s="278" t="s">
        <v>461</v>
      </c>
      <c r="L1" s="278"/>
      <c r="M1" s="278"/>
      <c r="N1" s="278"/>
      <c r="O1" s="278"/>
      <c r="P1" s="278"/>
      <c r="Q1" s="278"/>
      <c r="R1" s="278"/>
      <c r="S1" s="278"/>
      <c r="T1" s="111"/>
    </row>
    <row r="2" spans="1:2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K2" s="278"/>
      <c r="L2" s="278"/>
      <c r="M2" s="278"/>
      <c r="N2" s="278"/>
      <c r="O2" s="278"/>
      <c r="P2" s="278"/>
      <c r="Q2" s="278"/>
      <c r="R2" s="278"/>
      <c r="S2" s="278"/>
      <c r="T2" s="111"/>
    </row>
    <row r="3" spans="1:20" ht="15" customHeight="1" x14ac:dyDescent="0.25">
      <c r="A3" s="110" t="s">
        <v>656</v>
      </c>
      <c r="B3" s="111"/>
      <c r="C3" s="111"/>
      <c r="D3" s="111"/>
      <c r="E3" s="111"/>
      <c r="F3" s="111"/>
      <c r="G3" s="111"/>
      <c r="H3" s="111"/>
      <c r="I3" s="111"/>
      <c r="K3" s="110" t="s">
        <v>448</v>
      </c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5"/>
      <c r="B4" s="6"/>
      <c r="C4" s="6"/>
      <c r="D4" s="6"/>
      <c r="E4" s="6"/>
      <c r="F4" s="6"/>
      <c r="H4" s="6"/>
      <c r="I4" s="6"/>
    </row>
    <row r="5" spans="1:20" x14ac:dyDescent="0.25">
      <c r="A5" s="105"/>
      <c r="B5" s="283" t="s">
        <v>80</v>
      </c>
      <c r="C5" s="283"/>
      <c r="D5" s="283"/>
      <c r="E5" s="283"/>
      <c r="F5" s="283"/>
      <c r="G5" s="283"/>
      <c r="H5" s="283"/>
      <c r="I5" s="283"/>
      <c r="J5" s="182"/>
      <c r="K5" s="105"/>
      <c r="L5" s="283" t="s">
        <v>460</v>
      </c>
      <c r="M5" s="283"/>
      <c r="N5" s="283"/>
      <c r="O5" s="283"/>
      <c r="P5" s="283"/>
      <c r="Q5" s="283"/>
      <c r="R5" s="283"/>
      <c r="S5" s="283"/>
    </row>
    <row r="6" spans="1:20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182"/>
      <c r="K6" s="101"/>
      <c r="L6" s="282" t="s">
        <v>390</v>
      </c>
      <c r="M6" s="282" t="s">
        <v>299</v>
      </c>
      <c r="N6" s="279" t="s">
        <v>275</v>
      </c>
      <c r="O6" s="279"/>
      <c r="P6" s="279" t="s">
        <v>32</v>
      </c>
      <c r="Q6" s="279"/>
      <c r="R6" s="279" t="s">
        <v>33</v>
      </c>
      <c r="S6" s="279"/>
    </row>
    <row r="7" spans="1:20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182"/>
      <c r="K7" s="100" t="s">
        <v>368</v>
      </c>
      <c r="L7" s="281"/>
      <c r="M7" s="281"/>
      <c r="N7" s="100" t="s">
        <v>8</v>
      </c>
      <c r="O7" s="100" t="s">
        <v>3</v>
      </c>
      <c r="P7" s="100" t="s">
        <v>8</v>
      </c>
      <c r="Q7" s="100" t="s">
        <v>3</v>
      </c>
      <c r="R7" s="100" t="s">
        <v>8</v>
      </c>
      <c r="S7" s="100" t="s">
        <v>3</v>
      </c>
    </row>
    <row r="8" spans="1:20" x14ac:dyDescent="0.25">
      <c r="A8" s="138">
        <v>1990</v>
      </c>
      <c r="B8" s="172">
        <v>60.1</v>
      </c>
      <c r="C8" s="167">
        <f t="shared" ref="C8:C27" si="0">(D8+F8+H8)/B8</f>
        <v>0.51663893510815306</v>
      </c>
      <c r="D8" s="31">
        <v>16.5</v>
      </c>
      <c r="E8" s="12" t="s">
        <v>22</v>
      </c>
      <c r="F8" s="31">
        <v>8.5</v>
      </c>
      <c r="G8" s="12" t="s">
        <v>37</v>
      </c>
      <c r="H8" s="31">
        <v>6.05</v>
      </c>
      <c r="I8" s="128" t="s">
        <v>27</v>
      </c>
      <c r="J8" s="182"/>
      <c r="K8" s="138">
        <v>1990</v>
      </c>
      <c r="L8" s="172">
        <v>24.9</v>
      </c>
      <c r="M8" s="167">
        <f t="shared" ref="M8:M27" si="1">(N8+P8+R8)/L8</f>
        <v>0.75582329317269081</v>
      </c>
      <c r="N8" s="31">
        <v>11</v>
      </c>
      <c r="O8" s="12" t="s">
        <v>27</v>
      </c>
      <c r="P8" s="31">
        <v>4.5</v>
      </c>
      <c r="Q8" s="12" t="s">
        <v>49</v>
      </c>
      <c r="R8" s="31">
        <v>3.32</v>
      </c>
      <c r="S8" s="128" t="s">
        <v>50</v>
      </c>
    </row>
    <row r="9" spans="1:20" x14ac:dyDescent="0.25">
      <c r="A9" s="138">
        <v>1991</v>
      </c>
      <c r="B9" s="172">
        <v>49.9</v>
      </c>
      <c r="C9" s="167">
        <f t="shared" si="0"/>
        <v>0.57014028056112231</v>
      </c>
      <c r="D9" s="31">
        <v>16.100000000000001</v>
      </c>
      <c r="E9" s="12" t="s">
        <v>22</v>
      </c>
      <c r="F9" s="31">
        <v>8.5</v>
      </c>
      <c r="G9" s="12" t="s">
        <v>37</v>
      </c>
      <c r="H9" s="31">
        <v>3.85</v>
      </c>
      <c r="I9" s="128" t="s">
        <v>27</v>
      </c>
      <c r="J9" s="182"/>
      <c r="K9" s="138">
        <v>1991</v>
      </c>
      <c r="L9" s="172">
        <v>16.600000000000001</v>
      </c>
      <c r="M9" s="167">
        <f t="shared" si="1"/>
        <v>0.78192771084337342</v>
      </c>
      <c r="N9" s="31">
        <v>7</v>
      </c>
      <c r="O9" s="12" t="s">
        <v>27</v>
      </c>
      <c r="P9" s="31">
        <v>4</v>
      </c>
      <c r="Q9" s="12" t="s">
        <v>49</v>
      </c>
      <c r="R9" s="31">
        <v>1.98</v>
      </c>
      <c r="S9" s="128" t="s">
        <v>50</v>
      </c>
    </row>
    <row r="10" spans="1:20" x14ac:dyDescent="0.25">
      <c r="A10" s="138">
        <v>1992</v>
      </c>
      <c r="B10" s="172">
        <v>56.8</v>
      </c>
      <c r="C10" s="167">
        <f t="shared" si="0"/>
        <v>0.573943661971831</v>
      </c>
      <c r="D10" s="31">
        <v>21.3</v>
      </c>
      <c r="E10" s="12" t="s">
        <v>22</v>
      </c>
      <c r="F10" s="172">
        <v>8</v>
      </c>
      <c r="G10" s="12" t="s">
        <v>37</v>
      </c>
      <c r="H10" s="31">
        <v>3.3</v>
      </c>
      <c r="I10" s="128" t="s">
        <v>27</v>
      </c>
      <c r="J10" s="182"/>
      <c r="K10" s="138">
        <v>1992</v>
      </c>
      <c r="L10" s="172">
        <v>14.7</v>
      </c>
      <c r="M10" s="167">
        <f t="shared" si="1"/>
        <v>0.80272108843537426</v>
      </c>
      <c r="N10" s="31">
        <v>6</v>
      </c>
      <c r="O10" s="12" t="s">
        <v>27</v>
      </c>
      <c r="P10" s="172">
        <v>4</v>
      </c>
      <c r="Q10" s="12" t="s">
        <v>49</v>
      </c>
      <c r="R10" s="31">
        <v>1.8</v>
      </c>
      <c r="S10" s="128" t="s">
        <v>22</v>
      </c>
    </row>
    <row r="11" spans="1:20" x14ac:dyDescent="0.25">
      <c r="A11" s="138">
        <v>1993</v>
      </c>
      <c r="B11" s="172">
        <v>27.5</v>
      </c>
      <c r="C11" s="167">
        <f t="shared" si="0"/>
        <v>0.31454545454545457</v>
      </c>
      <c r="D11" s="31">
        <v>4.5</v>
      </c>
      <c r="E11" s="167" t="s">
        <v>82</v>
      </c>
      <c r="F11" s="31">
        <v>2.5</v>
      </c>
      <c r="G11" s="12" t="s">
        <v>49</v>
      </c>
      <c r="H11" s="31">
        <v>1.65</v>
      </c>
      <c r="I11" s="128" t="s">
        <v>27</v>
      </c>
      <c r="J11" s="182"/>
      <c r="K11" s="138">
        <v>1993</v>
      </c>
      <c r="L11" s="172">
        <v>12.1</v>
      </c>
      <c r="M11" s="167">
        <f t="shared" si="1"/>
        <v>0.77685950413223148</v>
      </c>
      <c r="N11" s="31">
        <v>3</v>
      </c>
      <c r="O11" s="128" t="s">
        <v>27</v>
      </c>
      <c r="P11" s="31">
        <v>4.5999999999999996</v>
      </c>
      <c r="Q11" s="12" t="s">
        <v>49</v>
      </c>
      <c r="R11" s="31">
        <v>1.8</v>
      </c>
      <c r="S11" s="128" t="s">
        <v>22</v>
      </c>
    </row>
    <row r="12" spans="1:20" x14ac:dyDescent="0.25">
      <c r="A12" s="138">
        <v>1994</v>
      </c>
      <c r="B12" s="172">
        <v>56.6</v>
      </c>
      <c r="C12" s="167">
        <f t="shared" si="0"/>
        <v>0.62190812720848065</v>
      </c>
      <c r="D12" s="31">
        <v>30.7</v>
      </c>
      <c r="E12" s="12" t="s">
        <v>22</v>
      </c>
      <c r="F12" s="31">
        <v>2.5</v>
      </c>
      <c r="G12" s="12" t="s">
        <v>49</v>
      </c>
      <c r="H12" s="31">
        <v>2</v>
      </c>
      <c r="I12" s="128" t="s">
        <v>82</v>
      </c>
      <c r="J12" s="182"/>
      <c r="K12" s="138">
        <v>1994</v>
      </c>
      <c r="L12" s="172">
        <v>6.81</v>
      </c>
      <c r="M12" s="167">
        <f t="shared" si="1"/>
        <v>0.94419970631424377</v>
      </c>
      <c r="N12" s="31">
        <v>4.5999999999999996</v>
      </c>
      <c r="O12" s="12" t="s">
        <v>49</v>
      </c>
      <c r="P12" s="31">
        <v>1.4</v>
      </c>
      <c r="Q12" s="12" t="s">
        <v>28</v>
      </c>
      <c r="R12" s="31">
        <v>0.43</v>
      </c>
      <c r="S12" s="128" t="s">
        <v>50</v>
      </c>
    </row>
    <row r="13" spans="1:20" x14ac:dyDescent="0.25">
      <c r="A13" s="138">
        <v>1995</v>
      </c>
      <c r="B13" s="172">
        <v>75.7</v>
      </c>
      <c r="C13" s="167">
        <f t="shared" si="0"/>
        <v>0.69616908850726555</v>
      </c>
      <c r="D13" s="31">
        <v>48</v>
      </c>
      <c r="E13" s="12" t="s">
        <v>22</v>
      </c>
      <c r="F13" s="31">
        <v>2.7</v>
      </c>
      <c r="G13" s="12" t="s">
        <v>49</v>
      </c>
      <c r="H13" s="31">
        <v>2</v>
      </c>
      <c r="I13" s="128" t="s">
        <v>82</v>
      </c>
      <c r="J13" s="182"/>
      <c r="K13" s="138">
        <v>1995</v>
      </c>
      <c r="L13" s="172">
        <v>7.62</v>
      </c>
      <c r="M13" s="167">
        <f t="shared" si="1"/>
        <v>0.94750656167979008</v>
      </c>
      <c r="N13" s="31">
        <v>5</v>
      </c>
      <c r="O13" s="12" t="s">
        <v>49</v>
      </c>
      <c r="P13" s="31">
        <v>1.4</v>
      </c>
      <c r="Q13" s="12" t="s">
        <v>28</v>
      </c>
      <c r="R13" s="31">
        <v>0.82</v>
      </c>
      <c r="S13" s="128" t="s">
        <v>50</v>
      </c>
    </row>
    <row r="14" spans="1:20" x14ac:dyDescent="0.25">
      <c r="A14" s="138">
        <v>1996</v>
      </c>
      <c r="B14" s="172">
        <v>80.599999999999994</v>
      </c>
      <c r="C14" s="167">
        <f t="shared" si="0"/>
        <v>0.74069478908188591</v>
      </c>
      <c r="D14" s="31">
        <v>55</v>
      </c>
      <c r="E14" s="12" t="s">
        <v>22</v>
      </c>
      <c r="F14" s="31">
        <v>2.7</v>
      </c>
      <c r="G14" s="12" t="s">
        <v>49</v>
      </c>
      <c r="H14" s="172">
        <v>2</v>
      </c>
      <c r="I14" s="128" t="s">
        <v>82</v>
      </c>
      <c r="J14" s="182"/>
      <c r="K14" s="138">
        <v>1996</v>
      </c>
      <c r="L14" s="172">
        <v>5.82</v>
      </c>
      <c r="M14" s="167">
        <f t="shared" si="1"/>
        <v>1</v>
      </c>
      <c r="N14" s="31">
        <v>5</v>
      </c>
      <c r="O14" s="12" t="s">
        <v>49</v>
      </c>
      <c r="P14" s="31">
        <v>0.62</v>
      </c>
      <c r="Q14" s="12" t="s">
        <v>50</v>
      </c>
      <c r="R14" s="172">
        <v>0.2</v>
      </c>
      <c r="S14" s="128" t="s">
        <v>83</v>
      </c>
    </row>
    <row r="15" spans="1:20" x14ac:dyDescent="0.25">
      <c r="A15" s="138">
        <v>1997</v>
      </c>
      <c r="B15" s="172">
        <v>68.3</v>
      </c>
      <c r="C15" s="167">
        <f t="shared" si="0"/>
        <v>0.84480234260614939</v>
      </c>
      <c r="D15" s="31">
        <v>53</v>
      </c>
      <c r="E15" s="12" t="s">
        <v>22</v>
      </c>
      <c r="F15" s="31">
        <v>2.7</v>
      </c>
      <c r="G15" s="12" t="s">
        <v>49</v>
      </c>
      <c r="H15" s="31">
        <v>2</v>
      </c>
      <c r="I15" s="128" t="s">
        <v>82</v>
      </c>
      <c r="J15" s="182"/>
      <c r="K15" s="138">
        <v>1997</v>
      </c>
      <c r="L15" s="172">
        <v>6.28</v>
      </c>
      <c r="M15" s="167">
        <f t="shared" si="1"/>
        <v>0.95063694267515919</v>
      </c>
      <c r="N15" s="31">
        <v>5</v>
      </c>
      <c r="O15" s="12" t="s">
        <v>49</v>
      </c>
      <c r="P15" s="31">
        <v>0.77</v>
      </c>
      <c r="Q15" s="12" t="s">
        <v>50</v>
      </c>
      <c r="R15" s="31">
        <v>0.2</v>
      </c>
      <c r="S15" s="176" t="s">
        <v>657</v>
      </c>
    </row>
    <row r="16" spans="1:20" x14ac:dyDescent="0.25">
      <c r="A16" s="138">
        <v>1998</v>
      </c>
      <c r="B16" s="172">
        <v>77.099999999999994</v>
      </c>
      <c r="C16" s="167">
        <f t="shared" si="0"/>
        <v>0.90466926070038922</v>
      </c>
      <c r="D16" s="31">
        <v>60</v>
      </c>
      <c r="E16" s="12" t="s">
        <v>22</v>
      </c>
      <c r="F16" s="31">
        <v>7.05</v>
      </c>
      <c r="G16" s="12" t="s">
        <v>81</v>
      </c>
      <c r="H16" s="31">
        <v>2.7</v>
      </c>
      <c r="I16" s="128" t="s">
        <v>49</v>
      </c>
      <c r="J16" s="182"/>
      <c r="K16" s="138">
        <v>1998</v>
      </c>
      <c r="L16" s="172">
        <v>5.92</v>
      </c>
      <c r="M16" s="167">
        <f t="shared" si="1"/>
        <v>0.96621621621621623</v>
      </c>
      <c r="N16" s="31">
        <v>5</v>
      </c>
      <c r="O16" s="12" t="s">
        <v>49</v>
      </c>
      <c r="P16" s="31">
        <v>0.52</v>
      </c>
      <c r="Q16" s="12" t="s">
        <v>50</v>
      </c>
      <c r="R16" s="31">
        <v>0.2</v>
      </c>
      <c r="S16" s="176" t="s">
        <v>657</v>
      </c>
    </row>
    <row r="17" spans="1:19" x14ac:dyDescent="0.25">
      <c r="A17" s="138">
        <v>1999</v>
      </c>
      <c r="B17" s="172">
        <v>81.599999999999994</v>
      </c>
      <c r="C17" s="167">
        <f t="shared" si="0"/>
        <v>0.96593137254901973</v>
      </c>
      <c r="D17" s="31">
        <v>70</v>
      </c>
      <c r="E17" s="12" t="s">
        <v>22</v>
      </c>
      <c r="F17" s="31">
        <v>6.12</v>
      </c>
      <c r="G17" s="12" t="s">
        <v>81</v>
      </c>
      <c r="H17" s="31">
        <v>2.7</v>
      </c>
      <c r="I17" s="128" t="s">
        <v>49</v>
      </c>
      <c r="J17" s="182"/>
      <c r="K17" s="138">
        <v>1999</v>
      </c>
      <c r="L17" s="172">
        <v>6.55</v>
      </c>
      <c r="M17" s="167">
        <f t="shared" si="1"/>
        <v>0.96946564885496189</v>
      </c>
      <c r="N17" s="31">
        <v>5</v>
      </c>
      <c r="O17" s="12" t="s">
        <v>49</v>
      </c>
      <c r="P17" s="31">
        <v>1.1499999999999999</v>
      </c>
      <c r="Q17" s="12" t="s">
        <v>50</v>
      </c>
      <c r="R17" s="31">
        <v>0.2</v>
      </c>
      <c r="S17" s="176" t="s">
        <v>657</v>
      </c>
    </row>
    <row r="18" spans="1:19" x14ac:dyDescent="0.25">
      <c r="A18" s="138">
        <v>2000</v>
      </c>
      <c r="B18" s="172">
        <v>92.7</v>
      </c>
      <c r="C18" s="167">
        <f t="shared" si="0"/>
        <v>0.98425026968716278</v>
      </c>
      <c r="D18" s="31">
        <v>73</v>
      </c>
      <c r="E18" s="12" t="s">
        <v>22</v>
      </c>
      <c r="F18" s="31">
        <v>15.54</v>
      </c>
      <c r="G18" s="12" t="s">
        <v>81</v>
      </c>
      <c r="H18" s="31">
        <v>2.7</v>
      </c>
      <c r="I18" s="128" t="s">
        <v>49</v>
      </c>
      <c r="J18" s="182"/>
      <c r="K18" s="138">
        <v>2000</v>
      </c>
      <c r="L18" s="172">
        <v>6.02</v>
      </c>
      <c r="M18" s="167">
        <f t="shared" si="1"/>
        <v>1.0000000000000002</v>
      </c>
      <c r="N18" s="31">
        <v>5</v>
      </c>
      <c r="O18" s="12" t="s">
        <v>49</v>
      </c>
      <c r="P18" s="31">
        <v>0.82</v>
      </c>
      <c r="Q18" s="12" t="s">
        <v>50</v>
      </c>
      <c r="R18" s="31">
        <v>0.2</v>
      </c>
      <c r="S18" s="128" t="s">
        <v>28</v>
      </c>
    </row>
    <row r="19" spans="1:19" x14ac:dyDescent="0.25">
      <c r="A19" s="138">
        <v>2001</v>
      </c>
      <c r="B19" s="172">
        <v>89.5</v>
      </c>
      <c r="C19" s="167">
        <f t="shared" si="0"/>
        <v>0.99553072625698313</v>
      </c>
      <c r="D19" s="31">
        <v>80.599999999999994</v>
      </c>
      <c r="E19" s="12" t="s">
        <v>22</v>
      </c>
      <c r="F19" s="31">
        <v>5.8</v>
      </c>
      <c r="G19" s="12" t="s">
        <v>81</v>
      </c>
      <c r="H19" s="31">
        <v>2.7</v>
      </c>
      <c r="I19" s="128" t="s">
        <v>49</v>
      </c>
      <c r="J19" s="182"/>
      <c r="K19" s="138">
        <v>2001</v>
      </c>
      <c r="L19" s="172">
        <v>5.64</v>
      </c>
      <c r="M19" s="167">
        <f>(N19+P19)/L19</f>
        <v>1</v>
      </c>
      <c r="N19" s="31">
        <v>5</v>
      </c>
      <c r="O19" s="12" t="s">
        <v>49</v>
      </c>
      <c r="P19" s="31">
        <v>0.64</v>
      </c>
      <c r="Q19" s="12" t="s">
        <v>50</v>
      </c>
      <c r="R19" s="173" t="s">
        <v>394</v>
      </c>
      <c r="S19" s="128" t="s">
        <v>310</v>
      </c>
    </row>
    <row r="20" spans="1:19" x14ac:dyDescent="0.25">
      <c r="A20" s="138">
        <v>2002</v>
      </c>
      <c r="B20" s="172">
        <v>93</v>
      </c>
      <c r="C20" s="167">
        <f t="shared" si="0"/>
        <v>0.99784946236559136</v>
      </c>
      <c r="D20" s="31">
        <v>88</v>
      </c>
      <c r="E20" s="12" t="s">
        <v>22</v>
      </c>
      <c r="F20" s="34">
        <v>2.7</v>
      </c>
      <c r="G20" s="12" t="s">
        <v>49</v>
      </c>
      <c r="H20" s="33">
        <v>2.1</v>
      </c>
      <c r="I20" s="128" t="s">
        <v>81</v>
      </c>
      <c r="J20" s="182"/>
      <c r="K20" s="138">
        <v>2002</v>
      </c>
      <c r="L20" s="172">
        <v>5.44</v>
      </c>
      <c r="M20" s="167">
        <f>(N20+P20)/L20</f>
        <v>1</v>
      </c>
      <c r="N20" s="31">
        <v>5</v>
      </c>
      <c r="O20" s="12" t="s">
        <v>49</v>
      </c>
      <c r="P20" s="34">
        <v>0.44</v>
      </c>
      <c r="Q20" s="12" t="s">
        <v>50</v>
      </c>
      <c r="R20" s="173" t="s">
        <v>394</v>
      </c>
      <c r="S20" s="128" t="s">
        <v>310</v>
      </c>
    </row>
    <row r="21" spans="1:19" x14ac:dyDescent="0.25">
      <c r="A21" s="138">
        <v>2003</v>
      </c>
      <c r="B21" s="172">
        <v>97.1</v>
      </c>
      <c r="C21" s="167">
        <f t="shared" si="0"/>
        <v>0.99588053553038114</v>
      </c>
      <c r="D21" s="33">
        <v>92</v>
      </c>
      <c r="E21" s="12" t="s">
        <v>22</v>
      </c>
      <c r="F21" s="34">
        <v>2.7</v>
      </c>
      <c r="G21" s="12" t="s">
        <v>49</v>
      </c>
      <c r="H21" s="34">
        <v>2</v>
      </c>
      <c r="I21" s="128" t="s">
        <v>81</v>
      </c>
      <c r="J21" s="182"/>
      <c r="K21" s="138">
        <v>2003</v>
      </c>
      <c r="L21" s="172">
        <v>5.8</v>
      </c>
      <c r="M21" s="167">
        <f>(N21+P21)/L21</f>
        <v>1</v>
      </c>
      <c r="N21" s="33">
        <v>5</v>
      </c>
      <c r="O21" s="12" t="s">
        <v>49</v>
      </c>
      <c r="P21" s="34">
        <v>0.8</v>
      </c>
      <c r="Q21" s="12" t="s">
        <v>50</v>
      </c>
      <c r="R21" s="173" t="s">
        <v>394</v>
      </c>
      <c r="S21" s="128" t="s">
        <v>310</v>
      </c>
    </row>
    <row r="22" spans="1:19" x14ac:dyDescent="0.25">
      <c r="A22" s="138">
        <v>2004</v>
      </c>
      <c r="B22" s="172">
        <v>102</v>
      </c>
      <c r="C22" s="167">
        <f t="shared" si="0"/>
        <v>0.99509803921568629</v>
      </c>
      <c r="D22" s="34">
        <v>98</v>
      </c>
      <c r="E22" s="12" t="s">
        <v>22</v>
      </c>
      <c r="F22" s="34">
        <v>2.7</v>
      </c>
      <c r="G22" s="12" t="s">
        <v>49</v>
      </c>
      <c r="H22" s="32">
        <v>0.8</v>
      </c>
      <c r="I22" s="128" t="s">
        <v>50</v>
      </c>
      <c r="J22" s="182"/>
      <c r="K22" s="138">
        <v>2004</v>
      </c>
      <c r="L22" s="172">
        <v>7.41</v>
      </c>
      <c r="M22" s="167">
        <f t="shared" si="1"/>
        <v>1</v>
      </c>
      <c r="N22" s="34">
        <v>5</v>
      </c>
      <c r="O22" s="12" t="s">
        <v>49</v>
      </c>
      <c r="P22" s="34">
        <v>1.68</v>
      </c>
      <c r="Q22" s="12" t="s">
        <v>50</v>
      </c>
      <c r="R22" s="32">
        <v>0.73</v>
      </c>
      <c r="S22" s="128" t="s">
        <v>28</v>
      </c>
    </row>
    <row r="23" spans="1:19" x14ac:dyDescent="0.25">
      <c r="A23" s="138">
        <v>2005</v>
      </c>
      <c r="B23" s="172">
        <v>122</v>
      </c>
      <c r="C23" s="167">
        <f t="shared" si="0"/>
        <v>1.0018852459016394</v>
      </c>
      <c r="D23" s="32">
        <v>119</v>
      </c>
      <c r="E23" s="12" t="s">
        <v>22</v>
      </c>
      <c r="F23" s="34">
        <v>2.7</v>
      </c>
      <c r="G23" s="12" t="s">
        <v>49</v>
      </c>
      <c r="H23" s="33">
        <v>0.53</v>
      </c>
      <c r="I23" s="128" t="s">
        <v>28</v>
      </c>
      <c r="J23" s="182"/>
      <c r="K23" s="138">
        <v>2005</v>
      </c>
      <c r="L23" s="172">
        <v>6.28</v>
      </c>
      <c r="M23" s="167">
        <f t="shared" si="1"/>
        <v>1</v>
      </c>
      <c r="N23" s="32">
        <v>5</v>
      </c>
      <c r="O23" s="12" t="s">
        <v>49</v>
      </c>
      <c r="P23" s="34">
        <v>0.96</v>
      </c>
      <c r="Q23" s="12" t="s">
        <v>28</v>
      </c>
      <c r="R23" s="33">
        <v>0.32</v>
      </c>
      <c r="S23" s="128" t="s">
        <v>50</v>
      </c>
    </row>
    <row r="24" spans="1:19" x14ac:dyDescent="0.25">
      <c r="A24" s="138">
        <v>2006</v>
      </c>
      <c r="B24" s="172">
        <v>137</v>
      </c>
      <c r="C24" s="167">
        <f t="shared" si="0"/>
        <v>0.99437956204379552</v>
      </c>
      <c r="D24" s="33">
        <v>133</v>
      </c>
      <c r="E24" s="12" t="s">
        <v>22</v>
      </c>
      <c r="F24" s="34">
        <v>2.7</v>
      </c>
      <c r="G24" s="12" t="s">
        <v>49</v>
      </c>
      <c r="H24" s="33">
        <v>0.53</v>
      </c>
      <c r="I24" s="128" t="s">
        <v>28</v>
      </c>
      <c r="J24" s="182"/>
      <c r="K24" s="138">
        <v>2006</v>
      </c>
      <c r="L24" s="172">
        <v>6.85</v>
      </c>
      <c r="M24" s="167">
        <f t="shared" si="1"/>
        <v>1</v>
      </c>
      <c r="N24" s="33">
        <v>5</v>
      </c>
      <c r="O24" s="12" t="s">
        <v>49</v>
      </c>
      <c r="P24" s="34">
        <v>0.96</v>
      </c>
      <c r="Q24" s="12" t="s">
        <v>28</v>
      </c>
      <c r="R24" s="33">
        <v>0.89</v>
      </c>
      <c r="S24" s="128" t="s">
        <v>50</v>
      </c>
    </row>
    <row r="25" spans="1:19" x14ac:dyDescent="0.25">
      <c r="A25" s="138" t="s">
        <v>4</v>
      </c>
      <c r="B25" s="172">
        <v>124</v>
      </c>
      <c r="C25" s="167">
        <f t="shared" si="0"/>
        <v>0.99475806451612914</v>
      </c>
      <c r="D25" s="33">
        <v>120</v>
      </c>
      <c r="E25" s="12" t="s">
        <v>22</v>
      </c>
      <c r="F25" s="34">
        <v>2.7</v>
      </c>
      <c r="G25" s="12" t="s">
        <v>49</v>
      </c>
      <c r="H25" s="172">
        <v>0.65</v>
      </c>
      <c r="I25" s="128" t="s">
        <v>28</v>
      </c>
      <c r="J25" s="182"/>
      <c r="K25" s="138" t="s">
        <v>4</v>
      </c>
      <c r="L25" s="172">
        <v>6.86</v>
      </c>
      <c r="M25" s="167">
        <f t="shared" si="1"/>
        <v>0.99854227405247808</v>
      </c>
      <c r="N25" s="33">
        <v>5</v>
      </c>
      <c r="O25" s="12" t="s">
        <v>49</v>
      </c>
      <c r="P25" s="34">
        <v>1.17</v>
      </c>
      <c r="Q25" s="12" t="s">
        <v>28</v>
      </c>
      <c r="R25" s="172">
        <v>0.68</v>
      </c>
      <c r="S25" s="128" t="s">
        <v>50</v>
      </c>
    </row>
    <row r="26" spans="1:19" x14ac:dyDescent="0.25">
      <c r="A26" s="138" t="s">
        <v>5</v>
      </c>
      <c r="B26" s="172">
        <v>128</v>
      </c>
      <c r="C26" s="167">
        <f t="shared" si="0"/>
        <v>1.001953125</v>
      </c>
      <c r="D26" s="172">
        <v>125</v>
      </c>
      <c r="E26" s="12" t="s">
        <v>22</v>
      </c>
      <c r="F26" s="172">
        <v>2.7</v>
      </c>
      <c r="G26" s="12" t="s">
        <v>49</v>
      </c>
      <c r="H26" s="172">
        <v>0.55000000000000004</v>
      </c>
      <c r="I26" s="128" t="s">
        <v>28</v>
      </c>
      <c r="J26" s="182"/>
      <c r="K26" s="138">
        <v>2008</v>
      </c>
      <c r="L26" s="172">
        <v>6.9</v>
      </c>
      <c r="M26" s="167">
        <f t="shared" si="1"/>
        <v>1</v>
      </c>
      <c r="N26" s="34">
        <v>5</v>
      </c>
      <c r="O26" s="38" t="s">
        <v>49</v>
      </c>
      <c r="P26" s="34">
        <v>1.2</v>
      </c>
      <c r="Q26" s="38" t="s">
        <v>28</v>
      </c>
      <c r="R26" s="172">
        <v>0.7</v>
      </c>
      <c r="S26" s="128" t="s">
        <v>50</v>
      </c>
    </row>
    <row r="27" spans="1:19" x14ac:dyDescent="0.25">
      <c r="A27" s="138" t="s">
        <v>6</v>
      </c>
      <c r="B27" s="167">
        <v>132</v>
      </c>
      <c r="C27" s="167">
        <f t="shared" si="0"/>
        <v>1.0018939393939394</v>
      </c>
      <c r="D27" s="167">
        <v>129</v>
      </c>
      <c r="E27" s="12" t="s">
        <v>22</v>
      </c>
      <c r="F27" s="167">
        <v>2.7</v>
      </c>
      <c r="G27" s="12" t="s">
        <v>49</v>
      </c>
      <c r="H27" s="167">
        <v>0.55000000000000004</v>
      </c>
      <c r="I27" s="128" t="s">
        <v>28</v>
      </c>
      <c r="J27" s="182"/>
      <c r="K27" s="138">
        <v>2009</v>
      </c>
      <c r="L27" s="172">
        <v>6.8</v>
      </c>
      <c r="M27" s="167">
        <f t="shared" si="1"/>
        <v>1</v>
      </c>
      <c r="N27" s="34">
        <v>5</v>
      </c>
      <c r="O27" s="38" t="s">
        <v>49</v>
      </c>
      <c r="P27" s="34">
        <v>1.2</v>
      </c>
      <c r="Q27" s="38" t="s">
        <v>28</v>
      </c>
      <c r="R27" s="172">
        <v>0.6</v>
      </c>
      <c r="S27" s="128" t="s">
        <v>50</v>
      </c>
    </row>
    <row r="28" spans="1:19" x14ac:dyDescent="0.25">
      <c r="A28" s="138"/>
      <c r="B28" s="167"/>
      <c r="C28" s="167"/>
      <c r="D28" s="12"/>
      <c r="E28" s="167"/>
      <c r="F28" s="12"/>
      <c r="G28" s="167"/>
      <c r="H28" s="167"/>
      <c r="I28" s="167"/>
      <c r="J28" s="182"/>
      <c r="K28" s="141" t="s">
        <v>627</v>
      </c>
      <c r="L28" s="182"/>
      <c r="M28" s="182"/>
      <c r="N28" s="182"/>
      <c r="O28" s="182"/>
      <c r="P28" s="182"/>
      <c r="Q28" s="182"/>
      <c r="R28" s="182"/>
      <c r="S28" s="141"/>
    </row>
    <row r="29" spans="1:19" x14ac:dyDescent="0.25">
      <c r="B29" s="10"/>
      <c r="H29" s="10"/>
    </row>
  </sheetData>
  <mergeCells count="14">
    <mergeCell ref="A1:I2"/>
    <mergeCell ref="L6:L7"/>
    <mergeCell ref="K1:S2"/>
    <mergeCell ref="B5:I5"/>
    <mergeCell ref="D6:E6"/>
    <mergeCell ref="F6:G6"/>
    <mergeCell ref="H6:I6"/>
    <mergeCell ref="C6:C7"/>
    <mergeCell ref="B6:B7"/>
    <mergeCell ref="L5:S5"/>
    <mergeCell ref="N6:O6"/>
    <mergeCell ref="P6:Q6"/>
    <mergeCell ref="R6:S6"/>
    <mergeCell ref="M6:M7"/>
  </mergeCells>
  <pageMargins left="0.7" right="0.7" top="0.75" bottom="0.75" header="0.3" footer="0.3"/>
  <pageSetup orientation="landscape" r:id="rId1"/>
  <colBreaks count="1" manualBreakCount="1">
    <brk id="9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3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3" width="13.28515625" customWidth="1"/>
    <col min="4" max="4" width="13.85546875" customWidth="1"/>
    <col min="5" max="9" width="13.28515625" customWidth="1"/>
    <col min="10" max="10" width="13.28515625" style="60" customWidth="1"/>
    <col min="11" max="34" width="9.140625" style="60"/>
  </cols>
  <sheetData>
    <row r="1" spans="1:35" ht="15" customHeight="1" x14ac:dyDescent="0.25">
      <c r="A1" s="278" t="s">
        <v>462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35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35" ht="15" customHeight="1" x14ac:dyDescent="0.25">
      <c r="A3" s="110" t="s">
        <v>658</v>
      </c>
      <c r="B3" s="111"/>
      <c r="C3" s="111"/>
      <c r="D3" s="111"/>
      <c r="E3" s="111"/>
      <c r="F3" s="111"/>
      <c r="G3" s="111"/>
      <c r="H3" s="111"/>
      <c r="I3" s="111"/>
    </row>
    <row r="4" spans="1:35" x14ac:dyDescent="0.25">
      <c r="A4" s="5"/>
      <c r="B4" s="6"/>
      <c r="C4" s="6"/>
      <c r="D4" s="6"/>
      <c r="E4" s="6"/>
      <c r="F4" s="6"/>
      <c r="H4" s="6"/>
      <c r="I4" s="6"/>
    </row>
    <row r="5" spans="1:35" x14ac:dyDescent="0.25">
      <c r="A5" s="105"/>
      <c r="B5" s="283" t="s">
        <v>77</v>
      </c>
      <c r="C5" s="283"/>
      <c r="D5" s="283"/>
      <c r="E5" s="283"/>
      <c r="F5" s="283"/>
      <c r="G5" s="283"/>
      <c r="H5" s="283"/>
      <c r="I5" s="283"/>
      <c r="J5" s="182"/>
    </row>
    <row r="6" spans="1:35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</row>
    <row r="7" spans="1:35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</row>
    <row r="8" spans="1:35" x14ac:dyDescent="0.25">
      <c r="A8" s="138">
        <v>1996</v>
      </c>
      <c r="B8" s="167">
        <v>21.2</v>
      </c>
      <c r="C8" s="141">
        <v>14</v>
      </c>
      <c r="D8" s="167">
        <f t="shared" ref="D8:D21" si="0">(E8+G8+I8)/B8</f>
        <v>0.28773584905660377</v>
      </c>
      <c r="E8" s="15">
        <v>2.6</v>
      </c>
      <c r="F8" s="12" t="s">
        <v>78</v>
      </c>
      <c r="G8" s="15">
        <v>2</v>
      </c>
      <c r="H8" s="12" t="s">
        <v>44</v>
      </c>
      <c r="I8" s="167">
        <v>1.5</v>
      </c>
      <c r="J8" s="128" t="s">
        <v>38</v>
      </c>
      <c r="AI8" s="60"/>
    </row>
    <row r="9" spans="1:35" x14ac:dyDescent="0.25">
      <c r="A9" s="138">
        <v>1997</v>
      </c>
      <c r="B9" s="167">
        <v>26.7</v>
      </c>
      <c r="C9" s="141">
        <v>15.4</v>
      </c>
      <c r="D9" s="167">
        <f t="shared" si="0"/>
        <v>0.23595505617977527</v>
      </c>
      <c r="E9" s="15">
        <v>2.5</v>
      </c>
      <c r="F9" s="12" t="s">
        <v>78</v>
      </c>
      <c r="G9" s="15">
        <v>2</v>
      </c>
      <c r="H9" s="12" t="s">
        <v>44</v>
      </c>
      <c r="I9" s="15">
        <v>1.8</v>
      </c>
      <c r="J9" s="128" t="s">
        <v>79</v>
      </c>
      <c r="AI9" s="60"/>
    </row>
    <row r="10" spans="1:35" x14ac:dyDescent="0.25">
      <c r="A10" s="138">
        <v>1998</v>
      </c>
      <c r="B10" s="167">
        <v>34.200000000000003</v>
      </c>
      <c r="C10" s="141">
        <v>6.9</v>
      </c>
      <c r="D10" s="167">
        <f t="shared" si="0"/>
        <v>0.58479532163742687</v>
      </c>
      <c r="E10" s="15">
        <v>15.3</v>
      </c>
      <c r="F10" s="12" t="s">
        <v>78</v>
      </c>
      <c r="G10" s="15">
        <v>2.4</v>
      </c>
      <c r="H10" s="12" t="s">
        <v>79</v>
      </c>
      <c r="I10" s="15">
        <v>2.2999999999999998</v>
      </c>
      <c r="J10" s="128" t="s">
        <v>44</v>
      </c>
      <c r="AI10" s="60"/>
    </row>
    <row r="11" spans="1:35" x14ac:dyDescent="0.25">
      <c r="A11" s="138">
        <v>1999</v>
      </c>
      <c r="B11" s="167">
        <v>35.299999999999997</v>
      </c>
      <c r="C11" s="141">
        <v>6.2</v>
      </c>
      <c r="D11" s="167">
        <f t="shared" si="0"/>
        <v>0.64305949008498586</v>
      </c>
      <c r="E11" s="15">
        <v>15.5</v>
      </c>
      <c r="F11" s="12" t="s">
        <v>78</v>
      </c>
      <c r="G11" s="15">
        <v>4.8</v>
      </c>
      <c r="H11" s="12" t="s">
        <v>44</v>
      </c>
      <c r="I11" s="15">
        <v>2.4</v>
      </c>
      <c r="J11" s="128" t="s">
        <v>79</v>
      </c>
      <c r="AI11" s="60"/>
    </row>
    <row r="12" spans="1:35" x14ac:dyDescent="0.25">
      <c r="A12" s="138">
        <v>2000</v>
      </c>
      <c r="B12" s="167">
        <v>36</v>
      </c>
      <c r="C12" s="141">
        <v>7.2</v>
      </c>
      <c r="D12" s="167">
        <f t="shared" si="0"/>
        <v>0.62222222222222223</v>
      </c>
      <c r="E12" s="15">
        <v>15.2</v>
      </c>
      <c r="F12" s="12" t="s">
        <v>78</v>
      </c>
      <c r="G12" s="15">
        <v>4.8</v>
      </c>
      <c r="H12" s="12" t="s">
        <v>44</v>
      </c>
      <c r="I12" s="15">
        <v>2.4</v>
      </c>
      <c r="J12" s="128" t="s">
        <v>79</v>
      </c>
      <c r="AI12" s="60"/>
    </row>
    <row r="13" spans="1:35" x14ac:dyDescent="0.25">
      <c r="A13" s="138">
        <v>2001</v>
      </c>
      <c r="B13" s="167">
        <v>32.700000000000003</v>
      </c>
      <c r="C13" s="141">
        <v>5</v>
      </c>
      <c r="D13" s="167">
        <f t="shared" si="0"/>
        <v>0.71865443425076447</v>
      </c>
      <c r="E13" s="15">
        <v>16</v>
      </c>
      <c r="F13" s="12" t="s">
        <v>78</v>
      </c>
      <c r="G13" s="15">
        <v>5</v>
      </c>
      <c r="H13" s="12" t="s">
        <v>44</v>
      </c>
      <c r="I13" s="15">
        <v>2.5</v>
      </c>
      <c r="J13" s="128" t="s">
        <v>79</v>
      </c>
      <c r="AI13" s="60"/>
    </row>
    <row r="14" spans="1:35" x14ac:dyDescent="0.25">
      <c r="A14" s="138">
        <v>2002</v>
      </c>
      <c r="B14" s="167">
        <v>31.6</v>
      </c>
      <c r="C14" s="141">
        <v>3.4</v>
      </c>
      <c r="D14" s="167">
        <f t="shared" si="0"/>
        <v>0.73734177215189878</v>
      </c>
      <c r="E14" s="18">
        <v>15.7</v>
      </c>
      <c r="F14" s="12" t="s">
        <v>78</v>
      </c>
      <c r="G14" s="16">
        <v>5</v>
      </c>
      <c r="H14" s="12" t="s">
        <v>44</v>
      </c>
      <c r="I14" s="18">
        <v>2.6</v>
      </c>
      <c r="J14" s="128" t="s">
        <v>79</v>
      </c>
      <c r="AI14" s="60"/>
    </row>
    <row r="15" spans="1:35" x14ac:dyDescent="0.25">
      <c r="A15" s="138">
        <v>2003</v>
      </c>
      <c r="B15" s="167">
        <v>38.299999999999997</v>
      </c>
      <c r="C15" s="141">
        <v>6.3</v>
      </c>
      <c r="D15" s="167">
        <f t="shared" si="0"/>
        <v>0.7023498694516972</v>
      </c>
      <c r="E15" s="16">
        <v>19.3</v>
      </c>
      <c r="F15" s="12" t="s">
        <v>78</v>
      </c>
      <c r="G15" s="16">
        <v>5</v>
      </c>
      <c r="H15" s="12" t="s">
        <v>44</v>
      </c>
      <c r="I15" s="16">
        <v>2.6</v>
      </c>
      <c r="J15" s="128" t="s">
        <v>79</v>
      </c>
      <c r="AI15" s="60"/>
    </row>
    <row r="16" spans="1:35" x14ac:dyDescent="0.25">
      <c r="A16" s="138">
        <v>2004</v>
      </c>
      <c r="B16" s="167">
        <v>42.9</v>
      </c>
      <c r="C16" s="141">
        <v>6.5</v>
      </c>
      <c r="D16" s="167">
        <f t="shared" si="0"/>
        <v>0.72960372960372966</v>
      </c>
      <c r="E16" s="17">
        <v>21.3</v>
      </c>
      <c r="F16" s="12" t="s">
        <v>78</v>
      </c>
      <c r="G16" s="17">
        <v>5</v>
      </c>
      <c r="H16" s="12" t="s">
        <v>44</v>
      </c>
      <c r="I16" s="17">
        <v>5</v>
      </c>
      <c r="J16" s="128" t="s">
        <v>79</v>
      </c>
      <c r="AI16" s="60"/>
    </row>
    <row r="17" spans="1:35" x14ac:dyDescent="0.25">
      <c r="A17" s="138">
        <v>2005</v>
      </c>
      <c r="B17" s="167">
        <v>47.3</v>
      </c>
      <c r="C17" s="141">
        <v>7.9</v>
      </c>
      <c r="D17" s="167">
        <f t="shared" si="0"/>
        <v>0.7293868921775899</v>
      </c>
      <c r="E17" s="18">
        <v>21.5</v>
      </c>
      <c r="F17" s="12" t="s">
        <v>78</v>
      </c>
      <c r="G17" s="18">
        <v>8</v>
      </c>
      <c r="H17" s="12" t="s">
        <v>79</v>
      </c>
      <c r="I17" s="18">
        <v>5</v>
      </c>
      <c r="J17" s="128" t="s">
        <v>44</v>
      </c>
      <c r="AI17" s="60"/>
    </row>
    <row r="18" spans="1:35" x14ac:dyDescent="0.25">
      <c r="A18" s="138">
        <v>2006</v>
      </c>
      <c r="B18" s="167">
        <v>46.7</v>
      </c>
      <c r="C18" s="141">
        <v>8.1</v>
      </c>
      <c r="D18" s="167">
        <f t="shared" si="0"/>
        <v>0.70235546038543883</v>
      </c>
      <c r="E18" s="18">
        <v>19.8</v>
      </c>
      <c r="F18" s="12" t="s">
        <v>78</v>
      </c>
      <c r="G18" s="18">
        <v>8</v>
      </c>
      <c r="H18" s="12" t="s">
        <v>79</v>
      </c>
      <c r="I18" s="18">
        <v>5</v>
      </c>
      <c r="J18" s="128" t="s">
        <v>44</v>
      </c>
      <c r="AI18" s="60"/>
    </row>
    <row r="19" spans="1:35" x14ac:dyDescent="0.25">
      <c r="A19" s="138" t="s">
        <v>4</v>
      </c>
      <c r="B19" s="167">
        <v>47.5</v>
      </c>
      <c r="C19" s="141">
        <v>7.1</v>
      </c>
      <c r="D19" s="167">
        <f t="shared" si="0"/>
        <v>0.70315789473684209</v>
      </c>
      <c r="E19" s="167">
        <v>22.9</v>
      </c>
      <c r="F19" s="12" t="s">
        <v>78</v>
      </c>
      <c r="G19" s="167">
        <v>5.5</v>
      </c>
      <c r="H19" s="12" t="s">
        <v>79</v>
      </c>
      <c r="I19" s="167">
        <v>5</v>
      </c>
      <c r="J19" s="128" t="s">
        <v>44</v>
      </c>
      <c r="AI19" s="60"/>
    </row>
    <row r="20" spans="1:35" x14ac:dyDescent="0.25">
      <c r="A20" s="138" t="s">
        <v>5</v>
      </c>
      <c r="B20" s="167">
        <v>54.9</v>
      </c>
      <c r="C20" s="141">
        <v>7.9</v>
      </c>
      <c r="D20" s="167">
        <f t="shared" si="0"/>
        <v>0.69398907103825136</v>
      </c>
      <c r="E20" s="167">
        <v>27.6</v>
      </c>
      <c r="F20" s="12" t="s">
        <v>78</v>
      </c>
      <c r="G20" s="167">
        <v>5.5</v>
      </c>
      <c r="H20" s="12" t="s">
        <v>79</v>
      </c>
      <c r="I20" s="167">
        <v>5</v>
      </c>
      <c r="J20" s="128" t="s">
        <v>44</v>
      </c>
      <c r="AI20" s="60"/>
    </row>
    <row r="21" spans="1:35" x14ac:dyDescent="0.25">
      <c r="A21" s="138" t="s">
        <v>6</v>
      </c>
      <c r="B21" s="167">
        <v>45.4</v>
      </c>
      <c r="C21" s="141">
        <v>5.6</v>
      </c>
      <c r="D21" s="167">
        <f t="shared" si="0"/>
        <v>0.72687224669603523</v>
      </c>
      <c r="E21" s="167">
        <v>25</v>
      </c>
      <c r="F21" s="12" t="s">
        <v>78</v>
      </c>
      <c r="G21" s="167">
        <v>5</v>
      </c>
      <c r="H21" s="12" t="s">
        <v>44</v>
      </c>
      <c r="I21" s="167">
        <v>3</v>
      </c>
      <c r="J21" s="128" t="s">
        <v>79</v>
      </c>
      <c r="AI21" s="60"/>
    </row>
    <row r="22" spans="1:35" x14ac:dyDescent="0.25">
      <c r="B22" s="10"/>
      <c r="H22" s="10"/>
    </row>
    <row r="23" spans="1:35" x14ac:dyDescent="0.25">
      <c r="A23" s="94"/>
      <c r="B23" s="10"/>
      <c r="H23" s="10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scale="96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9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1.140625" bestFit="1" customWidth="1"/>
    <col min="3" max="3" width="11.28515625" customWidth="1"/>
    <col min="4" max="4" width="14.42578125" customWidth="1"/>
    <col min="5" max="5" width="9.7109375" bestFit="1" customWidth="1"/>
    <col min="6" max="6" width="11.140625" bestFit="1" customWidth="1"/>
    <col min="7" max="7" width="9.7109375" bestFit="1" customWidth="1"/>
    <col min="8" max="8" width="10.28515625" bestFit="1" customWidth="1"/>
    <col min="9" max="9" width="9.140625" customWidth="1"/>
    <col min="10" max="33" width="9.140625" style="60"/>
  </cols>
  <sheetData>
    <row r="1" spans="1:34" ht="15" customHeight="1" x14ac:dyDescent="0.25">
      <c r="A1" s="278" t="s">
        <v>463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34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34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4" spans="1:34" x14ac:dyDescent="0.25">
      <c r="A4" s="5"/>
      <c r="B4" s="6"/>
      <c r="C4" s="6"/>
      <c r="D4" s="6"/>
      <c r="E4" s="6"/>
      <c r="F4" s="6"/>
      <c r="H4" s="6"/>
      <c r="I4" s="6"/>
    </row>
    <row r="5" spans="1:34" x14ac:dyDescent="0.25">
      <c r="A5" s="105"/>
      <c r="B5" s="283" t="s">
        <v>302</v>
      </c>
      <c r="C5" s="283"/>
      <c r="D5" s="283"/>
      <c r="E5" s="283"/>
      <c r="F5" s="283"/>
      <c r="G5" s="283"/>
      <c r="H5" s="283"/>
      <c r="I5" s="283"/>
      <c r="J5" s="182"/>
    </row>
    <row r="6" spans="1:34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93" t="s">
        <v>275</v>
      </c>
      <c r="F6" s="293"/>
      <c r="G6" s="293" t="s">
        <v>32</v>
      </c>
      <c r="H6" s="293"/>
      <c r="I6" s="293" t="s">
        <v>33</v>
      </c>
      <c r="J6" s="29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spans="1:34" s="13" customFormat="1" ht="29.25" customHeight="1" x14ac:dyDescent="0.25">
      <c r="A7" s="100" t="s">
        <v>368</v>
      </c>
      <c r="B7" s="281"/>
      <c r="C7" s="281"/>
      <c r="D7" s="281"/>
      <c r="E7" s="14" t="s">
        <v>8</v>
      </c>
      <c r="F7" s="14" t="s">
        <v>3</v>
      </c>
      <c r="G7" s="14" t="s">
        <v>8</v>
      </c>
      <c r="H7" s="14" t="s">
        <v>3</v>
      </c>
      <c r="I7" s="14" t="s">
        <v>8</v>
      </c>
      <c r="J7" s="14" t="s">
        <v>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</row>
    <row r="8" spans="1:34" x14ac:dyDescent="0.25">
      <c r="A8" s="138">
        <v>1990</v>
      </c>
      <c r="B8" s="167">
        <v>1770</v>
      </c>
      <c r="C8" s="167">
        <v>287.05</v>
      </c>
      <c r="D8" s="167">
        <f t="shared" ref="D8:D27" si="0">(E8+G8+I8)/B8</f>
        <v>0.61412429378531075</v>
      </c>
      <c r="E8" s="15">
        <v>495</v>
      </c>
      <c r="F8" s="12" t="s">
        <v>29</v>
      </c>
      <c r="G8" s="15">
        <v>342</v>
      </c>
      <c r="H8" s="12" t="s">
        <v>38</v>
      </c>
      <c r="I8" s="15">
        <v>250</v>
      </c>
      <c r="J8" s="167" t="s">
        <v>58</v>
      </c>
      <c r="AH8" s="60"/>
    </row>
    <row r="9" spans="1:34" x14ac:dyDescent="0.25">
      <c r="A9" s="138">
        <v>1991</v>
      </c>
      <c r="B9" s="167">
        <v>1640</v>
      </c>
      <c r="C9" s="167">
        <v>260.05</v>
      </c>
      <c r="D9" s="167">
        <f t="shared" si="0"/>
        <v>0.60645731707317063</v>
      </c>
      <c r="E9" s="15">
        <v>537.29999999999995</v>
      </c>
      <c r="F9" s="12" t="s">
        <v>29</v>
      </c>
      <c r="G9" s="15">
        <v>250</v>
      </c>
      <c r="H9" s="12" t="s">
        <v>58</v>
      </c>
      <c r="I9" s="15">
        <v>207.29</v>
      </c>
      <c r="J9" s="167" t="s">
        <v>38</v>
      </c>
      <c r="AH9" s="60"/>
    </row>
    <row r="10" spans="1:34" x14ac:dyDescent="0.25">
      <c r="A10" s="138">
        <v>1992</v>
      </c>
      <c r="B10" s="167">
        <v>1770</v>
      </c>
      <c r="C10" s="167">
        <v>243</v>
      </c>
      <c r="D10" s="167">
        <f t="shared" si="0"/>
        <v>0.6311073446327683</v>
      </c>
      <c r="E10" s="15">
        <v>573</v>
      </c>
      <c r="F10" s="12" t="s">
        <v>29</v>
      </c>
      <c r="G10" s="15">
        <v>294.06</v>
      </c>
      <c r="H10" s="12" t="s">
        <v>38</v>
      </c>
      <c r="I10" s="15">
        <v>250</v>
      </c>
      <c r="J10" s="167" t="s">
        <v>58</v>
      </c>
      <c r="AH10" s="60"/>
    </row>
    <row r="11" spans="1:34" x14ac:dyDescent="0.25">
      <c r="A11" s="138">
        <v>1993</v>
      </c>
      <c r="B11" s="167">
        <v>1740</v>
      </c>
      <c r="C11" s="167">
        <v>283</v>
      </c>
      <c r="D11" s="167">
        <f t="shared" si="0"/>
        <v>0.62410344827586206</v>
      </c>
      <c r="E11" s="15">
        <v>540.94000000000005</v>
      </c>
      <c r="F11" s="12" t="s">
        <v>29</v>
      </c>
      <c r="G11" s="15">
        <v>295</v>
      </c>
      <c r="H11" s="12" t="s">
        <v>38</v>
      </c>
      <c r="I11" s="15">
        <v>250</v>
      </c>
      <c r="J11" s="167" t="s">
        <v>58</v>
      </c>
      <c r="AH11" s="60"/>
    </row>
    <row r="12" spans="1:34" x14ac:dyDescent="0.25">
      <c r="A12" s="138">
        <v>1994</v>
      </c>
      <c r="B12" s="167">
        <v>2160</v>
      </c>
      <c r="C12" s="167">
        <v>360</v>
      </c>
      <c r="D12" s="167">
        <f t="shared" si="0"/>
        <v>0.66209722222222223</v>
      </c>
      <c r="E12" s="15">
        <v>614.13</v>
      </c>
      <c r="F12" s="12" t="s">
        <v>29</v>
      </c>
      <c r="G12" s="15">
        <v>566</v>
      </c>
      <c r="H12" s="12" t="s">
        <v>38</v>
      </c>
      <c r="I12" s="15">
        <v>250</v>
      </c>
      <c r="J12" s="167" t="s">
        <v>58</v>
      </c>
      <c r="AH12" s="60"/>
    </row>
    <row r="13" spans="1:34" x14ac:dyDescent="0.25">
      <c r="A13" s="138">
        <v>1995</v>
      </c>
      <c r="B13" s="167">
        <v>2070</v>
      </c>
      <c r="C13" s="167">
        <v>373</v>
      </c>
      <c r="D13" s="167">
        <f t="shared" si="0"/>
        <v>0.65252657004830916</v>
      </c>
      <c r="E13" s="15">
        <v>553</v>
      </c>
      <c r="F13" s="12" t="s">
        <v>38</v>
      </c>
      <c r="G13" s="15">
        <v>547.73</v>
      </c>
      <c r="H13" s="12" t="s">
        <v>29</v>
      </c>
      <c r="I13" s="15">
        <v>250</v>
      </c>
      <c r="J13" s="167" t="s">
        <v>58</v>
      </c>
      <c r="AH13" s="60"/>
    </row>
    <row r="14" spans="1:34" x14ac:dyDescent="0.25">
      <c r="A14" s="138">
        <v>1996</v>
      </c>
      <c r="B14" s="167">
        <v>2250</v>
      </c>
      <c r="C14" s="167">
        <v>379</v>
      </c>
      <c r="D14" s="167">
        <f t="shared" si="0"/>
        <v>0.68097333333333332</v>
      </c>
      <c r="E14" s="15">
        <v>694</v>
      </c>
      <c r="F14" s="12" t="s">
        <v>38</v>
      </c>
      <c r="G14" s="15">
        <v>588.19000000000005</v>
      </c>
      <c r="H14" s="12" t="s">
        <v>29</v>
      </c>
      <c r="I14" s="15">
        <v>250</v>
      </c>
      <c r="J14" s="167" t="s">
        <v>58</v>
      </c>
      <c r="AH14" s="60"/>
    </row>
    <row r="15" spans="1:34" x14ac:dyDescent="0.25">
      <c r="A15" s="138">
        <v>1997</v>
      </c>
      <c r="B15" s="167">
        <v>1720</v>
      </c>
      <c r="C15" s="245" t="s">
        <v>301</v>
      </c>
      <c r="D15" s="167">
        <f t="shared" si="0"/>
        <v>0.80719186046511626</v>
      </c>
      <c r="E15" s="15">
        <v>592</v>
      </c>
      <c r="F15" s="12" t="s">
        <v>38</v>
      </c>
      <c r="G15" s="15">
        <v>546.37</v>
      </c>
      <c r="H15" s="12" t="s">
        <v>29</v>
      </c>
      <c r="I15" s="15">
        <v>250</v>
      </c>
      <c r="J15" s="167" t="s">
        <v>58</v>
      </c>
      <c r="AH15" s="60"/>
    </row>
    <row r="16" spans="1:34" x14ac:dyDescent="0.25">
      <c r="A16" s="138">
        <v>1998</v>
      </c>
      <c r="B16" s="167">
        <v>1470</v>
      </c>
      <c r="C16" s="245" t="s">
        <v>301</v>
      </c>
      <c r="D16" s="167">
        <f t="shared" si="0"/>
        <v>0.78069387755102038</v>
      </c>
      <c r="E16" s="15">
        <v>549.62</v>
      </c>
      <c r="F16" s="12" t="s">
        <v>29</v>
      </c>
      <c r="G16" s="15">
        <v>398</v>
      </c>
      <c r="H16" s="12" t="s">
        <v>38</v>
      </c>
      <c r="I16" s="15">
        <v>200</v>
      </c>
      <c r="J16" s="167" t="s">
        <v>58</v>
      </c>
      <c r="AH16" s="60"/>
    </row>
    <row r="17" spans="1:34" x14ac:dyDescent="0.25">
      <c r="A17" s="138">
        <v>1999</v>
      </c>
      <c r="B17" s="167">
        <v>1410</v>
      </c>
      <c r="C17" s="245" t="s">
        <v>301</v>
      </c>
      <c r="D17" s="167">
        <f t="shared" si="0"/>
        <v>0.78389361702127658</v>
      </c>
      <c r="E17" s="15">
        <v>546.29</v>
      </c>
      <c r="F17" s="12" t="s">
        <v>29</v>
      </c>
      <c r="G17" s="15">
        <v>359</v>
      </c>
      <c r="H17" s="12" t="s">
        <v>38</v>
      </c>
      <c r="I17" s="15">
        <v>200</v>
      </c>
      <c r="J17" s="167" t="s">
        <v>58</v>
      </c>
      <c r="AH17" s="60"/>
    </row>
    <row r="18" spans="1:34" x14ac:dyDescent="0.25">
      <c r="A18" s="138">
        <v>2000</v>
      </c>
      <c r="B18" s="167">
        <v>1460</v>
      </c>
      <c r="C18" s="245" t="s">
        <v>301</v>
      </c>
      <c r="D18" s="167">
        <f t="shared" si="0"/>
        <v>0.79610958904109597</v>
      </c>
      <c r="E18" s="15">
        <v>612.32000000000005</v>
      </c>
      <c r="F18" s="12" t="s">
        <v>29</v>
      </c>
      <c r="G18" s="15">
        <v>350</v>
      </c>
      <c r="H18" s="12" t="s">
        <v>38</v>
      </c>
      <c r="I18" s="15">
        <v>200</v>
      </c>
      <c r="J18" s="167" t="s">
        <v>58</v>
      </c>
      <c r="AH18" s="60"/>
    </row>
    <row r="19" spans="1:34" x14ac:dyDescent="0.25">
      <c r="A19" s="138">
        <v>2001</v>
      </c>
      <c r="B19" s="167">
        <v>1420</v>
      </c>
      <c r="C19" s="245" t="s">
        <v>301</v>
      </c>
      <c r="D19" s="167">
        <f t="shared" si="0"/>
        <v>0.82611971830985931</v>
      </c>
      <c r="E19" s="15">
        <v>735.09</v>
      </c>
      <c r="F19" s="12" t="s">
        <v>29</v>
      </c>
      <c r="G19" s="15">
        <v>238</v>
      </c>
      <c r="H19" s="12" t="s">
        <v>38</v>
      </c>
      <c r="I19" s="15">
        <v>200</v>
      </c>
      <c r="J19" s="167" t="s">
        <v>58</v>
      </c>
      <c r="AH19" s="60"/>
    </row>
    <row r="20" spans="1:34" x14ac:dyDescent="0.25">
      <c r="A20" s="138">
        <v>2002</v>
      </c>
      <c r="B20" s="167">
        <v>1410</v>
      </c>
      <c r="C20" s="245" t="s">
        <v>301</v>
      </c>
      <c r="D20" s="167">
        <f t="shared" si="0"/>
        <v>0.79936170212765956</v>
      </c>
      <c r="E20" s="15">
        <v>752.1</v>
      </c>
      <c r="F20" s="12" t="s">
        <v>29</v>
      </c>
      <c r="G20" s="15">
        <v>200</v>
      </c>
      <c r="H20" s="12" t="s">
        <v>58</v>
      </c>
      <c r="I20" s="15">
        <v>175</v>
      </c>
      <c r="J20" s="167" t="s">
        <v>38</v>
      </c>
      <c r="AH20" s="60"/>
    </row>
    <row r="21" spans="1:34" x14ac:dyDescent="0.25">
      <c r="A21" s="138">
        <v>2003</v>
      </c>
      <c r="B21" s="167">
        <v>1570</v>
      </c>
      <c r="C21" s="245" t="s">
        <v>301</v>
      </c>
      <c r="D21" s="167">
        <f t="shared" si="0"/>
        <v>0.77836305732484079</v>
      </c>
      <c r="E21" s="15">
        <v>733.97</v>
      </c>
      <c r="F21" s="12" t="s">
        <v>29</v>
      </c>
      <c r="G21" s="15">
        <v>288.06</v>
      </c>
      <c r="H21" s="12" t="s">
        <v>38</v>
      </c>
      <c r="I21" s="15">
        <v>200</v>
      </c>
      <c r="J21" s="167" t="s">
        <v>58</v>
      </c>
      <c r="AH21" s="60"/>
    </row>
    <row r="22" spans="1:34" x14ac:dyDescent="0.25">
      <c r="A22" s="138">
        <v>2004</v>
      </c>
      <c r="B22" s="167">
        <v>1440</v>
      </c>
      <c r="C22" s="245" t="s">
        <v>301</v>
      </c>
      <c r="D22" s="167">
        <f t="shared" si="0"/>
        <v>0.74322222222222223</v>
      </c>
      <c r="E22" s="15">
        <v>599.16999999999996</v>
      </c>
      <c r="F22" s="12" t="s">
        <v>29</v>
      </c>
      <c r="G22" s="15">
        <v>271.07</v>
      </c>
      <c r="H22" s="12" t="s">
        <v>38</v>
      </c>
      <c r="I22" s="15">
        <v>200</v>
      </c>
      <c r="J22" s="167" t="s">
        <v>58</v>
      </c>
      <c r="AH22" s="60"/>
    </row>
    <row r="23" spans="1:34" x14ac:dyDescent="0.25">
      <c r="A23" s="138">
        <v>2005</v>
      </c>
      <c r="B23" s="167">
        <v>2020</v>
      </c>
      <c r="C23" s="245" t="s">
        <v>301</v>
      </c>
      <c r="D23" s="167">
        <f t="shared" si="0"/>
        <v>0.74486633663366342</v>
      </c>
      <c r="E23" s="15">
        <v>680</v>
      </c>
      <c r="F23" s="12" t="s">
        <v>57</v>
      </c>
      <c r="G23" s="15">
        <v>624.63</v>
      </c>
      <c r="H23" s="12" t="s">
        <v>29</v>
      </c>
      <c r="I23" s="15">
        <v>200</v>
      </c>
      <c r="J23" s="167" t="s">
        <v>58</v>
      </c>
      <c r="AH23" s="60"/>
    </row>
    <row r="24" spans="1:34" x14ac:dyDescent="0.25">
      <c r="A24" s="138">
        <v>2006</v>
      </c>
      <c r="B24" s="167">
        <v>2090</v>
      </c>
      <c r="C24" s="245" t="s">
        <v>301</v>
      </c>
      <c r="D24" s="167">
        <f t="shared" si="0"/>
        <v>0.75602870813397127</v>
      </c>
      <c r="E24" s="15">
        <v>730.1</v>
      </c>
      <c r="F24" s="12" t="s">
        <v>29</v>
      </c>
      <c r="G24" s="15">
        <v>650</v>
      </c>
      <c r="H24" s="12" t="s">
        <v>57</v>
      </c>
      <c r="I24" s="15">
        <v>200</v>
      </c>
      <c r="J24" s="167" t="s">
        <v>58</v>
      </c>
      <c r="AH24" s="60"/>
    </row>
    <row r="25" spans="1:34" x14ac:dyDescent="0.25">
      <c r="A25" s="138" t="s">
        <v>4</v>
      </c>
      <c r="B25" s="167">
        <v>2200</v>
      </c>
      <c r="C25" s="245" t="s">
        <v>301</v>
      </c>
      <c r="D25" s="167">
        <f t="shared" si="0"/>
        <v>0.75254545454545452</v>
      </c>
      <c r="E25" s="15">
        <v>805.6</v>
      </c>
      <c r="F25" s="12" t="s">
        <v>29</v>
      </c>
      <c r="G25" s="15">
        <v>650</v>
      </c>
      <c r="H25" s="12" t="s">
        <v>57</v>
      </c>
      <c r="I25" s="15">
        <v>200</v>
      </c>
      <c r="J25" s="167" t="s">
        <v>58</v>
      </c>
      <c r="AH25" s="60"/>
    </row>
    <row r="26" spans="1:34" x14ac:dyDescent="0.25">
      <c r="A26" s="138" t="s">
        <v>5</v>
      </c>
      <c r="B26" s="167">
        <v>2180</v>
      </c>
      <c r="C26" s="245" t="s">
        <v>301</v>
      </c>
      <c r="D26" s="167">
        <f t="shared" si="0"/>
        <v>0.73577981651376145</v>
      </c>
      <c r="E26" s="15">
        <v>754</v>
      </c>
      <c r="F26" s="12" t="s">
        <v>29</v>
      </c>
      <c r="G26" s="15">
        <v>650</v>
      </c>
      <c r="H26" s="12" t="s">
        <v>57</v>
      </c>
      <c r="I26" s="15">
        <v>200</v>
      </c>
      <c r="J26" s="167" t="s">
        <v>58</v>
      </c>
      <c r="AH26" s="60"/>
    </row>
    <row r="27" spans="1:34" x14ac:dyDescent="0.25">
      <c r="A27" s="138" t="s">
        <v>6</v>
      </c>
      <c r="B27" s="167">
        <v>2190</v>
      </c>
      <c r="C27" s="245" t="s">
        <v>301</v>
      </c>
      <c r="D27" s="167">
        <f t="shared" si="0"/>
        <v>0.71789954337899542</v>
      </c>
      <c r="E27" s="167">
        <v>722.2</v>
      </c>
      <c r="F27" s="12" t="s">
        <v>29</v>
      </c>
      <c r="G27" s="167">
        <v>650</v>
      </c>
      <c r="H27" s="12" t="s">
        <v>57</v>
      </c>
      <c r="I27" s="167">
        <v>200</v>
      </c>
      <c r="J27" s="167" t="s">
        <v>58</v>
      </c>
      <c r="AH27" s="60"/>
    </row>
    <row r="28" spans="1:34" x14ac:dyDescent="0.25">
      <c r="A28" s="137"/>
      <c r="B28" s="141"/>
      <c r="C28" s="141"/>
      <c r="D28" s="141"/>
      <c r="E28" s="141"/>
      <c r="F28" s="141"/>
      <c r="G28" s="141"/>
      <c r="H28" s="157"/>
      <c r="I28" s="141"/>
      <c r="J28" s="182"/>
    </row>
    <row r="29" spans="1:34" x14ac:dyDescent="0.25">
      <c r="A29" s="195" t="s">
        <v>659</v>
      </c>
      <c r="B29" s="141"/>
      <c r="C29" s="141"/>
      <c r="D29" s="141"/>
      <c r="E29" s="141"/>
      <c r="F29" s="141"/>
      <c r="G29" s="141"/>
      <c r="H29" s="157"/>
      <c r="I29" s="141"/>
      <c r="J29" s="182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3.28515625" style="85" customWidth="1"/>
    <col min="3" max="3" width="14.5703125" customWidth="1"/>
    <col min="4" max="4" width="13.28515625" style="85" customWidth="1"/>
    <col min="5" max="5" width="13.28515625" customWidth="1"/>
    <col min="6" max="6" width="13.28515625" style="85" customWidth="1"/>
    <col min="7" max="7" width="13.28515625" customWidth="1"/>
    <col min="8" max="8" width="13.28515625" style="85" customWidth="1"/>
    <col min="9" max="9" width="14.42578125" style="85" customWidth="1"/>
    <col min="10" max="10" width="2.7109375" style="60" customWidth="1"/>
    <col min="11" max="12" width="13.28515625" customWidth="1"/>
    <col min="13" max="13" width="13.85546875" customWidth="1"/>
    <col min="14" max="14" width="14" style="85" customWidth="1"/>
    <col min="15" max="15" width="13.28515625" customWidth="1"/>
    <col min="16" max="16" width="13.28515625" style="85" customWidth="1"/>
    <col min="17" max="17" width="13.28515625" customWidth="1"/>
    <col min="18" max="18" width="13.28515625" style="85" customWidth="1"/>
    <col min="19" max="19" width="13.28515625" customWidth="1"/>
    <col min="20" max="20" width="12.42578125" customWidth="1"/>
  </cols>
  <sheetData>
    <row r="1" spans="1:20" ht="15" customHeight="1" x14ac:dyDescent="0.25">
      <c r="A1" s="278" t="s">
        <v>373</v>
      </c>
      <c r="B1" s="278"/>
      <c r="C1" s="278"/>
      <c r="D1" s="278"/>
      <c r="E1" s="278"/>
      <c r="F1" s="278"/>
      <c r="G1" s="278"/>
      <c r="H1" s="278"/>
      <c r="I1" s="278"/>
      <c r="J1" s="4"/>
      <c r="K1" s="278" t="s">
        <v>374</v>
      </c>
      <c r="L1" s="278"/>
      <c r="M1" s="278"/>
      <c r="N1" s="278"/>
      <c r="O1" s="278"/>
      <c r="P1" s="278"/>
      <c r="Q1" s="278"/>
      <c r="R1" s="278"/>
      <c r="S1" s="278"/>
      <c r="T1" s="278"/>
    </row>
    <row r="2" spans="1:2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1:20" x14ac:dyDescent="0.25">
      <c r="A3" s="5"/>
      <c r="B3" s="87"/>
      <c r="C3" s="6"/>
      <c r="D3" s="87"/>
      <c r="E3" s="6"/>
      <c r="F3" s="87"/>
      <c r="G3" s="6"/>
      <c r="H3" s="87"/>
      <c r="I3" s="87"/>
      <c r="J3" s="6"/>
      <c r="K3" s="5"/>
      <c r="L3" s="6"/>
      <c r="M3" s="6"/>
      <c r="N3" s="87"/>
      <c r="S3" s="6"/>
    </row>
    <row r="4" spans="1:20" x14ac:dyDescent="0.25">
      <c r="A4" s="5"/>
      <c r="B4" s="87"/>
      <c r="C4" s="6"/>
      <c r="D4" s="87"/>
      <c r="E4" s="6"/>
      <c r="F4" s="87"/>
      <c r="G4" s="6"/>
      <c r="H4" s="87"/>
      <c r="I4" s="87"/>
      <c r="J4" s="6"/>
      <c r="K4" s="5"/>
      <c r="L4" s="6"/>
      <c r="M4" s="6"/>
      <c r="N4" s="87"/>
      <c r="S4" s="6"/>
    </row>
    <row r="5" spans="1:20" x14ac:dyDescent="0.25">
      <c r="A5" s="105"/>
      <c r="B5" s="283" t="s">
        <v>10</v>
      </c>
      <c r="C5" s="283"/>
      <c r="D5" s="283"/>
      <c r="E5" s="283"/>
      <c r="F5" s="283"/>
      <c r="G5" s="283"/>
      <c r="H5" s="283"/>
      <c r="I5" s="283"/>
      <c r="J5" s="105"/>
      <c r="K5" s="105"/>
      <c r="L5" s="283" t="s">
        <v>10</v>
      </c>
      <c r="M5" s="283"/>
      <c r="N5" s="284"/>
      <c r="O5" s="284"/>
      <c r="P5" s="284"/>
      <c r="Q5" s="284"/>
      <c r="R5" s="284"/>
      <c r="S5" s="284"/>
      <c r="T5" s="141"/>
    </row>
    <row r="6" spans="1:20" s="11" customFormat="1" ht="15" customHeight="1" x14ac:dyDescent="0.25">
      <c r="A6" s="101"/>
      <c r="B6" s="282" t="s">
        <v>387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99"/>
      <c r="K6" s="101"/>
      <c r="L6" s="282" t="s">
        <v>388</v>
      </c>
      <c r="M6" s="282" t="s">
        <v>389</v>
      </c>
      <c r="N6" s="282" t="s">
        <v>299</v>
      </c>
      <c r="O6" s="271" t="s">
        <v>275</v>
      </c>
      <c r="P6" s="271"/>
      <c r="Q6" s="279" t="s">
        <v>32</v>
      </c>
      <c r="R6" s="279"/>
      <c r="S6" s="279" t="s">
        <v>33</v>
      </c>
      <c r="T6" s="279"/>
    </row>
    <row r="7" spans="1:20" s="11" customFormat="1" ht="25.5" customHeight="1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281"/>
      <c r="O7" s="100" t="s">
        <v>9</v>
      </c>
      <c r="P7" s="98" t="s">
        <v>3</v>
      </c>
      <c r="Q7" s="100" t="s">
        <v>9</v>
      </c>
      <c r="R7" s="98" t="s">
        <v>3</v>
      </c>
      <c r="S7" s="100" t="s">
        <v>9</v>
      </c>
      <c r="T7" s="100" t="s">
        <v>3</v>
      </c>
    </row>
    <row r="8" spans="1:20" x14ac:dyDescent="0.25">
      <c r="A8" s="138">
        <v>1990</v>
      </c>
      <c r="B8" s="128">
        <v>94.4</v>
      </c>
      <c r="C8" s="128">
        <v>0.72108050847457617</v>
      </c>
      <c r="D8" s="167">
        <v>54.8</v>
      </c>
      <c r="E8" s="12" t="s">
        <v>22</v>
      </c>
      <c r="F8" s="167">
        <v>8.4499999999999993</v>
      </c>
      <c r="G8" s="12" t="s">
        <v>23</v>
      </c>
      <c r="H8" s="167">
        <v>4.82</v>
      </c>
      <c r="I8" s="128" t="s">
        <v>34</v>
      </c>
      <c r="J8" s="168"/>
      <c r="K8" s="138">
        <v>1990</v>
      </c>
      <c r="L8" s="167">
        <v>92.270999999999987</v>
      </c>
      <c r="M8" s="167">
        <v>20.399999999999999</v>
      </c>
      <c r="N8" s="167">
        <v>0.75159042386015118</v>
      </c>
      <c r="O8" s="167">
        <v>60</v>
      </c>
      <c r="P8" s="128" t="s">
        <v>22</v>
      </c>
      <c r="Q8" s="167">
        <v>6.52</v>
      </c>
      <c r="R8" s="138" t="s">
        <v>94</v>
      </c>
      <c r="S8" s="167">
        <v>2.83</v>
      </c>
      <c r="T8" s="138" t="s">
        <v>51</v>
      </c>
    </row>
    <row r="9" spans="1:20" x14ac:dyDescent="0.25">
      <c r="A9" s="138">
        <v>1991</v>
      </c>
      <c r="B9" s="128">
        <v>92.4</v>
      </c>
      <c r="C9" s="128">
        <v>0.88297619047619047</v>
      </c>
      <c r="D9" s="167">
        <v>58.3</v>
      </c>
      <c r="E9" s="12" t="s">
        <v>22</v>
      </c>
      <c r="F9" s="167">
        <v>16</v>
      </c>
      <c r="G9" s="12" t="s">
        <v>37</v>
      </c>
      <c r="H9" s="167">
        <v>7.2869999999999999</v>
      </c>
      <c r="I9" s="128" t="s">
        <v>23</v>
      </c>
      <c r="J9" s="168"/>
      <c r="K9" s="138">
        <v>1991</v>
      </c>
      <c r="L9" s="167">
        <v>89.039000000000016</v>
      </c>
      <c r="M9" s="167">
        <v>19.3</v>
      </c>
      <c r="N9" s="167">
        <v>0.74383135479958196</v>
      </c>
      <c r="O9" s="167">
        <v>61.4</v>
      </c>
      <c r="P9" s="128" t="s">
        <v>22</v>
      </c>
      <c r="Q9" s="167">
        <v>3.55</v>
      </c>
      <c r="R9" s="138" t="s">
        <v>23</v>
      </c>
      <c r="S9" s="167">
        <v>1.28</v>
      </c>
      <c r="T9" s="138" t="s">
        <v>73</v>
      </c>
    </row>
    <row r="10" spans="1:20" x14ac:dyDescent="0.25">
      <c r="A10" s="138">
        <v>1992</v>
      </c>
      <c r="B10" s="128">
        <v>90.1</v>
      </c>
      <c r="C10" s="128">
        <v>0.8326526082130965</v>
      </c>
      <c r="D10" s="167">
        <v>59</v>
      </c>
      <c r="E10" s="12" t="s">
        <v>22</v>
      </c>
      <c r="F10" s="167">
        <v>10</v>
      </c>
      <c r="G10" s="12" t="s">
        <v>24</v>
      </c>
      <c r="H10" s="167">
        <v>6.0220000000000002</v>
      </c>
      <c r="I10" s="128" t="s">
        <v>23</v>
      </c>
      <c r="J10" s="168"/>
      <c r="K10" s="138">
        <v>1992</v>
      </c>
      <c r="L10" s="167">
        <v>102.291</v>
      </c>
      <c r="M10" s="167">
        <v>12.7</v>
      </c>
      <c r="N10" s="167">
        <v>0.82871415862588105</v>
      </c>
      <c r="O10" s="167">
        <v>68.099999999999994</v>
      </c>
      <c r="P10" s="128" t="s">
        <v>22</v>
      </c>
      <c r="Q10" s="167">
        <v>11</v>
      </c>
      <c r="R10" s="138" t="s">
        <v>129</v>
      </c>
      <c r="S10" s="167">
        <v>5.67</v>
      </c>
      <c r="T10" s="138" t="s">
        <v>23</v>
      </c>
    </row>
    <row r="11" spans="1:20" x14ac:dyDescent="0.25">
      <c r="A11" s="138">
        <v>1993</v>
      </c>
      <c r="B11" s="128">
        <v>87</v>
      </c>
      <c r="C11" s="128">
        <v>0.8353563218390806</v>
      </c>
      <c r="D11" s="167">
        <v>60</v>
      </c>
      <c r="E11" s="12" t="s">
        <v>22</v>
      </c>
      <c r="F11" s="167">
        <v>7.12</v>
      </c>
      <c r="G11" s="12" t="s">
        <v>24</v>
      </c>
      <c r="H11" s="167">
        <v>5.556</v>
      </c>
      <c r="I11" s="128" t="s">
        <v>23</v>
      </c>
      <c r="J11" s="168"/>
      <c r="K11" s="138">
        <v>1993</v>
      </c>
      <c r="L11" s="167">
        <v>110.86599999999999</v>
      </c>
      <c r="M11" s="167">
        <v>9.6199999999999992</v>
      </c>
      <c r="N11" s="167">
        <v>0.87285551927552185</v>
      </c>
      <c r="O11" s="167">
        <v>81.3</v>
      </c>
      <c r="P11" s="128" t="s">
        <v>22</v>
      </c>
      <c r="Q11" s="167">
        <v>11</v>
      </c>
      <c r="R11" s="138" t="s">
        <v>129</v>
      </c>
      <c r="S11" s="167">
        <v>4.47</v>
      </c>
      <c r="T11" s="138" t="s">
        <v>23</v>
      </c>
    </row>
    <row r="12" spans="1:20" x14ac:dyDescent="0.25">
      <c r="A12" s="138">
        <v>1994</v>
      </c>
      <c r="B12" s="128">
        <v>118</v>
      </c>
      <c r="C12" s="128">
        <v>0.89025423728813557</v>
      </c>
      <c r="D12" s="167">
        <v>91</v>
      </c>
      <c r="E12" s="12" t="s">
        <v>22</v>
      </c>
      <c r="F12" s="167">
        <v>7.05</v>
      </c>
      <c r="G12" s="12" t="s">
        <v>23</v>
      </c>
      <c r="H12" s="167">
        <v>7</v>
      </c>
      <c r="I12" s="128" t="s">
        <v>24</v>
      </c>
      <c r="J12" s="168"/>
      <c r="K12" s="138">
        <v>1994</v>
      </c>
      <c r="L12" s="167">
        <v>133.392</v>
      </c>
      <c r="M12" s="167">
        <v>12.2</v>
      </c>
      <c r="N12" s="167">
        <v>0.87462516492743203</v>
      </c>
      <c r="O12" s="167">
        <v>101.2</v>
      </c>
      <c r="P12" s="128" t="s">
        <v>22</v>
      </c>
      <c r="Q12" s="167">
        <v>9.5879999999999992</v>
      </c>
      <c r="R12" s="138" t="s">
        <v>129</v>
      </c>
      <c r="S12" s="167">
        <v>5.88</v>
      </c>
      <c r="T12" s="138" t="s">
        <v>23</v>
      </c>
    </row>
    <row r="13" spans="1:20" x14ac:dyDescent="0.25">
      <c r="A13" s="138">
        <v>1995</v>
      </c>
      <c r="B13" s="128">
        <v>151</v>
      </c>
      <c r="C13" s="128">
        <v>0.91010596026490065</v>
      </c>
      <c r="D13" s="167">
        <v>125</v>
      </c>
      <c r="E13" s="12" t="s">
        <v>22</v>
      </c>
      <c r="F13" s="167">
        <v>6.4260000000000002</v>
      </c>
      <c r="G13" s="12" t="s">
        <v>23</v>
      </c>
      <c r="H13" s="167">
        <v>6</v>
      </c>
      <c r="I13" s="128" t="s">
        <v>24</v>
      </c>
      <c r="J13" s="168"/>
      <c r="K13" s="138">
        <v>1995</v>
      </c>
      <c r="L13" s="167">
        <v>153.48099999999997</v>
      </c>
      <c r="M13" s="167">
        <v>10.5</v>
      </c>
      <c r="N13" s="167">
        <v>0.909676116261948</v>
      </c>
      <c r="O13" s="167">
        <v>130</v>
      </c>
      <c r="P13" s="128" t="s">
        <v>22</v>
      </c>
      <c r="Q13" s="167">
        <v>4.7779999999999996</v>
      </c>
      <c r="R13" s="138" t="s">
        <v>129</v>
      </c>
      <c r="S13" s="167">
        <v>4.84</v>
      </c>
      <c r="T13" s="138" t="s">
        <v>23</v>
      </c>
    </row>
    <row r="14" spans="1:20" x14ac:dyDescent="0.25">
      <c r="A14" s="138">
        <v>1996</v>
      </c>
      <c r="B14" s="128">
        <v>156</v>
      </c>
      <c r="C14" s="128">
        <v>0.90697435897435885</v>
      </c>
      <c r="D14" s="167">
        <v>129</v>
      </c>
      <c r="E14" s="12" t="s">
        <v>22</v>
      </c>
      <c r="F14" s="167">
        <v>6.4880000000000004</v>
      </c>
      <c r="G14" s="12" t="s">
        <v>23</v>
      </c>
      <c r="H14" s="167">
        <v>6</v>
      </c>
      <c r="I14" s="128" t="s">
        <v>24</v>
      </c>
      <c r="J14" s="168"/>
      <c r="K14" s="138">
        <v>1996</v>
      </c>
      <c r="L14" s="167">
        <v>149.54600000000005</v>
      </c>
      <c r="M14" s="167">
        <v>7.78</v>
      </c>
      <c r="N14" s="167">
        <v>0.92888475786714431</v>
      </c>
      <c r="O14" s="167">
        <v>128</v>
      </c>
      <c r="P14" s="128" t="s">
        <v>22</v>
      </c>
      <c r="Q14" s="167">
        <v>6.0019999999999998</v>
      </c>
      <c r="R14" s="138" t="s">
        <v>129</v>
      </c>
      <c r="S14" s="167">
        <v>4.9089999999999998</v>
      </c>
      <c r="T14" s="138" t="s">
        <v>23</v>
      </c>
    </row>
    <row r="15" spans="1:20" x14ac:dyDescent="0.25">
      <c r="A15" s="138">
        <v>1997</v>
      </c>
      <c r="B15" s="128">
        <v>154</v>
      </c>
      <c r="C15" s="128">
        <v>0.92855844155844158</v>
      </c>
      <c r="D15" s="167">
        <v>131</v>
      </c>
      <c r="E15" s="12" t="s">
        <v>22</v>
      </c>
      <c r="F15" s="167">
        <v>5.9989999999999997</v>
      </c>
      <c r="G15" s="12" t="s">
        <v>24</v>
      </c>
      <c r="H15" s="167">
        <v>5.9989999999999997</v>
      </c>
      <c r="I15" s="128" t="s">
        <v>23</v>
      </c>
      <c r="J15" s="168"/>
      <c r="K15" s="138">
        <v>1997</v>
      </c>
      <c r="L15" s="167">
        <v>139.892</v>
      </c>
      <c r="M15" s="167">
        <v>7.55</v>
      </c>
      <c r="N15" s="167">
        <v>0.91954507763131565</v>
      </c>
      <c r="O15" s="167">
        <v>120.1</v>
      </c>
      <c r="P15" s="128" t="s">
        <v>22</v>
      </c>
      <c r="Q15" s="167">
        <v>4.4009999999999998</v>
      </c>
      <c r="R15" s="138" t="s">
        <v>129</v>
      </c>
      <c r="S15" s="167">
        <v>4.1360000000000001</v>
      </c>
      <c r="T15" s="138" t="s">
        <v>23</v>
      </c>
    </row>
    <row r="16" spans="1:20" x14ac:dyDescent="0.25">
      <c r="A16" s="138">
        <v>1998</v>
      </c>
      <c r="B16" s="128">
        <v>116</v>
      </c>
      <c r="C16" s="128">
        <v>0.91705172413793112</v>
      </c>
      <c r="D16" s="167">
        <v>97.4</v>
      </c>
      <c r="E16" s="12" t="s">
        <v>22</v>
      </c>
      <c r="F16" s="167">
        <v>4.7350000000000003</v>
      </c>
      <c r="G16" s="12" t="s">
        <v>23</v>
      </c>
      <c r="H16" s="167">
        <v>4.2430000000000003</v>
      </c>
      <c r="I16" s="128" t="s">
        <v>34</v>
      </c>
      <c r="J16" s="168"/>
      <c r="K16" s="138">
        <v>1998</v>
      </c>
      <c r="L16" s="167">
        <v>97.521000000000001</v>
      </c>
      <c r="M16" s="167">
        <v>7.71</v>
      </c>
      <c r="N16" s="167">
        <v>0.88391218301699115</v>
      </c>
      <c r="O16" s="167">
        <v>82</v>
      </c>
      <c r="P16" s="128" t="s">
        <v>22</v>
      </c>
      <c r="Q16" s="167">
        <v>3.8359999999999999</v>
      </c>
      <c r="R16" s="138" t="s">
        <v>23</v>
      </c>
      <c r="S16" s="167">
        <v>0.36399999999999999</v>
      </c>
      <c r="T16" s="138" t="s">
        <v>44</v>
      </c>
    </row>
    <row r="17" spans="1:20" x14ac:dyDescent="0.25">
      <c r="A17" s="138">
        <v>1999</v>
      </c>
      <c r="B17" s="128">
        <v>107</v>
      </c>
      <c r="C17" s="128">
        <v>0.92409345794392517</v>
      </c>
      <c r="D17" s="167">
        <v>89.6</v>
      </c>
      <c r="E17" s="12" t="s">
        <v>22</v>
      </c>
      <c r="F17" s="167">
        <v>5.2779999999999996</v>
      </c>
      <c r="G17" s="12" t="s">
        <v>34</v>
      </c>
      <c r="H17" s="167">
        <v>4</v>
      </c>
      <c r="I17" s="128" t="s">
        <v>24</v>
      </c>
      <c r="J17" s="168"/>
      <c r="K17" s="138">
        <v>1999</v>
      </c>
      <c r="L17" s="167">
        <v>97.526999999999987</v>
      </c>
      <c r="M17" s="167">
        <v>8.2200000000000006</v>
      </c>
      <c r="N17" s="167">
        <v>0.89201964584166449</v>
      </c>
      <c r="O17" s="167">
        <v>84.5</v>
      </c>
      <c r="P17" s="128" t="s">
        <v>22</v>
      </c>
      <c r="Q17" s="167">
        <v>2.2410000000000001</v>
      </c>
      <c r="R17" s="138" t="s">
        <v>23</v>
      </c>
      <c r="S17" s="167">
        <v>0.255</v>
      </c>
      <c r="T17" s="138" t="s">
        <v>44</v>
      </c>
    </row>
    <row r="18" spans="1:20" x14ac:dyDescent="0.25">
      <c r="A18" s="138">
        <v>2000</v>
      </c>
      <c r="B18" s="128">
        <v>126</v>
      </c>
      <c r="C18" s="128">
        <v>0.94130158730158731</v>
      </c>
      <c r="D18" s="167">
        <v>110</v>
      </c>
      <c r="E18" s="12" t="s">
        <v>22</v>
      </c>
      <c r="F18" s="167">
        <v>4.5</v>
      </c>
      <c r="G18" s="12" t="s">
        <v>24</v>
      </c>
      <c r="H18" s="167">
        <v>4.1040000000000001</v>
      </c>
      <c r="I18" s="128" t="s">
        <v>34</v>
      </c>
      <c r="J18" s="168"/>
      <c r="K18" s="138">
        <v>2000</v>
      </c>
      <c r="L18" s="167">
        <v>117.66500000000001</v>
      </c>
      <c r="M18" s="167">
        <v>7.7</v>
      </c>
      <c r="N18" s="167">
        <v>0.92457400246462407</v>
      </c>
      <c r="O18" s="167">
        <v>106</v>
      </c>
      <c r="P18" s="128" t="s">
        <v>22</v>
      </c>
      <c r="Q18" s="167">
        <v>1.5049999999999999</v>
      </c>
      <c r="R18" s="138" t="s">
        <v>129</v>
      </c>
      <c r="S18" s="167">
        <v>1.2849999999999999</v>
      </c>
      <c r="T18" s="138" t="s">
        <v>23</v>
      </c>
    </row>
    <row r="19" spans="1:20" x14ac:dyDescent="0.25">
      <c r="A19" s="138">
        <v>2001</v>
      </c>
      <c r="B19" s="128">
        <v>157</v>
      </c>
      <c r="C19" s="128">
        <v>0.95176433121019111</v>
      </c>
      <c r="D19" s="167">
        <v>140</v>
      </c>
      <c r="E19" s="12" t="s">
        <v>22</v>
      </c>
      <c r="F19" s="167">
        <v>4.9269999999999996</v>
      </c>
      <c r="G19" s="12" t="s">
        <v>34</v>
      </c>
      <c r="H19" s="167">
        <v>4.5</v>
      </c>
      <c r="I19" s="128" t="s">
        <v>24</v>
      </c>
      <c r="J19" s="168"/>
      <c r="K19" s="138">
        <v>2001</v>
      </c>
      <c r="L19" s="167">
        <v>157.38999999999999</v>
      </c>
      <c r="M19" s="167">
        <v>5.38</v>
      </c>
      <c r="N19" s="167">
        <v>0.95966706906410837</v>
      </c>
      <c r="O19" s="167">
        <v>148</v>
      </c>
      <c r="P19" s="128" t="s">
        <v>22</v>
      </c>
      <c r="Q19" s="167">
        <v>1.992</v>
      </c>
      <c r="R19" s="138" t="s">
        <v>23</v>
      </c>
      <c r="S19" s="167">
        <v>1.05</v>
      </c>
      <c r="T19" s="138" t="s">
        <v>129</v>
      </c>
    </row>
    <row r="20" spans="1:20" x14ac:dyDescent="0.25">
      <c r="A20" s="138">
        <v>2002</v>
      </c>
      <c r="B20" s="128">
        <v>118</v>
      </c>
      <c r="C20" s="128">
        <v>0.9215762711864407</v>
      </c>
      <c r="D20" s="167">
        <v>100</v>
      </c>
      <c r="E20" s="12" t="s">
        <v>22</v>
      </c>
      <c r="F20" s="167">
        <v>5.7460000000000004</v>
      </c>
      <c r="G20" s="12" t="s">
        <v>34</v>
      </c>
      <c r="H20" s="167">
        <v>3</v>
      </c>
      <c r="I20" s="128" t="s">
        <v>130</v>
      </c>
      <c r="J20" s="168"/>
      <c r="K20" s="138">
        <v>2002</v>
      </c>
      <c r="L20" s="167">
        <v>132.24299999999997</v>
      </c>
      <c r="M20" s="167">
        <v>5.35</v>
      </c>
      <c r="N20" s="167">
        <v>0.95282169944722994</v>
      </c>
      <c r="O20" s="167">
        <v>124</v>
      </c>
      <c r="P20" s="128" t="s">
        <v>22</v>
      </c>
      <c r="Q20" s="167">
        <v>1.504</v>
      </c>
      <c r="R20" s="138" t="s">
        <v>129</v>
      </c>
      <c r="S20" s="167">
        <v>0.5</v>
      </c>
      <c r="T20" s="138" t="s">
        <v>94</v>
      </c>
    </row>
    <row r="21" spans="1:20" x14ac:dyDescent="0.25">
      <c r="A21" s="138">
        <v>2003</v>
      </c>
      <c r="B21" s="128">
        <v>116</v>
      </c>
      <c r="C21" s="128">
        <v>0.92996551724137932</v>
      </c>
      <c r="D21" s="167">
        <v>100</v>
      </c>
      <c r="E21" s="12" t="s">
        <v>22</v>
      </c>
      <c r="F21" s="167">
        <v>5.2910000000000004</v>
      </c>
      <c r="G21" s="12" t="s">
        <v>34</v>
      </c>
      <c r="H21" s="167">
        <v>2.585</v>
      </c>
      <c r="I21" s="128" t="s">
        <v>23</v>
      </c>
      <c r="J21" s="168"/>
      <c r="K21" s="138">
        <v>2003</v>
      </c>
      <c r="L21" s="167">
        <v>100.541</v>
      </c>
      <c r="M21" s="167">
        <v>5.6</v>
      </c>
      <c r="N21" s="167">
        <v>0.92706458061885211</v>
      </c>
      <c r="O21" s="167">
        <v>90</v>
      </c>
      <c r="P21" s="128" t="s">
        <v>22</v>
      </c>
      <c r="Q21" s="167">
        <v>1.9</v>
      </c>
      <c r="R21" s="138" t="s">
        <v>128</v>
      </c>
      <c r="S21" s="167">
        <v>1.3080000000000001</v>
      </c>
      <c r="T21" s="138" t="s">
        <v>129</v>
      </c>
    </row>
    <row r="22" spans="1:20" x14ac:dyDescent="0.25">
      <c r="A22" s="138">
        <v>2004</v>
      </c>
      <c r="B22" s="128">
        <v>142</v>
      </c>
      <c r="C22" s="128">
        <v>0.93638732394366198</v>
      </c>
      <c r="D22" s="167">
        <v>125</v>
      </c>
      <c r="E22" s="12" t="s">
        <v>22</v>
      </c>
      <c r="F22" s="167">
        <v>4.9669999999999996</v>
      </c>
      <c r="G22" s="12" t="s">
        <v>34</v>
      </c>
      <c r="H22" s="167">
        <v>3</v>
      </c>
      <c r="I22" s="128" t="s">
        <v>24</v>
      </c>
      <c r="J22" s="168"/>
      <c r="K22" s="138">
        <v>2004</v>
      </c>
      <c r="L22" s="167">
        <v>134.09</v>
      </c>
      <c r="M22" s="167">
        <v>3.65</v>
      </c>
      <c r="N22" s="167">
        <v>0.9580953091207397</v>
      </c>
      <c r="O22" s="167">
        <v>125</v>
      </c>
      <c r="P22" s="128" t="s">
        <v>22</v>
      </c>
      <c r="Q22" s="167">
        <v>1.9670000000000001</v>
      </c>
      <c r="R22" s="138" t="s">
        <v>128</v>
      </c>
      <c r="S22" s="167">
        <v>1.504</v>
      </c>
      <c r="T22" s="138" t="s">
        <v>129</v>
      </c>
    </row>
    <row r="23" spans="1:20" x14ac:dyDescent="0.25">
      <c r="A23" s="138">
        <v>2005</v>
      </c>
      <c r="B23" s="128">
        <v>172</v>
      </c>
      <c r="C23" s="128">
        <v>0.9481220930232559</v>
      </c>
      <c r="D23" s="167">
        <v>152</v>
      </c>
      <c r="E23" s="12" t="s">
        <v>22</v>
      </c>
      <c r="F23" s="167">
        <v>5.9790000000000001</v>
      </c>
      <c r="G23" s="12" t="s">
        <v>34</v>
      </c>
      <c r="H23" s="167">
        <v>5.0979999999999999</v>
      </c>
      <c r="I23" s="128" t="s">
        <v>23</v>
      </c>
      <c r="J23" s="168"/>
      <c r="K23" s="138">
        <v>2005</v>
      </c>
      <c r="L23" s="167">
        <v>149.55599999999998</v>
      </c>
      <c r="M23" s="167">
        <v>3.03</v>
      </c>
      <c r="N23" s="167">
        <v>0.95710636818315564</v>
      </c>
      <c r="O23" s="167">
        <v>138</v>
      </c>
      <c r="P23" s="128" t="s">
        <v>22</v>
      </c>
      <c r="Q23" s="167">
        <v>2.9409999999999998</v>
      </c>
      <c r="R23" s="138" t="s">
        <v>23</v>
      </c>
      <c r="S23" s="167">
        <v>2.2000000000000002</v>
      </c>
      <c r="T23" s="138" t="s">
        <v>128</v>
      </c>
    </row>
    <row r="24" spans="1:20" x14ac:dyDescent="0.25">
      <c r="A24" s="138">
        <v>2006</v>
      </c>
      <c r="B24" s="128">
        <v>173</v>
      </c>
      <c r="C24" s="128">
        <v>0.94116763005780346</v>
      </c>
      <c r="D24" s="167">
        <v>153</v>
      </c>
      <c r="E24" s="12" t="s">
        <v>22</v>
      </c>
      <c r="F24" s="167">
        <v>5.46</v>
      </c>
      <c r="G24" s="12" t="s">
        <v>23</v>
      </c>
      <c r="H24" s="167">
        <v>4.3620000000000001</v>
      </c>
      <c r="I24" s="128" t="s">
        <v>34</v>
      </c>
      <c r="J24" s="168"/>
      <c r="K24" s="138">
        <v>2006</v>
      </c>
      <c r="L24" s="167">
        <v>151.39800000000002</v>
      </c>
      <c r="M24" s="167">
        <v>3.52</v>
      </c>
      <c r="N24" s="167">
        <v>0.95767447390322191</v>
      </c>
      <c r="O24" s="167">
        <v>140</v>
      </c>
      <c r="P24" s="128" t="s">
        <v>22</v>
      </c>
      <c r="Q24" s="167">
        <v>2.782</v>
      </c>
      <c r="R24" s="138" t="s">
        <v>23</v>
      </c>
      <c r="S24" s="167">
        <v>2.2080000000000002</v>
      </c>
      <c r="T24" s="138" t="s">
        <v>128</v>
      </c>
    </row>
    <row r="25" spans="1:20" x14ac:dyDescent="0.25">
      <c r="A25" s="138" t="s">
        <v>4</v>
      </c>
      <c r="B25" s="128">
        <v>180</v>
      </c>
      <c r="C25" s="128">
        <v>0.94656111111111119</v>
      </c>
      <c r="D25" s="167">
        <v>163</v>
      </c>
      <c r="E25" s="12" t="s">
        <v>22</v>
      </c>
      <c r="F25" s="167">
        <v>3.8809999999999998</v>
      </c>
      <c r="G25" s="12" t="s">
        <v>23</v>
      </c>
      <c r="H25" s="167">
        <v>3.5</v>
      </c>
      <c r="I25" s="128" t="s">
        <v>24</v>
      </c>
      <c r="J25" s="168"/>
      <c r="K25" s="138" t="s">
        <v>4</v>
      </c>
      <c r="L25" s="167">
        <v>158.26299999999998</v>
      </c>
      <c r="M25" s="167">
        <v>3.48</v>
      </c>
      <c r="N25" s="167">
        <v>0.96414196622078463</v>
      </c>
      <c r="O25" s="167">
        <v>147</v>
      </c>
      <c r="P25" s="128" t="s">
        <v>22</v>
      </c>
      <c r="Q25" s="167">
        <v>2.8620000000000001</v>
      </c>
      <c r="R25" s="138" t="s">
        <v>23</v>
      </c>
      <c r="S25" s="167">
        <v>2.726</v>
      </c>
      <c r="T25" s="138" t="s">
        <v>128</v>
      </c>
    </row>
    <row r="26" spans="1:20" x14ac:dyDescent="0.25">
      <c r="A26" s="138" t="s">
        <v>5</v>
      </c>
      <c r="B26" s="128">
        <v>182</v>
      </c>
      <c r="C26" s="128">
        <v>0.95277472527472529</v>
      </c>
      <c r="D26" s="167">
        <v>166</v>
      </c>
      <c r="E26" s="12" t="s">
        <v>22</v>
      </c>
      <c r="F26" s="167">
        <v>3.9049999999999998</v>
      </c>
      <c r="G26" s="12" t="s">
        <v>23</v>
      </c>
      <c r="H26" s="167">
        <v>3.5</v>
      </c>
      <c r="I26" s="128" t="s">
        <v>24</v>
      </c>
      <c r="J26" s="168"/>
      <c r="K26" s="138" t="s">
        <v>5</v>
      </c>
      <c r="L26" s="167">
        <v>169.06399999999999</v>
      </c>
      <c r="M26" s="167">
        <v>3.18</v>
      </c>
      <c r="N26" s="167">
        <v>0.96699474755122317</v>
      </c>
      <c r="O26" s="167">
        <v>158</v>
      </c>
      <c r="P26" s="128" t="s">
        <v>22</v>
      </c>
      <c r="Q26" s="167">
        <v>2.984</v>
      </c>
      <c r="R26" s="138" t="s">
        <v>23</v>
      </c>
      <c r="S26" s="167">
        <v>2.5</v>
      </c>
      <c r="T26" s="138" t="s">
        <v>128</v>
      </c>
    </row>
    <row r="27" spans="1:20" x14ac:dyDescent="0.25">
      <c r="A27" s="138" t="s">
        <v>6</v>
      </c>
      <c r="B27" s="128">
        <v>154</v>
      </c>
      <c r="C27" s="128">
        <v>0.95123376623376621</v>
      </c>
      <c r="D27" s="167">
        <v>140</v>
      </c>
      <c r="E27" s="12" t="s">
        <v>22</v>
      </c>
      <c r="F27" s="167">
        <v>3.5</v>
      </c>
      <c r="G27" s="12" t="s">
        <v>24</v>
      </c>
      <c r="H27" s="167">
        <v>2.99</v>
      </c>
      <c r="I27" s="128" t="s">
        <v>23</v>
      </c>
      <c r="J27" s="168"/>
      <c r="K27" s="138" t="s">
        <v>6</v>
      </c>
      <c r="L27" s="167">
        <v>178.09100000000007</v>
      </c>
      <c r="M27" s="167">
        <v>3.02</v>
      </c>
      <c r="N27" s="167">
        <v>0.96939205237771664</v>
      </c>
      <c r="O27" s="167">
        <v>168</v>
      </c>
      <c r="P27" s="128" t="s">
        <v>22</v>
      </c>
      <c r="Q27" s="167">
        <v>2.34</v>
      </c>
      <c r="R27" s="138" t="s">
        <v>23</v>
      </c>
      <c r="S27" s="167">
        <v>2.2999999999999998</v>
      </c>
      <c r="T27" s="138" t="s">
        <v>128</v>
      </c>
    </row>
    <row r="28" spans="1:20" x14ac:dyDescent="0.25">
      <c r="A28" s="138" t="s">
        <v>7</v>
      </c>
      <c r="B28" s="128">
        <v>167</v>
      </c>
      <c r="C28" s="128">
        <v>0.9459880239520958</v>
      </c>
      <c r="D28" s="167">
        <v>150</v>
      </c>
      <c r="E28" s="12" t="s">
        <v>22</v>
      </c>
      <c r="F28" s="167">
        <v>4.9800000000000004</v>
      </c>
      <c r="G28" s="12" t="s">
        <v>23</v>
      </c>
      <c r="H28" s="167">
        <v>3</v>
      </c>
      <c r="I28" s="128" t="s">
        <v>24</v>
      </c>
      <c r="J28" s="168"/>
      <c r="K28" s="138" t="s">
        <v>7</v>
      </c>
      <c r="L28" s="167">
        <v>194.51400000000001</v>
      </c>
      <c r="M28" s="167">
        <v>3.52</v>
      </c>
      <c r="N28" s="167">
        <v>0.97525113873551528</v>
      </c>
      <c r="O28" s="167">
        <v>187</v>
      </c>
      <c r="P28" s="128" t="s">
        <v>22</v>
      </c>
      <c r="Q28" s="167">
        <v>2.2000000000000002</v>
      </c>
      <c r="R28" s="138" t="s">
        <v>128</v>
      </c>
      <c r="S28" s="167">
        <v>0.5</v>
      </c>
      <c r="T28" s="138" t="s">
        <v>94</v>
      </c>
    </row>
    <row r="29" spans="1:20" x14ac:dyDescent="0.25">
      <c r="L29" s="10"/>
    </row>
  </sheetData>
  <mergeCells count="15">
    <mergeCell ref="Q6:R6"/>
    <mergeCell ref="S6:T6"/>
    <mergeCell ref="A1:I2"/>
    <mergeCell ref="B5:I5"/>
    <mergeCell ref="L5:S5"/>
    <mergeCell ref="C6:C7"/>
    <mergeCell ref="D6:E6"/>
    <mergeCell ref="F6:G6"/>
    <mergeCell ref="H6:I6"/>
    <mergeCell ref="N6:N7"/>
    <mergeCell ref="O6:P6"/>
    <mergeCell ref="B6:B7"/>
    <mergeCell ref="L6:L7"/>
    <mergeCell ref="M6:M7"/>
    <mergeCell ref="K1:T2"/>
  </mergeCells>
  <pageMargins left="0.7" right="0.7" top="0.75" bottom="0.75" header="0.3" footer="0.3"/>
  <pageSetup scale="66" orientation="portrait" r:id="rId1"/>
  <colBreaks count="1" manualBreakCount="1">
    <brk id="9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3" width="13.28515625" customWidth="1"/>
    <col min="4" max="4" width="14.42578125" customWidth="1"/>
    <col min="5" max="9" width="13.28515625" customWidth="1"/>
    <col min="10" max="10" width="15.42578125" style="60" customWidth="1"/>
    <col min="11" max="11" width="3.140625" customWidth="1"/>
    <col min="12" max="12" width="9.85546875" bestFit="1" customWidth="1"/>
    <col min="13" max="21" width="13.5703125" customWidth="1"/>
  </cols>
  <sheetData>
    <row r="1" spans="1:21" ht="15.75" customHeight="1" x14ac:dyDescent="0.25">
      <c r="A1" s="278" t="s">
        <v>464</v>
      </c>
      <c r="B1" s="278"/>
      <c r="C1" s="278"/>
      <c r="D1" s="278"/>
      <c r="E1" s="278"/>
      <c r="F1" s="278"/>
      <c r="G1" s="278"/>
      <c r="H1" s="278"/>
      <c r="I1" s="278"/>
      <c r="J1" s="278"/>
      <c r="K1" s="4"/>
      <c r="L1" s="278" t="s">
        <v>465</v>
      </c>
      <c r="M1" s="278"/>
      <c r="N1" s="278"/>
      <c r="O1" s="278"/>
      <c r="P1" s="278"/>
      <c r="Q1" s="278"/>
      <c r="R1" s="278"/>
      <c r="S1" s="278"/>
      <c r="T1" s="278"/>
      <c r="U1" s="278"/>
    </row>
    <row r="2" spans="1:21" ht="15.7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6"/>
      <c r="L2" s="278"/>
      <c r="M2" s="278"/>
      <c r="N2" s="278"/>
      <c r="O2" s="278"/>
      <c r="P2" s="278"/>
      <c r="Q2" s="278"/>
      <c r="R2" s="278"/>
      <c r="S2" s="278"/>
      <c r="T2" s="278"/>
      <c r="U2" s="278"/>
    </row>
    <row r="3" spans="1:21" x14ac:dyDescent="0.25">
      <c r="A3" s="110" t="s">
        <v>448</v>
      </c>
      <c r="B3" s="6"/>
      <c r="C3" s="6"/>
      <c r="D3" s="6"/>
      <c r="E3" s="6"/>
      <c r="F3" s="6"/>
      <c r="H3" s="6"/>
      <c r="I3" s="6"/>
      <c r="J3" s="6"/>
      <c r="K3" s="6"/>
      <c r="L3" s="110" t="s">
        <v>448</v>
      </c>
      <c r="M3" s="6"/>
    </row>
    <row r="4" spans="1:21" x14ac:dyDescent="0.25">
      <c r="A4" s="5"/>
      <c r="B4" s="6"/>
      <c r="C4" s="6"/>
      <c r="D4" s="6"/>
      <c r="E4" s="6"/>
      <c r="F4" s="6"/>
      <c r="H4" s="6"/>
      <c r="I4" s="6"/>
      <c r="J4" s="6"/>
      <c r="K4" s="6"/>
      <c r="L4" s="6"/>
      <c r="M4" s="6"/>
    </row>
    <row r="5" spans="1:21" x14ac:dyDescent="0.25">
      <c r="A5" s="105"/>
      <c r="B5" s="283" t="s">
        <v>120</v>
      </c>
      <c r="C5" s="283"/>
      <c r="D5" s="283"/>
      <c r="E5" s="283"/>
      <c r="F5" s="283"/>
      <c r="G5" s="283"/>
      <c r="H5" s="283"/>
      <c r="I5" s="283"/>
      <c r="J5" s="105"/>
      <c r="K5" s="292" t="s">
        <v>119</v>
      </c>
      <c r="L5" s="292"/>
      <c r="M5" s="292"/>
      <c r="N5" s="292"/>
      <c r="O5" s="292"/>
      <c r="P5" s="292"/>
      <c r="Q5" s="292"/>
      <c r="R5" s="292"/>
      <c r="S5" s="292"/>
      <c r="T5" s="292"/>
      <c r="U5" s="292"/>
    </row>
    <row r="6" spans="1:21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  <c r="K6" s="99"/>
      <c r="L6" s="101"/>
      <c r="M6" s="282" t="s">
        <v>390</v>
      </c>
      <c r="N6" s="282" t="s">
        <v>391</v>
      </c>
      <c r="O6" s="282" t="s">
        <v>299</v>
      </c>
      <c r="P6" s="282" t="s">
        <v>275</v>
      </c>
      <c r="Q6" s="282"/>
      <c r="R6" s="282" t="s">
        <v>32</v>
      </c>
      <c r="S6" s="282"/>
      <c r="T6" s="282" t="s">
        <v>33</v>
      </c>
      <c r="U6" s="282"/>
    </row>
    <row r="7" spans="1:21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  <c r="K7" s="99"/>
      <c r="L7" s="100" t="s">
        <v>368</v>
      </c>
      <c r="M7" s="281"/>
      <c r="N7" s="281"/>
      <c r="O7" s="281"/>
      <c r="P7" s="100" t="s">
        <v>8</v>
      </c>
      <c r="Q7" s="100" t="s">
        <v>3</v>
      </c>
      <c r="R7" s="100" t="s">
        <v>8</v>
      </c>
      <c r="S7" s="100" t="s">
        <v>3</v>
      </c>
      <c r="T7" s="100" t="s">
        <v>8</v>
      </c>
      <c r="U7" s="100" t="s">
        <v>3</v>
      </c>
    </row>
    <row r="8" spans="1:21" x14ac:dyDescent="0.25">
      <c r="A8" s="146" t="s">
        <v>630</v>
      </c>
      <c r="B8" s="167">
        <v>722.61</v>
      </c>
      <c r="C8" s="167">
        <v>137.97999999999999</v>
      </c>
      <c r="D8" s="167">
        <f>(E8+G8+I8)/B8</f>
        <v>0.41799864380509533</v>
      </c>
      <c r="E8" s="15">
        <v>128.97999999999999</v>
      </c>
      <c r="F8" s="12" t="s">
        <v>28</v>
      </c>
      <c r="G8" s="15">
        <v>98</v>
      </c>
      <c r="H8" s="12" t="s">
        <v>38</v>
      </c>
      <c r="I8" s="15">
        <v>75.069999999999993</v>
      </c>
      <c r="J8" s="176" t="s">
        <v>97</v>
      </c>
      <c r="K8" s="180"/>
      <c r="L8" s="171">
        <v>1990</v>
      </c>
      <c r="M8" s="15">
        <v>3341</v>
      </c>
      <c r="N8" s="15">
        <v>281.89999999999998</v>
      </c>
      <c r="O8" s="172">
        <f>+(P8+R8+T8)/M8</f>
        <v>0.69224184375935349</v>
      </c>
      <c r="P8" s="15">
        <v>1469.4</v>
      </c>
      <c r="Q8" s="12" t="s">
        <v>37</v>
      </c>
      <c r="R8" s="15">
        <v>585</v>
      </c>
      <c r="S8" s="12" t="s">
        <v>22</v>
      </c>
      <c r="T8" s="15">
        <v>258.38</v>
      </c>
      <c r="U8" s="12" t="s">
        <v>97</v>
      </c>
    </row>
    <row r="9" spans="1:21" x14ac:dyDescent="0.25">
      <c r="A9" s="146" t="s">
        <v>631</v>
      </c>
      <c r="B9" s="213" t="s">
        <v>394</v>
      </c>
      <c r="C9" s="213" t="s">
        <v>394</v>
      </c>
      <c r="D9" s="213" t="s">
        <v>394</v>
      </c>
      <c r="E9" s="213" t="s">
        <v>394</v>
      </c>
      <c r="F9" s="128" t="s">
        <v>310</v>
      </c>
      <c r="G9" s="213" t="s">
        <v>394</v>
      </c>
      <c r="H9" s="128" t="s">
        <v>310</v>
      </c>
      <c r="I9" s="213" t="s">
        <v>394</v>
      </c>
      <c r="J9" s="128" t="s">
        <v>310</v>
      </c>
      <c r="K9" s="180"/>
      <c r="L9" s="146" t="s">
        <v>640</v>
      </c>
      <c r="M9" s="213" t="s">
        <v>394</v>
      </c>
      <c r="N9" s="213" t="s">
        <v>394</v>
      </c>
      <c r="O9" s="213" t="s">
        <v>394</v>
      </c>
      <c r="P9" s="213" t="s">
        <v>394</v>
      </c>
      <c r="Q9" s="128" t="s">
        <v>310</v>
      </c>
      <c r="R9" s="213" t="s">
        <v>394</v>
      </c>
      <c r="S9" s="128" t="s">
        <v>310</v>
      </c>
      <c r="T9" s="213" t="s">
        <v>394</v>
      </c>
      <c r="U9" s="128" t="s">
        <v>310</v>
      </c>
    </row>
    <row r="10" spans="1:21" x14ac:dyDescent="0.25">
      <c r="A10" s="146" t="s">
        <v>632</v>
      </c>
      <c r="B10" s="167">
        <v>557.62</v>
      </c>
      <c r="C10" s="167">
        <v>155.82</v>
      </c>
      <c r="D10" s="167">
        <f t="shared" ref="D10:D28" si="0">(E10+G10+I10)/B10</f>
        <v>0.409024066568631</v>
      </c>
      <c r="E10" s="15">
        <v>91.86</v>
      </c>
      <c r="F10" s="12" t="s">
        <v>28</v>
      </c>
      <c r="G10" s="15">
        <v>71.540000000000006</v>
      </c>
      <c r="H10" s="12" t="s">
        <v>97</v>
      </c>
      <c r="I10" s="15">
        <v>64.680000000000007</v>
      </c>
      <c r="J10" s="176" t="s">
        <v>94</v>
      </c>
      <c r="K10" s="180"/>
      <c r="L10" s="171">
        <v>1992</v>
      </c>
      <c r="M10" s="15">
        <v>2645.5</v>
      </c>
      <c r="N10" s="15">
        <v>224.9</v>
      </c>
      <c r="O10" s="172">
        <f t="shared" ref="O10:O28" si="1">+(P10+R10+T10)/M10</f>
        <v>0.45061425061425059</v>
      </c>
      <c r="P10" s="15">
        <v>542.1</v>
      </c>
      <c r="Q10" s="12" t="s">
        <v>22</v>
      </c>
      <c r="R10" s="15">
        <v>325</v>
      </c>
      <c r="S10" s="12" t="s">
        <v>79</v>
      </c>
      <c r="T10" s="15">
        <v>325</v>
      </c>
      <c r="U10" s="12" t="s">
        <v>24</v>
      </c>
    </row>
    <row r="11" spans="1:21" x14ac:dyDescent="0.25">
      <c r="A11" s="146" t="s">
        <v>633</v>
      </c>
      <c r="B11" s="167">
        <v>552.72</v>
      </c>
      <c r="C11" s="167">
        <v>155.82</v>
      </c>
      <c r="D11" s="167">
        <f t="shared" si="0"/>
        <v>0.43617021276595741</v>
      </c>
      <c r="E11" s="15">
        <v>103.88</v>
      </c>
      <c r="F11" s="12" t="s">
        <v>28</v>
      </c>
      <c r="G11" s="15">
        <v>79.38</v>
      </c>
      <c r="H11" s="12" t="s">
        <v>97</v>
      </c>
      <c r="I11" s="15">
        <v>57.82</v>
      </c>
      <c r="J11" s="128" t="s">
        <v>94</v>
      </c>
      <c r="K11" s="180"/>
      <c r="L11" s="171">
        <v>1993</v>
      </c>
      <c r="M11" s="15">
        <v>2606.5</v>
      </c>
      <c r="N11" s="15">
        <v>210</v>
      </c>
      <c r="O11" s="172">
        <f t="shared" si="1"/>
        <v>0.46209476309226932</v>
      </c>
      <c r="P11" s="15">
        <v>672.75</v>
      </c>
      <c r="Q11" s="12" t="s">
        <v>22</v>
      </c>
      <c r="R11" s="15">
        <v>271.7</v>
      </c>
      <c r="S11" s="12" t="s">
        <v>79</v>
      </c>
      <c r="T11" s="15">
        <v>260</v>
      </c>
      <c r="U11" s="12" t="s">
        <v>24</v>
      </c>
    </row>
    <row r="12" spans="1:21" x14ac:dyDescent="0.25">
      <c r="A12" s="146" t="s">
        <v>638</v>
      </c>
      <c r="B12" s="167">
        <v>547.82000000000005</v>
      </c>
      <c r="C12" s="167">
        <v>154.84</v>
      </c>
      <c r="D12" s="167">
        <f t="shared" si="0"/>
        <v>0.47942754919499098</v>
      </c>
      <c r="E12" s="15">
        <v>107.8</v>
      </c>
      <c r="F12" s="12" t="s">
        <v>28</v>
      </c>
      <c r="G12" s="15">
        <v>90.16</v>
      </c>
      <c r="H12" s="12" t="s">
        <v>97</v>
      </c>
      <c r="I12" s="15">
        <v>64.680000000000007</v>
      </c>
      <c r="J12" s="128" t="s">
        <v>94</v>
      </c>
      <c r="K12" s="180"/>
      <c r="L12" s="171">
        <v>1994</v>
      </c>
      <c r="M12" s="15">
        <v>2476.5</v>
      </c>
      <c r="N12" s="15">
        <v>233.4</v>
      </c>
      <c r="O12" s="172">
        <f t="shared" si="1"/>
        <v>0.4994548758328286</v>
      </c>
      <c r="P12" s="15">
        <v>715</v>
      </c>
      <c r="Q12" s="12" t="s">
        <v>22</v>
      </c>
      <c r="R12" s="15">
        <v>294.39999999999998</v>
      </c>
      <c r="S12" s="12" t="s">
        <v>97</v>
      </c>
      <c r="T12" s="15">
        <v>227.5</v>
      </c>
      <c r="U12" s="12" t="s">
        <v>24</v>
      </c>
    </row>
    <row r="13" spans="1:21" x14ac:dyDescent="0.25">
      <c r="A13" s="146" t="s">
        <v>637</v>
      </c>
      <c r="B13" s="167">
        <v>594.86</v>
      </c>
      <c r="C13" s="167">
        <v>154.84</v>
      </c>
      <c r="D13" s="167">
        <f t="shared" si="0"/>
        <v>0.47520424973943448</v>
      </c>
      <c r="E13" s="15">
        <v>113.68</v>
      </c>
      <c r="F13" s="12" t="s">
        <v>28</v>
      </c>
      <c r="G13" s="15">
        <v>98.98</v>
      </c>
      <c r="H13" s="12" t="s">
        <v>97</v>
      </c>
      <c r="I13" s="15">
        <v>70.02</v>
      </c>
      <c r="J13" s="128" t="s">
        <v>94</v>
      </c>
      <c r="K13" s="180"/>
      <c r="L13" s="171">
        <v>1995</v>
      </c>
      <c r="M13" s="15">
        <v>2606.5</v>
      </c>
      <c r="N13" s="15">
        <v>232.7</v>
      </c>
      <c r="O13" s="172">
        <f t="shared" si="1"/>
        <v>0.55444849414924235</v>
      </c>
      <c r="P13" s="15">
        <v>786.5</v>
      </c>
      <c r="Q13" s="12" t="s">
        <v>22</v>
      </c>
      <c r="R13" s="15">
        <v>308.67</v>
      </c>
      <c r="S13" s="12" t="s">
        <v>97</v>
      </c>
      <c r="T13" s="15">
        <v>350</v>
      </c>
      <c r="U13" s="12" t="s">
        <v>24</v>
      </c>
    </row>
    <row r="14" spans="1:21" x14ac:dyDescent="0.25">
      <c r="A14" s="146" t="s">
        <v>636</v>
      </c>
      <c r="B14" s="167">
        <v>671.3</v>
      </c>
      <c r="C14" s="167">
        <v>167.58</v>
      </c>
      <c r="D14" s="167">
        <f t="shared" si="0"/>
        <v>0.48736779383286166</v>
      </c>
      <c r="E14" s="15">
        <v>147.05000000000001</v>
      </c>
      <c r="F14" s="12" t="s">
        <v>28</v>
      </c>
      <c r="G14" s="15">
        <v>107.8</v>
      </c>
      <c r="H14" s="12" t="s">
        <v>97</v>
      </c>
      <c r="I14" s="15">
        <v>72.319999999999993</v>
      </c>
      <c r="J14" s="128" t="s">
        <v>94</v>
      </c>
      <c r="K14" s="180"/>
      <c r="L14" s="171">
        <v>1996</v>
      </c>
      <c r="M14" s="15">
        <v>2782</v>
      </c>
      <c r="N14" s="15">
        <v>235.3</v>
      </c>
      <c r="O14" s="172">
        <f t="shared" si="1"/>
        <v>0.56365204888569376</v>
      </c>
      <c r="P14" s="15">
        <v>968.5</v>
      </c>
      <c r="Q14" s="12" t="s">
        <v>22</v>
      </c>
      <c r="R14" s="15">
        <v>300.58</v>
      </c>
      <c r="S14" s="12" t="s">
        <v>97</v>
      </c>
      <c r="T14" s="15">
        <v>299</v>
      </c>
      <c r="U14" s="12" t="s">
        <v>24</v>
      </c>
    </row>
    <row r="15" spans="1:21" x14ac:dyDescent="0.25">
      <c r="A15" s="146" t="s">
        <v>635</v>
      </c>
      <c r="B15" s="167">
        <v>680.12</v>
      </c>
      <c r="C15" s="167">
        <v>179.34</v>
      </c>
      <c r="D15" s="167">
        <f t="shared" si="0"/>
        <v>0.46237428689054866</v>
      </c>
      <c r="E15" s="15">
        <v>134.15</v>
      </c>
      <c r="F15" s="12" t="s">
        <v>28</v>
      </c>
      <c r="G15" s="15">
        <v>107.8</v>
      </c>
      <c r="H15" s="12" t="s">
        <v>97</v>
      </c>
      <c r="I15" s="15">
        <v>72.52</v>
      </c>
      <c r="J15" s="128" t="s">
        <v>94</v>
      </c>
      <c r="K15" s="180"/>
      <c r="L15" s="171">
        <v>1997</v>
      </c>
      <c r="M15" s="15">
        <v>2671.5</v>
      </c>
      <c r="N15" s="15">
        <v>233.4</v>
      </c>
      <c r="O15" s="172">
        <f t="shared" si="1"/>
        <v>0.54257907542579076</v>
      </c>
      <c r="P15" s="15">
        <v>812.5</v>
      </c>
      <c r="Q15" s="12" t="s">
        <v>22</v>
      </c>
      <c r="R15" s="15">
        <v>331.5</v>
      </c>
      <c r="S15" s="12" t="s">
        <v>24</v>
      </c>
      <c r="T15" s="15">
        <v>305.5</v>
      </c>
      <c r="U15" s="12" t="s">
        <v>97</v>
      </c>
    </row>
    <row r="16" spans="1:21" x14ac:dyDescent="0.25">
      <c r="A16" s="146" t="s">
        <v>634</v>
      </c>
      <c r="B16" s="167">
        <v>672.28</v>
      </c>
      <c r="C16" s="167">
        <v>184.24</v>
      </c>
      <c r="D16" s="167">
        <f t="shared" si="0"/>
        <v>0.45043731778425655</v>
      </c>
      <c r="E16" s="15">
        <v>121.52</v>
      </c>
      <c r="F16" s="12" t="s">
        <v>28</v>
      </c>
      <c r="G16" s="15">
        <v>107.8</v>
      </c>
      <c r="H16" s="12" t="s">
        <v>97</v>
      </c>
      <c r="I16" s="15">
        <v>73.5</v>
      </c>
      <c r="J16" s="128" t="s">
        <v>94</v>
      </c>
      <c r="K16" s="180"/>
      <c r="L16" s="171">
        <v>1998</v>
      </c>
      <c r="M16" s="15">
        <v>2535</v>
      </c>
      <c r="N16" s="15">
        <v>217.1</v>
      </c>
      <c r="O16" s="172">
        <f t="shared" si="1"/>
        <v>0.57846153846153847</v>
      </c>
      <c r="P16" s="15">
        <v>838.5</v>
      </c>
      <c r="Q16" s="12" t="s">
        <v>22</v>
      </c>
      <c r="R16" s="15">
        <v>322.39999999999998</v>
      </c>
      <c r="S16" s="12" t="s">
        <v>24</v>
      </c>
      <c r="T16" s="15">
        <v>305.5</v>
      </c>
      <c r="U16" s="12" t="s">
        <v>97</v>
      </c>
    </row>
    <row r="17" spans="1:21" x14ac:dyDescent="0.25">
      <c r="A17" s="138">
        <v>1999</v>
      </c>
      <c r="B17" s="167">
        <v>1054.48</v>
      </c>
      <c r="C17" s="167">
        <v>182.28</v>
      </c>
      <c r="D17" s="167">
        <f t="shared" si="0"/>
        <v>0.57156133828996281</v>
      </c>
      <c r="E17" s="15">
        <v>387.1</v>
      </c>
      <c r="F17" s="12" t="s">
        <v>22</v>
      </c>
      <c r="G17" s="15">
        <v>117.6</v>
      </c>
      <c r="H17" s="12" t="s">
        <v>28</v>
      </c>
      <c r="I17" s="15">
        <v>98</v>
      </c>
      <c r="J17" s="128" t="s">
        <v>97</v>
      </c>
      <c r="K17" s="180"/>
      <c r="L17" s="171">
        <v>1999</v>
      </c>
      <c r="M17" s="15">
        <v>2535</v>
      </c>
      <c r="N17" s="15">
        <v>211.3</v>
      </c>
      <c r="O17" s="172">
        <f t="shared" si="1"/>
        <v>0.55923076923076931</v>
      </c>
      <c r="P17" s="15">
        <v>728</v>
      </c>
      <c r="Q17" s="12" t="s">
        <v>22</v>
      </c>
      <c r="R17" s="15">
        <v>390.65</v>
      </c>
      <c r="S17" s="12" t="s">
        <v>24</v>
      </c>
      <c r="T17" s="15">
        <v>299</v>
      </c>
      <c r="U17" s="12" t="s">
        <v>97</v>
      </c>
    </row>
    <row r="18" spans="1:21" x14ac:dyDescent="0.25">
      <c r="A18" s="138">
        <v>2000</v>
      </c>
      <c r="B18" s="167">
        <v>1158.99</v>
      </c>
      <c r="C18" s="167">
        <v>171.5</v>
      </c>
      <c r="D18" s="167">
        <f t="shared" si="0"/>
        <v>0.63108396103503905</v>
      </c>
      <c r="E18" s="15">
        <v>470.4</v>
      </c>
      <c r="F18" s="12" t="s">
        <v>22</v>
      </c>
      <c r="G18" s="15">
        <v>163.02000000000001</v>
      </c>
      <c r="H18" s="12" t="s">
        <v>28</v>
      </c>
      <c r="I18" s="15">
        <v>98</v>
      </c>
      <c r="J18" s="128" t="s">
        <v>97</v>
      </c>
      <c r="K18" s="180"/>
      <c r="L18" s="171">
        <v>2000</v>
      </c>
      <c r="M18" s="15">
        <v>2762.5</v>
      </c>
      <c r="N18" s="15">
        <v>162.5</v>
      </c>
      <c r="O18" s="172">
        <f t="shared" si="1"/>
        <v>0.59105882352941175</v>
      </c>
      <c r="P18" s="15">
        <v>910</v>
      </c>
      <c r="Q18" s="12" t="s">
        <v>22</v>
      </c>
      <c r="R18" s="15">
        <v>423.8</v>
      </c>
      <c r="S18" s="12" t="s">
        <v>24</v>
      </c>
      <c r="T18" s="15">
        <v>299</v>
      </c>
      <c r="U18" s="12" t="s">
        <v>97</v>
      </c>
    </row>
    <row r="19" spans="1:21" x14ac:dyDescent="0.25">
      <c r="A19" s="138">
        <v>2001</v>
      </c>
      <c r="B19" s="167">
        <v>1080.72</v>
      </c>
      <c r="C19" s="167">
        <v>128.43</v>
      </c>
      <c r="D19" s="167">
        <f t="shared" si="0"/>
        <v>0.64575468206380926</v>
      </c>
      <c r="E19" s="15">
        <v>490</v>
      </c>
      <c r="F19" s="12" t="s">
        <v>22</v>
      </c>
      <c r="G19" s="15">
        <v>109.88</v>
      </c>
      <c r="H19" s="12" t="s">
        <v>28</v>
      </c>
      <c r="I19" s="15">
        <v>98</v>
      </c>
      <c r="J19" s="128" t="s">
        <v>97</v>
      </c>
      <c r="K19" s="180"/>
      <c r="L19" s="171">
        <v>2001</v>
      </c>
      <c r="M19" s="15">
        <v>2626</v>
      </c>
      <c r="N19" s="15">
        <v>124</v>
      </c>
      <c r="O19" s="172">
        <f t="shared" si="1"/>
        <v>0.61314546839299311</v>
      </c>
      <c r="P19" s="15">
        <v>858</v>
      </c>
      <c r="Q19" s="12" t="s">
        <v>22</v>
      </c>
      <c r="R19" s="15">
        <v>459.62</v>
      </c>
      <c r="S19" s="12" t="s">
        <v>24</v>
      </c>
      <c r="T19" s="15">
        <v>292.5</v>
      </c>
      <c r="U19" s="12" t="s">
        <v>97</v>
      </c>
    </row>
    <row r="20" spans="1:21" x14ac:dyDescent="0.25">
      <c r="A20" s="138">
        <v>2002</v>
      </c>
      <c r="B20" s="167">
        <v>1242.6199999999999</v>
      </c>
      <c r="C20" s="167">
        <v>107.3</v>
      </c>
      <c r="D20" s="167">
        <f t="shared" si="0"/>
        <v>0.64542659863836094</v>
      </c>
      <c r="E20" s="15">
        <v>568.4</v>
      </c>
      <c r="F20" s="12" t="s">
        <v>22</v>
      </c>
      <c r="G20" s="15">
        <v>130.72</v>
      </c>
      <c r="H20" s="12" t="s">
        <v>28</v>
      </c>
      <c r="I20" s="15">
        <v>102.9</v>
      </c>
      <c r="J20" s="128" t="s">
        <v>97</v>
      </c>
      <c r="K20" s="180"/>
      <c r="L20" s="171">
        <v>2002</v>
      </c>
      <c r="M20" s="15">
        <v>2736.5</v>
      </c>
      <c r="N20" s="15">
        <v>118.3</v>
      </c>
      <c r="O20" s="172">
        <f t="shared" si="1"/>
        <v>0.61543942992874112</v>
      </c>
      <c r="P20" s="15">
        <v>975</v>
      </c>
      <c r="Q20" s="12" t="s">
        <v>22</v>
      </c>
      <c r="R20" s="15">
        <v>455.65</v>
      </c>
      <c r="S20" s="12" t="s">
        <v>24</v>
      </c>
      <c r="T20" s="15">
        <v>253.5</v>
      </c>
      <c r="U20" s="12" t="s">
        <v>97</v>
      </c>
    </row>
    <row r="21" spans="1:21" x14ac:dyDescent="0.25">
      <c r="A21" s="138">
        <v>2003</v>
      </c>
      <c r="B21" s="167">
        <v>1354.85</v>
      </c>
      <c r="C21" s="167">
        <v>131.01</v>
      </c>
      <c r="D21" s="167">
        <f t="shared" si="0"/>
        <v>0.66067830387127735</v>
      </c>
      <c r="E21" s="15">
        <v>666.4</v>
      </c>
      <c r="F21" s="12" t="s">
        <v>22</v>
      </c>
      <c r="G21" s="15">
        <v>130.72</v>
      </c>
      <c r="H21" s="12" t="s">
        <v>28</v>
      </c>
      <c r="I21" s="15">
        <v>98</v>
      </c>
      <c r="J21" s="128" t="s">
        <v>97</v>
      </c>
      <c r="K21" s="180"/>
      <c r="L21" s="171">
        <v>2003</v>
      </c>
      <c r="M21" s="15">
        <v>3217.5</v>
      </c>
      <c r="N21" s="15">
        <v>96.2</v>
      </c>
      <c r="O21" s="172">
        <f t="shared" si="1"/>
        <v>0.64848484848484844</v>
      </c>
      <c r="P21" s="15">
        <v>1430</v>
      </c>
      <c r="Q21" s="12" t="s">
        <v>22</v>
      </c>
      <c r="R21" s="15">
        <v>494</v>
      </c>
      <c r="S21" s="12" t="s">
        <v>24</v>
      </c>
      <c r="T21" s="15">
        <v>162.5</v>
      </c>
      <c r="U21" s="12" t="s">
        <v>97</v>
      </c>
    </row>
    <row r="22" spans="1:21" x14ac:dyDescent="0.25">
      <c r="A22" s="138">
        <v>2004</v>
      </c>
      <c r="B22" s="167">
        <v>1480.05</v>
      </c>
      <c r="C22" s="167">
        <v>141.6</v>
      </c>
      <c r="D22" s="167">
        <f t="shared" si="0"/>
        <v>0.68593628593628586</v>
      </c>
      <c r="E22" s="15">
        <v>735</v>
      </c>
      <c r="F22" s="12" t="s">
        <v>22</v>
      </c>
      <c r="G22" s="15">
        <v>177.32</v>
      </c>
      <c r="H22" s="12" t="s">
        <v>28</v>
      </c>
      <c r="I22" s="15">
        <v>102.9</v>
      </c>
      <c r="J22" s="128" t="s">
        <v>97</v>
      </c>
      <c r="K22" s="180"/>
      <c r="L22" s="171">
        <v>2004</v>
      </c>
      <c r="M22" s="15">
        <v>3649</v>
      </c>
      <c r="N22" s="15">
        <v>110.9</v>
      </c>
      <c r="O22" s="172">
        <f t="shared" si="1"/>
        <v>0.71626473006303104</v>
      </c>
      <c r="P22" s="15">
        <v>1950</v>
      </c>
      <c r="Q22" s="12" t="s">
        <v>22</v>
      </c>
      <c r="R22" s="15">
        <v>468.65</v>
      </c>
      <c r="S22" s="12" t="s">
        <v>24</v>
      </c>
      <c r="T22" s="15">
        <v>195</v>
      </c>
      <c r="U22" s="12" t="s">
        <v>97</v>
      </c>
    </row>
    <row r="23" spans="1:21" x14ac:dyDescent="0.25">
      <c r="A23" s="138">
        <v>2005</v>
      </c>
      <c r="B23" s="167">
        <v>1508.83</v>
      </c>
      <c r="C23" s="167">
        <v>140.22</v>
      </c>
      <c r="D23" s="167">
        <f t="shared" si="0"/>
        <v>0.70043013460761006</v>
      </c>
      <c r="E23" s="15">
        <v>823.2</v>
      </c>
      <c r="F23" s="12" t="s">
        <v>22</v>
      </c>
      <c r="G23" s="15">
        <v>130.72999999999999</v>
      </c>
      <c r="H23" s="12" t="s">
        <v>28</v>
      </c>
      <c r="I23" s="15">
        <v>102.9</v>
      </c>
      <c r="J23" s="128" t="s">
        <v>97</v>
      </c>
      <c r="K23" s="180"/>
      <c r="L23" s="171">
        <v>2005</v>
      </c>
      <c r="M23" s="15">
        <v>3776.5</v>
      </c>
      <c r="N23" s="15">
        <v>106.5</v>
      </c>
      <c r="O23" s="172">
        <f t="shared" si="1"/>
        <v>0.73493975903614461</v>
      </c>
      <c r="P23" s="15">
        <v>2145</v>
      </c>
      <c r="Q23" s="12" t="s">
        <v>22</v>
      </c>
      <c r="R23" s="15">
        <v>482.3</v>
      </c>
      <c r="S23" s="12" t="s">
        <v>24</v>
      </c>
      <c r="T23" s="15">
        <v>148.19999999999999</v>
      </c>
      <c r="U23" s="12" t="s">
        <v>42</v>
      </c>
    </row>
    <row r="24" spans="1:21" x14ac:dyDescent="0.25">
      <c r="A24" s="146" t="s">
        <v>304</v>
      </c>
      <c r="B24" s="167">
        <v>1463.34</v>
      </c>
      <c r="C24" s="245" t="s">
        <v>303</v>
      </c>
      <c r="D24" s="167">
        <f t="shared" si="0"/>
        <v>0.75877103065589691</v>
      </c>
      <c r="E24" s="15">
        <v>882</v>
      </c>
      <c r="F24" s="12" t="s">
        <v>22</v>
      </c>
      <c r="G24" s="15">
        <v>130.34</v>
      </c>
      <c r="H24" s="12" t="s">
        <v>28</v>
      </c>
      <c r="I24" s="15">
        <v>98</v>
      </c>
      <c r="J24" s="128" t="s">
        <v>97</v>
      </c>
      <c r="K24" s="180"/>
      <c r="L24" s="171">
        <v>2006</v>
      </c>
      <c r="M24" s="15">
        <v>4167.82</v>
      </c>
      <c r="N24" s="15">
        <v>126.2</v>
      </c>
      <c r="O24" s="172">
        <f t="shared" si="1"/>
        <v>0.79090507747455507</v>
      </c>
      <c r="P24" s="15">
        <v>2613</v>
      </c>
      <c r="Q24" s="12" t="s">
        <v>22</v>
      </c>
      <c r="R24" s="15">
        <v>573.5</v>
      </c>
      <c r="S24" s="12" t="s">
        <v>24</v>
      </c>
      <c r="T24" s="15">
        <v>109.85</v>
      </c>
      <c r="U24" s="12" t="s">
        <v>42</v>
      </c>
    </row>
    <row r="25" spans="1:21" x14ac:dyDescent="0.25">
      <c r="A25" s="146" t="s">
        <v>4</v>
      </c>
      <c r="B25" s="167">
        <v>1567.63</v>
      </c>
      <c r="C25" s="245" t="s">
        <v>303</v>
      </c>
      <c r="D25" s="167">
        <f t="shared" si="0"/>
        <v>0.76817233658452555</v>
      </c>
      <c r="E25" s="15">
        <v>931</v>
      </c>
      <c r="F25" s="12" t="s">
        <v>22</v>
      </c>
      <c r="G25" s="15">
        <v>142.87</v>
      </c>
      <c r="H25" s="12" t="s">
        <v>97</v>
      </c>
      <c r="I25" s="15">
        <v>130.34</v>
      </c>
      <c r="J25" s="128" t="s">
        <v>28</v>
      </c>
      <c r="K25" s="180"/>
      <c r="L25" s="171" t="s">
        <v>4</v>
      </c>
      <c r="M25" s="15">
        <v>4748.5</v>
      </c>
      <c r="N25" s="15">
        <v>143.1</v>
      </c>
      <c r="O25" s="172">
        <f t="shared" si="1"/>
        <v>0.7972349162893545</v>
      </c>
      <c r="P25" s="15">
        <v>3061.5</v>
      </c>
      <c r="Q25" s="12" t="s">
        <v>22</v>
      </c>
      <c r="R25" s="15">
        <v>582.47</v>
      </c>
      <c r="S25" s="12" t="s">
        <v>24</v>
      </c>
      <c r="T25" s="15">
        <v>141.69999999999999</v>
      </c>
      <c r="U25" s="12" t="s">
        <v>42</v>
      </c>
    </row>
    <row r="26" spans="1:21" x14ac:dyDescent="0.25">
      <c r="A26" s="146" t="s">
        <v>5</v>
      </c>
      <c r="B26" s="167">
        <v>1650.79</v>
      </c>
      <c r="C26" s="245" t="s">
        <v>303</v>
      </c>
      <c r="D26" s="167">
        <f t="shared" si="0"/>
        <v>0.76704486942615357</v>
      </c>
      <c r="E26" s="15">
        <v>960.4</v>
      </c>
      <c r="F26" s="12" t="s">
        <v>22</v>
      </c>
      <c r="G26" s="15">
        <v>176.53</v>
      </c>
      <c r="H26" s="12" t="s">
        <v>97</v>
      </c>
      <c r="I26" s="15">
        <v>129.30000000000001</v>
      </c>
      <c r="J26" s="128" t="s">
        <v>28</v>
      </c>
      <c r="K26" s="180"/>
      <c r="L26" s="171" t="s">
        <v>5</v>
      </c>
      <c r="M26" s="15">
        <v>4827.25</v>
      </c>
      <c r="N26" s="15">
        <v>162.9</v>
      </c>
      <c r="O26" s="172">
        <f t="shared" si="1"/>
        <v>0.80799005645035993</v>
      </c>
      <c r="P26" s="15">
        <v>3185</v>
      </c>
      <c r="Q26" s="12" t="s">
        <v>22</v>
      </c>
      <c r="R26" s="15">
        <v>552.5</v>
      </c>
      <c r="S26" s="12" t="s">
        <v>24</v>
      </c>
      <c r="T26" s="15">
        <v>162.87</v>
      </c>
      <c r="U26" s="12" t="s">
        <v>97</v>
      </c>
    </row>
    <row r="27" spans="1:21" x14ac:dyDescent="0.25">
      <c r="A27" s="146" t="s">
        <v>6</v>
      </c>
      <c r="B27" s="167">
        <v>1751.73</v>
      </c>
      <c r="C27" s="245" t="s">
        <v>303</v>
      </c>
      <c r="D27" s="167">
        <f t="shared" si="0"/>
        <v>0.85687291991345704</v>
      </c>
      <c r="E27" s="167">
        <v>1205.4000000000001</v>
      </c>
      <c r="F27" s="12" t="s">
        <v>22</v>
      </c>
      <c r="G27" s="167">
        <v>166.25</v>
      </c>
      <c r="H27" s="12" t="s">
        <v>97</v>
      </c>
      <c r="I27" s="167">
        <v>129.36000000000001</v>
      </c>
      <c r="J27" s="128" t="s">
        <v>28</v>
      </c>
      <c r="K27" s="180"/>
      <c r="L27" s="171" t="s">
        <v>6</v>
      </c>
      <c r="M27" s="15">
        <v>4754.6000000000004</v>
      </c>
      <c r="N27" s="15">
        <v>134.80000000000001</v>
      </c>
      <c r="O27" s="172">
        <f t="shared" si="1"/>
        <v>0.82741324191309462</v>
      </c>
      <c r="P27" s="15">
        <v>3315</v>
      </c>
      <c r="Q27" s="12" t="s">
        <v>22</v>
      </c>
      <c r="R27" s="15">
        <v>484.25</v>
      </c>
      <c r="S27" s="12" t="s">
        <v>24</v>
      </c>
      <c r="T27" s="15">
        <v>134.76900000000001</v>
      </c>
      <c r="U27" s="12" t="s">
        <v>97</v>
      </c>
    </row>
    <row r="28" spans="1:21" x14ac:dyDescent="0.25">
      <c r="A28" s="146" t="s">
        <v>7</v>
      </c>
      <c r="B28" s="167">
        <v>2141.0100000000002</v>
      </c>
      <c r="C28" s="245" t="s">
        <v>303</v>
      </c>
      <c r="D28" s="167">
        <f t="shared" si="0"/>
        <v>0.82482566639109567</v>
      </c>
      <c r="E28" s="167">
        <v>1470</v>
      </c>
      <c r="F28" s="12" t="s">
        <v>22</v>
      </c>
      <c r="G28" s="167">
        <v>166.6</v>
      </c>
      <c r="H28" s="12" t="s">
        <v>97</v>
      </c>
      <c r="I28" s="167">
        <v>129.36000000000001</v>
      </c>
      <c r="J28" s="128" t="s">
        <v>28</v>
      </c>
      <c r="K28" s="168"/>
      <c r="L28" s="171" t="s">
        <v>7</v>
      </c>
      <c r="M28" s="167">
        <v>5008.59</v>
      </c>
      <c r="N28" s="167">
        <v>159.9</v>
      </c>
      <c r="O28" s="167">
        <f t="shared" si="1"/>
        <v>0.83206650973627316</v>
      </c>
      <c r="P28" s="167">
        <v>3445</v>
      </c>
      <c r="Q28" s="12" t="s">
        <v>22</v>
      </c>
      <c r="R28" s="167">
        <v>595.4</v>
      </c>
      <c r="S28" s="12" t="s">
        <v>24</v>
      </c>
      <c r="T28" s="167">
        <v>127.08</v>
      </c>
      <c r="U28" s="128" t="s">
        <v>42</v>
      </c>
    </row>
    <row r="29" spans="1:21" x14ac:dyDescent="0.25">
      <c r="A29" s="141"/>
      <c r="B29" s="137"/>
      <c r="C29" s="141"/>
      <c r="D29" s="141"/>
      <c r="E29" s="141"/>
      <c r="F29" s="141"/>
      <c r="G29" s="141"/>
      <c r="H29" s="157"/>
      <c r="I29" s="141"/>
      <c r="J29" s="182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</row>
    <row r="30" spans="1:21" x14ac:dyDescent="0.25">
      <c r="A30" s="195" t="s">
        <v>628</v>
      </c>
      <c r="B30" s="195"/>
      <c r="C30" s="141"/>
      <c r="D30" s="141"/>
      <c r="E30" s="141"/>
      <c r="F30" s="141"/>
      <c r="G30" s="141"/>
      <c r="H30" s="157"/>
      <c r="I30" s="141"/>
      <c r="J30" s="182"/>
      <c r="K30" s="196"/>
      <c r="L30" s="195" t="s">
        <v>639</v>
      </c>
      <c r="M30" s="141"/>
      <c r="N30" s="141"/>
      <c r="O30" s="141"/>
      <c r="P30" s="141"/>
      <c r="Q30" s="141"/>
      <c r="R30" s="141"/>
      <c r="S30" s="141"/>
      <c r="T30" s="141"/>
      <c r="U30" s="141"/>
    </row>
    <row r="31" spans="1:21" x14ac:dyDescent="0.25">
      <c r="A31" s="195" t="s">
        <v>629</v>
      </c>
      <c r="B31" s="195"/>
      <c r="C31" s="141"/>
      <c r="D31" s="141"/>
      <c r="E31" s="141"/>
      <c r="F31" s="141"/>
      <c r="G31" s="141"/>
      <c r="H31" s="141"/>
      <c r="I31" s="141"/>
      <c r="J31" s="182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</row>
    <row r="32" spans="1:21" x14ac:dyDescent="0.25">
      <c r="A32" s="197" t="s">
        <v>660</v>
      </c>
      <c r="B32" s="195"/>
      <c r="C32" s="141"/>
      <c r="D32" s="141"/>
      <c r="E32" s="141"/>
      <c r="F32" s="141"/>
      <c r="G32" s="141"/>
      <c r="H32" s="141"/>
      <c r="I32" s="141"/>
      <c r="J32" s="182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</row>
    <row r="33" spans="1:21" x14ac:dyDescent="0.25">
      <c r="A33" s="141"/>
      <c r="B33" s="141"/>
      <c r="C33" s="141"/>
      <c r="D33" s="141"/>
      <c r="E33" s="141"/>
      <c r="F33" s="141"/>
      <c r="G33" s="141"/>
      <c r="H33" s="141"/>
      <c r="I33" s="141"/>
      <c r="J33" s="182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</row>
  </sheetData>
  <mergeCells count="16">
    <mergeCell ref="A1:J2"/>
    <mergeCell ref="K5:U5"/>
    <mergeCell ref="L1:U2"/>
    <mergeCell ref="O6:O7"/>
    <mergeCell ref="B5:I5"/>
    <mergeCell ref="E6:F6"/>
    <mergeCell ref="G6:H6"/>
    <mergeCell ref="I6:J6"/>
    <mergeCell ref="D6:D7"/>
    <mergeCell ref="P6:Q6"/>
    <mergeCell ref="R6:S6"/>
    <mergeCell ref="T6:U6"/>
    <mergeCell ref="B6:B7"/>
    <mergeCell ref="C6:C7"/>
    <mergeCell ref="M6:M7"/>
    <mergeCell ref="N6:N7"/>
  </mergeCells>
  <pageMargins left="0.7" right="0.7" top="0.75" bottom="0.75" header="0.3" footer="0.3"/>
  <pageSetup scale="66" orientation="portrait" r:id="rId1"/>
  <colBreaks count="1" manualBreakCount="1">
    <brk id="10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9" width="14" customWidth="1"/>
    <col min="10" max="10" width="19.7109375" style="60" customWidth="1"/>
    <col min="11" max="18" width="9.140625" style="60"/>
  </cols>
  <sheetData>
    <row r="1" spans="1:19" ht="15" customHeight="1" x14ac:dyDescent="0.25">
      <c r="A1" s="278" t="s">
        <v>466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19" x14ac:dyDescent="0.25">
      <c r="A3" s="5"/>
      <c r="B3" s="6"/>
      <c r="C3" s="6"/>
      <c r="D3" s="6"/>
      <c r="E3" s="6"/>
      <c r="F3" s="6"/>
      <c r="H3" s="6"/>
      <c r="I3" s="6"/>
    </row>
    <row r="4" spans="1:19" x14ac:dyDescent="0.25">
      <c r="A4" s="5"/>
      <c r="B4" s="6"/>
      <c r="C4" s="6"/>
      <c r="D4" s="6"/>
      <c r="E4" s="6"/>
      <c r="F4" s="6"/>
      <c r="H4" s="6"/>
      <c r="I4" s="6"/>
    </row>
    <row r="5" spans="1:19" x14ac:dyDescent="0.25">
      <c r="A5" s="105"/>
      <c r="B5" s="283" t="s">
        <v>75</v>
      </c>
      <c r="C5" s="283"/>
      <c r="D5" s="283"/>
      <c r="E5" s="283"/>
      <c r="F5" s="283"/>
      <c r="G5" s="283"/>
      <c r="H5" s="283"/>
      <c r="I5" s="283"/>
      <c r="J5" s="182"/>
    </row>
    <row r="6" spans="1:19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9" t="s">
        <v>275</v>
      </c>
      <c r="F6" s="279"/>
      <c r="G6" s="279" t="s">
        <v>32</v>
      </c>
      <c r="H6" s="279"/>
      <c r="I6" s="279" t="s">
        <v>33</v>
      </c>
      <c r="J6" s="279"/>
      <c r="K6" s="83"/>
      <c r="L6" s="83"/>
      <c r="M6" s="83"/>
      <c r="N6" s="83"/>
      <c r="O6" s="83"/>
      <c r="P6" s="83"/>
      <c r="Q6" s="83"/>
      <c r="R6" s="83"/>
      <c r="S6" s="83"/>
    </row>
    <row r="7" spans="1:19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  <c r="K7" s="83"/>
      <c r="L7" s="83"/>
      <c r="M7" s="83"/>
      <c r="N7" s="83"/>
      <c r="O7" s="83"/>
      <c r="P7" s="83"/>
      <c r="Q7" s="83"/>
      <c r="R7" s="83"/>
      <c r="S7" s="83"/>
    </row>
    <row r="8" spans="1:19" x14ac:dyDescent="0.25">
      <c r="A8" s="138">
        <v>1990</v>
      </c>
      <c r="B8" s="167">
        <v>16.600000000000001</v>
      </c>
      <c r="C8" s="167">
        <v>2.12</v>
      </c>
      <c r="D8" s="167">
        <f t="shared" ref="D8:D27" si="0">(E8+G8+I8)/B8</f>
        <v>0.41265060240963852</v>
      </c>
      <c r="E8" s="15">
        <v>2.5</v>
      </c>
      <c r="F8" s="12" t="s">
        <v>37</v>
      </c>
      <c r="G8" s="15">
        <v>2.42</v>
      </c>
      <c r="H8" s="12" t="s">
        <v>73</v>
      </c>
      <c r="I8" s="15">
        <v>1.93</v>
      </c>
      <c r="J8" s="176" t="s">
        <v>44</v>
      </c>
      <c r="S8" s="60"/>
    </row>
    <row r="9" spans="1:19" x14ac:dyDescent="0.25">
      <c r="A9" s="138">
        <v>1991</v>
      </c>
      <c r="B9" s="167">
        <v>15.6</v>
      </c>
      <c r="C9" s="167">
        <v>1.86</v>
      </c>
      <c r="D9" s="167">
        <f t="shared" si="0"/>
        <v>0.41217948717948716</v>
      </c>
      <c r="E9" s="15">
        <v>2.2999999999999998</v>
      </c>
      <c r="F9" s="12" t="s">
        <v>73</v>
      </c>
      <c r="G9" s="15">
        <v>2.2000000000000002</v>
      </c>
      <c r="H9" s="12" t="s">
        <v>37</v>
      </c>
      <c r="I9" s="15">
        <v>1.93</v>
      </c>
      <c r="J9" s="128" t="s">
        <v>44</v>
      </c>
      <c r="S9" s="60"/>
    </row>
    <row r="10" spans="1:19" x14ac:dyDescent="0.25">
      <c r="A10" s="138">
        <v>1992</v>
      </c>
      <c r="B10" s="167">
        <v>14.9</v>
      </c>
      <c r="C10" s="167">
        <v>1.8</v>
      </c>
      <c r="D10" s="167">
        <f t="shared" si="0"/>
        <v>0.3308724832214765</v>
      </c>
      <c r="E10" s="15">
        <v>2.1</v>
      </c>
      <c r="F10" s="12" t="s">
        <v>73</v>
      </c>
      <c r="G10" s="15">
        <v>1.61</v>
      </c>
      <c r="H10" s="12" t="s">
        <v>44</v>
      </c>
      <c r="I10" s="15">
        <v>1.22</v>
      </c>
      <c r="J10" s="176" t="s">
        <v>642</v>
      </c>
      <c r="S10" s="60"/>
    </row>
    <row r="11" spans="1:19" x14ac:dyDescent="0.25">
      <c r="A11" s="138">
        <v>1993</v>
      </c>
      <c r="B11" s="167">
        <v>14.1</v>
      </c>
      <c r="C11" s="167">
        <v>1.6</v>
      </c>
      <c r="D11" s="167">
        <f t="shared" si="0"/>
        <v>0.34751773049645396</v>
      </c>
      <c r="E11" s="15">
        <v>2.14</v>
      </c>
      <c r="F11" s="12" t="s">
        <v>73</v>
      </c>
      <c r="G11" s="15">
        <v>1.67</v>
      </c>
      <c r="H11" s="12" t="s">
        <v>44</v>
      </c>
      <c r="I11" s="15">
        <v>1.0900000000000001</v>
      </c>
      <c r="J11" s="128" t="s">
        <v>27</v>
      </c>
      <c r="S11" s="60"/>
    </row>
    <row r="12" spans="1:19" x14ac:dyDescent="0.25">
      <c r="A12" s="138">
        <v>1994</v>
      </c>
      <c r="B12" s="167">
        <v>14</v>
      </c>
      <c r="C12" s="167">
        <v>1.49</v>
      </c>
      <c r="D12" s="167">
        <f t="shared" si="0"/>
        <v>0.36071428571428577</v>
      </c>
      <c r="E12" s="15">
        <v>2.2200000000000002</v>
      </c>
      <c r="F12" s="12" t="s">
        <v>73</v>
      </c>
      <c r="G12" s="15">
        <v>1.77</v>
      </c>
      <c r="H12" s="12" t="s">
        <v>44</v>
      </c>
      <c r="I12" s="15">
        <v>1.06</v>
      </c>
      <c r="J12" s="128" t="s">
        <v>76</v>
      </c>
      <c r="S12" s="60"/>
    </row>
    <row r="13" spans="1:19" x14ac:dyDescent="0.25">
      <c r="A13" s="138">
        <v>1995</v>
      </c>
      <c r="B13" s="167">
        <v>14.9</v>
      </c>
      <c r="C13" s="167">
        <v>1.56</v>
      </c>
      <c r="D13" s="167">
        <f t="shared" si="0"/>
        <v>0.37181208053691273</v>
      </c>
      <c r="E13" s="15">
        <v>2.3199999999999998</v>
      </c>
      <c r="F13" s="12" t="s">
        <v>73</v>
      </c>
      <c r="G13" s="15">
        <v>1.93</v>
      </c>
      <c r="H13" s="12" t="s">
        <v>44</v>
      </c>
      <c r="I13" s="15">
        <v>1.29</v>
      </c>
      <c r="J13" s="128" t="s">
        <v>38</v>
      </c>
      <c r="S13" s="60"/>
    </row>
    <row r="14" spans="1:19" x14ac:dyDescent="0.25">
      <c r="A14" s="138">
        <v>1996</v>
      </c>
      <c r="B14" s="167">
        <v>15.1</v>
      </c>
      <c r="C14" s="167">
        <v>1.57</v>
      </c>
      <c r="D14" s="167">
        <f t="shared" si="0"/>
        <v>0.38476821192052985</v>
      </c>
      <c r="E14" s="15">
        <v>2.5299999999999998</v>
      </c>
      <c r="F14" s="12" t="s">
        <v>73</v>
      </c>
      <c r="G14" s="15">
        <v>1.97</v>
      </c>
      <c r="H14" s="12" t="s">
        <v>44</v>
      </c>
      <c r="I14" s="15">
        <v>1.31</v>
      </c>
      <c r="J14" s="128" t="s">
        <v>38</v>
      </c>
      <c r="S14" s="60"/>
    </row>
    <row r="15" spans="1:19" x14ac:dyDescent="0.25">
      <c r="A15" s="138">
        <v>1997</v>
      </c>
      <c r="B15" s="167">
        <v>16.5</v>
      </c>
      <c r="C15" s="167">
        <v>2.1800000000000002</v>
      </c>
      <c r="D15" s="167">
        <f t="shared" si="0"/>
        <v>0.36787878787878786</v>
      </c>
      <c r="E15" s="15">
        <v>2.68</v>
      </c>
      <c r="F15" s="12" t="s">
        <v>73</v>
      </c>
      <c r="G15" s="15">
        <v>2.09</v>
      </c>
      <c r="H15" s="12" t="s">
        <v>44</v>
      </c>
      <c r="I15" s="15">
        <v>1.3</v>
      </c>
      <c r="J15" s="128" t="s">
        <v>22</v>
      </c>
      <c r="S15" s="60"/>
    </row>
    <row r="16" spans="1:19" x14ac:dyDescent="0.25">
      <c r="A16" s="138">
        <v>1998</v>
      </c>
      <c r="B16" s="167">
        <v>17.2</v>
      </c>
      <c r="C16" s="167">
        <v>2.06</v>
      </c>
      <c r="D16" s="167">
        <f t="shared" si="0"/>
        <v>0.37156976744186049</v>
      </c>
      <c r="E16" s="15">
        <v>2.89</v>
      </c>
      <c r="F16" s="12" t="s">
        <v>73</v>
      </c>
      <c r="G16" s="15">
        <v>2.0310000000000001</v>
      </c>
      <c r="H16" s="12" t="s">
        <v>44</v>
      </c>
      <c r="I16" s="15">
        <v>1.47</v>
      </c>
      <c r="J16" s="128" t="s">
        <v>27</v>
      </c>
      <c r="S16" s="60"/>
    </row>
    <row r="17" spans="1:19" x14ac:dyDescent="0.25">
      <c r="A17" s="138">
        <v>1999</v>
      </c>
      <c r="B17" s="167">
        <v>17.100000000000001</v>
      </c>
      <c r="C17" s="167">
        <v>1.95</v>
      </c>
      <c r="D17" s="167">
        <f t="shared" si="0"/>
        <v>0.37543859649122802</v>
      </c>
      <c r="E17" s="15">
        <v>2.4700000000000002</v>
      </c>
      <c r="F17" s="12" t="s">
        <v>73</v>
      </c>
      <c r="G17" s="15">
        <v>2.23</v>
      </c>
      <c r="H17" s="12" t="s">
        <v>44</v>
      </c>
      <c r="I17" s="15">
        <v>1.72</v>
      </c>
      <c r="J17" s="128" t="s">
        <v>27</v>
      </c>
      <c r="S17" s="60"/>
    </row>
    <row r="18" spans="1:19" x14ac:dyDescent="0.25">
      <c r="A18" s="138">
        <v>2000</v>
      </c>
      <c r="B18" s="167">
        <v>18.100000000000001</v>
      </c>
      <c r="C18" s="167">
        <v>1.98</v>
      </c>
      <c r="D18" s="167">
        <f t="shared" si="0"/>
        <v>0.39337016574585637</v>
      </c>
      <c r="E18" s="15">
        <v>2.62</v>
      </c>
      <c r="F18" s="12" t="s">
        <v>73</v>
      </c>
      <c r="G18" s="15">
        <v>2.44</v>
      </c>
      <c r="H18" s="12" t="s">
        <v>44</v>
      </c>
      <c r="I18" s="15">
        <v>2.06</v>
      </c>
      <c r="J18" s="128" t="s">
        <v>27</v>
      </c>
      <c r="S18" s="60"/>
    </row>
    <row r="19" spans="1:19" x14ac:dyDescent="0.25">
      <c r="A19" s="138">
        <v>2001</v>
      </c>
      <c r="B19" s="167">
        <v>18.7</v>
      </c>
      <c r="C19" s="167">
        <v>1.74</v>
      </c>
      <c r="D19" s="167">
        <f t="shared" si="0"/>
        <v>0.39037433155080214</v>
      </c>
      <c r="E19" s="15">
        <v>2.76</v>
      </c>
      <c r="F19" s="12" t="s">
        <v>73</v>
      </c>
      <c r="G19" s="15">
        <v>2.57</v>
      </c>
      <c r="H19" s="12" t="s">
        <v>44</v>
      </c>
      <c r="I19" s="15">
        <v>1.97</v>
      </c>
      <c r="J19" s="128" t="s">
        <v>27</v>
      </c>
      <c r="S19" s="60"/>
    </row>
    <row r="20" spans="1:19" x14ac:dyDescent="0.25">
      <c r="A20" s="138">
        <v>2002</v>
      </c>
      <c r="B20" s="167">
        <v>18.8</v>
      </c>
      <c r="C20" s="167">
        <v>1.35</v>
      </c>
      <c r="D20" s="167">
        <f t="shared" si="0"/>
        <v>0.41489361702127658</v>
      </c>
      <c r="E20" s="15">
        <v>2.87</v>
      </c>
      <c r="F20" s="12" t="s">
        <v>44</v>
      </c>
      <c r="G20" s="15">
        <v>2.73</v>
      </c>
      <c r="H20" s="12" t="s">
        <v>73</v>
      </c>
      <c r="I20" s="15">
        <v>2.2000000000000002</v>
      </c>
      <c r="J20" s="128" t="s">
        <v>22</v>
      </c>
      <c r="S20" s="60"/>
    </row>
    <row r="21" spans="1:19" x14ac:dyDescent="0.25">
      <c r="A21" s="138">
        <v>2003</v>
      </c>
      <c r="B21" s="167">
        <v>18.8</v>
      </c>
      <c r="C21" s="167">
        <v>1.24</v>
      </c>
      <c r="D21" s="167">
        <f t="shared" si="0"/>
        <v>0.4196808510638298</v>
      </c>
      <c r="E21" s="15">
        <v>2.92</v>
      </c>
      <c r="F21" s="12" t="s">
        <v>44</v>
      </c>
      <c r="G21" s="15">
        <v>2.57</v>
      </c>
      <c r="H21" s="12" t="s">
        <v>73</v>
      </c>
      <c r="I21" s="15">
        <v>2.4</v>
      </c>
      <c r="J21" s="128" t="s">
        <v>22</v>
      </c>
      <c r="S21" s="60"/>
    </row>
    <row r="22" spans="1:19" x14ac:dyDescent="0.25">
      <c r="A22" s="138">
        <v>2004</v>
      </c>
      <c r="B22" s="167">
        <v>20</v>
      </c>
      <c r="C22" s="167">
        <v>1.25</v>
      </c>
      <c r="D22" s="167">
        <f t="shared" si="0"/>
        <v>0.40400000000000003</v>
      </c>
      <c r="E22" s="15">
        <v>3.06</v>
      </c>
      <c r="F22" s="12" t="s">
        <v>44</v>
      </c>
      <c r="G22" s="15">
        <v>2.57</v>
      </c>
      <c r="H22" s="12" t="s">
        <v>73</v>
      </c>
      <c r="I22" s="15">
        <v>2.4500000000000002</v>
      </c>
      <c r="J22" s="128" t="s">
        <v>22</v>
      </c>
      <c r="S22" s="60"/>
    </row>
    <row r="23" spans="1:19" x14ac:dyDescent="0.25">
      <c r="A23" s="138">
        <v>2005</v>
      </c>
      <c r="B23" s="167">
        <v>20.8</v>
      </c>
      <c r="C23" s="167">
        <v>1.23</v>
      </c>
      <c r="D23" s="167">
        <f t="shared" si="0"/>
        <v>0.39903846153846156</v>
      </c>
      <c r="E23" s="15">
        <v>3.21</v>
      </c>
      <c r="F23" s="12" t="s">
        <v>44</v>
      </c>
      <c r="G23" s="15">
        <v>2.59</v>
      </c>
      <c r="H23" s="12" t="s">
        <v>73</v>
      </c>
      <c r="I23" s="15">
        <v>2.5</v>
      </c>
      <c r="J23" s="128" t="s">
        <v>22</v>
      </c>
      <c r="S23" s="60"/>
    </row>
    <row r="24" spans="1:19" x14ac:dyDescent="0.25">
      <c r="A24" s="138">
        <v>2006</v>
      </c>
      <c r="B24" s="167">
        <v>20.100000000000001</v>
      </c>
      <c r="C24" s="167">
        <v>1.1599999999999999</v>
      </c>
      <c r="D24" s="167">
        <f t="shared" si="0"/>
        <v>0.44975124378109455</v>
      </c>
      <c r="E24" s="15">
        <v>3.47</v>
      </c>
      <c r="F24" s="12" t="s">
        <v>44</v>
      </c>
      <c r="G24" s="15">
        <v>2.97</v>
      </c>
      <c r="H24" s="12" t="s">
        <v>73</v>
      </c>
      <c r="I24" s="15">
        <v>2.6</v>
      </c>
      <c r="J24" s="128" t="s">
        <v>22</v>
      </c>
      <c r="S24" s="60"/>
    </row>
    <row r="25" spans="1:19" x14ac:dyDescent="0.25">
      <c r="A25" s="138" t="s">
        <v>4</v>
      </c>
      <c r="B25" s="167">
        <v>20.8</v>
      </c>
      <c r="C25" s="167">
        <v>1.28</v>
      </c>
      <c r="D25" s="167">
        <f t="shared" si="0"/>
        <v>0.44855769230769238</v>
      </c>
      <c r="E25" s="15">
        <v>3.49</v>
      </c>
      <c r="F25" s="12" t="s">
        <v>44</v>
      </c>
      <c r="G25" s="15">
        <v>3.14</v>
      </c>
      <c r="H25" s="12" t="s">
        <v>73</v>
      </c>
      <c r="I25" s="15">
        <v>2.7</v>
      </c>
      <c r="J25" s="128" t="s">
        <v>22</v>
      </c>
      <c r="S25" s="60"/>
    </row>
    <row r="26" spans="1:19" x14ac:dyDescent="0.25">
      <c r="A26" s="138" t="s">
        <v>5</v>
      </c>
      <c r="B26" s="167">
        <v>21.4</v>
      </c>
      <c r="C26" s="167">
        <v>1.25</v>
      </c>
      <c r="D26" s="167">
        <f t="shared" si="0"/>
        <v>0.45467289719626175</v>
      </c>
      <c r="E26" s="15">
        <v>3.69</v>
      </c>
      <c r="F26" s="12" t="s">
        <v>44</v>
      </c>
      <c r="G26" s="15">
        <v>3.24</v>
      </c>
      <c r="H26" s="12" t="s">
        <v>73</v>
      </c>
      <c r="I26" s="15">
        <v>2.8</v>
      </c>
      <c r="J26" s="128" t="s">
        <v>22</v>
      </c>
      <c r="S26" s="60"/>
    </row>
    <row r="27" spans="1:19" x14ac:dyDescent="0.25">
      <c r="A27" s="138" t="s">
        <v>6</v>
      </c>
      <c r="B27" s="167">
        <v>22</v>
      </c>
      <c r="C27" s="167">
        <v>1.25</v>
      </c>
      <c r="D27" s="167">
        <f t="shared" si="0"/>
        <v>0.4681818181818182</v>
      </c>
      <c r="E27" s="167">
        <v>3.85</v>
      </c>
      <c r="F27" s="12" t="s">
        <v>44</v>
      </c>
      <c r="G27" s="167">
        <v>3.55</v>
      </c>
      <c r="H27" s="12" t="s">
        <v>73</v>
      </c>
      <c r="I27" s="167">
        <v>2.9</v>
      </c>
      <c r="J27" s="128" t="s">
        <v>22</v>
      </c>
      <c r="S27" s="60"/>
    </row>
    <row r="28" spans="1:19" x14ac:dyDescent="0.25">
      <c r="A28" s="197" t="s">
        <v>641</v>
      </c>
      <c r="B28" s="195"/>
      <c r="C28" s="141"/>
      <c r="D28" s="141"/>
      <c r="E28" s="141"/>
      <c r="F28" s="141"/>
      <c r="G28" s="141"/>
      <c r="H28" s="141"/>
      <c r="I28" s="141"/>
      <c r="J28" s="182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scale="8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1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9" width="13.5703125" customWidth="1"/>
    <col min="10" max="33" width="9.140625" style="60"/>
  </cols>
  <sheetData>
    <row r="1" spans="1:33" ht="15" customHeight="1" x14ac:dyDescent="0.25">
      <c r="A1" s="278" t="s">
        <v>467</v>
      </c>
      <c r="B1" s="278"/>
      <c r="C1" s="278"/>
      <c r="D1" s="278"/>
      <c r="E1" s="278"/>
      <c r="F1" s="278"/>
      <c r="G1" s="278"/>
      <c r="H1" s="278"/>
      <c r="I1" s="278"/>
    </row>
    <row r="2" spans="1:33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33" x14ac:dyDescent="0.25">
      <c r="A3" s="5"/>
      <c r="B3" s="6"/>
      <c r="C3" s="6"/>
      <c r="D3" s="6"/>
      <c r="E3" s="6"/>
      <c r="F3" s="6"/>
      <c r="H3" s="6"/>
      <c r="I3" s="6"/>
    </row>
    <row r="4" spans="1:33" x14ac:dyDescent="0.25">
      <c r="A4" s="5"/>
      <c r="B4" s="6"/>
      <c r="C4" s="6"/>
      <c r="D4" s="6"/>
      <c r="E4" s="6"/>
      <c r="F4" s="6"/>
      <c r="H4" s="6"/>
      <c r="I4" s="6"/>
    </row>
    <row r="5" spans="1:33" x14ac:dyDescent="0.25">
      <c r="A5" s="105"/>
      <c r="B5" s="283" t="s">
        <v>70</v>
      </c>
      <c r="C5" s="283"/>
      <c r="D5" s="283"/>
      <c r="E5" s="283"/>
      <c r="F5" s="283"/>
      <c r="G5" s="283"/>
      <c r="H5" s="283"/>
      <c r="I5" s="283"/>
    </row>
    <row r="6" spans="1:33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 spans="1:33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x14ac:dyDescent="0.25">
      <c r="A8" s="138">
        <v>1990</v>
      </c>
      <c r="B8" s="167">
        <v>240</v>
      </c>
      <c r="C8" s="167">
        <f t="shared" ref="C8:C27" si="0">(D8+F8+H8)/B8</f>
        <v>0.72583333333333333</v>
      </c>
      <c r="D8" s="15">
        <v>73.8</v>
      </c>
      <c r="E8" s="12" t="s">
        <v>71</v>
      </c>
      <c r="F8" s="15">
        <v>66.3</v>
      </c>
      <c r="G8" s="12" t="s">
        <v>73</v>
      </c>
      <c r="H8" s="15">
        <v>34.1</v>
      </c>
      <c r="I8" s="176" t="s">
        <v>74</v>
      </c>
    </row>
    <row r="9" spans="1:33" x14ac:dyDescent="0.25">
      <c r="A9" s="138">
        <v>1991</v>
      </c>
      <c r="B9" s="167">
        <v>199</v>
      </c>
      <c r="C9" s="167">
        <f t="shared" si="0"/>
        <v>0.80753768844221097</v>
      </c>
      <c r="D9" s="15">
        <v>70</v>
      </c>
      <c r="E9" s="12" t="s">
        <v>71</v>
      </c>
      <c r="F9" s="15">
        <v>62.2</v>
      </c>
      <c r="G9" s="12" t="s">
        <v>73</v>
      </c>
      <c r="H9" s="15">
        <v>28.5</v>
      </c>
      <c r="I9" s="128" t="s">
        <v>74</v>
      </c>
    </row>
    <row r="10" spans="1:33" x14ac:dyDescent="0.25">
      <c r="A10" s="138">
        <v>1992</v>
      </c>
      <c r="B10" s="167">
        <v>195</v>
      </c>
      <c r="C10" s="167">
        <f t="shared" si="0"/>
        <v>0.87969230769230766</v>
      </c>
      <c r="D10" s="15">
        <v>72.5</v>
      </c>
      <c r="E10" s="12" t="s">
        <v>72</v>
      </c>
      <c r="F10" s="15">
        <v>61.1</v>
      </c>
      <c r="G10" s="12" t="s">
        <v>73</v>
      </c>
      <c r="H10" s="15">
        <v>37.94</v>
      </c>
      <c r="I10" s="128" t="s">
        <v>71</v>
      </c>
    </row>
    <row r="11" spans="1:33" x14ac:dyDescent="0.25">
      <c r="A11" s="138">
        <v>1993</v>
      </c>
      <c r="B11" s="167">
        <v>201</v>
      </c>
      <c r="C11" s="167">
        <f t="shared" si="0"/>
        <v>0.8386567164179104</v>
      </c>
      <c r="D11" s="15">
        <v>71.900000000000006</v>
      </c>
      <c r="E11" s="12" t="s">
        <v>73</v>
      </c>
      <c r="F11" s="15">
        <v>52.97</v>
      </c>
      <c r="G11" s="12" t="s">
        <v>72</v>
      </c>
      <c r="H11" s="15">
        <v>43.7</v>
      </c>
      <c r="I11" s="128" t="s">
        <v>71</v>
      </c>
    </row>
    <row r="12" spans="1:33" x14ac:dyDescent="0.25">
      <c r="A12" s="138">
        <v>1994</v>
      </c>
      <c r="B12" s="167">
        <v>274</v>
      </c>
      <c r="C12" s="167">
        <f t="shared" si="0"/>
        <v>0.86879562043795622</v>
      </c>
      <c r="D12" s="15">
        <v>111</v>
      </c>
      <c r="E12" s="12" t="s">
        <v>73</v>
      </c>
      <c r="F12" s="15">
        <v>102.05</v>
      </c>
      <c r="G12" s="12" t="s">
        <v>72</v>
      </c>
      <c r="H12" s="15">
        <v>25</v>
      </c>
      <c r="I12" s="128" t="s">
        <v>71</v>
      </c>
    </row>
    <row r="13" spans="1:33" x14ac:dyDescent="0.25">
      <c r="A13" s="138">
        <v>1995</v>
      </c>
      <c r="B13" s="167">
        <v>311</v>
      </c>
      <c r="C13" s="167">
        <f t="shared" si="0"/>
        <v>0.88061093247588429</v>
      </c>
      <c r="D13" s="15">
        <v>138</v>
      </c>
      <c r="E13" s="12" t="s">
        <v>73</v>
      </c>
      <c r="F13" s="15">
        <v>105.87</v>
      </c>
      <c r="G13" s="12" t="s">
        <v>72</v>
      </c>
      <c r="H13" s="15">
        <v>30</v>
      </c>
      <c r="I13" s="128" t="s">
        <v>71</v>
      </c>
    </row>
    <row r="14" spans="1:33" x14ac:dyDescent="0.25">
      <c r="A14" s="138">
        <v>1996</v>
      </c>
      <c r="B14" s="167">
        <v>297</v>
      </c>
      <c r="C14" s="167">
        <f t="shared" si="0"/>
        <v>0.97212121212121205</v>
      </c>
      <c r="D14" s="15">
        <v>143.88999999999999</v>
      </c>
      <c r="E14" s="12" t="s">
        <v>73</v>
      </c>
      <c r="F14" s="15">
        <v>114.83</v>
      </c>
      <c r="G14" s="12" t="s">
        <v>72</v>
      </c>
      <c r="H14" s="15">
        <v>30</v>
      </c>
      <c r="I14" s="128" t="s">
        <v>71</v>
      </c>
    </row>
    <row r="15" spans="1:33" x14ac:dyDescent="0.25">
      <c r="A15" s="138">
        <v>1997</v>
      </c>
      <c r="B15" s="167">
        <v>264</v>
      </c>
      <c r="C15" s="167">
        <f t="shared" si="0"/>
        <v>0.97238636363636377</v>
      </c>
      <c r="D15" s="15">
        <v>134.71</v>
      </c>
      <c r="E15" s="12" t="s">
        <v>73</v>
      </c>
      <c r="F15" s="15">
        <v>92</v>
      </c>
      <c r="G15" s="12" t="s">
        <v>72</v>
      </c>
      <c r="H15" s="15">
        <v>30</v>
      </c>
      <c r="I15" s="128" t="s">
        <v>71</v>
      </c>
    </row>
    <row r="16" spans="1:33" x14ac:dyDescent="0.25">
      <c r="A16" s="138">
        <v>1998</v>
      </c>
      <c r="B16" s="167">
        <v>264</v>
      </c>
      <c r="C16" s="167">
        <f t="shared" si="0"/>
        <v>0.98193181818181829</v>
      </c>
      <c r="D16" s="15">
        <v>118.23</v>
      </c>
      <c r="E16" s="12" t="s">
        <v>73</v>
      </c>
      <c r="F16" s="15">
        <v>111</v>
      </c>
      <c r="G16" s="12" t="s">
        <v>72</v>
      </c>
      <c r="H16" s="15">
        <v>30</v>
      </c>
      <c r="I16" s="128" t="s">
        <v>71</v>
      </c>
    </row>
    <row r="17" spans="1:9" x14ac:dyDescent="0.25">
      <c r="A17" s="138">
        <v>1999</v>
      </c>
      <c r="B17" s="167">
        <v>358</v>
      </c>
      <c r="C17" s="167">
        <f t="shared" si="0"/>
        <v>0.98793296089385474</v>
      </c>
      <c r="D17" s="15">
        <v>164.68</v>
      </c>
      <c r="E17" s="12" t="s">
        <v>73</v>
      </c>
      <c r="F17" s="15">
        <v>128.46</v>
      </c>
      <c r="G17" s="12" t="s">
        <v>72</v>
      </c>
      <c r="H17" s="15">
        <v>60.54</v>
      </c>
      <c r="I17" s="128" t="s">
        <v>71</v>
      </c>
    </row>
    <row r="18" spans="1:9" x14ac:dyDescent="0.25">
      <c r="A18" s="138">
        <v>2000</v>
      </c>
      <c r="B18" s="167">
        <v>396</v>
      </c>
      <c r="C18" s="167">
        <f t="shared" si="0"/>
        <v>0.89840909090909082</v>
      </c>
      <c r="D18" s="15">
        <v>157.41999999999999</v>
      </c>
      <c r="E18" s="12" t="s">
        <v>73</v>
      </c>
      <c r="F18" s="15">
        <v>148.35</v>
      </c>
      <c r="G18" s="12" t="s">
        <v>72</v>
      </c>
      <c r="H18" s="15">
        <v>50</v>
      </c>
      <c r="I18" s="128" t="s">
        <v>22</v>
      </c>
    </row>
    <row r="19" spans="1:9" x14ac:dyDescent="0.25">
      <c r="A19" s="138">
        <v>2001</v>
      </c>
      <c r="B19" s="167">
        <v>399</v>
      </c>
      <c r="C19" s="167">
        <f t="shared" si="0"/>
        <v>0.85017543859649114</v>
      </c>
      <c r="D19" s="15">
        <v>145.79</v>
      </c>
      <c r="E19" s="12" t="s">
        <v>73</v>
      </c>
      <c r="F19" s="15">
        <v>129.79</v>
      </c>
      <c r="G19" s="12" t="s">
        <v>72</v>
      </c>
      <c r="H19" s="15">
        <v>63.64</v>
      </c>
      <c r="I19" s="128" t="s">
        <v>71</v>
      </c>
    </row>
    <row r="20" spans="1:9" x14ac:dyDescent="0.25">
      <c r="A20" s="138">
        <v>2002</v>
      </c>
      <c r="B20" s="167">
        <v>444</v>
      </c>
      <c r="C20" s="167">
        <f t="shared" si="0"/>
        <v>0.82277027027027017</v>
      </c>
      <c r="D20" s="15">
        <v>171.29</v>
      </c>
      <c r="E20" s="12" t="s">
        <v>72</v>
      </c>
      <c r="F20" s="15">
        <v>100</v>
      </c>
      <c r="G20" s="12" t="s">
        <v>22</v>
      </c>
      <c r="H20" s="15">
        <v>94.02</v>
      </c>
      <c r="I20" s="128" t="s">
        <v>73</v>
      </c>
    </row>
    <row r="21" spans="1:9" x14ac:dyDescent="0.25">
      <c r="A21" s="138">
        <v>2003</v>
      </c>
      <c r="B21" s="167">
        <v>492</v>
      </c>
      <c r="C21" s="167">
        <f t="shared" si="0"/>
        <v>0.83884146341463417</v>
      </c>
      <c r="D21" s="15">
        <v>152.38</v>
      </c>
      <c r="E21" s="12" t="s">
        <v>72</v>
      </c>
      <c r="F21" s="15">
        <v>130.33000000000001</v>
      </c>
      <c r="G21" s="12" t="s">
        <v>73</v>
      </c>
      <c r="H21" s="15">
        <v>130</v>
      </c>
      <c r="I21" s="128" t="s">
        <v>22</v>
      </c>
    </row>
    <row r="22" spans="1:9" x14ac:dyDescent="0.25">
      <c r="A22" s="138">
        <v>2004</v>
      </c>
      <c r="B22" s="167">
        <v>525</v>
      </c>
      <c r="C22" s="167">
        <f t="shared" si="0"/>
        <v>0.8200952380952381</v>
      </c>
      <c r="D22" s="15">
        <v>192.94</v>
      </c>
      <c r="E22" s="12" t="s">
        <v>72</v>
      </c>
      <c r="F22" s="15">
        <v>150</v>
      </c>
      <c r="G22" s="12" t="s">
        <v>22</v>
      </c>
      <c r="H22" s="15">
        <v>87.61</v>
      </c>
      <c r="I22" s="128" t="s">
        <v>73</v>
      </c>
    </row>
    <row r="23" spans="1:9" x14ac:dyDescent="0.25">
      <c r="A23" s="138">
        <v>2005</v>
      </c>
      <c r="B23" s="167">
        <v>509</v>
      </c>
      <c r="C23" s="167">
        <f t="shared" si="0"/>
        <v>0.9407269155206287</v>
      </c>
      <c r="D23" s="15">
        <v>188</v>
      </c>
      <c r="E23" s="12" t="s">
        <v>72</v>
      </c>
      <c r="F23" s="15">
        <v>180</v>
      </c>
      <c r="G23" s="12" t="s">
        <v>22</v>
      </c>
      <c r="H23" s="15">
        <v>110.83</v>
      </c>
      <c r="I23" s="128" t="s">
        <v>73</v>
      </c>
    </row>
    <row r="24" spans="1:9" x14ac:dyDescent="0.25">
      <c r="A24" s="138">
        <v>2006</v>
      </c>
      <c r="B24" s="167">
        <v>524</v>
      </c>
      <c r="C24" s="167">
        <f t="shared" si="0"/>
        <v>0.94083969465648853</v>
      </c>
      <c r="D24" s="15">
        <v>188</v>
      </c>
      <c r="E24" s="12" t="s">
        <v>72</v>
      </c>
      <c r="F24" s="15">
        <v>180</v>
      </c>
      <c r="G24" s="12" t="s">
        <v>22</v>
      </c>
      <c r="H24" s="15">
        <v>125</v>
      </c>
      <c r="I24" s="128" t="s">
        <v>73</v>
      </c>
    </row>
    <row r="25" spans="1:9" x14ac:dyDescent="0.25">
      <c r="A25" s="138" t="s">
        <v>4</v>
      </c>
      <c r="B25" s="167">
        <v>518</v>
      </c>
      <c r="C25" s="167">
        <f t="shared" si="0"/>
        <v>0.97104247104247099</v>
      </c>
      <c r="D25" s="15">
        <v>190</v>
      </c>
      <c r="E25" s="12" t="s">
        <v>22</v>
      </c>
      <c r="F25" s="15">
        <v>188</v>
      </c>
      <c r="G25" s="12" t="s">
        <v>72</v>
      </c>
      <c r="H25" s="15">
        <v>125</v>
      </c>
      <c r="I25" s="128" t="s">
        <v>73</v>
      </c>
    </row>
    <row r="26" spans="1:9" x14ac:dyDescent="0.25">
      <c r="A26" s="138" t="s">
        <v>5</v>
      </c>
      <c r="B26" s="167">
        <v>656</v>
      </c>
      <c r="C26" s="167">
        <f t="shared" si="0"/>
        <v>0.9647865853658536</v>
      </c>
      <c r="D26" s="15">
        <v>336</v>
      </c>
      <c r="E26" s="12" t="s">
        <v>72</v>
      </c>
      <c r="F26" s="15">
        <v>200</v>
      </c>
      <c r="G26" s="12" t="s">
        <v>22</v>
      </c>
      <c r="H26" s="15">
        <v>96.9</v>
      </c>
      <c r="I26" s="128" t="s">
        <v>73</v>
      </c>
    </row>
    <row r="27" spans="1:9" x14ac:dyDescent="0.25">
      <c r="A27" s="138" t="s">
        <v>6</v>
      </c>
      <c r="B27" s="167">
        <v>400</v>
      </c>
      <c r="C27" s="167">
        <f t="shared" si="0"/>
        <v>0.96400000000000008</v>
      </c>
      <c r="D27" s="167">
        <v>210</v>
      </c>
      <c r="E27" s="12" t="s">
        <v>22</v>
      </c>
      <c r="F27" s="167">
        <v>138</v>
      </c>
      <c r="G27" s="12" t="s">
        <v>72</v>
      </c>
      <c r="H27" s="167">
        <v>37.6</v>
      </c>
      <c r="I27" s="128" t="s">
        <v>73</v>
      </c>
    </row>
    <row r="28" spans="1:9" x14ac:dyDescent="0.25">
      <c r="B28" s="22"/>
      <c r="H28" s="10"/>
    </row>
    <row r="29" spans="1:9" x14ac:dyDescent="0.25">
      <c r="B29" s="36"/>
      <c r="H29" s="10"/>
    </row>
    <row r="30" spans="1:9" x14ac:dyDescent="0.25">
      <c r="B30" s="36"/>
    </row>
    <row r="31" spans="1:9" x14ac:dyDescent="0.25">
      <c r="B31" s="36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3" width="13.28515625" customWidth="1"/>
    <col min="4" max="4" width="13.7109375" customWidth="1"/>
    <col min="5" max="10" width="13.28515625" customWidth="1"/>
  </cols>
  <sheetData>
    <row r="1" spans="1:10" ht="15" customHeight="1" x14ac:dyDescent="0.25">
      <c r="A1" s="278" t="s">
        <v>468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10" x14ac:dyDescent="0.25">
      <c r="A3" s="5"/>
      <c r="B3" s="6"/>
      <c r="C3" s="6"/>
      <c r="D3" s="6"/>
      <c r="E3" s="6"/>
      <c r="F3" s="6"/>
      <c r="H3" s="6"/>
      <c r="I3" s="6"/>
    </row>
    <row r="4" spans="1:10" x14ac:dyDescent="0.25">
      <c r="A4" s="5"/>
      <c r="B4" s="6"/>
      <c r="C4" s="6"/>
      <c r="D4" s="6"/>
      <c r="E4" s="6"/>
      <c r="F4" s="6"/>
      <c r="H4" s="6"/>
      <c r="I4" s="6"/>
    </row>
    <row r="5" spans="1:10" x14ac:dyDescent="0.25">
      <c r="A5" s="105"/>
      <c r="B5" s="283" t="s">
        <v>69</v>
      </c>
      <c r="C5" s="283"/>
      <c r="D5" s="283"/>
      <c r="E5" s="283"/>
      <c r="F5" s="283"/>
      <c r="G5" s="283"/>
      <c r="H5" s="283"/>
      <c r="I5" s="283"/>
      <c r="J5" s="141"/>
    </row>
    <row r="6" spans="1:10" s="13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82" t="s">
        <v>275</v>
      </c>
      <c r="F6" s="282"/>
      <c r="G6" s="282" t="s">
        <v>32</v>
      </c>
      <c r="H6" s="282"/>
      <c r="I6" s="282" t="s">
        <v>33</v>
      </c>
      <c r="J6" s="282"/>
    </row>
    <row r="7" spans="1:10" s="13" customFormat="1" ht="29.25" customHeight="1" x14ac:dyDescent="0.25">
      <c r="A7" s="100" t="s">
        <v>368</v>
      </c>
      <c r="B7" s="281"/>
      <c r="C7" s="281"/>
      <c r="D7" s="281"/>
      <c r="E7" s="100" t="s">
        <v>8</v>
      </c>
      <c r="F7" s="100" t="s">
        <v>3</v>
      </c>
      <c r="G7" s="100" t="s">
        <v>8</v>
      </c>
      <c r="H7" s="100" t="s">
        <v>3</v>
      </c>
      <c r="I7" s="100" t="s">
        <v>8</v>
      </c>
      <c r="J7" s="100" t="s">
        <v>3</v>
      </c>
    </row>
    <row r="8" spans="1:10" x14ac:dyDescent="0.25">
      <c r="A8" s="138">
        <v>1990</v>
      </c>
      <c r="B8" s="172">
        <v>57.8</v>
      </c>
      <c r="C8" s="172">
        <v>11.6</v>
      </c>
      <c r="D8" s="167">
        <f t="shared" ref="D8:D27" si="0">(E8+G8+I8)/B8</f>
        <v>0.36660899653979245</v>
      </c>
      <c r="E8" s="31">
        <v>9.0299999999999994</v>
      </c>
      <c r="F8" s="12" t="s">
        <v>37</v>
      </c>
      <c r="G8" s="31">
        <v>6.79</v>
      </c>
      <c r="H8" s="12" t="s">
        <v>38</v>
      </c>
      <c r="I8" s="31">
        <v>5.37</v>
      </c>
      <c r="J8" s="128" t="s">
        <v>22</v>
      </c>
    </row>
    <row r="9" spans="1:10" x14ac:dyDescent="0.25">
      <c r="A9" s="138">
        <v>1991</v>
      </c>
      <c r="B9" s="172">
        <v>54.6</v>
      </c>
      <c r="C9" s="172">
        <v>10.8</v>
      </c>
      <c r="D9" s="167">
        <f t="shared" si="0"/>
        <v>0.38717948717948719</v>
      </c>
      <c r="E9" s="31">
        <v>8.1</v>
      </c>
      <c r="F9" s="12" t="s">
        <v>37</v>
      </c>
      <c r="G9" s="31">
        <v>7.13</v>
      </c>
      <c r="H9" s="12" t="s">
        <v>38</v>
      </c>
      <c r="I9" s="31">
        <v>5.91</v>
      </c>
      <c r="J9" s="128" t="s">
        <v>22</v>
      </c>
    </row>
    <row r="10" spans="1:10" x14ac:dyDescent="0.25">
      <c r="A10" s="138">
        <v>1992</v>
      </c>
      <c r="B10" s="172">
        <v>50.7</v>
      </c>
      <c r="C10" s="172">
        <v>10.7</v>
      </c>
      <c r="D10" s="167">
        <f t="shared" si="0"/>
        <v>0.33313609467455618</v>
      </c>
      <c r="E10" s="31">
        <v>7.49</v>
      </c>
      <c r="F10" s="12" t="s">
        <v>38</v>
      </c>
      <c r="G10" s="172">
        <v>5.9</v>
      </c>
      <c r="H10" s="12" t="s">
        <v>22</v>
      </c>
      <c r="I10" s="31">
        <v>3.5</v>
      </c>
      <c r="J10" s="128" t="s">
        <v>24</v>
      </c>
    </row>
    <row r="11" spans="1:10" x14ac:dyDescent="0.25">
      <c r="A11" s="138">
        <v>1993</v>
      </c>
      <c r="B11" s="172">
        <v>51.6</v>
      </c>
      <c r="C11" s="172">
        <v>11.1</v>
      </c>
      <c r="D11" s="167">
        <f t="shared" si="0"/>
        <v>0.35872093023255808</v>
      </c>
      <c r="E11" s="31">
        <v>8.43</v>
      </c>
      <c r="F11" s="12" t="s">
        <v>38</v>
      </c>
      <c r="G11" s="31">
        <v>6.36</v>
      </c>
      <c r="H11" s="12" t="s">
        <v>22</v>
      </c>
      <c r="I11" s="31">
        <v>3.72</v>
      </c>
      <c r="J11" s="128" t="s">
        <v>24</v>
      </c>
    </row>
    <row r="12" spans="1:10" x14ac:dyDescent="0.25">
      <c r="A12" s="138">
        <v>1994</v>
      </c>
      <c r="B12" s="172">
        <v>53.4</v>
      </c>
      <c r="C12" s="172">
        <v>11.5</v>
      </c>
      <c r="D12" s="167">
        <f t="shared" si="0"/>
        <v>0.36498127340823966</v>
      </c>
      <c r="E12" s="31">
        <v>8.85</v>
      </c>
      <c r="F12" s="12" t="s">
        <v>38</v>
      </c>
      <c r="G12" s="31">
        <v>7.02</v>
      </c>
      <c r="H12" s="12" t="s">
        <v>22</v>
      </c>
      <c r="I12" s="31">
        <v>3.62</v>
      </c>
      <c r="J12" s="128" t="s">
        <v>24</v>
      </c>
    </row>
    <row r="13" spans="1:10" x14ac:dyDescent="0.25">
      <c r="A13" s="138">
        <v>1995</v>
      </c>
      <c r="B13" s="172">
        <v>54</v>
      </c>
      <c r="C13" s="172">
        <v>11.8</v>
      </c>
      <c r="D13" s="167">
        <f t="shared" si="0"/>
        <v>0.36703703703703705</v>
      </c>
      <c r="E13" s="31">
        <v>8.9499999999999993</v>
      </c>
      <c r="F13" s="12" t="s">
        <v>38</v>
      </c>
      <c r="G13" s="31">
        <v>7.03</v>
      </c>
      <c r="H13" s="12" t="s">
        <v>22</v>
      </c>
      <c r="I13" s="31">
        <v>3.84</v>
      </c>
      <c r="J13" s="128" t="s">
        <v>24</v>
      </c>
    </row>
    <row r="14" spans="1:10" x14ac:dyDescent="0.25">
      <c r="A14" s="138">
        <v>1996</v>
      </c>
      <c r="B14" s="172">
        <v>55.2</v>
      </c>
      <c r="C14" s="172">
        <v>11.8</v>
      </c>
      <c r="D14" s="167">
        <f t="shared" si="0"/>
        <v>0.37228260869565216</v>
      </c>
      <c r="E14" s="31">
        <v>9.49</v>
      </c>
      <c r="F14" s="12" t="s">
        <v>38</v>
      </c>
      <c r="G14" s="31">
        <v>7.26</v>
      </c>
      <c r="H14" s="12" t="s">
        <v>22</v>
      </c>
      <c r="I14" s="172">
        <v>3.8</v>
      </c>
      <c r="J14" s="128" t="s">
        <v>24</v>
      </c>
    </row>
    <row r="15" spans="1:10" x14ac:dyDescent="0.25">
      <c r="A15" s="138">
        <v>1997</v>
      </c>
      <c r="B15" s="172">
        <v>56.9</v>
      </c>
      <c r="C15" s="172">
        <v>12</v>
      </c>
      <c r="D15" s="167">
        <f t="shared" si="0"/>
        <v>0.36731107205623897</v>
      </c>
      <c r="E15" s="31">
        <v>9.48</v>
      </c>
      <c r="F15" s="12" t="s">
        <v>38</v>
      </c>
      <c r="G15" s="31">
        <v>7.67</v>
      </c>
      <c r="H15" s="12" t="s">
        <v>22</v>
      </c>
      <c r="I15" s="31">
        <v>3.75</v>
      </c>
      <c r="J15" s="128" t="s">
        <v>24</v>
      </c>
    </row>
    <row r="16" spans="1:10" x14ac:dyDescent="0.25">
      <c r="A16" s="138">
        <v>1998</v>
      </c>
      <c r="B16" s="172">
        <v>57.4</v>
      </c>
      <c r="C16" s="172">
        <v>11.7</v>
      </c>
      <c r="D16" s="167">
        <f t="shared" si="0"/>
        <v>0.35731707317073169</v>
      </c>
      <c r="E16" s="31">
        <v>9.69</v>
      </c>
      <c r="F16" s="12" t="s">
        <v>38</v>
      </c>
      <c r="G16" s="31">
        <v>6.17</v>
      </c>
      <c r="H16" s="12" t="s">
        <v>22</v>
      </c>
      <c r="I16" s="31">
        <v>4.6500000000000004</v>
      </c>
      <c r="J16" s="128" t="s">
        <v>24</v>
      </c>
    </row>
    <row r="17" spans="1:10" x14ac:dyDescent="0.25">
      <c r="A17" s="138">
        <v>1999</v>
      </c>
      <c r="B17" s="172">
        <v>58.5</v>
      </c>
      <c r="C17" s="172">
        <v>11.5</v>
      </c>
      <c r="D17" s="167">
        <f t="shared" si="0"/>
        <v>0.35658119658119658</v>
      </c>
      <c r="E17" s="31">
        <v>9.82</v>
      </c>
      <c r="F17" s="12" t="s">
        <v>38</v>
      </c>
      <c r="G17" s="31">
        <v>5.77</v>
      </c>
      <c r="H17" s="12" t="s">
        <v>22</v>
      </c>
      <c r="I17" s="31">
        <v>5.27</v>
      </c>
      <c r="J17" s="128" t="s">
        <v>24</v>
      </c>
    </row>
    <row r="18" spans="1:10" x14ac:dyDescent="0.25">
      <c r="A18" s="138">
        <v>2000</v>
      </c>
      <c r="B18" s="172">
        <v>59.3</v>
      </c>
      <c r="C18" s="172">
        <v>10.5</v>
      </c>
      <c r="D18" s="167">
        <f t="shared" si="0"/>
        <v>0.3507588532883642</v>
      </c>
      <c r="E18" s="31">
        <v>9.4499999999999993</v>
      </c>
      <c r="F18" s="12" t="s">
        <v>38</v>
      </c>
      <c r="G18" s="31">
        <v>5.79</v>
      </c>
      <c r="H18" s="12" t="s">
        <v>24</v>
      </c>
      <c r="I18" s="31">
        <v>5.56</v>
      </c>
      <c r="J18" s="128" t="s">
        <v>22</v>
      </c>
    </row>
    <row r="19" spans="1:10" x14ac:dyDescent="0.25">
      <c r="A19" s="138">
        <v>2001</v>
      </c>
      <c r="B19" s="172">
        <v>61.4</v>
      </c>
      <c r="C19" s="172">
        <v>9.4700000000000006</v>
      </c>
      <c r="D19" s="167">
        <f t="shared" si="0"/>
        <v>0.34332247557003254</v>
      </c>
      <c r="E19" s="31">
        <v>9.44</v>
      </c>
      <c r="F19" s="12" t="s">
        <v>38</v>
      </c>
      <c r="G19" s="31">
        <v>6.13</v>
      </c>
      <c r="H19" s="12" t="s">
        <v>24</v>
      </c>
      <c r="I19" s="31">
        <v>5.51</v>
      </c>
      <c r="J19" s="128" t="s">
        <v>22</v>
      </c>
    </row>
    <row r="20" spans="1:10" x14ac:dyDescent="0.25">
      <c r="A20" s="138">
        <v>2002</v>
      </c>
      <c r="B20" s="172">
        <v>62</v>
      </c>
      <c r="C20" s="172">
        <v>9.27</v>
      </c>
      <c r="D20" s="167">
        <f t="shared" si="0"/>
        <v>0.34596774193548385</v>
      </c>
      <c r="E20" s="33">
        <v>8.93</v>
      </c>
      <c r="F20" s="12" t="s">
        <v>38</v>
      </c>
      <c r="G20" s="34">
        <v>6.54</v>
      </c>
      <c r="H20" s="12" t="s">
        <v>24</v>
      </c>
      <c r="I20" s="33">
        <v>5.98</v>
      </c>
      <c r="J20" s="128" t="s">
        <v>22</v>
      </c>
    </row>
    <row r="21" spans="1:10" x14ac:dyDescent="0.25">
      <c r="A21" s="138">
        <v>2003</v>
      </c>
      <c r="B21" s="172">
        <v>64.099999999999994</v>
      </c>
      <c r="C21" s="172">
        <v>9.6</v>
      </c>
      <c r="D21" s="167">
        <f t="shared" si="0"/>
        <v>0.34711388455538222</v>
      </c>
      <c r="E21" s="34">
        <v>9.0299999999999994</v>
      </c>
      <c r="F21" s="12" t="s">
        <v>38</v>
      </c>
      <c r="G21" s="34">
        <v>6.72</v>
      </c>
      <c r="H21" s="12" t="s">
        <v>24</v>
      </c>
      <c r="I21" s="34">
        <v>6.5</v>
      </c>
      <c r="J21" s="128" t="s">
        <v>22</v>
      </c>
    </row>
    <row r="22" spans="1:10" x14ac:dyDescent="0.25">
      <c r="A22" s="138">
        <v>2004</v>
      </c>
      <c r="B22" s="172">
        <v>66.400000000000006</v>
      </c>
      <c r="C22" s="172">
        <v>10.1</v>
      </c>
      <c r="D22" s="167">
        <f t="shared" si="0"/>
        <v>0.34894578313253011</v>
      </c>
      <c r="E22" s="32">
        <v>9.1</v>
      </c>
      <c r="F22" s="12" t="s">
        <v>38</v>
      </c>
      <c r="G22" s="32">
        <v>7.15</v>
      </c>
      <c r="H22" s="12" t="s">
        <v>22</v>
      </c>
      <c r="I22" s="32">
        <v>6.92</v>
      </c>
      <c r="J22" s="128" t="s">
        <v>24</v>
      </c>
    </row>
    <row r="23" spans="1:10" x14ac:dyDescent="0.25">
      <c r="A23" s="138">
        <v>2005</v>
      </c>
      <c r="B23" s="172">
        <v>68.2</v>
      </c>
      <c r="C23" s="172">
        <v>9.5</v>
      </c>
      <c r="D23" s="167">
        <f t="shared" si="0"/>
        <v>0.34648093841642225</v>
      </c>
      <c r="E23" s="33">
        <v>8.9700000000000006</v>
      </c>
      <c r="F23" s="12" t="s">
        <v>38</v>
      </c>
      <c r="G23" s="33">
        <v>7.71</v>
      </c>
      <c r="H23" s="12" t="s">
        <v>22</v>
      </c>
      <c r="I23" s="33">
        <v>6.95</v>
      </c>
      <c r="J23" s="128" t="s">
        <v>24</v>
      </c>
    </row>
    <row r="24" spans="1:10" x14ac:dyDescent="0.25">
      <c r="A24" s="138">
        <v>2006</v>
      </c>
      <c r="B24" s="172">
        <v>67.5</v>
      </c>
      <c r="C24" s="185">
        <v>9.06</v>
      </c>
      <c r="D24" s="167">
        <f t="shared" si="0"/>
        <v>0.34207407407407409</v>
      </c>
      <c r="E24" s="33">
        <v>9.08</v>
      </c>
      <c r="F24" s="12" t="s">
        <v>38</v>
      </c>
      <c r="G24" s="33">
        <v>7.06</v>
      </c>
      <c r="H24" s="12" t="s">
        <v>22</v>
      </c>
      <c r="I24" s="33">
        <v>6.95</v>
      </c>
      <c r="J24" s="128" t="s">
        <v>24</v>
      </c>
    </row>
    <row r="25" spans="1:10" x14ac:dyDescent="0.25">
      <c r="A25" s="138" t="s">
        <v>4</v>
      </c>
      <c r="B25" s="172">
        <v>68.2</v>
      </c>
      <c r="C25" s="172">
        <v>9.1</v>
      </c>
      <c r="D25" s="167">
        <f t="shared" si="0"/>
        <v>0.35630498533724342</v>
      </c>
      <c r="E25" s="172">
        <v>8.7899999999999991</v>
      </c>
      <c r="F25" s="12" t="s">
        <v>38</v>
      </c>
      <c r="G25" s="172">
        <v>8.4600000000000009</v>
      </c>
      <c r="H25" s="12" t="s">
        <v>22</v>
      </c>
      <c r="I25" s="172">
        <v>7.05</v>
      </c>
      <c r="J25" s="128" t="s">
        <v>24</v>
      </c>
    </row>
    <row r="26" spans="1:10" x14ac:dyDescent="0.25">
      <c r="A26" s="138" t="s">
        <v>5</v>
      </c>
      <c r="B26" s="172">
        <v>68.7</v>
      </c>
      <c r="C26" s="172">
        <v>9.3000000000000007</v>
      </c>
      <c r="D26" s="167">
        <f t="shared" si="0"/>
        <v>0.34847161572052399</v>
      </c>
      <c r="E26" s="172">
        <v>8.61</v>
      </c>
      <c r="F26" s="12" t="s">
        <v>22</v>
      </c>
      <c r="G26" s="172">
        <v>8.16</v>
      </c>
      <c r="H26" s="12" t="s">
        <v>38</v>
      </c>
      <c r="I26" s="172">
        <v>7.17</v>
      </c>
      <c r="J26" s="128" t="s">
        <v>24</v>
      </c>
    </row>
    <row r="27" spans="1:10" x14ac:dyDescent="0.25">
      <c r="A27" s="138" t="s">
        <v>6</v>
      </c>
      <c r="B27" s="167">
        <v>67.5</v>
      </c>
      <c r="C27" s="185">
        <v>8.94</v>
      </c>
      <c r="D27" s="167">
        <f t="shared" si="0"/>
        <v>0.35422222222222222</v>
      </c>
      <c r="E27" s="167">
        <v>9.3699999999999992</v>
      </c>
      <c r="F27" s="12" t="s">
        <v>22</v>
      </c>
      <c r="G27" s="167">
        <v>7.47</v>
      </c>
      <c r="H27" s="12" t="s">
        <v>38</v>
      </c>
      <c r="I27" s="167">
        <v>7.07</v>
      </c>
      <c r="J27" s="128" t="s">
        <v>24</v>
      </c>
    </row>
    <row r="28" spans="1:10" x14ac:dyDescent="0.25">
      <c r="A28" s="8"/>
      <c r="B28" s="9"/>
      <c r="C28" s="9"/>
      <c r="D28" s="12"/>
      <c r="E28" s="9"/>
      <c r="F28" s="12"/>
      <c r="G28" s="9"/>
      <c r="H28" s="9"/>
      <c r="I28" s="59"/>
    </row>
    <row r="29" spans="1:10" x14ac:dyDescent="0.25">
      <c r="B29" s="10"/>
      <c r="H29" s="10"/>
    </row>
  </sheetData>
  <mergeCells count="8">
    <mergeCell ref="A1:J2"/>
    <mergeCell ref="B5:I5"/>
    <mergeCell ref="E6:F6"/>
    <mergeCell ref="G6:H6"/>
    <mergeCell ref="I6:J6"/>
    <mergeCell ref="D6:D7"/>
    <mergeCell ref="B6:B7"/>
    <mergeCell ref="C6:C7"/>
  </mergeCells>
  <pageMargins left="0.7" right="0.7" top="0.75" bottom="0.75" header="0.3" footer="0.3"/>
  <pageSetup scale="96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5703125" customWidth="1"/>
    <col min="4" max="8" width="13.28515625" customWidth="1"/>
    <col min="9" max="9" width="15" customWidth="1"/>
    <col min="10" max="38" width="9.140625" style="60"/>
  </cols>
  <sheetData>
    <row r="1" spans="1:38" ht="15" customHeight="1" x14ac:dyDescent="0.25">
      <c r="A1" s="278" t="s">
        <v>469</v>
      </c>
      <c r="B1" s="278"/>
      <c r="C1" s="278"/>
      <c r="D1" s="278"/>
      <c r="E1" s="278"/>
      <c r="F1" s="278"/>
      <c r="G1" s="278"/>
      <c r="H1" s="278"/>
      <c r="I1" s="278"/>
    </row>
    <row r="2" spans="1:38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38" x14ac:dyDescent="0.25">
      <c r="A3" s="5"/>
      <c r="B3" s="6"/>
      <c r="C3" s="6"/>
      <c r="D3" s="6"/>
      <c r="E3" s="6"/>
      <c r="F3" s="6"/>
      <c r="H3" s="6"/>
      <c r="I3" s="6"/>
    </row>
    <row r="4" spans="1:38" x14ac:dyDescent="0.25">
      <c r="A4" s="5"/>
      <c r="B4" s="6"/>
      <c r="C4" s="6"/>
      <c r="D4" s="6"/>
      <c r="E4" s="6"/>
      <c r="F4" s="6"/>
      <c r="H4" s="6"/>
      <c r="I4" s="6"/>
    </row>
    <row r="5" spans="1:38" x14ac:dyDescent="0.25">
      <c r="A5" s="105"/>
      <c r="B5" s="283" t="s">
        <v>59</v>
      </c>
      <c r="C5" s="283"/>
      <c r="D5" s="283"/>
      <c r="E5" s="283"/>
      <c r="F5" s="283"/>
      <c r="G5" s="283"/>
      <c r="H5" s="283"/>
      <c r="I5" s="283"/>
    </row>
    <row r="6" spans="1:38" s="13" customFormat="1" ht="15" customHeight="1" x14ac:dyDescent="0.25">
      <c r="A6" s="101"/>
      <c r="B6" s="282" t="s">
        <v>414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</row>
    <row r="7" spans="1:38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</row>
    <row r="8" spans="1:38" x14ac:dyDescent="0.25">
      <c r="A8" s="138">
        <v>1990</v>
      </c>
      <c r="B8" s="166">
        <v>396</v>
      </c>
      <c r="C8" s="167">
        <f t="shared" ref="C8:C27" si="0">(D8+F8+H8)/B8</f>
        <v>0.86111111111111116</v>
      </c>
      <c r="D8" s="27">
        <v>165</v>
      </c>
      <c r="E8" s="12" t="s">
        <v>27</v>
      </c>
      <c r="F8" s="27">
        <v>90</v>
      </c>
      <c r="G8" s="12" t="s">
        <v>28</v>
      </c>
      <c r="H8" s="27">
        <v>86</v>
      </c>
      <c r="I8" s="128" t="s">
        <v>38</v>
      </c>
    </row>
    <row r="9" spans="1:38" x14ac:dyDescent="0.25">
      <c r="A9" s="138">
        <v>1991</v>
      </c>
      <c r="B9" s="166">
        <v>477</v>
      </c>
      <c r="C9" s="167">
        <f t="shared" si="0"/>
        <v>0.82809224318658281</v>
      </c>
      <c r="D9" s="27">
        <v>218</v>
      </c>
      <c r="E9" s="12" t="s">
        <v>27</v>
      </c>
      <c r="F9" s="27">
        <v>93</v>
      </c>
      <c r="G9" s="12" t="s">
        <v>38</v>
      </c>
      <c r="H9" s="27">
        <v>84</v>
      </c>
      <c r="I9" s="128" t="s">
        <v>28</v>
      </c>
    </row>
    <row r="10" spans="1:38" x14ac:dyDescent="0.25">
      <c r="A10" s="138">
        <v>1992</v>
      </c>
      <c r="B10" s="166">
        <v>399</v>
      </c>
      <c r="C10" s="167">
        <f t="shared" si="0"/>
        <v>0.83208020050125309</v>
      </c>
      <c r="D10" s="27">
        <v>224</v>
      </c>
      <c r="E10" s="12" t="s">
        <v>27</v>
      </c>
      <c r="F10" s="166">
        <v>60</v>
      </c>
      <c r="G10" s="12" t="s">
        <v>28</v>
      </c>
      <c r="H10" s="27">
        <v>48</v>
      </c>
      <c r="I10" s="128" t="s">
        <v>38</v>
      </c>
    </row>
    <row r="11" spans="1:38" x14ac:dyDescent="0.25">
      <c r="A11" s="138">
        <v>1993</v>
      </c>
      <c r="B11" s="166">
        <v>292</v>
      </c>
      <c r="C11" s="167">
        <f t="shared" si="0"/>
        <v>0.83904109589041098</v>
      </c>
      <c r="D11" s="27">
        <v>170</v>
      </c>
      <c r="E11" s="12" t="s">
        <v>27</v>
      </c>
      <c r="F11" s="27">
        <v>50</v>
      </c>
      <c r="G11" s="12" t="s">
        <v>28</v>
      </c>
      <c r="H11" s="27">
        <v>25</v>
      </c>
      <c r="I11" s="128" t="s">
        <v>38</v>
      </c>
    </row>
    <row r="12" spans="1:38" x14ac:dyDescent="0.25">
      <c r="A12" s="138">
        <v>1994</v>
      </c>
      <c r="B12" s="166">
        <v>333</v>
      </c>
      <c r="C12" s="167">
        <f t="shared" si="0"/>
        <v>0.97297297297297303</v>
      </c>
      <c r="D12" s="27">
        <v>238</v>
      </c>
      <c r="E12" s="12" t="s">
        <v>27</v>
      </c>
      <c r="F12" s="27">
        <v>50</v>
      </c>
      <c r="G12" s="12" t="s">
        <v>28</v>
      </c>
      <c r="H12" s="27">
        <v>36</v>
      </c>
      <c r="I12" s="128" t="s">
        <v>38</v>
      </c>
    </row>
    <row r="13" spans="1:38" x14ac:dyDescent="0.25">
      <c r="A13" s="138">
        <v>1995</v>
      </c>
      <c r="B13" s="166">
        <v>361</v>
      </c>
      <c r="C13" s="167">
        <f t="shared" si="0"/>
        <v>0.9889196675900277</v>
      </c>
      <c r="D13" s="27">
        <v>274</v>
      </c>
      <c r="E13" s="12" t="s">
        <v>27</v>
      </c>
      <c r="F13" s="27">
        <v>50</v>
      </c>
      <c r="G13" s="12" t="s">
        <v>28</v>
      </c>
      <c r="H13" s="27">
        <v>33</v>
      </c>
      <c r="I13" s="128" t="s">
        <v>38</v>
      </c>
    </row>
    <row r="14" spans="1:38" x14ac:dyDescent="0.25">
      <c r="A14" s="138">
        <v>1996</v>
      </c>
      <c r="B14" s="166">
        <v>436</v>
      </c>
      <c r="C14" s="167">
        <f t="shared" si="0"/>
        <v>0.88532110091743121</v>
      </c>
      <c r="D14" s="27">
        <v>276</v>
      </c>
      <c r="E14" s="12" t="s">
        <v>27</v>
      </c>
      <c r="F14" s="27">
        <v>55</v>
      </c>
      <c r="G14" s="12" t="s">
        <v>28</v>
      </c>
      <c r="H14" s="166">
        <v>55</v>
      </c>
      <c r="I14" s="128" t="s">
        <v>38</v>
      </c>
    </row>
    <row r="15" spans="1:38" x14ac:dyDescent="0.25">
      <c r="A15" s="138">
        <v>1997</v>
      </c>
      <c r="B15" s="166">
        <v>562</v>
      </c>
      <c r="C15" s="167">
        <f t="shared" si="0"/>
        <v>0.86654804270462638</v>
      </c>
      <c r="D15" s="27">
        <v>302</v>
      </c>
      <c r="E15" s="12" t="s">
        <v>27</v>
      </c>
      <c r="F15" s="27">
        <v>125</v>
      </c>
      <c r="G15" s="12" t="s">
        <v>28</v>
      </c>
      <c r="H15" s="27">
        <v>60</v>
      </c>
      <c r="I15" s="128" t="s">
        <v>63</v>
      </c>
    </row>
    <row r="16" spans="1:38" x14ac:dyDescent="0.25">
      <c r="A16" s="138">
        <v>1998</v>
      </c>
      <c r="B16" s="166">
        <v>779</v>
      </c>
      <c r="C16" s="167">
        <f t="shared" si="0"/>
        <v>0.89473684210526316</v>
      </c>
      <c r="D16" s="27">
        <v>330</v>
      </c>
      <c r="E16" s="12" t="s">
        <v>27</v>
      </c>
      <c r="F16" s="27">
        <v>310</v>
      </c>
      <c r="G16" s="12" t="s">
        <v>28</v>
      </c>
      <c r="H16" s="27">
        <v>57</v>
      </c>
      <c r="I16" s="128" t="s">
        <v>38</v>
      </c>
    </row>
    <row r="17" spans="1:9" x14ac:dyDescent="0.25">
      <c r="A17" s="138">
        <v>1999</v>
      </c>
      <c r="B17" s="166">
        <v>656</v>
      </c>
      <c r="C17" s="167">
        <f t="shared" si="0"/>
        <v>0.86737804878048785</v>
      </c>
      <c r="D17" s="27">
        <v>350</v>
      </c>
      <c r="E17" s="12" t="s">
        <v>27</v>
      </c>
      <c r="F17" s="27">
        <v>165</v>
      </c>
      <c r="G17" s="12" t="s">
        <v>28</v>
      </c>
      <c r="H17" s="27">
        <v>54</v>
      </c>
      <c r="I17" s="128" t="s">
        <v>38</v>
      </c>
    </row>
    <row r="18" spans="1:9" x14ac:dyDescent="0.25">
      <c r="A18" s="138">
        <v>2000</v>
      </c>
      <c r="B18" s="166">
        <v>1070</v>
      </c>
      <c r="C18" s="167">
        <f t="shared" si="0"/>
        <v>0.75233644859813087</v>
      </c>
      <c r="D18" s="27">
        <v>485</v>
      </c>
      <c r="E18" s="12" t="s">
        <v>27</v>
      </c>
      <c r="F18" s="27">
        <v>190</v>
      </c>
      <c r="G18" s="12" t="s">
        <v>28</v>
      </c>
      <c r="H18" s="27">
        <v>130</v>
      </c>
      <c r="I18" s="128" t="s">
        <v>60</v>
      </c>
    </row>
    <row r="19" spans="1:9" x14ac:dyDescent="0.25">
      <c r="A19" s="138">
        <v>2001</v>
      </c>
      <c r="B19" s="166">
        <v>1170</v>
      </c>
      <c r="C19" s="167">
        <f t="shared" si="0"/>
        <v>0.80940170940170941</v>
      </c>
      <c r="D19" s="27">
        <v>660</v>
      </c>
      <c r="E19" s="12" t="s">
        <v>27</v>
      </c>
      <c r="F19" s="27">
        <v>210</v>
      </c>
      <c r="G19" s="12" t="s">
        <v>28</v>
      </c>
      <c r="H19" s="27">
        <v>77</v>
      </c>
      <c r="I19" s="128" t="s">
        <v>38</v>
      </c>
    </row>
    <row r="20" spans="1:9" x14ac:dyDescent="0.25">
      <c r="A20" s="138">
        <v>2002</v>
      </c>
      <c r="B20" s="166">
        <v>1340</v>
      </c>
      <c r="C20" s="167">
        <f t="shared" si="0"/>
        <v>0.85149253731343288</v>
      </c>
      <c r="D20" s="28">
        <v>807</v>
      </c>
      <c r="E20" s="12" t="s">
        <v>27</v>
      </c>
      <c r="F20" s="29">
        <v>190</v>
      </c>
      <c r="G20" s="12" t="s">
        <v>28</v>
      </c>
      <c r="H20" s="28">
        <v>144</v>
      </c>
      <c r="I20" s="128" t="s">
        <v>67</v>
      </c>
    </row>
    <row r="21" spans="1:9" x14ac:dyDescent="0.25">
      <c r="A21" s="138">
        <v>2003</v>
      </c>
      <c r="B21" s="166">
        <v>1390</v>
      </c>
      <c r="C21" s="167">
        <f t="shared" si="0"/>
        <v>0.8517985611510791</v>
      </c>
      <c r="D21" s="29">
        <v>973</v>
      </c>
      <c r="E21" s="12" t="s">
        <v>27</v>
      </c>
      <c r="F21" s="29">
        <v>156</v>
      </c>
      <c r="G21" s="12" t="s">
        <v>28</v>
      </c>
      <c r="H21" s="29">
        <v>55</v>
      </c>
      <c r="I21" s="128" t="s">
        <v>38</v>
      </c>
    </row>
    <row r="22" spans="1:9" x14ac:dyDescent="0.25">
      <c r="A22" s="138">
        <v>2004</v>
      </c>
      <c r="B22" s="166">
        <v>1430</v>
      </c>
      <c r="C22" s="167">
        <f t="shared" si="0"/>
        <v>0.85664335664335667</v>
      </c>
      <c r="D22" s="30">
        <v>807</v>
      </c>
      <c r="E22" s="12" t="s">
        <v>27</v>
      </c>
      <c r="F22" s="30">
        <v>213</v>
      </c>
      <c r="G22" s="12" t="s">
        <v>28</v>
      </c>
      <c r="H22" s="30">
        <v>205</v>
      </c>
      <c r="I22" s="128" t="s">
        <v>62</v>
      </c>
    </row>
    <row r="23" spans="1:9" x14ac:dyDescent="0.25">
      <c r="A23" s="138">
        <v>2005</v>
      </c>
      <c r="B23" s="166">
        <v>1380</v>
      </c>
      <c r="C23" s="167">
        <f t="shared" si="0"/>
        <v>0.83405797101449275</v>
      </c>
      <c r="D23" s="28">
        <v>854</v>
      </c>
      <c r="E23" s="12" t="s">
        <v>27</v>
      </c>
      <c r="F23" s="28">
        <v>216</v>
      </c>
      <c r="G23" s="12" t="s">
        <v>28</v>
      </c>
      <c r="H23" s="28">
        <v>81</v>
      </c>
      <c r="I23" s="128" t="s">
        <v>62</v>
      </c>
    </row>
    <row r="24" spans="1:9" x14ac:dyDescent="0.25">
      <c r="A24" s="138">
        <v>2006</v>
      </c>
      <c r="B24" s="166">
        <v>870</v>
      </c>
      <c r="C24" s="167">
        <f t="shared" si="0"/>
        <v>0.8172413793103448</v>
      </c>
      <c r="D24" s="28">
        <v>478</v>
      </c>
      <c r="E24" s="12" t="s">
        <v>27</v>
      </c>
      <c r="F24" s="28">
        <v>176</v>
      </c>
      <c r="G24" s="12" t="s">
        <v>28</v>
      </c>
      <c r="H24" s="28">
        <v>57</v>
      </c>
      <c r="I24" s="128" t="s">
        <v>68</v>
      </c>
    </row>
    <row r="25" spans="1:9" x14ac:dyDescent="0.25">
      <c r="A25" s="138" t="s">
        <v>4</v>
      </c>
      <c r="B25" s="166">
        <v>872</v>
      </c>
      <c r="C25" s="167">
        <f t="shared" si="0"/>
        <v>0.84977064220183485</v>
      </c>
      <c r="D25" s="166">
        <v>441</v>
      </c>
      <c r="E25" s="12" t="s">
        <v>27</v>
      </c>
      <c r="F25" s="166">
        <v>180</v>
      </c>
      <c r="G25" s="12" t="s">
        <v>28</v>
      </c>
      <c r="H25" s="166">
        <v>120</v>
      </c>
      <c r="I25" s="128" t="s">
        <v>63</v>
      </c>
    </row>
    <row r="26" spans="1:9" x14ac:dyDescent="0.25">
      <c r="A26" s="138" t="s">
        <v>5</v>
      </c>
      <c r="B26" s="166">
        <v>1190</v>
      </c>
      <c r="C26" s="167">
        <f t="shared" si="0"/>
        <v>0.72016806722689075</v>
      </c>
      <c r="D26" s="166">
        <v>557</v>
      </c>
      <c r="E26" s="12" t="s">
        <v>27</v>
      </c>
      <c r="F26" s="166">
        <v>180</v>
      </c>
      <c r="G26" s="12" t="s">
        <v>28</v>
      </c>
      <c r="H26" s="166">
        <v>120</v>
      </c>
      <c r="I26" s="128" t="s">
        <v>63</v>
      </c>
    </row>
    <row r="27" spans="1:9" x14ac:dyDescent="0.25">
      <c r="A27" s="138" t="s">
        <v>6</v>
      </c>
      <c r="B27" s="166">
        <v>670</v>
      </c>
      <c r="C27" s="167">
        <f t="shared" si="0"/>
        <v>0.59253731343283578</v>
      </c>
      <c r="D27" s="166">
        <v>180</v>
      </c>
      <c r="E27" s="12" t="s">
        <v>28</v>
      </c>
      <c r="F27" s="166">
        <v>113</v>
      </c>
      <c r="G27" s="12" t="s">
        <v>62</v>
      </c>
      <c r="H27" s="166">
        <v>104</v>
      </c>
      <c r="I27" s="128" t="s">
        <v>63</v>
      </c>
    </row>
    <row r="28" spans="1:9" x14ac:dyDescent="0.25">
      <c r="A28" s="141"/>
      <c r="B28" s="157"/>
      <c r="C28" s="141"/>
      <c r="D28" s="141"/>
      <c r="E28" s="141"/>
      <c r="F28" s="141"/>
      <c r="G28" s="141"/>
      <c r="H28" s="157"/>
      <c r="I28" s="141"/>
    </row>
    <row r="29" spans="1:9" x14ac:dyDescent="0.25">
      <c r="A29" s="137" t="s">
        <v>661</v>
      </c>
      <c r="B29" s="157"/>
      <c r="C29" s="141"/>
      <c r="D29" s="141"/>
      <c r="E29" s="141"/>
      <c r="F29" s="141"/>
      <c r="G29" s="141"/>
      <c r="H29" s="157"/>
      <c r="I29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5.28515625" customWidth="1"/>
    <col min="4" max="9" width="13.28515625" customWidth="1"/>
    <col min="10" max="40" width="9.140625" style="60"/>
  </cols>
  <sheetData>
    <row r="1" spans="1:40" ht="15" customHeight="1" x14ac:dyDescent="0.25">
      <c r="A1" s="278" t="s">
        <v>471</v>
      </c>
      <c r="B1" s="278"/>
      <c r="C1" s="278"/>
      <c r="D1" s="278"/>
      <c r="E1" s="278"/>
      <c r="F1" s="278"/>
      <c r="G1" s="278"/>
      <c r="H1" s="278"/>
      <c r="I1" s="278"/>
    </row>
    <row r="2" spans="1:4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40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4" spans="1:40" x14ac:dyDescent="0.25">
      <c r="A4" s="5"/>
      <c r="B4" s="6"/>
      <c r="C4" s="6"/>
      <c r="D4" s="6"/>
      <c r="E4" s="6"/>
      <c r="F4" s="6"/>
      <c r="H4" s="6"/>
      <c r="I4" s="6"/>
    </row>
    <row r="5" spans="1:40" x14ac:dyDescent="0.25">
      <c r="A5" s="105"/>
      <c r="B5" s="283" t="s">
        <v>56</v>
      </c>
      <c r="C5" s="283"/>
      <c r="D5" s="283"/>
      <c r="E5" s="283"/>
      <c r="F5" s="283"/>
      <c r="G5" s="283"/>
      <c r="H5" s="283"/>
      <c r="I5" s="283"/>
    </row>
    <row r="6" spans="1:40" s="13" customFormat="1" ht="15" customHeight="1" x14ac:dyDescent="0.25">
      <c r="A6" s="101"/>
      <c r="B6" s="282" t="s">
        <v>470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</row>
    <row r="7" spans="1:40" s="13" customFormat="1" ht="29.25" customHeight="1" x14ac:dyDescent="0.25">
      <c r="A7" s="100" t="s">
        <v>368</v>
      </c>
      <c r="B7" s="281"/>
      <c r="C7" s="281"/>
      <c r="D7" s="100" t="s">
        <v>9</v>
      </c>
      <c r="E7" s="100" t="s">
        <v>3</v>
      </c>
      <c r="F7" s="100" t="s">
        <v>9</v>
      </c>
      <c r="G7" s="100" t="s">
        <v>3</v>
      </c>
      <c r="H7" s="100" t="s">
        <v>9</v>
      </c>
      <c r="I7" s="100" t="s">
        <v>3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</row>
    <row r="8" spans="1:40" x14ac:dyDescent="0.25">
      <c r="A8" s="138">
        <v>1990</v>
      </c>
      <c r="B8" s="172">
        <v>67.400000000000006</v>
      </c>
      <c r="C8" s="167">
        <f t="shared" ref="C8:C27" si="0">(D8+F8+H8)/B8</f>
        <v>1</v>
      </c>
      <c r="D8" s="15">
        <v>49.7</v>
      </c>
      <c r="E8" s="12" t="s">
        <v>29</v>
      </c>
      <c r="F8" s="15">
        <v>9.86</v>
      </c>
      <c r="G8" s="12" t="s">
        <v>38</v>
      </c>
      <c r="H8" s="15">
        <v>7.84</v>
      </c>
      <c r="I8" s="128" t="s">
        <v>44</v>
      </c>
    </row>
    <row r="9" spans="1:40" x14ac:dyDescent="0.25">
      <c r="A9" s="138">
        <v>1991</v>
      </c>
      <c r="B9" s="172">
        <v>82.91</v>
      </c>
      <c r="C9" s="167">
        <f t="shared" si="0"/>
        <v>1</v>
      </c>
      <c r="D9" s="15">
        <v>57.18</v>
      </c>
      <c r="E9" s="12" t="s">
        <v>29</v>
      </c>
      <c r="F9" s="15">
        <v>13.36</v>
      </c>
      <c r="G9" s="12" t="s">
        <v>44</v>
      </c>
      <c r="H9" s="15">
        <v>12.37</v>
      </c>
      <c r="I9" s="128" t="s">
        <v>38</v>
      </c>
    </row>
    <row r="10" spans="1:40" x14ac:dyDescent="0.25">
      <c r="A10" s="138">
        <v>1992</v>
      </c>
      <c r="B10" s="172">
        <v>97.59</v>
      </c>
      <c r="C10" s="167">
        <f t="shared" si="0"/>
        <v>1</v>
      </c>
      <c r="D10" s="15">
        <v>57.18</v>
      </c>
      <c r="E10" s="12" t="s">
        <v>29</v>
      </c>
      <c r="F10" s="15">
        <v>21.78</v>
      </c>
      <c r="G10" s="12" t="s">
        <v>38</v>
      </c>
      <c r="H10" s="15">
        <v>18.63</v>
      </c>
      <c r="I10" s="128" t="s">
        <v>44</v>
      </c>
    </row>
    <row r="11" spans="1:40" x14ac:dyDescent="0.25">
      <c r="A11" s="138">
        <v>1993</v>
      </c>
      <c r="B11" s="172">
        <v>88.17</v>
      </c>
      <c r="C11" s="167">
        <f t="shared" si="0"/>
        <v>1.0000000000000002</v>
      </c>
      <c r="D11" s="15">
        <v>46.77</v>
      </c>
      <c r="E11" s="12" t="s">
        <v>29</v>
      </c>
      <c r="F11" s="15">
        <v>24</v>
      </c>
      <c r="G11" s="12" t="s">
        <v>38</v>
      </c>
      <c r="H11" s="15">
        <v>17.399999999999999</v>
      </c>
      <c r="I11" s="128" t="s">
        <v>44</v>
      </c>
    </row>
    <row r="12" spans="1:40" x14ac:dyDescent="0.25">
      <c r="A12" s="138">
        <v>1994</v>
      </c>
      <c r="B12" s="172">
        <v>117.26</v>
      </c>
      <c r="C12" s="167">
        <f t="shared" si="0"/>
        <v>0.99999999999999989</v>
      </c>
      <c r="D12" s="15">
        <v>47.26</v>
      </c>
      <c r="E12" s="12" t="s">
        <v>29</v>
      </c>
      <c r="F12" s="15">
        <v>42</v>
      </c>
      <c r="G12" s="12" t="s">
        <v>38</v>
      </c>
      <c r="H12" s="15">
        <v>28</v>
      </c>
      <c r="I12" s="128" t="s">
        <v>44</v>
      </c>
    </row>
    <row r="13" spans="1:40" x14ac:dyDescent="0.25">
      <c r="A13" s="138">
        <v>1995</v>
      </c>
      <c r="B13" s="172">
        <v>175.22</v>
      </c>
      <c r="C13" s="167">
        <f t="shared" si="0"/>
        <v>1</v>
      </c>
      <c r="D13" s="15">
        <v>102</v>
      </c>
      <c r="E13" s="12" t="s">
        <v>38</v>
      </c>
      <c r="F13" s="15">
        <v>43.13</v>
      </c>
      <c r="G13" s="12" t="s">
        <v>29</v>
      </c>
      <c r="H13" s="15">
        <v>30.09</v>
      </c>
      <c r="I13" s="128" t="s">
        <v>44</v>
      </c>
    </row>
    <row r="14" spans="1:40" x14ac:dyDescent="0.25">
      <c r="A14" s="138">
        <v>1996</v>
      </c>
      <c r="B14" s="172">
        <v>122.03</v>
      </c>
      <c r="C14" s="167">
        <f t="shared" si="0"/>
        <v>1.0000819470621978</v>
      </c>
      <c r="D14" s="15">
        <v>59</v>
      </c>
      <c r="E14" s="12" t="s">
        <v>38</v>
      </c>
      <c r="F14" s="15">
        <v>37.950000000000003</v>
      </c>
      <c r="G14" s="12" t="s">
        <v>29</v>
      </c>
      <c r="H14" s="15">
        <v>25.09</v>
      </c>
      <c r="I14" s="128" t="s">
        <v>44</v>
      </c>
    </row>
    <row r="15" spans="1:40" x14ac:dyDescent="0.25">
      <c r="A15" s="138">
        <v>1997</v>
      </c>
      <c r="B15" s="172">
        <v>109.1</v>
      </c>
      <c r="C15" s="167">
        <f t="shared" si="0"/>
        <v>0.99917506874427142</v>
      </c>
      <c r="D15" s="15">
        <v>59</v>
      </c>
      <c r="E15" s="12" t="s">
        <v>38</v>
      </c>
      <c r="F15" s="15">
        <v>25.26</v>
      </c>
      <c r="G15" s="12" t="s">
        <v>29</v>
      </c>
      <c r="H15" s="15">
        <v>24.75</v>
      </c>
      <c r="I15" s="128" t="s">
        <v>44</v>
      </c>
    </row>
    <row r="16" spans="1:40" x14ac:dyDescent="0.25">
      <c r="A16" s="138">
        <v>1998</v>
      </c>
      <c r="B16" s="172">
        <v>122.66</v>
      </c>
      <c r="C16" s="167">
        <f t="shared" si="0"/>
        <v>1</v>
      </c>
      <c r="D16" s="15">
        <v>62</v>
      </c>
      <c r="E16" s="12" t="s">
        <v>38</v>
      </c>
      <c r="F16" s="15">
        <v>38.979999999999997</v>
      </c>
      <c r="G16" s="12" t="s">
        <v>29</v>
      </c>
      <c r="H16" s="15">
        <v>21.68</v>
      </c>
      <c r="I16" s="128" t="s">
        <v>44</v>
      </c>
    </row>
    <row r="17" spans="1:9" x14ac:dyDescent="0.25">
      <c r="A17" s="138">
        <v>1999</v>
      </c>
      <c r="B17" s="172">
        <v>116.38</v>
      </c>
      <c r="C17" s="167">
        <f t="shared" si="0"/>
        <v>1.0000000000000002</v>
      </c>
      <c r="D17" s="15">
        <v>64</v>
      </c>
      <c r="E17" s="12" t="s">
        <v>38</v>
      </c>
      <c r="F17" s="15">
        <v>35.270000000000003</v>
      </c>
      <c r="G17" s="12" t="s">
        <v>29</v>
      </c>
      <c r="H17" s="15">
        <v>17.11</v>
      </c>
      <c r="I17" s="128" t="s">
        <v>44</v>
      </c>
    </row>
    <row r="18" spans="1:9" x14ac:dyDescent="0.25">
      <c r="A18" s="138">
        <v>2000</v>
      </c>
      <c r="B18" s="172">
        <v>110.71</v>
      </c>
      <c r="C18" s="167">
        <f t="shared" si="0"/>
        <v>1</v>
      </c>
      <c r="D18" s="15">
        <v>53</v>
      </c>
      <c r="E18" s="12" t="s">
        <v>38</v>
      </c>
      <c r="F18" s="15">
        <v>35.69</v>
      </c>
      <c r="G18" s="12" t="s">
        <v>29</v>
      </c>
      <c r="H18" s="15">
        <v>22.02</v>
      </c>
      <c r="I18" s="128" t="s">
        <v>44</v>
      </c>
    </row>
    <row r="19" spans="1:9" x14ac:dyDescent="0.25">
      <c r="A19" s="138">
        <v>2001</v>
      </c>
      <c r="B19" s="172">
        <v>109.11</v>
      </c>
      <c r="C19" s="167">
        <f t="shared" si="0"/>
        <v>1.0000916506278068</v>
      </c>
      <c r="D19" s="15">
        <v>51</v>
      </c>
      <c r="E19" s="12" t="s">
        <v>38</v>
      </c>
      <c r="F19" s="15">
        <v>39.01</v>
      </c>
      <c r="G19" s="12" t="s">
        <v>29</v>
      </c>
      <c r="H19" s="15">
        <v>19.11</v>
      </c>
      <c r="I19" s="128" t="s">
        <v>44</v>
      </c>
    </row>
    <row r="20" spans="1:9" x14ac:dyDescent="0.25">
      <c r="A20" s="138">
        <v>2002</v>
      </c>
      <c r="B20" s="172">
        <v>89.26</v>
      </c>
      <c r="C20" s="167">
        <f t="shared" si="0"/>
        <v>0.99999999999999989</v>
      </c>
      <c r="D20" s="15">
        <v>39</v>
      </c>
      <c r="E20" s="12" t="s">
        <v>38</v>
      </c>
      <c r="F20" s="15">
        <v>28.66</v>
      </c>
      <c r="G20" s="12" t="s">
        <v>29</v>
      </c>
      <c r="H20" s="15">
        <v>21.6</v>
      </c>
      <c r="I20" s="128" t="s">
        <v>44</v>
      </c>
    </row>
    <row r="21" spans="1:9" x14ac:dyDescent="0.25">
      <c r="A21" s="138">
        <v>2003</v>
      </c>
      <c r="B21" s="172">
        <v>95.15</v>
      </c>
      <c r="C21" s="167">
        <f t="shared" si="0"/>
        <v>1</v>
      </c>
      <c r="D21" s="15">
        <v>40</v>
      </c>
      <c r="E21" s="12" t="s">
        <v>38</v>
      </c>
      <c r="F21" s="15">
        <v>33.15</v>
      </c>
      <c r="G21" s="12" t="s">
        <v>29</v>
      </c>
      <c r="H21" s="15">
        <v>22</v>
      </c>
      <c r="I21" s="128" t="s">
        <v>44</v>
      </c>
    </row>
    <row r="22" spans="1:9" x14ac:dyDescent="0.25">
      <c r="A22" s="138">
        <v>2004</v>
      </c>
      <c r="B22" s="172">
        <v>110</v>
      </c>
      <c r="C22" s="167">
        <f t="shared" si="0"/>
        <v>1</v>
      </c>
      <c r="D22" s="15">
        <v>55</v>
      </c>
      <c r="E22" s="12" t="s">
        <v>38</v>
      </c>
      <c r="F22" s="15">
        <v>33</v>
      </c>
      <c r="G22" s="12" t="s">
        <v>29</v>
      </c>
      <c r="H22" s="15">
        <v>22</v>
      </c>
      <c r="I22" s="128" t="s">
        <v>44</v>
      </c>
    </row>
    <row r="23" spans="1:9" x14ac:dyDescent="0.25">
      <c r="A23" s="138">
        <v>2005</v>
      </c>
      <c r="B23" s="172">
        <v>111.88</v>
      </c>
      <c r="C23" s="167">
        <f t="shared" si="0"/>
        <v>0.90168037182695748</v>
      </c>
      <c r="D23" s="15">
        <v>34</v>
      </c>
      <c r="E23" s="12" t="s">
        <v>29</v>
      </c>
      <c r="F23" s="15">
        <v>34</v>
      </c>
      <c r="G23" s="12" t="s">
        <v>24</v>
      </c>
      <c r="H23" s="15">
        <v>32.880000000000003</v>
      </c>
      <c r="I23" s="128" t="s">
        <v>44</v>
      </c>
    </row>
    <row r="24" spans="1:9" x14ac:dyDescent="0.25">
      <c r="A24" s="138">
        <v>2006</v>
      </c>
      <c r="B24" s="172">
        <v>116</v>
      </c>
      <c r="C24" s="167">
        <f t="shared" si="0"/>
        <v>0.91379310344827591</v>
      </c>
      <c r="D24" s="15">
        <v>37</v>
      </c>
      <c r="E24" s="12" t="s">
        <v>44</v>
      </c>
      <c r="F24" s="15">
        <v>35</v>
      </c>
      <c r="G24" s="12" t="s">
        <v>29</v>
      </c>
      <c r="H24" s="15">
        <v>34</v>
      </c>
      <c r="I24" s="128" t="s">
        <v>24</v>
      </c>
    </row>
    <row r="25" spans="1:9" x14ac:dyDescent="0.25">
      <c r="A25" s="138" t="s">
        <v>4</v>
      </c>
      <c r="B25" s="172">
        <v>124</v>
      </c>
      <c r="C25" s="167">
        <f t="shared" si="0"/>
        <v>0.88709677419354838</v>
      </c>
      <c r="D25" s="15">
        <v>41</v>
      </c>
      <c r="E25" s="12" t="s">
        <v>29</v>
      </c>
      <c r="F25" s="15">
        <v>35</v>
      </c>
      <c r="G25" s="12" t="s">
        <v>44</v>
      </c>
      <c r="H25" s="15">
        <v>34</v>
      </c>
      <c r="I25" s="128" t="s">
        <v>24</v>
      </c>
    </row>
    <row r="26" spans="1:9" x14ac:dyDescent="0.25">
      <c r="A26" s="138" t="s">
        <v>5</v>
      </c>
      <c r="B26" s="167">
        <v>127.5</v>
      </c>
      <c r="C26" s="167">
        <f t="shared" si="0"/>
        <v>0.85098039215686272</v>
      </c>
      <c r="D26" s="15">
        <v>46.5</v>
      </c>
      <c r="E26" s="12" t="s">
        <v>29</v>
      </c>
      <c r="F26" s="15">
        <v>34</v>
      </c>
      <c r="G26" s="12" t="s">
        <v>24</v>
      </c>
      <c r="H26" s="15">
        <v>28</v>
      </c>
      <c r="I26" s="128" t="s">
        <v>44</v>
      </c>
    </row>
    <row r="27" spans="1:9" x14ac:dyDescent="0.25">
      <c r="A27" s="138" t="s">
        <v>6</v>
      </c>
      <c r="B27" s="167">
        <v>129.19999999999999</v>
      </c>
      <c r="C27" s="167">
        <f t="shared" si="0"/>
        <v>0.87616099071207443</v>
      </c>
      <c r="D27" s="167">
        <v>49.2</v>
      </c>
      <c r="E27" s="12" t="s">
        <v>29</v>
      </c>
      <c r="F27" s="167">
        <v>34</v>
      </c>
      <c r="G27" s="12" t="s">
        <v>24</v>
      </c>
      <c r="H27" s="167">
        <v>30</v>
      </c>
      <c r="I27" s="128" t="s">
        <v>44</v>
      </c>
    </row>
    <row r="28" spans="1:9" x14ac:dyDescent="0.25">
      <c r="A28" s="138"/>
      <c r="B28" s="167"/>
      <c r="C28" s="167"/>
      <c r="D28" s="12"/>
      <c r="E28" s="167"/>
      <c r="F28" s="12"/>
      <c r="G28" s="167"/>
      <c r="H28" s="167"/>
      <c r="I28" s="191"/>
    </row>
    <row r="29" spans="1:9" x14ac:dyDescent="0.25">
      <c r="A29" s="137" t="s">
        <v>616</v>
      </c>
      <c r="B29" s="157"/>
      <c r="C29" s="141"/>
      <c r="D29" s="141"/>
      <c r="E29" s="141"/>
      <c r="F29" s="141"/>
      <c r="G29" s="141"/>
      <c r="H29" s="157"/>
      <c r="I29" s="141"/>
    </row>
    <row r="30" spans="1:9" x14ac:dyDescent="0.25">
      <c r="A30" s="195" t="s">
        <v>643</v>
      </c>
      <c r="B30" s="141"/>
      <c r="C30" s="141"/>
      <c r="D30" s="141"/>
      <c r="E30" s="141"/>
      <c r="F30" s="141"/>
      <c r="G30" s="141"/>
      <c r="H30" s="157"/>
      <c r="I30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4.42578125" customWidth="1"/>
    <col min="4" max="9" width="13.28515625" customWidth="1"/>
    <col min="10" max="10" width="2.28515625" style="60" customWidth="1"/>
    <col min="11" max="11" width="6.28515625" bestFit="1" customWidth="1"/>
    <col min="12" max="19" width="13.85546875" customWidth="1"/>
  </cols>
  <sheetData>
    <row r="1" spans="1:19" ht="15.75" customHeight="1" x14ac:dyDescent="0.25">
      <c r="A1" s="294" t="s">
        <v>472</v>
      </c>
      <c r="B1" s="294"/>
      <c r="C1" s="294"/>
      <c r="D1" s="294"/>
      <c r="E1" s="294"/>
      <c r="F1" s="294"/>
      <c r="G1" s="294"/>
      <c r="H1" s="294"/>
      <c r="I1" s="294"/>
      <c r="J1" s="78"/>
      <c r="K1" s="278" t="s">
        <v>474</v>
      </c>
      <c r="L1" s="278"/>
      <c r="M1" s="278"/>
      <c r="N1" s="278"/>
      <c r="O1" s="278"/>
      <c r="P1" s="278"/>
      <c r="Q1" s="278"/>
      <c r="R1" s="278"/>
      <c r="S1" s="278"/>
    </row>
    <row r="2" spans="1:19" ht="15.75" x14ac:dyDescent="0.25">
      <c r="A2" s="294"/>
      <c r="B2" s="294"/>
      <c r="C2" s="294"/>
      <c r="D2" s="294"/>
      <c r="E2" s="294"/>
      <c r="F2" s="294"/>
      <c r="G2" s="294"/>
      <c r="H2" s="294"/>
      <c r="I2" s="294"/>
      <c r="J2" s="78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6"/>
      <c r="C3" s="6"/>
      <c r="D3" s="6"/>
      <c r="E3" s="6"/>
      <c r="F3" s="6"/>
      <c r="H3" s="6"/>
      <c r="I3" s="6"/>
      <c r="J3" s="6"/>
      <c r="K3" s="6"/>
      <c r="L3" s="6"/>
      <c r="M3" s="6"/>
    </row>
    <row r="4" spans="1:19" x14ac:dyDescent="0.25">
      <c r="A4" s="5"/>
      <c r="B4" s="6"/>
      <c r="C4" s="6"/>
      <c r="D4" s="6"/>
      <c r="E4" s="6"/>
      <c r="F4" s="6"/>
      <c r="H4" s="6"/>
      <c r="I4" s="6"/>
      <c r="J4" s="6"/>
      <c r="K4" s="6"/>
      <c r="L4" s="6"/>
      <c r="M4" s="6"/>
    </row>
    <row r="5" spans="1:19" x14ac:dyDescent="0.25">
      <c r="A5" s="105"/>
      <c r="B5" s="283" t="s">
        <v>53</v>
      </c>
      <c r="C5" s="283"/>
      <c r="D5" s="283"/>
      <c r="E5" s="283"/>
      <c r="F5" s="283"/>
      <c r="G5" s="283"/>
      <c r="H5" s="283"/>
      <c r="I5" s="283"/>
      <c r="J5" s="105"/>
      <c r="K5" s="292" t="s">
        <v>54</v>
      </c>
      <c r="L5" s="283"/>
      <c r="M5" s="283"/>
      <c r="N5" s="283"/>
      <c r="O5" s="283"/>
      <c r="P5" s="283"/>
      <c r="Q5" s="283"/>
      <c r="R5" s="283"/>
      <c r="S5" s="19"/>
    </row>
    <row r="6" spans="1:19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99"/>
      <c r="K6" s="101"/>
      <c r="L6" s="101"/>
      <c r="M6" s="282" t="s">
        <v>299</v>
      </c>
      <c r="N6" s="279" t="s">
        <v>275</v>
      </c>
      <c r="O6" s="279"/>
      <c r="P6" s="279" t="s">
        <v>32</v>
      </c>
      <c r="Q6" s="279"/>
      <c r="R6" s="279" t="s">
        <v>33</v>
      </c>
      <c r="S6" s="279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99"/>
      <c r="K7" s="100" t="s">
        <v>368</v>
      </c>
      <c r="L7" s="100" t="s">
        <v>473</v>
      </c>
      <c r="M7" s="281"/>
      <c r="N7" s="100" t="s">
        <v>46</v>
      </c>
      <c r="O7" s="100" t="s">
        <v>3</v>
      </c>
      <c r="P7" s="100" t="s">
        <v>46</v>
      </c>
      <c r="Q7" s="100" t="s">
        <v>3</v>
      </c>
      <c r="R7" s="100" t="s">
        <v>46</v>
      </c>
      <c r="S7" s="100" t="s">
        <v>3</v>
      </c>
    </row>
    <row r="8" spans="1:19" x14ac:dyDescent="0.25">
      <c r="A8" s="138">
        <v>1990</v>
      </c>
      <c r="B8" s="166">
        <v>221</v>
      </c>
      <c r="C8" s="167">
        <f t="shared" ref="C8:C27" si="0">(D8+F8+H8)/B8</f>
        <v>0.49592760180995471</v>
      </c>
      <c r="D8" s="24">
        <v>42</v>
      </c>
      <c r="E8" s="12" t="s">
        <v>22</v>
      </c>
      <c r="F8" s="24">
        <v>39.1</v>
      </c>
      <c r="G8" s="12" t="s">
        <v>28</v>
      </c>
      <c r="H8" s="24">
        <v>28.5</v>
      </c>
      <c r="I8" s="176" t="s">
        <v>50</v>
      </c>
      <c r="J8" s="180"/>
      <c r="K8" s="171">
        <v>1990</v>
      </c>
      <c r="L8" s="27">
        <v>246</v>
      </c>
      <c r="M8" s="172">
        <f t="shared" ref="M8:M27" si="1">+(N8+P8+R8)/L8</f>
        <v>0.49552845528455286</v>
      </c>
      <c r="N8" s="24">
        <v>49.1</v>
      </c>
      <c r="O8" s="12" t="s">
        <v>50</v>
      </c>
      <c r="P8" s="31">
        <v>37.799999999999997</v>
      </c>
      <c r="Q8" s="12" t="s">
        <v>28</v>
      </c>
      <c r="R8" s="31">
        <v>35</v>
      </c>
      <c r="S8" s="128" t="s">
        <v>22</v>
      </c>
    </row>
    <row r="9" spans="1:19" x14ac:dyDescent="0.25">
      <c r="A9" s="138">
        <v>1991</v>
      </c>
      <c r="B9" s="166">
        <v>201</v>
      </c>
      <c r="C9" s="167">
        <f t="shared" si="0"/>
        <v>0.50452736318407954</v>
      </c>
      <c r="D9" s="24">
        <v>42.1</v>
      </c>
      <c r="E9" s="12" t="s">
        <v>22</v>
      </c>
      <c r="F9" s="24">
        <v>30.06</v>
      </c>
      <c r="G9" s="12" t="s">
        <v>55</v>
      </c>
      <c r="H9" s="24">
        <v>29.25</v>
      </c>
      <c r="I9" s="176" t="s">
        <v>28</v>
      </c>
      <c r="J9" s="180"/>
      <c r="K9" s="171">
        <v>1991</v>
      </c>
      <c r="L9" s="27">
        <v>205</v>
      </c>
      <c r="M9" s="172">
        <f t="shared" si="1"/>
        <v>0.53434146341463418</v>
      </c>
      <c r="N9" s="31">
        <v>42.72</v>
      </c>
      <c r="O9" s="12" t="s">
        <v>50</v>
      </c>
      <c r="P9" s="31">
        <v>36.4</v>
      </c>
      <c r="Q9" s="12" t="s">
        <v>22</v>
      </c>
      <c r="R9" s="31">
        <v>30.42</v>
      </c>
      <c r="S9" s="128" t="s">
        <v>55</v>
      </c>
    </row>
    <row r="10" spans="1:19" x14ac:dyDescent="0.25">
      <c r="A10" s="138">
        <v>1992</v>
      </c>
      <c r="B10" s="166">
        <v>191</v>
      </c>
      <c r="C10" s="167">
        <f t="shared" si="0"/>
        <v>0.5246073298429319</v>
      </c>
      <c r="D10" s="24">
        <v>43.8</v>
      </c>
      <c r="E10" s="12" t="s">
        <v>22</v>
      </c>
      <c r="F10" s="198">
        <v>29.4</v>
      </c>
      <c r="G10" s="12" t="s">
        <v>55</v>
      </c>
      <c r="H10" s="24">
        <v>27</v>
      </c>
      <c r="I10" s="176" t="s">
        <v>28</v>
      </c>
      <c r="J10" s="180"/>
      <c r="K10" s="171">
        <v>1992</v>
      </c>
      <c r="L10" s="27">
        <v>218</v>
      </c>
      <c r="M10" s="172">
        <f t="shared" si="1"/>
        <v>0.53724770642201836</v>
      </c>
      <c r="N10" s="31">
        <v>45.6</v>
      </c>
      <c r="O10" s="12" t="s">
        <v>50</v>
      </c>
      <c r="P10" s="31">
        <v>39.6</v>
      </c>
      <c r="Q10" s="12" t="s">
        <v>22</v>
      </c>
      <c r="R10" s="31">
        <v>31.92</v>
      </c>
      <c r="S10" s="128" t="s">
        <v>55</v>
      </c>
    </row>
    <row r="11" spans="1:19" x14ac:dyDescent="0.25">
      <c r="A11" s="138">
        <v>1993</v>
      </c>
      <c r="B11" s="166">
        <v>190</v>
      </c>
      <c r="C11" s="167">
        <f t="shared" si="0"/>
        <v>0.55052631578947364</v>
      </c>
      <c r="D11" s="24">
        <v>49.1</v>
      </c>
      <c r="E11" s="12" t="s">
        <v>22</v>
      </c>
      <c r="F11" s="24">
        <v>29</v>
      </c>
      <c r="G11" s="12" t="s">
        <v>55</v>
      </c>
      <c r="H11" s="24">
        <v>26.5</v>
      </c>
      <c r="I11" s="128" t="s">
        <v>28</v>
      </c>
      <c r="J11" s="180"/>
      <c r="K11" s="171">
        <v>1993</v>
      </c>
      <c r="L11" s="27">
        <v>215</v>
      </c>
      <c r="M11" s="172">
        <f t="shared" si="1"/>
        <v>0.57023255813953488</v>
      </c>
      <c r="N11" s="31">
        <v>52.1</v>
      </c>
      <c r="O11" s="12" t="s">
        <v>22</v>
      </c>
      <c r="P11" s="31">
        <v>40.08</v>
      </c>
      <c r="Q11" s="12" t="s">
        <v>50</v>
      </c>
      <c r="R11" s="31">
        <v>30.42</v>
      </c>
      <c r="S11" s="128" t="s">
        <v>55</v>
      </c>
    </row>
    <row r="12" spans="1:19" x14ac:dyDescent="0.25">
      <c r="A12" s="138">
        <v>1994</v>
      </c>
      <c r="B12" s="166">
        <v>178</v>
      </c>
      <c r="C12" s="167">
        <f t="shared" si="0"/>
        <v>0.58831460674157299</v>
      </c>
      <c r="D12" s="24">
        <v>54.1</v>
      </c>
      <c r="E12" s="12" t="s">
        <v>22</v>
      </c>
      <c r="F12" s="24">
        <v>30.34</v>
      </c>
      <c r="G12" s="12" t="s">
        <v>55</v>
      </c>
      <c r="H12" s="24">
        <v>20.28</v>
      </c>
      <c r="I12" s="128" t="s">
        <v>44</v>
      </c>
      <c r="J12" s="180"/>
      <c r="K12" s="171">
        <v>1994</v>
      </c>
      <c r="L12" s="27">
        <v>216</v>
      </c>
      <c r="M12" s="172">
        <f t="shared" si="1"/>
        <v>0.63328703703703704</v>
      </c>
      <c r="N12" s="31">
        <v>67.8</v>
      </c>
      <c r="O12" s="12" t="s">
        <v>22</v>
      </c>
      <c r="P12" s="31">
        <v>37.99</v>
      </c>
      <c r="Q12" s="12" t="s">
        <v>50</v>
      </c>
      <c r="R12" s="31">
        <v>31</v>
      </c>
      <c r="S12" s="128" t="s">
        <v>55</v>
      </c>
    </row>
    <row r="13" spans="1:19" x14ac:dyDescent="0.25">
      <c r="A13" s="138">
        <v>1995</v>
      </c>
      <c r="B13" s="166">
        <v>201</v>
      </c>
      <c r="C13" s="167">
        <f t="shared" si="0"/>
        <v>0.64820895522388067</v>
      </c>
      <c r="D13" s="24">
        <v>61.9</v>
      </c>
      <c r="E13" s="12" t="s">
        <v>22</v>
      </c>
      <c r="F13" s="24">
        <v>46.06</v>
      </c>
      <c r="G13" s="12" t="s">
        <v>55</v>
      </c>
      <c r="H13" s="24">
        <v>22.33</v>
      </c>
      <c r="I13" s="128" t="s">
        <v>44</v>
      </c>
      <c r="J13" s="180"/>
      <c r="K13" s="171">
        <v>1995</v>
      </c>
      <c r="L13" s="27">
        <v>223</v>
      </c>
      <c r="M13" s="172">
        <f t="shared" si="1"/>
        <v>0.65363228699551568</v>
      </c>
      <c r="N13" s="31">
        <v>67.7</v>
      </c>
      <c r="O13" s="12" t="s">
        <v>22</v>
      </c>
      <c r="P13" s="31">
        <v>39.43</v>
      </c>
      <c r="Q13" s="12" t="s">
        <v>50</v>
      </c>
      <c r="R13" s="31">
        <v>38.630000000000003</v>
      </c>
      <c r="S13" s="128" t="s">
        <v>55</v>
      </c>
    </row>
    <row r="14" spans="1:19" x14ac:dyDescent="0.25">
      <c r="A14" s="138">
        <v>1996</v>
      </c>
      <c r="B14" s="166">
        <v>220</v>
      </c>
      <c r="C14" s="167">
        <f t="shared" si="0"/>
        <v>0.67681818181818176</v>
      </c>
      <c r="D14" s="24">
        <v>69.599999999999994</v>
      </c>
      <c r="E14" s="12" t="s">
        <v>22</v>
      </c>
      <c r="F14" s="24">
        <v>52.3</v>
      </c>
      <c r="G14" s="12" t="s">
        <v>55</v>
      </c>
      <c r="H14" s="198">
        <v>27</v>
      </c>
      <c r="I14" s="128" t="s">
        <v>44</v>
      </c>
      <c r="J14" s="180"/>
      <c r="K14" s="171">
        <v>1996</v>
      </c>
      <c r="L14" s="27">
        <v>228</v>
      </c>
      <c r="M14" s="172">
        <f t="shared" si="1"/>
        <v>0.65153508771929824</v>
      </c>
      <c r="N14" s="31">
        <v>71.5</v>
      </c>
      <c r="O14" s="12" t="s">
        <v>22</v>
      </c>
      <c r="P14" s="31">
        <v>39</v>
      </c>
      <c r="Q14" s="12" t="s">
        <v>55</v>
      </c>
      <c r="R14" s="31">
        <v>38.049999999999997</v>
      </c>
      <c r="S14" s="128" t="s">
        <v>50</v>
      </c>
    </row>
    <row r="15" spans="1:19" x14ac:dyDescent="0.25">
      <c r="A15" s="138">
        <v>1997</v>
      </c>
      <c r="B15" s="166">
        <v>217</v>
      </c>
      <c r="C15" s="167">
        <f t="shared" si="0"/>
        <v>0.69414746543778805</v>
      </c>
      <c r="D15" s="24">
        <v>67.5</v>
      </c>
      <c r="E15" s="12" t="s">
        <v>22</v>
      </c>
      <c r="F15" s="24">
        <v>55.18</v>
      </c>
      <c r="G15" s="12" t="s">
        <v>55</v>
      </c>
      <c r="H15" s="24">
        <v>27.95</v>
      </c>
      <c r="I15" s="128" t="s">
        <v>44</v>
      </c>
      <c r="J15" s="180"/>
      <c r="K15" s="171">
        <v>1997</v>
      </c>
      <c r="L15" s="27">
        <v>259</v>
      </c>
      <c r="M15" s="172">
        <f t="shared" si="1"/>
        <v>0.59915057915057923</v>
      </c>
      <c r="N15" s="31">
        <v>67.7</v>
      </c>
      <c r="O15" s="12" t="s">
        <v>22</v>
      </c>
      <c r="P15" s="31">
        <v>52.66</v>
      </c>
      <c r="Q15" s="12" t="s">
        <v>55</v>
      </c>
      <c r="R15" s="31">
        <v>34.82</v>
      </c>
      <c r="S15" s="128" t="s">
        <v>50</v>
      </c>
    </row>
    <row r="16" spans="1:19" x14ac:dyDescent="0.25">
      <c r="A16" s="138">
        <v>1998</v>
      </c>
      <c r="B16" s="166">
        <v>231</v>
      </c>
      <c r="C16" s="167">
        <f t="shared" si="0"/>
        <v>0.75164502164502167</v>
      </c>
      <c r="D16" s="24">
        <v>70.099999999999994</v>
      </c>
      <c r="E16" s="12" t="s">
        <v>22</v>
      </c>
      <c r="F16" s="24">
        <v>53.96</v>
      </c>
      <c r="G16" s="12" t="s">
        <v>55</v>
      </c>
      <c r="H16" s="24">
        <v>49.57</v>
      </c>
      <c r="I16" s="128" t="s">
        <v>44</v>
      </c>
      <c r="J16" s="180"/>
      <c r="K16" s="171">
        <v>1998</v>
      </c>
      <c r="L16" s="27">
        <v>247</v>
      </c>
      <c r="M16" s="172">
        <f t="shared" si="1"/>
        <v>0.64736842105263148</v>
      </c>
      <c r="N16" s="31">
        <v>79.3</v>
      </c>
      <c r="O16" s="12" t="s">
        <v>22</v>
      </c>
      <c r="P16" s="31">
        <v>53.4</v>
      </c>
      <c r="Q16" s="12" t="s">
        <v>55</v>
      </c>
      <c r="R16" s="31">
        <v>27.2</v>
      </c>
      <c r="S16" s="128" t="s">
        <v>50</v>
      </c>
    </row>
    <row r="17" spans="1:19" x14ac:dyDescent="0.25">
      <c r="A17" s="138">
        <v>1999</v>
      </c>
      <c r="B17" s="166">
        <v>246</v>
      </c>
      <c r="C17" s="167">
        <f t="shared" si="0"/>
        <v>0.76032520325203246</v>
      </c>
      <c r="D17" s="24">
        <v>80.099999999999994</v>
      </c>
      <c r="E17" s="12" t="s">
        <v>22</v>
      </c>
      <c r="F17" s="24">
        <v>59.19</v>
      </c>
      <c r="G17" s="12" t="s">
        <v>44</v>
      </c>
      <c r="H17" s="24">
        <v>47.75</v>
      </c>
      <c r="I17" s="128" t="s">
        <v>55</v>
      </c>
      <c r="J17" s="180"/>
      <c r="K17" s="171">
        <v>1999</v>
      </c>
      <c r="L17" s="27">
        <v>267</v>
      </c>
      <c r="M17" s="172">
        <f t="shared" si="1"/>
        <v>0.638689138576779</v>
      </c>
      <c r="N17" s="31">
        <v>90.8</v>
      </c>
      <c r="O17" s="12" t="s">
        <v>22</v>
      </c>
      <c r="P17" s="31">
        <v>49.11</v>
      </c>
      <c r="Q17" s="12" t="s">
        <v>55</v>
      </c>
      <c r="R17" s="31">
        <v>30.62</v>
      </c>
      <c r="S17" s="128" t="s">
        <v>44</v>
      </c>
    </row>
    <row r="18" spans="1:19" x14ac:dyDescent="0.25">
      <c r="A18" s="138">
        <v>2000</v>
      </c>
      <c r="B18" s="166">
        <v>278</v>
      </c>
      <c r="C18" s="167">
        <f t="shared" si="0"/>
        <v>0.79830935251798563</v>
      </c>
      <c r="D18" s="24">
        <v>99.4</v>
      </c>
      <c r="E18" s="12" t="s">
        <v>22</v>
      </c>
      <c r="F18" s="24">
        <v>70.900000000000006</v>
      </c>
      <c r="G18" s="12" t="s">
        <v>44</v>
      </c>
      <c r="H18" s="24">
        <v>51.63</v>
      </c>
      <c r="I18" s="128" t="s">
        <v>55</v>
      </c>
      <c r="J18" s="180"/>
      <c r="K18" s="171">
        <v>2000</v>
      </c>
      <c r="L18" s="27">
        <v>228</v>
      </c>
      <c r="M18" s="172">
        <f t="shared" si="1"/>
        <v>0.85894736842105268</v>
      </c>
      <c r="N18" s="31">
        <v>112</v>
      </c>
      <c r="O18" s="12" t="s">
        <v>22</v>
      </c>
      <c r="P18" s="31">
        <v>46.43</v>
      </c>
      <c r="Q18" s="12" t="s">
        <v>55</v>
      </c>
      <c r="R18" s="31">
        <v>37.409999999999997</v>
      </c>
      <c r="S18" s="128" t="s">
        <v>44</v>
      </c>
    </row>
    <row r="19" spans="1:19" x14ac:dyDescent="0.25">
      <c r="A19" s="138">
        <v>2001</v>
      </c>
      <c r="B19" s="166">
        <v>246</v>
      </c>
      <c r="C19" s="167">
        <f t="shared" si="0"/>
        <v>0.79284552845528466</v>
      </c>
      <c r="D19" s="24">
        <v>95</v>
      </c>
      <c r="E19" s="12" t="s">
        <v>22</v>
      </c>
      <c r="F19" s="24">
        <v>61.86</v>
      </c>
      <c r="G19" s="12" t="s">
        <v>55</v>
      </c>
      <c r="H19" s="24">
        <v>38.18</v>
      </c>
      <c r="I19" s="128" t="s">
        <v>44</v>
      </c>
      <c r="J19" s="180"/>
      <c r="K19" s="171">
        <v>2001</v>
      </c>
      <c r="L19" s="27">
        <v>289</v>
      </c>
      <c r="M19" s="172">
        <f t="shared" si="1"/>
        <v>0.65359861591695501</v>
      </c>
      <c r="N19" s="31">
        <v>105</v>
      </c>
      <c r="O19" s="12" t="s">
        <v>22</v>
      </c>
      <c r="P19" s="31">
        <v>53.47</v>
      </c>
      <c r="Q19" s="12" t="s">
        <v>55</v>
      </c>
      <c r="R19" s="31">
        <v>30.42</v>
      </c>
      <c r="S19" s="128" t="s">
        <v>50</v>
      </c>
    </row>
    <row r="20" spans="1:19" x14ac:dyDescent="0.25">
      <c r="A20" s="138">
        <v>2002</v>
      </c>
      <c r="B20" s="166">
        <v>235</v>
      </c>
      <c r="C20" s="167">
        <f t="shared" si="0"/>
        <v>0.80408510638297859</v>
      </c>
      <c r="D20" s="25">
        <v>88.14</v>
      </c>
      <c r="E20" s="38" t="s">
        <v>55</v>
      </c>
      <c r="F20" s="26">
        <v>62</v>
      </c>
      <c r="G20" s="38" t="s">
        <v>22</v>
      </c>
      <c r="H20" s="25">
        <v>38.82</v>
      </c>
      <c r="I20" s="128" t="s">
        <v>44</v>
      </c>
      <c r="J20" s="180"/>
      <c r="K20" s="171">
        <v>2002</v>
      </c>
      <c r="L20" s="29">
        <v>280</v>
      </c>
      <c r="M20" s="172">
        <f t="shared" si="1"/>
        <v>0.66174999999999984</v>
      </c>
      <c r="N20" s="31">
        <v>82</v>
      </c>
      <c r="O20" s="12" t="s">
        <v>22</v>
      </c>
      <c r="P20" s="34">
        <v>67.459999999999994</v>
      </c>
      <c r="Q20" s="12" t="s">
        <v>55</v>
      </c>
      <c r="R20" s="33">
        <v>35.83</v>
      </c>
      <c r="S20" s="128" t="s">
        <v>44</v>
      </c>
    </row>
    <row r="21" spans="1:19" x14ac:dyDescent="0.25">
      <c r="A21" s="138">
        <v>2003</v>
      </c>
      <c r="B21" s="166">
        <v>261</v>
      </c>
      <c r="C21" s="167">
        <f t="shared" si="0"/>
        <v>0.81950191570881226</v>
      </c>
      <c r="D21" s="26">
        <v>102</v>
      </c>
      <c r="E21" s="12" t="s">
        <v>22</v>
      </c>
      <c r="F21" s="26">
        <v>71.69</v>
      </c>
      <c r="G21" s="12" t="s">
        <v>55</v>
      </c>
      <c r="H21" s="26">
        <v>40.200000000000003</v>
      </c>
      <c r="I21" s="128" t="s">
        <v>44</v>
      </c>
      <c r="J21" s="180"/>
      <c r="K21" s="171">
        <v>2003</v>
      </c>
      <c r="L21" s="30">
        <v>282</v>
      </c>
      <c r="M21" s="172">
        <f t="shared" si="1"/>
        <v>0.72148936170212774</v>
      </c>
      <c r="N21" s="32">
        <v>98</v>
      </c>
      <c r="O21" s="12" t="s">
        <v>22</v>
      </c>
      <c r="P21" s="32">
        <v>66.28</v>
      </c>
      <c r="Q21" s="12" t="s">
        <v>55</v>
      </c>
      <c r="R21" s="32">
        <v>39.18</v>
      </c>
      <c r="S21" s="128" t="s">
        <v>44</v>
      </c>
    </row>
    <row r="22" spans="1:19" x14ac:dyDescent="0.25">
      <c r="A22" s="138">
        <v>2004</v>
      </c>
      <c r="B22" s="166">
        <v>302</v>
      </c>
      <c r="C22" s="167">
        <f t="shared" si="0"/>
        <v>0.83261589403973502</v>
      </c>
      <c r="D22" s="119">
        <v>118</v>
      </c>
      <c r="E22" s="12" t="s">
        <v>22</v>
      </c>
      <c r="F22" s="119">
        <v>67.680000000000007</v>
      </c>
      <c r="G22" s="12" t="s">
        <v>44</v>
      </c>
      <c r="H22" s="119">
        <v>65.77</v>
      </c>
      <c r="I22" s="128" t="s">
        <v>55</v>
      </c>
      <c r="J22" s="180"/>
      <c r="K22" s="171">
        <v>2004</v>
      </c>
      <c r="L22" s="28">
        <v>306</v>
      </c>
      <c r="M22" s="172">
        <f t="shared" si="1"/>
        <v>0.67477124183006543</v>
      </c>
      <c r="N22" s="32">
        <v>115</v>
      </c>
      <c r="O22" s="12" t="s">
        <v>22</v>
      </c>
      <c r="P22" s="33">
        <v>49.87</v>
      </c>
      <c r="Q22" s="12" t="s">
        <v>55</v>
      </c>
      <c r="R22" s="34">
        <v>41.61</v>
      </c>
      <c r="S22" s="128" t="s">
        <v>44</v>
      </c>
    </row>
    <row r="23" spans="1:19" x14ac:dyDescent="0.25">
      <c r="A23" s="138">
        <v>2005</v>
      </c>
      <c r="B23" s="166">
        <v>296</v>
      </c>
      <c r="C23" s="167">
        <f t="shared" si="0"/>
        <v>0.83293918918918919</v>
      </c>
      <c r="D23" s="25">
        <v>126</v>
      </c>
      <c r="E23" s="12" t="s">
        <v>22</v>
      </c>
      <c r="F23" s="25">
        <v>78.400000000000006</v>
      </c>
      <c r="G23" s="12" t="s">
        <v>55</v>
      </c>
      <c r="H23" s="25">
        <v>42.15</v>
      </c>
      <c r="I23" s="128" t="s">
        <v>44</v>
      </c>
      <c r="J23" s="180"/>
      <c r="K23" s="171">
        <v>2005</v>
      </c>
      <c r="L23" s="28">
        <v>344</v>
      </c>
      <c r="M23" s="172">
        <f t="shared" si="1"/>
        <v>0.65180232558139539</v>
      </c>
      <c r="N23" s="33">
        <v>122</v>
      </c>
      <c r="O23" s="12" t="s">
        <v>22</v>
      </c>
      <c r="P23" s="33">
        <v>65.3</v>
      </c>
      <c r="Q23" s="12" t="s">
        <v>55</v>
      </c>
      <c r="R23" s="33">
        <v>36.92</v>
      </c>
      <c r="S23" s="128" t="s">
        <v>50</v>
      </c>
    </row>
    <row r="24" spans="1:19" x14ac:dyDescent="0.25">
      <c r="A24" s="138">
        <v>2006</v>
      </c>
      <c r="B24" s="166">
        <v>291</v>
      </c>
      <c r="C24" s="167">
        <f t="shared" si="0"/>
        <v>0.84329896907216495</v>
      </c>
      <c r="D24" s="25">
        <v>126</v>
      </c>
      <c r="E24" s="12" t="s">
        <v>22</v>
      </c>
      <c r="F24" s="25">
        <v>80.930000000000007</v>
      </c>
      <c r="G24" s="12" t="s">
        <v>55</v>
      </c>
      <c r="H24" s="25">
        <v>38.47</v>
      </c>
      <c r="I24" s="128" t="s">
        <v>44</v>
      </c>
      <c r="J24" s="180"/>
      <c r="K24" s="171">
        <v>2006</v>
      </c>
      <c r="L24" s="28">
        <v>339</v>
      </c>
      <c r="M24" s="172">
        <f t="shared" si="1"/>
        <v>0.7016519174041298</v>
      </c>
      <c r="N24" s="33">
        <v>132</v>
      </c>
      <c r="O24" s="12" t="s">
        <v>22</v>
      </c>
      <c r="P24" s="33">
        <v>65.36</v>
      </c>
      <c r="Q24" s="12" t="s">
        <v>55</v>
      </c>
      <c r="R24" s="33">
        <v>40.5</v>
      </c>
      <c r="S24" s="128" t="s">
        <v>44</v>
      </c>
    </row>
    <row r="25" spans="1:19" x14ac:dyDescent="0.25">
      <c r="A25" s="138" t="s">
        <v>4</v>
      </c>
      <c r="B25" s="166">
        <v>301</v>
      </c>
      <c r="C25" s="167">
        <f t="shared" si="0"/>
        <v>0.8344186046511628</v>
      </c>
      <c r="D25" s="198">
        <v>146</v>
      </c>
      <c r="E25" s="12" t="s">
        <v>22</v>
      </c>
      <c r="F25" s="198">
        <v>66.14</v>
      </c>
      <c r="G25" s="12" t="s">
        <v>55</v>
      </c>
      <c r="H25" s="198">
        <v>39.020000000000003</v>
      </c>
      <c r="I25" s="128" t="s">
        <v>44</v>
      </c>
      <c r="J25" s="180"/>
      <c r="K25" s="171" t="s">
        <v>4</v>
      </c>
      <c r="L25" s="166">
        <v>346</v>
      </c>
      <c r="M25" s="172">
        <f t="shared" si="1"/>
        <v>0.72002890173410405</v>
      </c>
      <c r="N25" s="172">
        <v>149</v>
      </c>
      <c r="O25" s="12" t="s">
        <v>22</v>
      </c>
      <c r="P25" s="172">
        <v>64.13</v>
      </c>
      <c r="Q25" s="12" t="s">
        <v>55</v>
      </c>
      <c r="R25" s="172">
        <v>36</v>
      </c>
      <c r="S25" s="128" t="s">
        <v>44</v>
      </c>
    </row>
    <row r="26" spans="1:19" x14ac:dyDescent="0.25">
      <c r="A26" s="138" t="s">
        <v>5</v>
      </c>
      <c r="B26" s="166">
        <v>257</v>
      </c>
      <c r="C26" s="167">
        <f t="shared" si="0"/>
        <v>0.78704280155642015</v>
      </c>
      <c r="D26" s="198">
        <v>110</v>
      </c>
      <c r="E26" s="12" t="s">
        <v>22</v>
      </c>
      <c r="F26" s="198">
        <v>53.23</v>
      </c>
      <c r="G26" s="12" t="s">
        <v>55</v>
      </c>
      <c r="H26" s="198">
        <v>39.04</v>
      </c>
      <c r="I26" s="128" t="s">
        <v>44</v>
      </c>
      <c r="J26" s="180"/>
      <c r="K26" s="171" t="s">
        <v>5</v>
      </c>
      <c r="L26" s="29">
        <v>322</v>
      </c>
      <c r="M26" s="172">
        <f t="shared" si="1"/>
        <v>0.68723602484472057</v>
      </c>
      <c r="N26" s="172">
        <v>129</v>
      </c>
      <c r="O26" s="12" t="s">
        <v>22</v>
      </c>
      <c r="P26" s="172">
        <v>53.42</v>
      </c>
      <c r="Q26" s="12" t="s">
        <v>55</v>
      </c>
      <c r="R26" s="172">
        <v>38.869999999999997</v>
      </c>
      <c r="S26" s="128" t="s">
        <v>44</v>
      </c>
    </row>
    <row r="27" spans="1:19" x14ac:dyDescent="0.25">
      <c r="A27" s="138" t="s">
        <v>6</v>
      </c>
      <c r="B27" s="166">
        <v>260</v>
      </c>
      <c r="C27" s="167">
        <f t="shared" si="0"/>
        <v>0.79807692307692313</v>
      </c>
      <c r="D27" s="198">
        <v>115</v>
      </c>
      <c r="E27" s="12" t="s">
        <v>22</v>
      </c>
      <c r="F27" s="198">
        <v>55</v>
      </c>
      <c r="G27" s="12" t="s">
        <v>55</v>
      </c>
      <c r="H27" s="198">
        <v>37.5</v>
      </c>
      <c r="I27" s="128" t="s">
        <v>44</v>
      </c>
      <c r="J27" s="180"/>
      <c r="K27" s="171" t="s">
        <v>6</v>
      </c>
      <c r="L27" s="29">
        <v>342</v>
      </c>
      <c r="M27" s="172">
        <f t="shared" si="1"/>
        <v>0.66637426900584795</v>
      </c>
      <c r="N27" s="167">
        <v>135</v>
      </c>
      <c r="O27" s="12" t="s">
        <v>22</v>
      </c>
      <c r="P27" s="167">
        <v>54</v>
      </c>
      <c r="Q27" s="12" t="s">
        <v>55</v>
      </c>
      <c r="R27" s="167">
        <v>38.9</v>
      </c>
      <c r="S27" s="128" t="s">
        <v>44</v>
      </c>
    </row>
    <row r="28" spans="1:19" x14ac:dyDescent="0.25">
      <c r="A28" s="22"/>
      <c r="B28" s="10"/>
      <c r="H28" s="10"/>
    </row>
    <row r="29" spans="1:19" x14ac:dyDescent="0.25">
      <c r="A29" s="22"/>
      <c r="B29" s="10"/>
      <c r="H29" s="10"/>
    </row>
  </sheetData>
  <mergeCells count="13">
    <mergeCell ref="A1:I2"/>
    <mergeCell ref="K1:S2"/>
    <mergeCell ref="M6:M7"/>
    <mergeCell ref="B5:I5"/>
    <mergeCell ref="K5:R5"/>
    <mergeCell ref="D6:E6"/>
    <mergeCell ref="F6:G6"/>
    <mergeCell ref="H6:I6"/>
    <mergeCell ref="C6:C7"/>
    <mergeCell ref="N6:O6"/>
    <mergeCell ref="P6:Q6"/>
    <mergeCell ref="R6:S6"/>
    <mergeCell ref="B6:B7"/>
  </mergeCells>
  <pageMargins left="0.7" right="0.7" top="0.75" bottom="0.75" header="0.3" footer="0.3"/>
  <pageSetup orientation="landscape" r:id="rId1"/>
  <colBreaks count="1" manualBreakCount="1">
    <brk id="9" max="1048575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7109375" customWidth="1"/>
    <col min="4" max="9" width="13.28515625" customWidth="1"/>
  </cols>
  <sheetData>
    <row r="1" spans="1:9" ht="15" customHeight="1" x14ac:dyDescent="0.25">
      <c r="A1" s="278" t="s">
        <v>476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6"/>
      <c r="E3" s="6"/>
      <c r="F3" s="6"/>
      <c r="H3" s="6"/>
      <c r="I3" s="6"/>
    </row>
    <row r="4" spans="1:9" x14ac:dyDescent="0.25">
      <c r="A4" s="5"/>
      <c r="B4" s="6"/>
      <c r="C4" s="6"/>
      <c r="D4" s="6"/>
      <c r="E4" s="6"/>
      <c r="F4" s="6"/>
      <c r="H4" s="6"/>
      <c r="I4" s="6"/>
    </row>
    <row r="5" spans="1:9" x14ac:dyDescent="0.25">
      <c r="A5" s="105"/>
      <c r="B5" s="283" t="s">
        <v>170</v>
      </c>
      <c r="C5" s="283"/>
      <c r="D5" s="283"/>
      <c r="E5" s="283"/>
      <c r="F5" s="283"/>
      <c r="G5" s="283"/>
      <c r="H5" s="283"/>
      <c r="I5" s="283"/>
    </row>
    <row r="6" spans="1:9" s="13" customFormat="1" ht="15" customHeight="1" x14ac:dyDescent="0.25">
      <c r="A6" s="101"/>
      <c r="B6" s="101"/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</row>
    <row r="7" spans="1:9" s="13" customFormat="1" ht="29.25" customHeight="1" x14ac:dyDescent="0.25">
      <c r="A7" s="100" t="s">
        <v>368</v>
      </c>
      <c r="B7" s="100" t="s">
        <v>475</v>
      </c>
      <c r="C7" s="281"/>
      <c r="D7" s="100" t="s">
        <v>171</v>
      </c>
      <c r="E7" s="100" t="s">
        <v>3</v>
      </c>
      <c r="F7" s="100" t="s">
        <v>171</v>
      </c>
      <c r="G7" s="100" t="s">
        <v>3</v>
      </c>
      <c r="H7" s="100" t="s">
        <v>171</v>
      </c>
      <c r="I7" s="100" t="s">
        <v>3</v>
      </c>
    </row>
    <row r="8" spans="1:9" x14ac:dyDescent="0.25">
      <c r="A8" s="138">
        <v>1994</v>
      </c>
      <c r="B8" s="172">
        <v>33</v>
      </c>
      <c r="C8" s="167">
        <f t="shared" ref="C8:C24" si="0">(D8+F8+H8)/B8</f>
        <v>0.95151515151515142</v>
      </c>
      <c r="D8" s="172">
        <v>14.4</v>
      </c>
      <c r="E8" s="12" t="s">
        <v>29</v>
      </c>
      <c r="F8" s="172">
        <v>12</v>
      </c>
      <c r="G8" s="12" t="s">
        <v>24</v>
      </c>
      <c r="H8" s="172">
        <v>5</v>
      </c>
      <c r="I8" s="176" t="s">
        <v>79</v>
      </c>
    </row>
    <row r="9" spans="1:9" x14ac:dyDescent="0.25">
      <c r="A9" s="138">
        <v>1995</v>
      </c>
      <c r="B9" s="172">
        <v>39.700000000000003</v>
      </c>
      <c r="C9" s="167">
        <f t="shared" si="0"/>
        <v>0.94962216624685136</v>
      </c>
      <c r="D9" s="172">
        <v>16.7</v>
      </c>
      <c r="E9" s="12" t="s">
        <v>29</v>
      </c>
      <c r="F9" s="172">
        <v>16</v>
      </c>
      <c r="G9" s="12" t="s">
        <v>24</v>
      </c>
      <c r="H9" s="172">
        <v>5</v>
      </c>
      <c r="I9" s="176" t="s">
        <v>79</v>
      </c>
    </row>
    <row r="10" spans="1:9" x14ac:dyDescent="0.25">
      <c r="A10" s="138">
        <v>1996</v>
      </c>
      <c r="B10" s="172">
        <v>51</v>
      </c>
      <c r="C10" s="167">
        <f t="shared" si="0"/>
        <v>0.96274509803921571</v>
      </c>
      <c r="D10" s="172">
        <v>21.1</v>
      </c>
      <c r="E10" s="12" t="s">
        <v>29</v>
      </c>
      <c r="F10" s="172">
        <v>18</v>
      </c>
      <c r="G10" s="12" t="s">
        <v>24</v>
      </c>
      <c r="H10" s="172">
        <v>10</v>
      </c>
      <c r="I10" s="176" t="s">
        <v>79</v>
      </c>
    </row>
    <row r="11" spans="1:9" x14ac:dyDescent="0.25">
      <c r="A11" s="138">
        <v>1997</v>
      </c>
      <c r="B11" s="172">
        <v>51</v>
      </c>
      <c r="C11" s="167">
        <f t="shared" si="0"/>
        <v>0.96078431372549022</v>
      </c>
      <c r="D11" s="172">
        <v>21</v>
      </c>
      <c r="E11" s="12" t="s">
        <v>29</v>
      </c>
      <c r="F11" s="172">
        <v>18</v>
      </c>
      <c r="G11" s="12" t="s">
        <v>24</v>
      </c>
      <c r="H11" s="172">
        <v>10</v>
      </c>
      <c r="I11" s="176" t="s">
        <v>79</v>
      </c>
    </row>
    <row r="12" spans="1:9" x14ac:dyDescent="0.25">
      <c r="A12" s="138">
        <v>1998</v>
      </c>
      <c r="B12" s="172">
        <v>60</v>
      </c>
      <c r="C12" s="167">
        <f t="shared" si="0"/>
        <v>0.93666666666666676</v>
      </c>
      <c r="D12" s="172">
        <v>24.2</v>
      </c>
      <c r="E12" s="12" t="s">
        <v>29</v>
      </c>
      <c r="F12" s="172">
        <v>22</v>
      </c>
      <c r="G12" s="12" t="s">
        <v>24</v>
      </c>
      <c r="H12" s="172">
        <v>10</v>
      </c>
      <c r="I12" s="176" t="s">
        <v>79</v>
      </c>
    </row>
    <row r="13" spans="1:9" x14ac:dyDescent="0.25">
      <c r="A13" s="138">
        <v>1999</v>
      </c>
      <c r="B13" s="172">
        <v>48</v>
      </c>
      <c r="C13" s="167">
        <f t="shared" si="0"/>
        <v>0.87291666666666667</v>
      </c>
      <c r="D13" s="172">
        <v>18.899999999999999</v>
      </c>
      <c r="E13" s="12" t="s">
        <v>29</v>
      </c>
      <c r="F13" s="172">
        <v>14</v>
      </c>
      <c r="G13" s="12" t="s">
        <v>24</v>
      </c>
      <c r="H13" s="172">
        <v>9</v>
      </c>
      <c r="I13" s="176" t="s">
        <v>79</v>
      </c>
    </row>
    <row r="14" spans="1:9" x14ac:dyDescent="0.25">
      <c r="A14" s="138">
        <v>2000</v>
      </c>
      <c r="B14" s="172">
        <v>54</v>
      </c>
      <c r="C14" s="167">
        <f t="shared" si="0"/>
        <v>0.87370370370370365</v>
      </c>
      <c r="D14" s="172">
        <v>20</v>
      </c>
      <c r="E14" s="12" t="s">
        <v>24</v>
      </c>
      <c r="F14" s="172">
        <v>18.8</v>
      </c>
      <c r="G14" s="12" t="s">
        <v>29</v>
      </c>
      <c r="H14" s="172">
        <v>8.3800000000000008</v>
      </c>
      <c r="I14" s="176" t="s">
        <v>79</v>
      </c>
    </row>
    <row r="15" spans="1:9" x14ac:dyDescent="0.25">
      <c r="A15" s="138">
        <v>2001</v>
      </c>
      <c r="B15" s="172">
        <v>71</v>
      </c>
      <c r="C15" s="167">
        <f t="shared" si="0"/>
        <v>0.87183098591549291</v>
      </c>
      <c r="D15" s="172">
        <v>24.9</v>
      </c>
      <c r="E15" s="12" t="s">
        <v>29</v>
      </c>
      <c r="F15" s="172">
        <v>23</v>
      </c>
      <c r="G15" s="12" t="s">
        <v>24</v>
      </c>
      <c r="H15" s="172">
        <v>14</v>
      </c>
      <c r="I15" s="176" t="s">
        <v>79</v>
      </c>
    </row>
    <row r="16" spans="1:9" x14ac:dyDescent="0.25">
      <c r="A16" s="138">
        <v>2002</v>
      </c>
      <c r="B16" s="172">
        <v>72</v>
      </c>
      <c r="C16" s="167">
        <f t="shared" si="0"/>
        <v>0.86388888888888893</v>
      </c>
      <c r="D16" s="172">
        <v>25.2</v>
      </c>
      <c r="E16" s="12" t="s">
        <v>29</v>
      </c>
      <c r="F16" s="172">
        <v>23</v>
      </c>
      <c r="G16" s="12" t="s">
        <v>24</v>
      </c>
      <c r="H16" s="172">
        <v>14</v>
      </c>
      <c r="I16" s="176" t="s">
        <v>79</v>
      </c>
    </row>
    <row r="17" spans="1:9" x14ac:dyDescent="0.25">
      <c r="A17" s="138">
        <v>2003</v>
      </c>
      <c r="B17" s="172">
        <v>65.3</v>
      </c>
      <c r="C17" s="167">
        <f t="shared" si="0"/>
        <v>0.83307810107197555</v>
      </c>
      <c r="D17" s="172">
        <v>23</v>
      </c>
      <c r="E17" s="12" t="s">
        <v>24</v>
      </c>
      <c r="F17" s="172">
        <v>18.899999999999999</v>
      </c>
      <c r="G17" s="12" t="s">
        <v>29</v>
      </c>
      <c r="H17" s="172">
        <v>12.5</v>
      </c>
      <c r="I17" s="176" t="s">
        <v>79</v>
      </c>
    </row>
    <row r="18" spans="1:9" x14ac:dyDescent="0.25">
      <c r="A18" s="138">
        <v>2004</v>
      </c>
      <c r="B18" s="172">
        <v>75</v>
      </c>
      <c r="C18" s="167">
        <f t="shared" si="0"/>
        <v>0.83466666666666667</v>
      </c>
      <c r="D18" s="172">
        <v>23.1</v>
      </c>
      <c r="E18" s="12" t="s">
        <v>29</v>
      </c>
      <c r="F18" s="172">
        <v>23</v>
      </c>
      <c r="G18" s="12" t="s">
        <v>24</v>
      </c>
      <c r="H18" s="172">
        <v>16.5</v>
      </c>
      <c r="I18" s="176" t="s">
        <v>79</v>
      </c>
    </row>
    <row r="19" spans="1:9" x14ac:dyDescent="0.25">
      <c r="A19" s="138">
        <v>2005</v>
      </c>
      <c r="B19" s="172">
        <v>96</v>
      </c>
      <c r="C19" s="167">
        <f t="shared" si="0"/>
        <v>0.8208333333333333</v>
      </c>
      <c r="D19" s="172">
        <v>30.8</v>
      </c>
      <c r="E19" s="12" t="s">
        <v>29</v>
      </c>
      <c r="F19" s="172">
        <v>29</v>
      </c>
      <c r="G19" s="12" t="s">
        <v>24</v>
      </c>
      <c r="H19" s="172">
        <v>19</v>
      </c>
      <c r="I19" s="176" t="s">
        <v>79</v>
      </c>
    </row>
    <row r="20" spans="1:9" x14ac:dyDescent="0.25">
      <c r="A20" s="138">
        <v>2006</v>
      </c>
      <c r="B20" s="172">
        <v>121</v>
      </c>
      <c r="C20" s="167">
        <f t="shared" si="0"/>
        <v>0.76694214876033051</v>
      </c>
      <c r="D20" s="172">
        <v>37.799999999999997</v>
      </c>
      <c r="E20" s="12" t="s">
        <v>29</v>
      </c>
      <c r="F20" s="172">
        <v>32</v>
      </c>
      <c r="G20" s="12" t="s">
        <v>24</v>
      </c>
      <c r="H20" s="172">
        <v>23</v>
      </c>
      <c r="I20" s="176" t="s">
        <v>79</v>
      </c>
    </row>
    <row r="21" spans="1:9" x14ac:dyDescent="0.25">
      <c r="A21" s="138" t="s">
        <v>4</v>
      </c>
      <c r="B21" s="172">
        <v>153</v>
      </c>
      <c r="C21" s="167">
        <f t="shared" si="0"/>
        <v>0.773202614379085</v>
      </c>
      <c r="D21" s="172">
        <v>45.2</v>
      </c>
      <c r="E21" s="12" t="s">
        <v>22</v>
      </c>
      <c r="F21" s="172">
        <v>38.9</v>
      </c>
      <c r="G21" s="12" t="s">
        <v>29</v>
      </c>
      <c r="H21" s="172">
        <v>34.200000000000003</v>
      </c>
      <c r="I21" s="176" t="s">
        <v>24</v>
      </c>
    </row>
    <row r="22" spans="1:9" x14ac:dyDescent="0.25">
      <c r="A22" s="138" t="s">
        <v>5</v>
      </c>
      <c r="B22" s="172">
        <v>155</v>
      </c>
      <c r="C22" s="167">
        <f t="shared" si="0"/>
        <v>0.77419354838709675</v>
      </c>
      <c r="D22" s="172">
        <v>49.6</v>
      </c>
      <c r="E22" s="12" t="s">
        <v>22</v>
      </c>
      <c r="F22" s="172">
        <v>40.9</v>
      </c>
      <c r="G22" s="12" t="s">
        <v>29</v>
      </c>
      <c r="H22" s="172">
        <v>29.5</v>
      </c>
      <c r="I22" s="176" t="s">
        <v>24</v>
      </c>
    </row>
    <row r="23" spans="1:9" x14ac:dyDescent="0.25">
      <c r="A23" s="138" t="s">
        <v>6</v>
      </c>
      <c r="B23" s="172">
        <v>163</v>
      </c>
      <c r="C23" s="167">
        <f t="shared" si="0"/>
        <v>0.69386503067484662</v>
      </c>
      <c r="D23" s="172">
        <v>61.5</v>
      </c>
      <c r="E23" s="12" t="s">
        <v>22</v>
      </c>
      <c r="F23" s="172">
        <v>26.6</v>
      </c>
      <c r="G23" s="12" t="s">
        <v>24</v>
      </c>
      <c r="H23" s="172">
        <v>25</v>
      </c>
      <c r="I23" s="128" t="s">
        <v>29</v>
      </c>
    </row>
    <row r="24" spans="1:9" x14ac:dyDescent="0.25">
      <c r="A24" s="138" t="s">
        <v>7</v>
      </c>
      <c r="B24" s="172">
        <v>137</v>
      </c>
      <c r="C24" s="167">
        <f t="shared" si="0"/>
        <v>0.84087591240875914</v>
      </c>
      <c r="D24" s="172">
        <v>57.8</v>
      </c>
      <c r="E24" s="12" t="s">
        <v>22</v>
      </c>
      <c r="F24" s="172">
        <v>31.6</v>
      </c>
      <c r="G24" s="12" t="s">
        <v>29</v>
      </c>
      <c r="H24" s="172">
        <v>25.8</v>
      </c>
      <c r="I24" s="128" t="s">
        <v>24</v>
      </c>
    </row>
    <row r="25" spans="1:9" x14ac:dyDescent="0.25">
      <c r="B25" s="10"/>
      <c r="H25" s="10"/>
    </row>
    <row r="26" spans="1:9" x14ac:dyDescent="0.25">
      <c r="A26" s="22"/>
      <c r="B26" s="10"/>
      <c r="H26" s="10"/>
    </row>
    <row r="27" spans="1:9" x14ac:dyDescent="0.25">
      <c r="A27" s="22"/>
      <c r="B27" s="10"/>
      <c r="H27" s="10"/>
    </row>
  </sheetData>
  <mergeCells count="6">
    <mergeCell ref="A1:I2"/>
    <mergeCell ref="B5:I5"/>
    <mergeCell ref="D6:E6"/>
    <mergeCell ref="F6:G6"/>
    <mergeCell ref="H6:I6"/>
    <mergeCell ref="C6:C7"/>
  </mergeCells>
  <pageMargins left="0.7" right="0.7" top="0.75" bottom="0.75" header="0.3" footer="0.3"/>
  <pageSetup scale="7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4" customWidth="1"/>
    <col min="4" max="9" width="13.28515625" customWidth="1"/>
    <col min="10" max="33" width="9.140625" style="60"/>
  </cols>
  <sheetData>
    <row r="1" spans="1:33" ht="15" customHeight="1" x14ac:dyDescent="0.25">
      <c r="A1" s="278" t="s">
        <v>477</v>
      </c>
      <c r="B1" s="278"/>
      <c r="C1" s="278"/>
      <c r="D1" s="278"/>
      <c r="E1" s="278"/>
      <c r="F1" s="278"/>
      <c r="G1" s="278"/>
      <c r="H1" s="278"/>
      <c r="I1" s="278"/>
    </row>
    <row r="2" spans="1:33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33" x14ac:dyDescent="0.25">
      <c r="A3" s="5"/>
      <c r="B3" s="6"/>
      <c r="C3" s="6"/>
      <c r="D3" s="6"/>
      <c r="E3" s="6"/>
      <c r="F3" s="6"/>
      <c r="H3" s="6"/>
      <c r="I3" s="6"/>
    </row>
    <row r="4" spans="1:33" x14ac:dyDescent="0.25">
      <c r="A4" s="5"/>
      <c r="B4" s="6"/>
      <c r="C4" s="6"/>
      <c r="D4" s="6"/>
      <c r="E4" s="6"/>
      <c r="F4" s="6"/>
      <c r="H4" s="6"/>
      <c r="I4" s="6"/>
    </row>
    <row r="5" spans="1:33" x14ac:dyDescent="0.25">
      <c r="A5" s="105"/>
      <c r="B5" s="283" t="s">
        <v>47</v>
      </c>
      <c r="C5" s="283"/>
      <c r="D5" s="283"/>
      <c r="E5" s="283"/>
      <c r="F5" s="283"/>
      <c r="G5" s="283"/>
      <c r="H5" s="283"/>
      <c r="I5" s="283"/>
    </row>
    <row r="6" spans="1:33" s="13" customFormat="1" ht="15" customHeight="1" x14ac:dyDescent="0.25">
      <c r="A6" s="101"/>
      <c r="B6" s="282" t="s">
        <v>414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 spans="1:33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x14ac:dyDescent="0.25">
      <c r="A8" s="138">
        <v>1990</v>
      </c>
      <c r="B8" s="167">
        <v>51.9</v>
      </c>
      <c r="C8" s="167">
        <f t="shared" ref="C8:C27" si="0">(D8+F8+H8)/B8</f>
        <v>0.81579961464354522</v>
      </c>
      <c r="D8" s="15">
        <v>32</v>
      </c>
      <c r="E8" s="12" t="s">
        <v>22</v>
      </c>
      <c r="F8" s="15">
        <v>8.8000000000000007</v>
      </c>
      <c r="G8" s="12" t="s">
        <v>37</v>
      </c>
      <c r="H8" s="15">
        <v>1.54</v>
      </c>
      <c r="I8" s="128" t="s">
        <v>44</v>
      </c>
    </row>
    <row r="9" spans="1:33" x14ac:dyDescent="0.25">
      <c r="A9" s="138">
        <v>1991</v>
      </c>
      <c r="B9" s="167">
        <v>48.2</v>
      </c>
      <c r="C9" s="167">
        <f t="shared" si="0"/>
        <v>0.85290456431535266</v>
      </c>
      <c r="D9" s="15">
        <v>31.8</v>
      </c>
      <c r="E9" s="12" t="s">
        <v>22</v>
      </c>
      <c r="F9" s="15">
        <v>8</v>
      </c>
      <c r="G9" s="12" t="s">
        <v>37</v>
      </c>
      <c r="H9" s="15">
        <v>1.31</v>
      </c>
      <c r="I9" s="128" t="s">
        <v>48</v>
      </c>
    </row>
    <row r="10" spans="1:33" x14ac:dyDescent="0.25">
      <c r="A10" s="138">
        <v>1992</v>
      </c>
      <c r="B10" s="167">
        <v>42.9</v>
      </c>
      <c r="C10" s="167">
        <f t="shared" si="0"/>
        <v>0.85058275058275068</v>
      </c>
      <c r="D10" s="15">
        <v>25</v>
      </c>
      <c r="E10" s="12" t="s">
        <v>22</v>
      </c>
      <c r="F10" s="167">
        <v>10</v>
      </c>
      <c r="G10" s="12" t="s">
        <v>24</v>
      </c>
      <c r="H10" s="15">
        <v>1.49</v>
      </c>
      <c r="I10" s="128" t="s">
        <v>48</v>
      </c>
    </row>
    <row r="11" spans="1:33" x14ac:dyDescent="0.25">
      <c r="A11" s="138">
        <v>1993</v>
      </c>
      <c r="B11" s="167">
        <v>34.299999999999997</v>
      </c>
      <c r="C11" s="167">
        <f t="shared" si="0"/>
        <v>0.89212827988338206</v>
      </c>
      <c r="D11" s="15">
        <v>21.6</v>
      </c>
      <c r="E11" s="12" t="s">
        <v>22</v>
      </c>
      <c r="F11" s="15">
        <v>8</v>
      </c>
      <c r="G11" s="12" t="s">
        <v>24</v>
      </c>
      <c r="H11" s="15">
        <v>1</v>
      </c>
      <c r="I11" s="128" t="s">
        <v>154</v>
      </c>
    </row>
    <row r="12" spans="1:33" x14ac:dyDescent="0.25">
      <c r="A12" s="138">
        <v>1994</v>
      </c>
      <c r="B12" s="167">
        <v>34</v>
      </c>
      <c r="C12" s="167">
        <f t="shared" si="0"/>
        <v>0.93823529411764706</v>
      </c>
      <c r="D12" s="15">
        <v>27</v>
      </c>
      <c r="E12" s="12" t="s">
        <v>22</v>
      </c>
      <c r="F12" s="15">
        <v>4</v>
      </c>
      <c r="G12" s="12" t="s">
        <v>24</v>
      </c>
      <c r="H12" s="15">
        <v>0.9</v>
      </c>
      <c r="I12" s="128" t="s">
        <v>154</v>
      </c>
    </row>
    <row r="13" spans="1:33" x14ac:dyDescent="0.25">
      <c r="A13" s="138">
        <v>1995</v>
      </c>
      <c r="B13" s="167">
        <v>38.5</v>
      </c>
      <c r="C13" s="167">
        <f t="shared" si="0"/>
        <v>0.87532467532467517</v>
      </c>
      <c r="D13" s="15">
        <v>27.4</v>
      </c>
      <c r="E13" s="12" t="s">
        <v>22</v>
      </c>
      <c r="F13" s="15">
        <v>5.4</v>
      </c>
      <c r="G13" s="12" t="s">
        <v>24</v>
      </c>
      <c r="H13" s="15">
        <v>0.9</v>
      </c>
      <c r="I13" s="128" t="s">
        <v>154</v>
      </c>
    </row>
    <row r="14" spans="1:33" x14ac:dyDescent="0.25">
      <c r="A14" s="138">
        <v>1996</v>
      </c>
      <c r="B14" s="167">
        <v>34.700000000000003</v>
      </c>
      <c r="C14" s="167">
        <f t="shared" si="0"/>
        <v>0.89077809798270891</v>
      </c>
      <c r="D14" s="15">
        <v>26.5</v>
      </c>
      <c r="E14" s="12" t="s">
        <v>22</v>
      </c>
      <c r="F14" s="15">
        <v>3</v>
      </c>
      <c r="G14" s="12" t="s">
        <v>24</v>
      </c>
      <c r="H14" s="167">
        <v>1.41</v>
      </c>
      <c r="I14" s="128" t="s">
        <v>48</v>
      </c>
    </row>
    <row r="15" spans="1:33" x14ac:dyDescent="0.25">
      <c r="A15" s="138">
        <v>1997</v>
      </c>
      <c r="B15" s="167">
        <v>33.200000000000003</v>
      </c>
      <c r="C15" s="167">
        <f t="shared" si="0"/>
        <v>0.8855421686746987</v>
      </c>
      <c r="D15" s="15">
        <v>25</v>
      </c>
      <c r="E15" s="12" t="s">
        <v>22</v>
      </c>
      <c r="F15" s="15">
        <v>3</v>
      </c>
      <c r="G15" s="12" t="s">
        <v>24</v>
      </c>
      <c r="H15" s="15">
        <v>1.4</v>
      </c>
      <c r="I15" s="128" t="s">
        <v>48</v>
      </c>
    </row>
    <row r="16" spans="1:33" x14ac:dyDescent="0.25">
      <c r="A16" s="138">
        <v>1998</v>
      </c>
      <c r="B16" s="167">
        <v>37</v>
      </c>
      <c r="C16" s="167">
        <f t="shared" si="0"/>
        <v>0.92972972972972967</v>
      </c>
      <c r="D16" s="15">
        <v>30</v>
      </c>
      <c r="E16" s="12" t="s">
        <v>22</v>
      </c>
      <c r="F16" s="15">
        <v>3</v>
      </c>
      <c r="G16" s="12" t="s">
        <v>24</v>
      </c>
      <c r="H16" s="15">
        <v>1.4</v>
      </c>
      <c r="I16" s="128" t="s">
        <v>48</v>
      </c>
    </row>
    <row r="17" spans="1:9" x14ac:dyDescent="0.25">
      <c r="A17" s="138">
        <v>1999</v>
      </c>
      <c r="B17" s="167">
        <v>37.700000000000003</v>
      </c>
      <c r="C17" s="167">
        <f t="shared" si="0"/>
        <v>0.96047745358090175</v>
      </c>
      <c r="D17" s="15">
        <v>31.1</v>
      </c>
      <c r="E17" s="12" t="s">
        <v>22</v>
      </c>
      <c r="F17" s="15">
        <v>3.5</v>
      </c>
      <c r="G17" s="12" t="s">
        <v>24</v>
      </c>
      <c r="H17" s="15">
        <v>1.61</v>
      </c>
      <c r="I17" s="128" t="s">
        <v>48</v>
      </c>
    </row>
    <row r="18" spans="1:9" x14ac:dyDescent="0.25">
      <c r="A18" s="138">
        <v>2000</v>
      </c>
      <c r="B18" s="167">
        <v>44</v>
      </c>
      <c r="C18" s="167">
        <f t="shared" si="0"/>
        <v>0.9568181818181819</v>
      </c>
      <c r="D18" s="15">
        <v>37</v>
      </c>
      <c r="E18" s="12" t="s">
        <v>22</v>
      </c>
      <c r="F18" s="15">
        <v>3.5</v>
      </c>
      <c r="G18" s="12" t="s">
        <v>24</v>
      </c>
      <c r="H18" s="15">
        <v>1.6</v>
      </c>
      <c r="I18" s="128" t="s">
        <v>48</v>
      </c>
    </row>
    <row r="19" spans="1:9" x14ac:dyDescent="0.25">
      <c r="A19" s="138">
        <v>2001</v>
      </c>
      <c r="B19" s="167">
        <v>50.8</v>
      </c>
      <c r="C19" s="167">
        <f t="shared" si="0"/>
        <v>0.95728346456692925</v>
      </c>
      <c r="D19" s="15">
        <v>42.1</v>
      </c>
      <c r="E19" s="12" t="s">
        <v>22</v>
      </c>
      <c r="F19" s="15">
        <v>5.0999999999999996</v>
      </c>
      <c r="G19" s="12" t="s">
        <v>24</v>
      </c>
      <c r="H19" s="15">
        <v>1.43</v>
      </c>
      <c r="I19" s="128" t="s">
        <v>48</v>
      </c>
    </row>
    <row r="20" spans="1:9" x14ac:dyDescent="0.25">
      <c r="A20" s="138">
        <v>2002</v>
      </c>
      <c r="B20" s="167">
        <v>66.2</v>
      </c>
      <c r="C20" s="167">
        <f t="shared" si="0"/>
        <v>0.94712990936555885</v>
      </c>
      <c r="D20" s="18">
        <v>55.1</v>
      </c>
      <c r="E20" s="12" t="s">
        <v>22</v>
      </c>
      <c r="F20" s="16">
        <v>5.3</v>
      </c>
      <c r="G20" s="12" t="s">
        <v>24</v>
      </c>
      <c r="H20" s="18">
        <v>2.2999999999999998</v>
      </c>
      <c r="I20" s="128" t="s">
        <v>38</v>
      </c>
    </row>
    <row r="21" spans="1:9" x14ac:dyDescent="0.25">
      <c r="A21" s="138">
        <v>2003</v>
      </c>
      <c r="B21" s="167">
        <v>47.2</v>
      </c>
      <c r="C21" s="167">
        <f t="shared" si="0"/>
        <v>0.92033898305084749</v>
      </c>
      <c r="D21" s="16">
        <v>36.200000000000003</v>
      </c>
      <c r="E21" s="12" t="s">
        <v>22</v>
      </c>
      <c r="F21" s="16">
        <v>3.64</v>
      </c>
      <c r="G21" s="12" t="s">
        <v>38</v>
      </c>
      <c r="H21" s="16">
        <v>3.6</v>
      </c>
      <c r="I21" s="128" t="s">
        <v>24</v>
      </c>
    </row>
    <row r="22" spans="1:9" x14ac:dyDescent="0.25">
      <c r="A22" s="138">
        <v>2004</v>
      </c>
      <c r="B22" s="167">
        <v>66.3</v>
      </c>
      <c r="C22" s="167">
        <f t="shared" si="0"/>
        <v>0.96591251885369522</v>
      </c>
      <c r="D22" s="17">
        <v>59.9</v>
      </c>
      <c r="E22" s="12" t="s">
        <v>22</v>
      </c>
      <c r="F22" s="17">
        <v>2.8</v>
      </c>
      <c r="G22" s="12" t="s">
        <v>24</v>
      </c>
      <c r="H22" s="17">
        <v>1.34</v>
      </c>
      <c r="I22" s="128" t="s">
        <v>48</v>
      </c>
    </row>
    <row r="23" spans="1:9" x14ac:dyDescent="0.25">
      <c r="A23" s="138">
        <v>2005</v>
      </c>
      <c r="B23" s="167">
        <v>59.5</v>
      </c>
      <c r="C23" s="167">
        <f t="shared" si="0"/>
        <v>0.92907563025210083</v>
      </c>
      <c r="D23" s="18">
        <v>51.2</v>
      </c>
      <c r="E23" s="12" t="s">
        <v>22</v>
      </c>
      <c r="F23" s="18">
        <v>2.8</v>
      </c>
      <c r="G23" s="12" t="s">
        <v>24</v>
      </c>
      <c r="H23" s="18">
        <v>1.28</v>
      </c>
      <c r="I23" s="128" t="s">
        <v>48</v>
      </c>
    </row>
    <row r="24" spans="1:9" x14ac:dyDescent="0.25">
      <c r="A24" s="138">
        <v>2006</v>
      </c>
      <c r="B24" s="167">
        <v>56.4</v>
      </c>
      <c r="C24" s="167">
        <f t="shared" si="0"/>
        <v>0.88262411347517722</v>
      </c>
      <c r="D24" s="18">
        <v>45</v>
      </c>
      <c r="E24" s="12" t="s">
        <v>22</v>
      </c>
      <c r="F24" s="18">
        <v>2.8</v>
      </c>
      <c r="G24" s="12" t="s">
        <v>24</v>
      </c>
      <c r="H24" s="18">
        <v>1.98</v>
      </c>
      <c r="I24" s="128" t="s">
        <v>38</v>
      </c>
    </row>
    <row r="25" spans="1:9" x14ac:dyDescent="0.25">
      <c r="A25" s="138" t="s">
        <v>4</v>
      </c>
      <c r="B25" s="167">
        <v>54.1</v>
      </c>
      <c r="C25" s="167">
        <f t="shared" si="0"/>
        <v>0.86155268022181142</v>
      </c>
      <c r="D25" s="167">
        <v>41</v>
      </c>
      <c r="E25" s="12" t="s">
        <v>22</v>
      </c>
      <c r="F25" s="167">
        <v>3.3</v>
      </c>
      <c r="G25" s="12" t="s">
        <v>24</v>
      </c>
      <c r="H25" s="167">
        <v>2.31</v>
      </c>
      <c r="I25" s="128" t="s">
        <v>38</v>
      </c>
    </row>
    <row r="26" spans="1:9" x14ac:dyDescent="0.25">
      <c r="A26" s="138" t="s">
        <v>5</v>
      </c>
      <c r="B26" s="167">
        <v>62.2</v>
      </c>
      <c r="C26" s="167">
        <f t="shared" si="0"/>
        <v>0.88874598070739552</v>
      </c>
      <c r="D26" s="167">
        <v>50</v>
      </c>
      <c r="E26" s="12" t="s">
        <v>22</v>
      </c>
      <c r="F26" s="167">
        <v>3</v>
      </c>
      <c r="G26" s="12" t="s">
        <v>24</v>
      </c>
      <c r="H26" s="167">
        <v>2.2799999999999998</v>
      </c>
      <c r="I26" s="128" t="s">
        <v>38</v>
      </c>
    </row>
    <row r="27" spans="1:9" x14ac:dyDescent="0.25">
      <c r="A27" s="138" t="s">
        <v>6</v>
      </c>
      <c r="B27" s="167">
        <v>61.3</v>
      </c>
      <c r="C27" s="167">
        <f t="shared" si="0"/>
        <v>0.90473083197389892</v>
      </c>
      <c r="D27" s="167">
        <v>51</v>
      </c>
      <c r="E27" s="12" t="s">
        <v>22</v>
      </c>
      <c r="F27" s="167">
        <v>2.5</v>
      </c>
      <c r="G27" s="12" t="s">
        <v>24</v>
      </c>
      <c r="H27" s="167">
        <v>1.96</v>
      </c>
      <c r="I27" s="128" t="s">
        <v>38</v>
      </c>
    </row>
    <row r="28" spans="1:9" x14ac:dyDescent="0.25">
      <c r="A28" s="141"/>
      <c r="B28" s="157"/>
      <c r="C28" s="141"/>
      <c r="D28" s="141"/>
      <c r="E28" s="141"/>
      <c r="F28" s="141"/>
      <c r="G28" s="141"/>
      <c r="H28" s="157"/>
      <c r="I28" s="141"/>
    </row>
    <row r="29" spans="1:9" x14ac:dyDescent="0.25">
      <c r="A29" s="137" t="s">
        <v>661</v>
      </c>
      <c r="B29" s="157"/>
      <c r="C29" s="141"/>
      <c r="D29" s="141"/>
      <c r="E29" s="141"/>
      <c r="F29" s="141"/>
      <c r="G29" s="141"/>
      <c r="H29" s="157"/>
      <c r="I29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9" width="13.28515625" customWidth="1"/>
    <col min="10" max="10" width="3.140625" customWidth="1"/>
    <col min="12" max="12" width="13.28515625" customWidth="1"/>
    <col min="13" max="13" width="14.28515625" customWidth="1"/>
    <col min="14" max="19" width="13.28515625" customWidth="1"/>
  </cols>
  <sheetData>
    <row r="1" spans="1:19" ht="15" customHeight="1" x14ac:dyDescent="0.25">
      <c r="A1" s="278" t="s">
        <v>479</v>
      </c>
      <c r="B1" s="278"/>
      <c r="C1" s="278"/>
      <c r="D1" s="278"/>
      <c r="E1" s="278"/>
      <c r="F1" s="278"/>
      <c r="G1" s="278"/>
      <c r="H1" s="278"/>
      <c r="I1" s="278"/>
      <c r="K1" s="278" t="s">
        <v>664</v>
      </c>
      <c r="L1" s="278"/>
      <c r="M1" s="278"/>
      <c r="N1" s="278"/>
      <c r="O1" s="278"/>
      <c r="P1" s="278"/>
      <c r="Q1" s="278"/>
      <c r="R1" s="278"/>
      <c r="S1" s="278"/>
    </row>
    <row r="2" spans="1:1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6"/>
      <c r="C3" s="6"/>
      <c r="D3" s="6"/>
      <c r="E3" s="6"/>
      <c r="F3" s="6"/>
      <c r="H3" s="6"/>
      <c r="I3" s="6"/>
      <c r="K3" s="110" t="s">
        <v>663</v>
      </c>
    </row>
    <row r="4" spans="1:19" x14ac:dyDescent="0.25">
      <c r="A4" s="5"/>
      <c r="B4" s="6"/>
      <c r="C4" s="6"/>
      <c r="D4" s="6"/>
      <c r="E4" s="6"/>
      <c r="F4" s="6"/>
      <c r="H4" s="6"/>
      <c r="I4" s="6"/>
    </row>
    <row r="5" spans="1:19" x14ac:dyDescent="0.25">
      <c r="A5" s="105"/>
      <c r="B5" s="283" t="s">
        <v>478</v>
      </c>
      <c r="C5" s="283"/>
      <c r="D5" s="283"/>
      <c r="E5" s="283"/>
      <c r="F5" s="283"/>
      <c r="G5" s="283"/>
      <c r="H5" s="283"/>
      <c r="I5" s="283"/>
      <c r="J5" s="84"/>
      <c r="K5" s="292" t="s">
        <v>116</v>
      </c>
      <c r="L5" s="283"/>
      <c r="M5" s="283"/>
      <c r="N5" s="283"/>
      <c r="O5" s="283"/>
      <c r="P5" s="283"/>
      <c r="Q5" s="283"/>
      <c r="R5" s="283"/>
      <c r="S5" s="283"/>
    </row>
    <row r="6" spans="1:19" s="13" customFormat="1" ht="15" customHeight="1" x14ac:dyDescent="0.25">
      <c r="A6" s="101"/>
      <c r="B6" s="282" t="s">
        <v>414</v>
      </c>
      <c r="C6" s="282" t="s">
        <v>300</v>
      </c>
      <c r="D6" s="282" t="s">
        <v>275</v>
      </c>
      <c r="E6" s="282"/>
      <c r="F6" s="282" t="s">
        <v>32</v>
      </c>
      <c r="G6" s="282"/>
      <c r="H6" s="282" t="s">
        <v>33</v>
      </c>
      <c r="I6" s="282"/>
      <c r="J6" s="12"/>
      <c r="K6" s="101"/>
      <c r="L6" s="282" t="s">
        <v>480</v>
      </c>
      <c r="M6" s="282" t="s">
        <v>299</v>
      </c>
      <c r="N6" s="279" t="s">
        <v>275</v>
      </c>
      <c r="O6" s="279"/>
      <c r="P6" s="279" t="s">
        <v>32</v>
      </c>
      <c r="Q6" s="279"/>
      <c r="R6" s="279" t="s">
        <v>33</v>
      </c>
      <c r="S6" s="279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12"/>
      <c r="K7" s="100" t="s">
        <v>368</v>
      </c>
      <c r="L7" s="281"/>
      <c r="M7" s="281"/>
      <c r="N7" s="100" t="s">
        <v>117</v>
      </c>
      <c r="O7" s="100" t="s">
        <v>3</v>
      </c>
      <c r="P7" s="100" t="s">
        <v>117</v>
      </c>
      <c r="Q7" s="100" t="s">
        <v>3</v>
      </c>
      <c r="R7" s="100" t="s">
        <v>117</v>
      </c>
      <c r="S7" s="100" t="s">
        <v>3</v>
      </c>
    </row>
    <row r="8" spans="1:19" x14ac:dyDescent="0.25">
      <c r="A8" s="138">
        <v>1990</v>
      </c>
      <c r="B8" s="167">
        <v>33.9</v>
      </c>
      <c r="C8" s="167">
        <f t="shared" ref="C8:C28" si="0">(D8+F8+H8)/B8</f>
        <v>0.9911504424778762</v>
      </c>
      <c r="D8" s="15">
        <v>17.100000000000001</v>
      </c>
      <c r="E8" s="12" t="s">
        <v>118</v>
      </c>
      <c r="F8" s="15">
        <v>12</v>
      </c>
      <c r="G8" s="12" t="s">
        <v>37</v>
      </c>
      <c r="H8" s="15">
        <v>4.5</v>
      </c>
      <c r="I8" s="128" t="s">
        <v>22</v>
      </c>
      <c r="J8" s="168"/>
      <c r="K8" s="171">
        <v>2000</v>
      </c>
      <c r="L8" s="199">
        <v>43.6</v>
      </c>
      <c r="M8" s="172">
        <f>+(P8+N8+R8)/L8</f>
        <v>0.97706422018348627</v>
      </c>
      <c r="N8" s="52">
        <v>20.5</v>
      </c>
      <c r="O8" s="161" t="s">
        <v>24</v>
      </c>
      <c r="P8" s="52">
        <v>18</v>
      </c>
      <c r="Q8" s="200" t="s">
        <v>118</v>
      </c>
      <c r="R8" s="162">
        <v>4.0999999999999996</v>
      </c>
      <c r="S8" s="201" t="s">
        <v>29</v>
      </c>
    </row>
    <row r="9" spans="1:19" x14ac:dyDescent="0.25">
      <c r="A9" s="138">
        <v>1991</v>
      </c>
      <c r="B9" s="167">
        <v>31.7</v>
      </c>
      <c r="C9" s="167">
        <f t="shared" si="0"/>
        <v>0.99369085173501581</v>
      </c>
      <c r="D9" s="15">
        <v>15</v>
      </c>
      <c r="E9" s="12" t="s">
        <v>118</v>
      </c>
      <c r="F9" s="15">
        <v>12</v>
      </c>
      <c r="G9" s="12" t="s">
        <v>37</v>
      </c>
      <c r="H9" s="15">
        <v>4.5</v>
      </c>
      <c r="I9" s="128" t="s">
        <v>22</v>
      </c>
      <c r="J9" s="168"/>
      <c r="K9" s="171">
        <v>2001</v>
      </c>
      <c r="L9" s="199">
        <v>41.6</v>
      </c>
      <c r="M9" s="172">
        <f>+(P9+N9+R9)/L9</f>
        <v>0.97596153846153844</v>
      </c>
      <c r="N9" s="52">
        <v>18.8</v>
      </c>
      <c r="O9" s="161" t="s">
        <v>24</v>
      </c>
      <c r="P9" s="52">
        <v>18.2</v>
      </c>
      <c r="Q9" s="200" t="s">
        <v>118</v>
      </c>
      <c r="R9" s="162">
        <v>3.6</v>
      </c>
      <c r="S9" s="201" t="s">
        <v>29</v>
      </c>
    </row>
    <row r="10" spans="1:19" x14ac:dyDescent="0.25">
      <c r="A10" s="138">
        <v>1992</v>
      </c>
      <c r="B10" s="167">
        <v>31.6</v>
      </c>
      <c r="C10" s="167">
        <f t="shared" si="0"/>
        <v>0.94905063291139236</v>
      </c>
      <c r="D10" s="15">
        <v>14.29</v>
      </c>
      <c r="E10" s="12" t="s">
        <v>118</v>
      </c>
      <c r="F10" s="167">
        <v>11</v>
      </c>
      <c r="G10" s="12" t="s">
        <v>24</v>
      </c>
      <c r="H10" s="15">
        <v>4.7</v>
      </c>
      <c r="I10" s="128" t="s">
        <v>22</v>
      </c>
      <c r="J10" s="168"/>
      <c r="K10" s="171">
        <v>2002</v>
      </c>
      <c r="L10" s="199">
        <v>44.9</v>
      </c>
      <c r="M10" s="172">
        <f t="shared" ref="M10:M18" si="1">+(N10+P10+R10)/L10</f>
        <v>0.97772828507795095</v>
      </c>
      <c r="N10" s="52">
        <v>25.2</v>
      </c>
      <c r="O10" s="202" t="s">
        <v>118</v>
      </c>
      <c r="P10" s="52">
        <v>15.1</v>
      </c>
      <c r="Q10" s="161" t="s">
        <v>24</v>
      </c>
      <c r="R10" s="162">
        <v>3.6</v>
      </c>
      <c r="S10" s="201" t="s">
        <v>29</v>
      </c>
    </row>
    <row r="11" spans="1:19" x14ac:dyDescent="0.25">
      <c r="A11" s="138">
        <v>1993</v>
      </c>
      <c r="B11" s="167">
        <v>33.9</v>
      </c>
      <c r="C11" s="167">
        <f t="shared" si="0"/>
        <v>0.97050147492625372</v>
      </c>
      <c r="D11" s="15">
        <v>15.1</v>
      </c>
      <c r="E11" s="12" t="s">
        <v>118</v>
      </c>
      <c r="F11" s="15">
        <v>12.8</v>
      </c>
      <c r="G11" s="12" t="s">
        <v>24</v>
      </c>
      <c r="H11" s="15">
        <v>5</v>
      </c>
      <c r="I11" s="128" t="s">
        <v>22</v>
      </c>
      <c r="J11" s="168"/>
      <c r="K11" s="171">
        <v>2003</v>
      </c>
      <c r="L11" s="199">
        <v>39.700000000000003</v>
      </c>
      <c r="M11" s="172">
        <f t="shared" si="1"/>
        <v>0.97481108312342568</v>
      </c>
      <c r="N11" s="52">
        <v>27.2</v>
      </c>
      <c r="O11" s="202" t="s">
        <v>118</v>
      </c>
      <c r="P11" s="52">
        <v>8</v>
      </c>
      <c r="Q11" s="161" t="s">
        <v>24</v>
      </c>
      <c r="R11" s="162">
        <v>3.5</v>
      </c>
      <c r="S11" s="201" t="s">
        <v>29</v>
      </c>
    </row>
    <row r="12" spans="1:19" x14ac:dyDescent="0.25">
      <c r="A12" s="138">
        <v>1994</v>
      </c>
      <c r="B12" s="167">
        <v>34.700000000000003</v>
      </c>
      <c r="C12" s="167">
        <f t="shared" si="0"/>
        <v>0.9697406340057636</v>
      </c>
      <c r="D12" s="15">
        <v>16.350000000000001</v>
      </c>
      <c r="E12" s="12" t="s">
        <v>118</v>
      </c>
      <c r="F12" s="15">
        <v>11.9</v>
      </c>
      <c r="G12" s="12" t="s">
        <v>24</v>
      </c>
      <c r="H12" s="15">
        <v>5.4</v>
      </c>
      <c r="I12" s="128" t="s">
        <v>22</v>
      </c>
      <c r="J12" s="168"/>
      <c r="K12" s="171">
        <v>2004</v>
      </c>
      <c r="L12" s="199">
        <v>41.9</v>
      </c>
      <c r="M12" s="172">
        <f t="shared" si="1"/>
        <v>0.97613365155131282</v>
      </c>
      <c r="N12" s="52">
        <v>25</v>
      </c>
      <c r="O12" s="202" t="s">
        <v>118</v>
      </c>
      <c r="P12" s="52">
        <v>13.7</v>
      </c>
      <c r="Q12" s="161" t="s">
        <v>24</v>
      </c>
      <c r="R12" s="162">
        <v>2.2000000000000002</v>
      </c>
      <c r="S12" s="201" t="s">
        <v>29</v>
      </c>
    </row>
    <row r="13" spans="1:19" x14ac:dyDescent="0.25">
      <c r="A13" s="138">
        <v>1995</v>
      </c>
      <c r="B13" s="167">
        <v>42.1</v>
      </c>
      <c r="C13" s="167">
        <f t="shared" si="0"/>
        <v>0.97387173396674576</v>
      </c>
      <c r="D13" s="15">
        <v>16.3</v>
      </c>
      <c r="E13" s="12" t="s">
        <v>118</v>
      </c>
      <c r="F13" s="15">
        <v>13.7</v>
      </c>
      <c r="G13" s="12" t="s">
        <v>22</v>
      </c>
      <c r="H13" s="15">
        <v>11</v>
      </c>
      <c r="I13" s="128" t="s">
        <v>24</v>
      </c>
      <c r="J13" s="168"/>
      <c r="K13" s="171">
        <v>2005</v>
      </c>
      <c r="L13" s="199">
        <v>37.9</v>
      </c>
      <c r="M13" s="172">
        <f t="shared" si="1"/>
        <v>0.97361477572559363</v>
      </c>
      <c r="N13" s="52">
        <v>22</v>
      </c>
      <c r="O13" s="202" t="s">
        <v>118</v>
      </c>
      <c r="P13" s="52">
        <v>12.9</v>
      </c>
      <c r="Q13" s="161" t="s">
        <v>24</v>
      </c>
      <c r="R13" s="162">
        <v>2</v>
      </c>
      <c r="S13" s="201" t="s">
        <v>29</v>
      </c>
    </row>
    <row r="14" spans="1:19" x14ac:dyDescent="0.25">
      <c r="A14" s="138">
        <v>1996</v>
      </c>
      <c r="B14" s="167">
        <v>40.9</v>
      </c>
      <c r="C14" s="167">
        <f t="shared" si="0"/>
        <v>0.97237163814180927</v>
      </c>
      <c r="D14" s="15">
        <v>14.77</v>
      </c>
      <c r="E14" s="12" t="s">
        <v>118</v>
      </c>
      <c r="F14" s="15">
        <v>14</v>
      </c>
      <c r="G14" s="12" t="s">
        <v>22</v>
      </c>
      <c r="H14" s="167">
        <v>11</v>
      </c>
      <c r="I14" s="128" t="s">
        <v>24</v>
      </c>
      <c r="J14" s="168"/>
      <c r="K14" s="171">
        <v>2006</v>
      </c>
      <c r="L14" s="199">
        <v>31.1</v>
      </c>
      <c r="M14" s="172">
        <f t="shared" si="1"/>
        <v>0.932475884244373</v>
      </c>
      <c r="N14" s="52">
        <v>18</v>
      </c>
      <c r="O14" s="202" t="s">
        <v>118</v>
      </c>
      <c r="P14" s="52">
        <v>11</v>
      </c>
      <c r="Q14" s="161" t="s">
        <v>24</v>
      </c>
      <c r="R14" s="162">
        <v>0</v>
      </c>
      <c r="S14" s="201" t="s">
        <v>29</v>
      </c>
    </row>
    <row r="15" spans="1:19" x14ac:dyDescent="0.25">
      <c r="A15" s="138">
        <v>1997</v>
      </c>
      <c r="B15" s="167">
        <v>40.700000000000003</v>
      </c>
      <c r="C15" s="167">
        <f t="shared" si="0"/>
        <v>0.97272727272727277</v>
      </c>
      <c r="D15" s="15">
        <v>15.59</v>
      </c>
      <c r="E15" s="12" t="s">
        <v>118</v>
      </c>
      <c r="F15" s="15">
        <v>15</v>
      </c>
      <c r="G15" s="12" t="s">
        <v>22</v>
      </c>
      <c r="H15" s="15">
        <v>9</v>
      </c>
      <c r="I15" s="128" t="s">
        <v>24</v>
      </c>
      <c r="J15" s="168"/>
      <c r="K15" s="171" t="s">
        <v>4</v>
      </c>
      <c r="L15" s="203">
        <v>33.6</v>
      </c>
      <c r="M15" s="172">
        <f t="shared" si="1"/>
        <v>0.92261904761904756</v>
      </c>
      <c r="N15" s="162">
        <v>19</v>
      </c>
      <c r="O15" s="202" t="s">
        <v>118</v>
      </c>
      <c r="P15" s="162">
        <v>12</v>
      </c>
      <c r="Q15" s="161" t="s">
        <v>24</v>
      </c>
      <c r="R15" s="162">
        <v>0</v>
      </c>
      <c r="S15" s="201" t="s">
        <v>29</v>
      </c>
    </row>
    <row r="16" spans="1:19" x14ac:dyDescent="0.25">
      <c r="A16" s="138">
        <v>1998</v>
      </c>
      <c r="B16" s="167">
        <v>42.5</v>
      </c>
      <c r="C16" s="167">
        <f t="shared" si="0"/>
        <v>0.97341176470588242</v>
      </c>
      <c r="D16" s="15">
        <v>18.87</v>
      </c>
      <c r="E16" s="12" t="s">
        <v>118</v>
      </c>
      <c r="F16" s="15">
        <v>15.5</v>
      </c>
      <c r="G16" s="12" t="s">
        <v>22</v>
      </c>
      <c r="H16" s="15">
        <v>7</v>
      </c>
      <c r="I16" s="128" t="s">
        <v>24</v>
      </c>
      <c r="J16" s="168"/>
      <c r="K16" s="171" t="s">
        <v>5</v>
      </c>
      <c r="L16" s="204">
        <v>40</v>
      </c>
      <c r="M16" s="172">
        <f t="shared" si="1"/>
        <v>0.86250000000000004</v>
      </c>
      <c r="N16" s="162">
        <v>19</v>
      </c>
      <c r="O16" s="202" t="s">
        <v>118</v>
      </c>
      <c r="P16" s="162">
        <v>12</v>
      </c>
      <c r="Q16" s="161" t="s">
        <v>24</v>
      </c>
      <c r="R16" s="162">
        <v>3.5</v>
      </c>
      <c r="S16" s="201" t="s">
        <v>29</v>
      </c>
    </row>
    <row r="17" spans="1:19" x14ac:dyDescent="0.25">
      <c r="A17" s="138">
        <v>1999</v>
      </c>
      <c r="B17" s="167">
        <v>36</v>
      </c>
      <c r="C17" s="167">
        <f t="shared" si="0"/>
        <v>0.97249999999999992</v>
      </c>
      <c r="D17" s="15">
        <v>17.61</v>
      </c>
      <c r="E17" s="12" t="s">
        <v>118</v>
      </c>
      <c r="F17" s="15">
        <v>10.4</v>
      </c>
      <c r="G17" s="12" t="s">
        <v>22</v>
      </c>
      <c r="H17" s="15">
        <v>7</v>
      </c>
      <c r="I17" s="128" t="s">
        <v>24</v>
      </c>
      <c r="J17" s="168"/>
      <c r="K17" s="171" t="s">
        <v>6</v>
      </c>
      <c r="L17" s="204">
        <v>33.700000000000003</v>
      </c>
      <c r="M17" s="172">
        <f t="shared" si="1"/>
        <v>0.9228486646884273</v>
      </c>
      <c r="N17" s="181">
        <v>17</v>
      </c>
      <c r="O17" s="202" t="s">
        <v>118</v>
      </c>
      <c r="P17" s="53">
        <v>11.5</v>
      </c>
      <c r="Q17" s="161" t="s">
        <v>24</v>
      </c>
      <c r="R17" s="53">
        <v>2.6</v>
      </c>
      <c r="S17" s="201" t="s">
        <v>29</v>
      </c>
    </row>
    <row r="18" spans="1:19" x14ac:dyDescent="0.25">
      <c r="A18" s="138">
        <v>2000</v>
      </c>
      <c r="B18" s="167">
        <v>40</v>
      </c>
      <c r="C18" s="167">
        <f t="shared" si="0"/>
        <v>0.93799999999999994</v>
      </c>
      <c r="D18" s="15">
        <v>18.02</v>
      </c>
      <c r="E18" s="12" t="s">
        <v>118</v>
      </c>
      <c r="F18" s="15">
        <v>12</v>
      </c>
      <c r="G18" s="12" t="s">
        <v>22</v>
      </c>
      <c r="H18" s="15">
        <v>7.5</v>
      </c>
      <c r="I18" s="128" t="s">
        <v>24</v>
      </c>
      <c r="J18" s="168"/>
      <c r="K18" s="171" t="s">
        <v>7</v>
      </c>
      <c r="L18" s="205">
        <v>33.9</v>
      </c>
      <c r="M18" s="172">
        <f t="shared" si="1"/>
        <v>0.92035398230088494</v>
      </c>
      <c r="N18" s="181">
        <v>18</v>
      </c>
      <c r="O18" s="202" t="s">
        <v>118</v>
      </c>
      <c r="P18" s="181">
        <v>11</v>
      </c>
      <c r="Q18" s="161" t="s">
        <v>24</v>
      </c>
      <c r="R18" s="181">
        <v>2.2000000000000002</v>
      </c>
      <c r="S18" s="201" t="s">
        <v>29</v>
      </c>
    </row>
    <row r="19" spans="1:19" x14ac:dyDescent="0.25">
      <c r="A19" s="138">
        <v>2001</v>
      </c>
      <c r="B19" s="167">
        <v>41.3</v>
      </c>
      <c r="C19" s="167">
        <f t="shared" si="0"/>
        <v>0.91234866828087169</v>
      </c>
      <c r="D19" s="15">
        <v>18.18</v>
      </c>
      <c r="E19" s="12" t="s">
        <v>118</v>
      </c>
      <c r="F19" s="15">
        <v>12</v>
      </c>
      <c r="G19" s="12" t="s">
        <v>22</v>
      </c>
      <c r="H19" s="15">
        <v>7.5</v>
      </c>
      <c r="I19" s="128" t="s">
        <v>24</v>
      </c>
      <c r="J19" s="168"/>
      <c r="K19" s="3"/>
      <c r="L19" s="181"/>
      <c r="M19" s="172"/>
      <c r="N19" s="181"/>
      <c r="O19" s="167"/>
      <c r="P19" s="181"/>
      <c r="Q19" s="167"/>
      <c r="R19" s="181"/>
      <c r="S19" s="167"/>
    </row>
    <row r="20" spans="1:19" x14ac:dyDescent="0.25">
      <c r="A20" s="138">
        <v>2002</v>
      </c>
      <c r="B20" s="167">
        <v>50.5</v>
      </c>
      <c r="C20" s="167">
        <f t="shared" si="0"/>
        <v>0.91940594059405945</v>
      </c>
      <c r="D20" s="18">
        <v>25.23</v>
      </c>
      <c r="E20" s="12" t="s">
        <v>118</v>
      </c>
      <c r="F20" s="16">
        <v>13.2</v>
      </c>
      <c r="G20" s="12" t="s">
        <v>22</v>
      </c>
      <c r="H20" s="18">
        <v>8</v>
      </c>
      <c r="I20" s="128" t="s">
        <v>24</v>
      </c>
      <c r="J20" s="167"/>
      <c r="K20" s="141"/>
      <c r="L20" s="141"/>
      <c r="M20" s="138"/>
      <c r="N20" s="167"/>
      <c r="O20" s="167"/>
      <c r="P20" s="167"/>
      <c r="Q20" s="167"/>
      <c r="R20" s="167"/>
      <c r="S20" s="141"/>
    </row>
    <row r="21" spans="1:19" x14ac:dyDescent="0.25">
      <c r="A21" s="138">
        <v>2003</v>
      </c>
      <c r="B21" s="167">
        <v>47.3</v>
      </c>
      <c r="C21" s="167">
        <f t="shared" si="0"/>
        <v>0.97610993657505296</v>
      </c>
      <c r="D21" s="16">
        <v>27.17</v>
      </c>
      <c r="E21" s="12" t="s">
        <v>118</v>
      </c>
      <c r="F21" s="16">
        <v>13.2</v>
      </c>
      <c r="G21" s="12" t="s">
        <v>22</v>
      </c>
      <c r="H21" s="16">
        <v>5.8</v>
      </c>
      <c r="I21" s="128" t="s">
        <v>24</v>
      </c>
      <c r="J21" s="167"/>
      <c r="K21" s="16"/>
      <c r="L21" s="141"/>
      <c r="M21" s="138"/>
      <c r="N21" s="167"/>
      <c r="O21" s="167"/>
      <c r="P21" s="167"/>
      <c r="Q21" s="167"/>
      <c r="R21" s="167"/>
      <c r="S21" s="141"/>
    </row>
    <row r="22" spans="1:19" x14ac:dyDescent="0.25">
      <c r="A22" s="138">
        <v>2004</v>
      </c>
      <c r="B22" s="167">
        <v>51.4</v>
      </c>
      <c r="C22" s="167">
        <f t="shared" si="0"/>
        <v>0.97665369649805445</v>
      </c>
      <c r="D22" s="17">
        <v>23.3</v>
      </c>
      <c r="E22" s="12" t="s">
        <v>118</v>
      </c>
      <c r="F22" s="17">
        <v>16</v>
      </c>
      <c r="G22" s="12" t="s">
        <v>22</v>
      </c>
      <c r="H22" s="17">
        <v>10.9</v>
      </c>
      <c r="I22" s="128" t="s">
        <v>24</v>
      </c>
      <c r="J22" s="167"/>
      <c r="K22" s="141"/>
      <c r="L22" s="141"/>
      <c r="M22" s="138"/>
      <c r="N22" s="167"/>
      <c r="O22" s="167"/>
      <c r="P22" s="167"/>
      <c r="Q22" s="167"/>
      <c r="R22" s="167"/>
      <c r="S22" s="141"/>
    </row>
    <row r="23" spans="1:19" x14ac:dyDescent="0.25">
      <c r="A23" s="138">
        <v>2005</v>
      </c>
      <c r="B23" s="167">
        <v>55.8</v>
      </c>
      <c r="C23" s="167">
        <f t="shared" si="0"/>
        <v>0.98028673835125457</v>
      </c>
      <c r="D23" s="18">
        <v>22.6</v>
      </c>
      <c r="E23" s="12" t="s">
        <v>118</v>
      </c>
      <c r="F23" s="18">
        <v>17</v>
      </c>
      <c r="G23" s="12" t="s">
        <v>22</v>
      </c>
      <c r="H23" s="18">
        <v>15.1</v>
      </c>
      <c r="I23" s="128" t="s">
        <v>24</v>
      </c>
      <c r="J23" s="167"/>
      <c r="K23" s="141"/>
      <c r="L23" s="141"/>
      <c r="M23" s="138"/>
      <c r="N23" s="141"/>
      <c r="O23" s="141"/>
      <c r="P23" s="167"/>
      <c r="Q23" s="167"/>
      <c r="R23" s="167"/>
      <c r="S23" s="141"/>
    </row>
    <row r="24" spans="1:19" x14ac:dyDescent="0.25">
      <c r="A24" s="138">
        <v>2006</v>
      </c>
      <c r="B24" s="167">
        <v>57.4</v>
      </c>
      <c r="C24" s="167">
        <f t="shared" si="0"/>
        <v>0.9822299651567945</v>
      </c>
      <c r="D24" s="18">
        <v>23.78</v>
      </c>
      <c r="E24" s="12" t="s">
        <v>118</v>
      </c>
      <c r="F24" s="18">
        <v>17.5</v>
      </c>
      <c r="G24" s="12" t="s">
        <v>22</v>
      </c>
      <c r="H24" s="18">
        <v>15.1</v>
      </c>
      <c r="I24" s="128" t="s">
        <v>24</v>
      </c>
      <c r="J24" s="167"/>
      <c r="K24" s="141"/>
      <c r="L24" s="141"/>
      <c r="M24" s="138"/>
      <c r="N24" s="141"/>
      <c r="O24" s="141"/>
      <c r="P24" s="167"/>
      <c r="Q24" s="167"/>
      <c r="R24" s="167"/>
      <c r="S24" s="141"/>
    </row>
    <row r="25" spans="1:19" x14ac:dyDescent="0.25">
      <c r="A25" s="138" t="s">
        <v>4</v>
      </c>
      <c r="B25" s="167">
        <v>58</v>
      </c>
      <c r="C25" s="167">
        <f t="shared" si="0"/>
        <v>0.98258620689655163</v>
      </c>
      <c r="D25" s="167">
        <v>23.49</v>
      </c>
      <c r="E25" s="12" t="s">
        <v>118</v>
      </c>
      <c r="F25" s="167">
        <v>19</v>
      </c>
      <c r="G25" s="12" t="s">
        <v>22</v>
      </c>
      <c r="H25" s="167">
        <v>14.5</v>
      </c>
      <c r="I25" s="128" t="s">
        <v>24</v>
      </c>
      <c r="J25" s="167"/>
      <c r="K25" s="18"/>
      <c r="L25" s="141"/>
      <c r="M25" s="138"/>
      <c r="N25" s="167"/>
      <c r="O25" s="167"/>
      <c r="P25" s="167"/>
      <c r="Q25" s="167"/>
      <c r="R25" s="167"/>
      <c r="S25" s="141"/>
    </row>
    <row r="26" spans="1:19" x14ac:dyDescent="0.25">
      <c r="A26" s="138" t="s">
        <v>5</v>
      </c>
      <c r="B26" s="167">
        <v>55.8</v>
      </c>
      <c r="C26" s="167">
        <f t="shared" si="0"/>
        <v>0.98207885304659504</v>
      </c>
      <c r="D26" s="167">
        <v>20.3</v>
      </c>
      <c r="E26" s="12" t="s">
        <v>118</v>
      </c>
      <c r="F26" s="167">
        <v>20</v>
      </c>
      <c r="G26" s="12" t="s">
        <v>22</v>
      </c>
      <c r="H26" s="167">
        <v>14.5</v>
      </c>
      <c r="I26" s="128" t="s">
        <v>24</v>
      </c>
      <c r="J26" s="167"/>
      <c r="K26" s="167"/>
      <c r="L26" s="141"/>
      <c r="M26" s="138"/>
      <c r="N26" s="167"/>
      <c r="O26" s="167"/>
      <c r="P26" s="167"/>
      <c r="Q26" s="167"/>
      <c r="R26" s="167"/>
      <c r="S26" s="141"/>
    </row>
    <row r="27" spans="1:19" x14ac:dyDescent="0.25">
      <c r="A27" s="138" t="s">
        <v>6</v>
      </c>
      <c r="B27" s="167">
        <v>50.9</v>
      </c>
      <c r="C27" s="167">
        <f t="shared" si="0"/>
        <v>0.97907662082514735</v>
      </c>
      <c r="D27" s="167">
        <v>21</v>
      </c>
      <c r="E27" s="12" t="s">
        <v>22</v>
      </c>
      <c r="F27" s="167">
        <v>14.5</v>
      </c>
      <c r="G27" s="12" t="s">
        <v>24</v>
      </c>
      <c r="H27" s="167">
        <v>14.335000000000001</v>
      </c>
      <c r="I27" s="12" t="s">
        <v>118</v>
      </c>
      <c r="J27" s="167"/>
      <c r="K27" s="167"/>
      <c r="L27" s="141"/>
      <c r="M27" s="138"/>
      <c r="N27" s="167"/>
      <c r="O27" s="167"/>
      <c r="P27" s="167"/>
      <c r="Q27" s="167"/>
      <c r="R27" s="167"/>
      <c r="S27" s="141"/>
    </row>
    <row r="28" spans="1:19" x14ac:dyDescent="0.25">
      <c r="A28" s="138" t="s">
        <v>7</v>
      </c>
      <c r="B28" s="167">
        <v>57</v>
      </c>
      <c r="C28" s="167">
        <f t="shared" si="0"/>
        <v>0.98245614035087714</v>
      </c>
      <c r="D28" s="167">
        <v>22</v>
      </c>
      <c r="E28" s="12" t="s">
        <v>22</v>
      </c>
      <c r="F28" s="167">
        <v>19</v>
      </c>
      <c r="G28" s="12" t="s">
        <v>118</v>
      </c>
      <c r="H28" s="167">
        <v>15</v>
      </c>
      <c r="I28" s="128" t="s">
        <v>24</v>
      </c>
      <c r="J28" s="167"/>
      <c r="K28" s="167"/>
      <c r="L28" s="141"/>
      <c r="M28" s="138"/>
      <c r="N28" s="167"/>
      <c r="O28" s="167"/>
      <c r="P28" s="167"/>
      <c r="Q28" s="167"/>
      <c r="R28" s="167"/>
      <c r="S28" s="141"/>
    </row>
    <row r="29" spans="1:19" x14ac:dyDescent="0.25">
      <c r="A29" s="141"/>
      <c r="B29" s="157"/>
      <c r="C29" s="141"/>
      <c r="D29" s="141"/>
      <c r="E29" s="141"/>
      <c r="F29" s="141"/>
      <c r="G29" s="141"/>
      <c r="H29" s="157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</row>
    <row r="30" spans="1:19" x14ac:dyDescent="0.25">
      <c r="A30" s="137" t="s">
        <v>662</v>
      </c>
      <c r="B30" s="157"/>
      <c r="C30" s="141"/>
      <c r="D30" s="141"/>
      <c r="E30" s="141"/>
      <c r="F30" s="141"/>
      <c r="G30" s="141"/>
      <c r="H30" s="157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</row>
  </sheetData>
  <mergeCells count="14">
    <mergeCell ref="A1:I2"/>
    <mergeCell ref="K1:S2"/>
    <mergeCell ref="B5:I5"/>
    <mergeCell ref="D6:E6"/>
    <mergeCell ref="F6:G6"/>
    <mergeCell ref="H6:I6"/>
    <mergeCell ref="C6:C7"/>
    <mergeCell ref="K5:S5"/>
    <mergeCell ref="N6:O6"/>
    <mergeCell ref="P6:Q6"/>
    <mergeCell ref="R6:S6"/>
    <mergeCell ref="M6:M7"/>
    <mergeCell ref="B6:B7"/>
    <mergeCell ref="L6:L7"/>
  </mergeCells>
  <pageMargins left="0.7" right="0.7" top="0.75" bottom="0.75" header="0.3" footer="0.3"/>
  <pageSetup orientation="landscape" r:id="rId1"/>
  <colBreaks count="1" manualBreakCount="1">
    <brk id="9" max="29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4.285156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278" t="s">
        <v>375</v>
      </c>
      <c r="B1" s="278"/>
      <c r="C1" s="278"/>
      <c r="D1" s="278"/>
      <c r="E1" s="278"/>
      <c r="F1" s="278"/>
      <c r="G1" s="278"/>
      <c r="H1" s="278"/>
      <c r="I1" s="278"/>
    </row>
    <row r="2" spans="1:9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11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</row>
    <row r="8" spans="1:9" x14ac:dyDescent="0.25">
      <c r="A8" s="138">
        <v>1990</v>
      </c>
      <c r="B8" s="166">
        <v>5770</v>
      </c>
      <c r="C8" s="167">
        <v>0.49965337954939343</v>
      </c>
      <c r="D8" s="166">
        <v>1750</v>
      </c>
      <c r="E8" s="12" t="s">
        <v>22</v>
      </c>
      <c r="F8" s="166">
        <v>633</v>
      </c>
      <c r="G8" s="12" t="s">
        <v>49</v>
      </c>
      <c r="H8" s="166">
        <v>500</v>
      </c>
      <c r="I8" s="128" t="s">
        <v>37</v>
      </c>
    </row>
    <row r="9" spans="1:9" x14ac:dyDescent="0.25">
      <c r="A9" s="138">
        <v>1991</v>
      </c>
      <c r="B9" s="166">
        <v>5170</v>
      </c>
      <c r="C9" s="167">
        <v>0.49613152804642163</v>
      </c>
      <c r="D9" s="166">
        <v>1500</v>
      </c>
      <c r="E9" s="12" t="s">
        <v>22</v>
      </c>
      <c r="F9" s="166">
        <v>615</v>
      </c>
      <c r="G9" s="12" t="s">
        <v>49</v>
      </c>
      <c r="H9" s="166">
        <v>450</v>
      </c>
      <c r="I9" s="128" t="s">
        <v>37</v>
      </c>
    </row>
    <row r="10" spans="1:9" x14ac:dyDescent="0.25">
      <c r="A10" s="138">
        <v>1992</v>
      </c>
      <c r="B10" s="166">
        <v>4570</v>
      </c>
      <c r="C10" s="167">
        <v>0.51628796498905904</v>
      </c>
      <c r="D10" s="166">
        <v>1500</v>
      </c>
      <c r="E10" s="12" t="s">
        <v>22</v>
      </c>
      <c r="F10" s="166">
        <v>458.43599999999998</v>
      </c>
      <c r="G10" s="12" t="s">
        <v>49</v>
      </c>
      <c r="H10" s="166">
        <v>401</v>
      </c>
      <c r="I10" s="128" t="s">
        <v>90</v>
      </c>
    </row>
    <row r="11" spans="1:9" x14ac:dyDescent="0.25">
      <c r="A11" s="138">
        <v>1993</v>
      </c>
      <c r="B11" s="166">
        <v>4570</v>
      </c>
      <c r="C11" s="167">
        <v>0.51927242888402625</v>
      </c>
      <c r="D11" s="166">
        <v>1500</v>
      </c>
      <c r="E11" s="12" t="s">
        <v>22</v>
      </c>
      <c r="F11" s="166">
        <v>547.875</v>
      </c>
      <c r="G11" s="12" t="s">
        <v>49</v>
      </c>
      <c r="H11" s="166">
        <v>325.2</v>
      </c>
      <c r="I11" s="128" t="s">
        <v>90</v>
      </c>
    </row>
    <row r="12" spans="1:9" x14ac:dyDescent="0.25">
      <c r="A12" s="138">
        <v>1994</v>
      </c>
      <c r="B12" s="166">
        <v>4470</v>
      </c>
      <c r="C12" s="167">
        <v>0.50615145413870244</v>
      </c>
      <c r="D12" s="166">
        <v>1500</v>
      </c>
      <c r="E12" s="12" t="s">
        <v>22</v>
      </c>
      <c r="F12" s="166">
        <v>497.971</v>
      </c>
      <c r="G12" s="12" t="s">
        <v>49</v>
      </c>
      <c r="H12" s="166">
        <v>264.52600000000001</v>
      </c>
      <c r="I12" s="12" t="s">
        <v>90</v>
      </c>
    </row>
    <row r="13" spans="1:9" x14ac:dyDescent="0.25">
      <c r="A13" s="138">
        <v>1995</v>
      </c>
      <c r="B13" s="166">
        <v>4870</v>
      </c>
      <c r="C13" s="167">
        <v>0.51564168377823405</v>
      </c>
      <c r="D13" s="166">
        <v>1800</v>
      </c>
      <c r="E13" s="12" t="s">
        <v>22</v>
      </c>
      <c r="F13" s="166">
        <v>421.86700000000002</v>
      </c>
      <c r="G13" s="128" t="s">
        <v>49</v>
      </c>
      <c r="H13" s="166">
        <v>289.30799999999999</v>
      </c>
      <c r="I13" s="128" t="s">
        <v>90</v>
      </c>
    </row>
    <row r="14" spans="1:9" x14ac:dyDescent="0.25">
      <c r="A14" s="138">
        <v>1996</v>
      </c>
      <c r="B14" s="166">
        <v>6090</v>
      </c>
      <c r="C14" s="167">
        <v>0.59762364532019707</v>
      </c>
      <c r="D14" s="166">
        <v>2800</v>
      </c>
      <c r="E14" s="12" t="s">
        <v>22</v>
      </c>
      <c r="F14" s="166">
        <v>470.02800000000002</v>
      </c>
      <c r="G14" s="128" t="s">
        <v>73</v>
      </c>
      <c r="H14" s="166">
        <v>369.5</v>
      </c>
      <c r="I14" s="128" t="s">
        <v>49</v>
      </c>
    </row>
    <row r="15" spans="1:9" x14ac:dyDescent="0.25">
      <c r="A15" s="138">
        <v>1997</v>
      </c>
      <c r="B15" s="166">
        <v>6780</v>
      </c>
      <c r="C15" s="167">
        <v>0.62725840707964597</v>
      </c>
      <c r="D15" s="166">
        <v>3500</v>
      </c>
      <c r="E15" s="12" t="s">
        <v>22</v>
      </c>
      <c r="F15" s="166">
        <v>409.49799999999999</v>
      </c>
      <c r="G15" s="128" t="s">
        <v>49</v>
      </c>
      <c r="H15" s="166">
        <v>343.31400000000002</v>
      </c>
      <c r="I15" s="128" t="s">
        <v>90</v>
      </c>
    </row>
    <row r="16" spans="1:9" x14ac:dyDescent="0.25">
      <c r="A16" s="138">
        <v>1998</v>
      </c>
      <c r="B16" s="166">
        <v>6460</v>
      </c>
      <c r="C16" s="167">
        <v>0.68155572755417959</v>
      </c>
      <c r="D16" s="166">
        <v>3300</v>
      </c>
      <c r="E16" s="12" t="s">
        <v>22</v>
      </c>
      <c r="F16" s="166">
        <v>749.41200000000003</v>
      </c>
      <c r="G16" s="12" t="s">
        <v>49</v>
      </c>
      <c r="H16" s="166">
        <v>353.43799999999999</v>
      </c>
      <c r="I16" s="128" t="s">
        <v>90</v>
      </c>
    </row>
    <row r="17" spans="1:9" x14ac:dyDescent="0.25">
      <c r="A17" s="138">
        <v>1999</v>
      </c>
      <c r="B17" s="166">
        <v>6160</v>
      </c>
      <c r="C17" s="167">
        <v>0.68002353896103895</v>
      </c>
      <c r="D17" s="166">
        <v>3500</v>
      </c>
      <c r="E17" s="12" t="s">
        <v>22</v>
      </c>
      <c r="F17" s="166">
        <v>360</v>
      </c>
      <c r="G17" s="12" t="s">
        <v>49</v>
      </c>
      <c r="H17" s="166">
        <v>328.94499999999999</v>
      </c>
      <c r="I17" s="128" t="s">
        <v>90</v>
      </c>
    </row>
    <row r="18" spans="1:9" x14ac:dyDescent="0.25">
      <c r="A18" s="138">
        <v>2000</v>
      </c>
      <c r="B18" s="166">
        <v>6560</v>
      </c>
      <c r="C18" s="167">
        <v>0.71395685975609757</v>
      </c>
      <c r="D18" s="166">
        <v>3500</v>
      </c>
      <c r="E18" s="12" t="s">
        <v>22</v>
      </c>
      <c r="F18" s="166">
        <v>840</v>
      </c>
      <c r="G18" s="12" t="s">
        <v>49</v>
      </c>
      <c r="H18" s="166">
        <v>343.55700000000002</v>
      </c>
      <c r="I18" s="128" t="s">
        <v>90</v>
      </c>
    </row>
    <row r="19" spans="1:9" x14ac:dyDescent="0.25">
      <c r="A19" s="138">
        <v>2001</v>
      </c>
      <c r="B19" s="166">
        <v>6740</v>
      </c>
      <c r="C19" s="167">
        <v>0.73013382789317505</v>
      </c>
      <c r="D19" s="166">
        <v>3600</v>
      </c>
      <c r="E19" s="12" t="s">
        <v>22</v>
      </c>
      <c r="F19" s="166">
        <v>850</v>
      </c>
      <c r="G19" s="12" t="s">
        <v>49</v>
      </c>
      <c r="H19" s="166">
        <v>471.10199999999998</v>
      </c>
      <c r="I19" s="128" t="s">
        <v>90</v>
      </c>
    </row>
    <row r="20" spans="1:9" x14ac:dyDescent="0.25">
      <c r="A20" s="138">
        <v>2002</v>
      </c>
      <c r="B20" s="166">
        <v>6160</v>
      </c>
      <c r="C20" s="167">
        <v>0.72823603896103895</v>
      </c>
      <c r="D20" s="166">
        <v>3100</v>
      </c>
      <c r="E20" s="12" t="s">
        <v>22</v>
      </c>
      <c r="F20" s="166">
        <v>916</v>
      </c>
      <c r="G20" s="12" t="s">
        <v>49</v>
      </c>
      <c r="H20" s="166">
        <v>469.93400000000003</v>
      </c>
      <c r="I20" s="128" t="s">
        <v>90</v>
      </c>
    </row>
    <row r="21" spans="1:9" x14ac:dyDescent="0.25">
      <c r="A21" s="138">
        <v>2003</v>
      </c>
      <c r="B21" s="166">
        <v>6730</v>
      </c>
      <c r="C21" s="167">
        <v>0.69063893016344724</v>
      </c>
      <c r="D21" s="166">
        <v>3600</v>
      </c>
      <c r="E21" s="12" t="s">
        <v>22</v>
      </c>
      <c r="F21" s="166">
        <v>723</v>
      </c>
      <c r="G21" s="12" t="s">
        <v>49</v>
      </c>
      <c r="H21" s="166">
        <v>325</v>
      </c>
      <c r="I21" s="128" t="s">
        <v>90</v>
      </c>
    </row>
    <row r="22" spans="1:9" x14ac:dyDescent="0.25">
      <c r="A22" s="138">
        <v>2004</v>
      </c>
      <c r="B22" s="166">
        <v>7670</v>
      </c>
      <c r="C22" s="167">
        <v>0.69269882659713167</v>
      </c>
      <c r="D22" s="166">
        <v>3900</v>
      </c>
      <c r="E22" s="12" t="s">
        <v>22</v>
      </c>
      <c r="F22" s="166">
        <v>1100</v>
      </c>
      <c r="G22" s="12" t="s">
        <v>49</v>
      </c>
      <c r="H22" s="166">
        <v>313</v>
      </c>
      <c r="I22" s="128" t="s">
        <v>90</v>
      </c>
    </row>
    <row r="23" spans="1:9" x14ac:dyDescent="0.25">
      <c r="A23" s="138">
        <v>2005</v>
      </c>
      <c r="B23" s="166">
        <v>7870</v>
      </c>
      <c r="C23" s="167">
        <v>0.72871664548919945</v>
      </c>
      <c r="D23" s="166">
        <v>4200</v>
      </c>
      <c r="E23" s="12" t="s">
        <v>22</v>
      </c>
      <c r="F23" s="166">
        <v>1200</v>
      </c>
      <c r="G23" s="12" t="s">
        <v>49</v>
      </c>
      <c r="H23" s="166">
        <v>335</v>
      </c>
      <c r="I23" s="128" t="s">
        <v>90</v>
      </c>
    </row>
    <row r="24" spans="1:9" x14ac:dyDescent="0.25">
      <c r="A24" s="138">
        <v>2006</v>
      </c>
      <c r="B24" s="166">
        <v>7910</v>
      </c>
      <c r="C24" s="167">
        <v>0.74273072060682688</v>
      </c>
      <c r="D24" s="166">
        <v>4400</v>
      </c>
      <c r="E24" s="12" t="s">
        <v>22</v>
      </c>
      <c r="F24" s="166">
        <v>950</v>
      </c>
      <c r="G24" s="12" t="s">
        <v>49</v>
      </c>
      <c r="H24" s="166">
        <v>525</v>
      </c>
      <c r="I24" s="128" t="s">
        <v>90</v>
      </c>
    </row>
    <row r="25" spans="1:9" x14ac:dyDescent="0.25">
      <c r="A25" s="138" t="s">
        <v>4</v>
      </c>
      <c r="B25" s="166">
        <v>7790</v>
      </c>
      <c r="C25" s="167">
        <v>0.75738125802310641</v>
      </c>
      <c r="D25" s="166">
        <v>4400</v>
      </c>
      <c r="E25" s="12" t="s">
        <v>22</v>
      </c>
      <c r="F25" s="166">
        <v>1000</v>
      </c>
      <c r="G25" s="12" t="s">
        <v>49</v>
      </c>
      <c r="H25" s="166">
        <v>500</v>
      </c>
      <c r="I25" s="128" t="s">
        <v>90</v>
      </c>
    </row>
    <row r="26" spans="1:9" x14ac:dyDescent="0.25">
      <c r="A26" s="138" t="s">
        <v>5</v>
      </c>
      <c r="B26" s="166">
        <v>8570</v>
      </c>
      <c r="C26" s="167">
        <v>0.73395565927654616</v>
      </c>
      <c r="D26" s="166">
        <v>4600</v>
      </c>
      <c r="E26" s="12" t="s">
        <v>22</v>
      </c>
      <c r="F26" s="166">
        <v>1100</v>
      </c>
      <c r="G26" s="12" t="s">
        <v>49</v>
      </c>
      <c r="H26" s="166">
        <v>590</v>
      </c>
      <c r="I26" s="128" t="s">
        <v>90</v>
      </c>
    </row>
    <row r="27" spans="1:9" x14ac:dyDescent="0.25">
      <c r="A27" s="138" t="s">
        <v>6</v>
      </c>
      <c r="B27" s="166">
        <v>6430</v>
      </c>
      <c r="C27" s="167">
        <v>0.73405909797822699</v>
      </c>
      <c r="D27" s="166">
        <v>3000</v>
      </c>
      <c r="E27" s="12" t="s">
        <v>22</v>
      </c>
      <c r="F27" s="166">
        <v>1200</v>
      </c>
      <c r="G27" s="12" t="s">
        <v>49</v>
      </c>
      <c r="H27" s="166">
        <v>520</v>
      </c>
      <c r="I27" s="128" t="s">
        <v>90</v>
      </c>
    </row>
    <row r="28" spans="1:9" x14ac:dyDescent="0.25">
      <c r="A28" s="138" t="s">
        <v>7</v>
      </c>
      <c r="B28" s="166">
        <v>7850</v>
      </c>
      <c r="C28" s="167">
        <v>0.73248407643312097</v>
      </c>
      <c r="D28" s="166">
        <v>4000</v>
      </c>
      <c r="E28" s="12" t="s">
        <v>22</v>
      </c>
      <c r="F28" s="166">
        <v>1100</v>
      </c>
      <c r="G28" s="12" t="s">
        <v>49</v>
      </c>
      <c r="H28" s="166">
        <v>650</v>
      </c>
      <c r="I28" s="128" t="s">
        <v>90</v>
      </c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42578125" customWidth="1"/>
    <col min="4" max="9" width="13.28515625" customWidth="1"/>
    <col min="10" max="10" width="2.7109375" customWidth="1"/>
    <col min="11" max="11" width="6.42578125" bestFit="1" customWidth="1"/>
    <col min="12" max="13" width="9.85546875" bestFit="1" customWidth="1"/>
    <col min="14" max="14" width="9.7109375" customWidth="1"/>
    <col min="15" max="15" width="9.7109375" bestFit="1" customWidth="1"/>
    <col min="16" max="16" width="10" customWidth="1"/>
    <col min="17" max="17" width="9.42578125" bestFit="1" customWidth="1"/>
    <col min="19" max="19" width="11.140625" bestFit="1" customWidth="1"/>
  </cols>
  <sheetData>
    <row r="1" spans="1:19" ht="15.75" customHeight="1" x14ac:dyDescent="0.25">
      <c r="A1" s="278" t="s">
        <v>665</v>
      </c>
      <c r="B1" s="278"/>
      <c r="C1" s="278"/>
      <c r="D1" s="278"/>
      <c r="E1" s="278"/>
      <c r="F1" s="278"/>
      <c r="G1" s="278"/>
      <c r="H1" s="278"/>
      <c r="I1" s="278"/>
      <c r="J1" s="78"/>
      <c r="K1" s="278" t="s">
        <v>666</v>
      </c>
      <c r="L1" s="278"/>
      <c r="M1" s="278"/>
      <c r="N1" s="278"/>
      <c r="O1" s="278"/>
      <c r="P1" s="278"/>
      <c r="Q1" s="278"/>
      <c r="R1" s="278"/>
      <c r="S1" s="278"/>
    </row>
    <row r="2" spans="1:19" ht="15.75" x14ac:dyDescent="0.25">
      <c r="A2" s="278"/>
      <c r="B2" s="278"/>
      <c r="C2" s="278"/>
      <c r="D2" s="278"/>
      <c r="E2" s="278"/>
      <c r="F2" s="278"/>
      <c r="G2" s="278"/>
      <c r="H2" s="278"/>
      <c r="I2" s="278"/>
      <c r="J2" s="78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6"/>
      <c r="C3" s="6"/>
      <c r="D3" s="6"/>
      <c r="E3" s="6"/>
      <c r="F3" s="6"/>
      <c r="H3" s="6"/>
      <c r="I3" s="6"/>
      <c r="J3" s="6"/>
      <c r="K3" s="6"/>
      <c r="L3" s="6"/>
      <c r="M3" s="6"/>
    </row>
    <row r="4" spans="1:19" x14ac:dyDescent="0.25">
      <c r="A4" s="5"/>
      <c r="B4" s="6"/>
      <c r="C4" s="6"/>
      <c r="D4" s="6"/>
      <c r="E4" s="6"/>
      <c r="F4" s="6"/>
      <c r="G4" s="141"/>
      <c r="H4" s="6"/>
      <c r="I4" s="6"/>
      <c r="J4" s="6"/>
      <c r="K4" s="45" t="s">
        <v>356</v>
      </c>
      <c r="M4" s="6"/>
    </row>
    <row r="5" spans="1:19" x14ac:dyDescent="0.25">
      <c r="A5" s="105"/>
      <c r="B5" s="283" t="s">
        <v>52</v>
      </c>
      <c r="C5" s="283"/>
      <c r="D5" s="283"/>
      <c r="E5" s="283"/>
      <c r="F5" s="283"/>
      <c r="G5" s="283"/>
      <c r="H5" s="283"/>
      <c r="I5" s="283"/>
      <c r="J5" s="141"/>
      <c r="K5" s="141"/>
    </row>
    <row r="6" spans="1:19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305</v>
      </c>
      <c r="I6" s="279"/>
      <c r="J6" s="141"/>
      <c r="K6" s="141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141"/>
      <c r="K7" s="141"/>
    </row>
    <row r="8" spans="1:19" x14ac:dyDescent="0.25">
      <c r="A8" s="138">
        <v>1994</v>
      </c>
      <c r="B8" s="166">
        <v>730</v>
      </c>
      <c r="C8" s="167">
        <f t="shared" ref="C8:C24" si="0">(D8+F8+H8)/B8</f>
        <v>0.83561643835616439</v>
      </c>
      <c r="D8" s="27">
        <v>500</v>
      </c>
      <c r="E8" s="12" t="s">
        <v>22</v>
      </c>
      <c r="F8" s="27">
        <v>60</v>
      </c>
      <c r="G8" s="12" t="s">
        <v>27</v>
      </c>
      <c r="H8" s="27">
        <v>50</v>
      </c>
      <c r="I8" s="128" t="s">
        <v>49</v>
      </c>
      <c r="J8" s="141"/>
      <c r="K8" s="141"/>
    </row>
    <row r="9" spans="1:19" x14ac:dyDescent="0.25">
      <c r="A9" s="138">
        <v>1995</v>
      </c>
      <c r="B9" s="166">
        <v>1450</v>
      </c>
      <c r="C9" s="167">
        <f t="shared" si="0"/>
        <v>0.92689655172413798</v>
      </c>
      <c r="D9" s="27">
        <v>1274</v>
      </c>
      <c r="E9" s="12" t="s">
        <v>22</v>
      </c>
      <c r="F9" s="27">
        <v>55</v>
      </c>
      <c r="G9" s="12" t="s">
        <v>49</v>
      </c>
      <c r="H9" s="27">
        <v>15</v>
      </c>
      <c r="I9" s="128" t="s">
        <v>28</v>
      </c>
      <c r="J9" s="141"/>
      <c r="K9" s="141"/>
    </row>
    <row r="10" spans="1:19" x14ac:dyDescent="0.25">
      <c r="A10" s="138">
        <v>1996</v>
      </c>
      <c r="B10" s="166">
        <v>1600</v>
      </c>
      <c r="C10" s="167">
        <f t="shared" si="0"/>
        <v>0.91374999999999995</v>
      </c>
      <c r="D10" s="27">
        <v>1400</v>
      </c>
      <c r="E10" s="12" t="s">
        <v>22</v>
      </c>
      <c r="F10" s="27">
        <v>55</v>
      </c>
      <c r="G10" s="12" t="s">
        <v>49</v>
      </c>
      <c r="H10" s="166">
        <v>7</v>
      </c>
      <c r="I10" s="128" t="s">
        <v>50</v>
      </c>
      <c r="J10" s="141"/>
      <c r="K10" s="141"/>
    </row>
    <row r="11" spans="1:19" x14ac:dyDescent="0.25">
      <c r="A11" s="138">
        <v>1997</v>
      </c>
      <c r="B11" s="166">
        <v>2370</v>
      </c>
      <c r="C11" s="167">
        <f t="shared" si="0"/>
        <v>0.9472573839662447</v>
      </c>
      <c r="D11" s="27">
        <v>2200</v>
      </c>
      <c r="E11" s="12" t="s">
        <v>22</v>
      </c>
      <c r="F11" s="27">
        <v>30</v>
      </c>
      <c r="G11" s="12" t="s">
        <v>49</v>
      </c>
      <c r="H11" s="27">
        <v>15</v>
      </c>
      <c r="I11" s="128" t="s">
        <v>28</v>
      </c>
      <c r="J11" s="141"/>
      <c r="K11" s="141"/>
    </row>
    <row r="12" spans="1:19" x14ac:dyDescent="0.25">
      <c r="A12" s="138">
        <v>1998</v>
      </c>
      <c r="B12" s="166">
        <v>2400</v>
      </c>
      <c r="C12" s="167">
        <f t="shared" si="0"/>
        <v>0.9458333333333333</v>
      </c>
      <c r="D12" s="27">
        <v>2200</v>
      </c>
      <c r="E12" s="12" t="s">
        <v>22</v>
      </c>
      <c r="F12" s="27">
        <v>55</v>
      </c>
      <c r="G12" s="12" t="s">
        <v>49</v>
      </c>
      <c r="H12" s="27">
        <v>15</v>
      </c>
      <c r="I12" s="128" t="s">
        <v>28</v>
      </c>
      <c r="J12" s="141"/>
      <c r="K12" s="141"/>
    </row>
    <row r="13" spans="1:19" x14ac:dyDescent="0.25">
      <c r="A13" s="138">
        <v>1999</v>
      </c>
      <c r="B13" s="166">
        <v>2400</v>
      </c>
      <c r="C13" s="167">
        <f t="shared" si="0"/>
        <v>0.9458333333333333</v>
      </c>
      <c r="D13" s="27">
        <v>2200</v>
      </c>
      <c r="E13" s="12" t="s">
        <v>22</v>
      </c>
      <c r="F13" s="27">
        <v>55</v>
      </c>
      <c r="G13" s="12" t="s">
        <v>49</v>
      </c>
      <c r="H13" s="27">
        <v>15</v>
      </c>
      <c r="I13" s="128" t="s">
        <v>28</v>
      </c>
      <c r="J13" s="141"/>
      <c r="K13" s="141"/>
    </row>
    <row r="14" spans="1:19" x14ac:dyDescent="0.25">
      <c r="A14" s="138">
        <v>2000</v>
      </c>
      <c r="B14" s="166">
        <v>2400</v>
      </c>
      <c r="C14" s="167">
        <f t="shared" si="0"/>
        <v>0.98583333333333334</v>
      </c>
      <c r="D14" s="27">
        <v>2300</v>
      </c>
      <c r="E14" s="12" t="s">
        <v>22</v>
      </c>
      <c r="F14" s="27">
        <v>55</v>
      </c>
      <c r="G14" s="12" t="s">
        <v>49</v>
      </c>
      <c r="H14" s="27">
        <v>11</v>
      </c>
      <c r="I14" s="128" t="s">
        <v>50</v>
      </c>
      <c r="J14" s="141"/>
      <c r="K14" s="141"/>
    </row>
    <row r="15" spans="1:19" x14ac:dyDescent="0.25">
      <c r="A15" s="138">
        <v>2001</v>
      </c>
      <c r="B15" s="166">
        <v>2400</v>
      </c>
      <c r="C15" s="167">
        <f t="shared" si="0"/>
        <v>0.99624999999999997</v>
      </c>
      <c r="D15" s="27">
        <v>2300</v>
      </c>
      <c r="E15" s="12" t="s">
        <v>22</v>
      </c>
      <c r="F15" s="27">
        <v>55</v>
      </c>
      <c r="G15" s="12" t="s">
        <v>49</v>
      </c>
      <c r="H15" s="27">
        <v>36</v>
      </c>
      <c r="I15" s="128" t="s">
        <v>51</v>
      </c>
      <c r="J15" s="141"/>
      <c r="K15" s="141"/>
    </row>
    <row r="16" spans="1:19" x14ac:dyDescent="0.25">
      <c r="A16" s="138">
        <v>2002</v>
      </c>
      <c r="B16" s="166">
        <v>2400</v>
      </c>
      <c r="C16" s="167">
        <f t="shared" si="0"/>
        <v>0.98958333333333337</v>
      </c>
      <c r="D16" s="28">
        <v>2300</v>
      </c>
      <c r="E16" s="12" t="s">
        <v>22</v>
      </c>
      <c r="F16" s="27">
        <v>55</v>
      </c>
      <c r="G16" s="12" t="s">
        <v>49</v>
      </c>
      <c r="H16" s="28">
        <v>20</v>
      </c>
      <c r="I16" s="128" t="s">
        <v>51</v>
      </c>
      <c r="J16" s="141"/>
      <c r="K16" s="141"/>
    </row>
    <row r="17" spans="1:11" x14ac:dyDescent="0.25">
      <c r="A17" s="138">
        <v>2003</v>
      </c>
      <c r="B17" s="166">
        <v>2400</v>
      </c>
      <c r="C17" s="167">
        <f t="shared" si="0"/>
        <v>0.98333333333333328</v>
      </c>
      <c r="D17" s="29">
        <v>2300</v>
      </c>
      <c r="E17" s="12" t="s">
        <v>22</v>
      </c>
      <c r="F17" s="27">
        <v>55</v>
      </c>
      <c r="G17" s="12" t="s">
        <v>49</v>
      </c>
      <c r="H17" s="29">
        <v>5</v>
      </c>
      <c r="I17" s="128" t="s">
        <v>50</v>
      </c>
      <c r="J17" s="141"/>
      <c r="K17" s="141"/>
    </row>
    <row r="18" spans="1:11" x14ac:dyDescent="0.25">
      <c r="A18" s="138">
        <v>2004</v>
      </c>
      <c r="B18" s="166">
        <v>2400</v>
      </c>
      <c r="C18" s="167">
        <f t="shared" si="0"/>
        <v>0.98333333333333328</v>
      </c>
      <c r="D18" s="30">
        <v>2300</v>
      </c>
      <c r="E18" s="12" t="s">
        <v>22</v>
      </c>
      <c r="F18" s="27">
        <v>55</v>
      </c>
      <c r="G18" s="12" t="s">
        <v>49</v>
      </c>
      <c r="H18" s="30">
        <v>5</v>
      </c>
      <c r="I18" s="128" t="s">
        <v>50</v>
      </c>
      <c r="J18" s="141"/>
      <c r="K18" s="141"/>
    </row>
    <row r="19" spans="1:11" x14ac:dyDescent="0.25">
      <c r="A19" s="138">
        <v>2005</v>
      </c>
      <c r="B19" s="166">
        <v>6080</v>
      </c>
      <c r="C19" s="167">
        <f t="shared" si="0"/>
        <v>0.99835526315789469</v>
      </c>
      <c r="D19" s="28">
        <v>6000</v>
      </c>
      <c r="E19" s="12" t="s">
        <v>22</v>
      </c>
      <c r="F19" s="27">
        <v>55</v>
      </c>
      <c r="G19" s="12" t="s">
        <v>49</v>
      </c>
      <c r="H19" s="28">
        <v>15</v>
      </c>
      <c r="I19" s="128" t="s">
        <v>50</v>
      </c>
      <c r="J19" s="141"/>
      <c r="K19" s="141"/>
    </row>
    <row r="20" spans="1:11" x14ac:dyDescent="0.25">
      <c r="A20" s="138">
        <v>2006</v>
      </c>
      <c r="B20" s="166">
        <v>8900</v>
      </c>
      <c r="C20" s="167">
        <f t="shared" si="0"/>
        <v>0.99662921348314604</v>
      </c>
      <c r="D20" s="28">
        <v>8800</v>
      </c>
      <c r="E20" s="12" t="s">
        <v>22</v>
      </c>
      <c r="F20" s="27">
        <v>55</v>
      </c>
      <c r="G20" s="12" t="s">
        <v>49</v>
      </c>
      <c r="H20" s="28">
        <v>15</v>
      </c>
      <c r="I20" s="128" t="s">
        <v>28</v>
      </c>
      <c r="J20" s="141"/>
      <c r="K20" s="141"/>
    </row>
    <row r="21" spans="1:11" x14ac:dyDescent="0.25">
      <c r="A21" s="138" t="s">
        <v>4</v>
      </c>
      <c r="B21" s="166">
        <v>8900</v>
      </c>
      <c r="C21" s="167">
        <f t="shared" si="0"/>
        <v>0.99662921348314604</v>
      </c>
      <c r="D21" s="166">
        <v>8800</v>
      </c>
      <c r="E21" s="12" t="s">
        <v>22</v>
      </c>
      <c r="F21" s="27">
        <v>55</v>
      </c>
      <c r="G21" s="12" t="s">
        <v>49</v>
      </c>
      <c r="H21" s="166">
        <v>15</v>
      </c>
      <c r="I21" s="128" t="s">
        <v>28</v>
      </c>
      <c r="J21" s="141"/>
      <c r="K21" s="141"/>
    </row>
    <row r="22" spans="1:11" x14ac:dyDescent="0.25">
      <c r="A22" s="138" t="s">
        <v>5</v>
      </c>
      <c r="B22" s="166">
        <v>8900</v>
      </c>
      <c r="C22" s="167">
        <f t="shared" si="0"/>
        <v>0.99662921348314604</v>
      </c>
      <c r="D22" s="166">
        <v>8800</v>
      </c>
      <c r="E22" s="12" t="s">
        <v>22</v>
      </c>
      <c r="F22" s="27">
        <v>55</v>
      </c>
      <c r="G22" s="12" t="s">
        <v>49</v>
      </c>
      <c r="H22" s="166">
        <v>15</v>
      </c>
      <c r="I22" s="128" t="s">
        <v>28</v>
      </c>
      <c r="J22" s="141"/>
      <c r="K22" s="141"/>
    </row>
    <row r="23" spans="1:11" x14ac:dyDescent="0.25">
      <c r="A23" s="138" t="s">
        <v>6</v>
      </c>
      <c r="B23" s="166">
        <v>8900</v>
      </c>
      <c r="C23" s="167">
        <f t="shared" si="0"/>
        <v>0.99662921348314604</v>
      </c>
      <c r="D23" s="166">
        <v>8800</v>
      </c>
      <c r="E23" s="12" t="s">
        <v>22</v>
      </c>
      <c r="F23" s="27">
        <v>55</v>
      </c>
      <c r="G23" s="12" t="s">
        <v>49</v>
      </c>
      <c r="H23" s="166">
        <v>15</v>
      </c>
      <c r="I23" s="128" t="s">
        <v>28</v>
      </c>
      <c r="J23" s="141"/>
      <c r="K23" s="141"/>
    </row>
    <row r="24" spans="1:11" x14ac:dyDescent="0.25">
      <c r="A24" s="138" t="s">
        <v>7</v>
      </c>
      <c r="B24" s="166">
        <v>8900</v>
      </c>
      <c r="C24" s="167">
        <f t="shared" si="0"/>
        <v>0.99662921348314604</v>
      </c>
      <c r="D24" s="166">
        <v>8800</v>
      </c>
      <c r="E24" s="12" t="s">
        <v>22</v>
      </c>
      <c r="F24" s="27">
        <v>55</v>
      </c>
      <c r="G24" s="12" t="s">
        <v>49</v>
      </c>
      <c r="H24" s="166">
        <v>15</v>
      </c>
      <c r="I24" s="128" t="s">
        <v>28</v>
      </c>
      <c r="J24" s="141"/>
      <c r="K24" s="141"/>
    </row>
    <row r="25" spans="1:11" x14ac:dyDescent="0.25">
      <c r="A25" s="141"/>
      <c r="B25" s="157"/>
      <c r="C25" s="141"/>
      <c r="D25" s="141"/>
      <c r="E25" s="141"/>
      <c r="F25" s="141"/>
      <c r="G25" s="141"/>
      <c r="H25" s="157"/>
      <c r="I25" s="141"/>
      <c r="J25" s="141"/>
      <c r="K25" s="141"/>
    </row>
    <row r="26" spans="1:11" x14ac:dyDescent="0.25">
      <c r="A26" s="195" t="s">
        <v>644</v>
      </c>
      <c r="B26" s="141"/>
      <c r="C26" s="141"/>
      <c r="D26" s="141"/>
      <c r="E26" s="141"/>
      <c r="F26" s="141"/>
      <c r="G26" s="141"/>
      <c r="H26" s="157"/>
      <c r="I26" s="141"/>
      <c r="J26" s="141"/>
      <c r="K26" s="141"/>
    </row>
    <row r="27" spans="1:11" x14ac:dyDescent="0.25">
      <c r="A27" s="206">
        <v>1994</v>
      </c>
      <c r="B27" s="166">
        <v>75</v>
      </c>
      <c r="C27" s="141"/>
      <c r="D27" s="141"/>
      <c r="E27" s="141"/>
      <c r="F27" s="141"/>
      <c r="G27" s="141"/>
      <c r="H27" s="141"/>
      <c r="I27" s="141"/>
      <c r="J27" s="141"/>
      <c r="K27" s="141"/>
    </row>
    <row r="28" spans="1:11" x14ac:dyDescent="0.25">
      <c r="A28" s="206">
        <v>1995</v>
      </c>
      <c r="B28" s="166">
        <v>60</v>
      </c>
      <c r="C28" s="141"/>
      <c r="D28" s="141"/>
      <c r="E28" s="141"/>
      <c r="F28" s="141"/>
      <c r="G28" s="141"/>
      <c r="H28" s="141"/>
      <c r="I28" s="141"/>
      <c r="J28" s="141"/>
      <c r="K28" s="141"/>
    </row>
    <row r="29" spans="1:11" x14ac:dyDescent="0.25">
      <c r="A29" s="206">
        <v>1996</v>
      </c>
      <c r="B29" s="166">
        <v>120</v>
      </c>
      <c r="C29" s="141"/>
      <c r="D29" s="141"/>
      <c r="E29" s="141"/>
      <c r="F29" s="141"/>
      <c r="G29" s="141"/>
      <c r="H29" s="141"/>
      <c r="I29" s="141"/>
      <c r="J29" s="141"/>
      <c r="K29" s="141"/>
    </row>
    <row r="30" spans="1:11" x14ac:dyDescent="0.25">
      <c r="A30" s="206">
        <v>1997</v>
      </c>
      <c r="B30" s="166">
        <v>120</v>
      </c>
      <c r="C30" s="141"/>
      <c r="D30" s="141"/>
      <c r="E30" s="141"/>
      <c r="F30" s="141"/>
      <c r="G30" s="141"/>
      <c r="H30" s="141"/>
      <c r="I30" s="141"/>
      <c r="J30" s="141"/>
      <c r="K30" s="141"/>
    </row>
    <row r="31" spans="1:11" x14ac:dyDescent="0.25">
      <c r="A31" s="206">
        <v>1998</v>
      </c>
      <c r="B31" s="166">
        <v>125</v>
      </c>
      <c r="C31" s="141"/>
      <c r="D31" s="141"/>
      <c r="E31" s="141"/>
      <c r="F31" s="141"/>
      <c r="G31" s="141"/>
      <c r="H31" s="141"/>
      <c r="I31" s="141"/>
      <c r="J31" s="141"/>
      <c r="K31" s="141"/>
    </row>
    <row r="32" spans="1:11" x14ac:dyDescent="0.25">
      <c r="A32" s="206">
        <v>1999</v>
      </c>
      <c r="B32" s="166">
        <v>125</v>
      </c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x14ac:dyDescent="0.25">
      <c r="A33" s="206">
        <v>2000</v>
      </c>
      <c r="B33" s="166">
        <v>26</v>
      </c>
      <c r="C33" s="141"/>
      <c r="D33" s="141"/>
      <c r="E33" s="141"/>
      <c r="F33" s="141"/>
      <c r="G33" s="141"/>
      <c r="H33" s="141"/>
      <c r="I33" s="141"/>
      <c r="J33" s="141"/>
      <c r="K33" s="141"/>
    </row>
  </sheetData>
  <mergeCells count="8">
    <mergeCell ref="A1:I2"/>
    <mergeCell ref="K1:S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scale="71" orientation="landscape" r:id="rId1"/>
  <colBreaks count="2" manualBreakCount="2">
    <brk id="9" max="36" man="1"/>
    <brk id="19" max="36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2" width="13.28515625" customWidth="1"/>
    <col min="3" max="3" width="13.85546875" customWidth="1"/>
    <col min="4" max="9" width="13.28515625" customWidth="1"/>
    <col min="10" max="10" width="2.7109375" style="60" customWidth="1"/>
    <col min="11" max="11" width="6.42578125" bestFit="1" customWidth="1"/>
    <col min="12" max="12" width="13.28515625" customWidth="1"/>
    <col min="13" max="13" width="13.42578125" customWidth="1"/>
    <col min="14" max="19" width="13.28515625" customWidth="1"/>
  </cols>
  <sheetData>
    <row r="1" spans="1:19" ht="15.75" customHeight="1" x14ac:dyDescent="0.25">
      <c r="A1" s="278" t="s">
        <v>667</v>
      </c>
      <c r="B1" s="278"/>
      <c r="C1" s="278"/>
      <c r="D1" s="278"/>
      <c r="E1" s="278"/>
      <c r="F1" s="278"/>
      <c r="G1" s="278"/>
      <c r="H1" s="278"/>
      <c r="I1" s="278"/>
      <c r="J1" s="79"/>
      <c r="K1" s="278" t="s">
        <v>668</v>
      </c>
      <c r="L1" s="278"/>
      <c r="M1" s="278"/>
      <c r="N1" s="278"/>
      <c r="O1" s="278"/>
      <c r="P1" s="278"/>
      <c r="Q1" s="278"/>
      <c r="R1" s="278"/>
      <c r="S1" s="278"/>
    </row>
    <row r="2" spans="1:19" ht="15.75" x14ac:dyDescent="0.25">
      <c r="A2" s="278"/>
      <c r="B2" s="278"/>
      <c r="C2" s="278"/>
      <c r="D2" s="278"/>
      <c r="E2" s="278"/>
      <c r="F2" s="278"/>
      <c r="G2" s="278"/>
      <c r="H2" s="278"/>
      <c r="I2" s="278"/>
      <c r="J2" s="79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/>
      <c r="B3" s="6"/>
      <c r="C3" s="6"/>
      <c r="D3" s="6"/>
      <c r="E3" s="6"/>
      <c r="F3" s="6"/>
      <c r="H3" s="6"/>
      <c r="I3" s="6"/>
      <c r="J3" s="6"/>
      <c r="K3" s="6"/>
      <c r="L3" s="6"/>
      <c r="M3" s="6"/>
    </row>
    <row r="4" spans="1:19" x14ac:dyDescent="0.25">
      <c r="A4" s="5"/>
      <c r="B4" s="6"/>
      <c r="C4" s="6"/>
      <c r="D4" s="6"/>
      <c r="E4" s="6"/>
      <c r="F4" s="6"/>
      <c r="H4" s="6"/>
      <c r="I4" s="6"/>
      <c r="J4" s="6"/>
      <c r="K4" s="6"/>
      <c r="L4" s="6"/>
      <c r="M4" s="6"/>
    </row>
    <row r="5" spans="1:19" x14ac:dyDescent="0.25">
      <c r="A5" s="105"/>
      <c r="B5" s="283" t="s">
        <v>43</v>
      </c>
      <c r="C5" s="283"/>
      <c r="D5" s="283"/>
      <c r="E5" s="283"/>
      <c r="F5" s="283"/>
      <c r="G5" s="283"/>
      <c r="H5" s="283"/>
      <c r="I5" s="283"/>
      <c r="J5" s="105"/>
      <c r="K5" s="292" t="s">
        <v>45</v>
      </c>
      <c r="L5" s="283"/>
      <c r="M5" s="283"/>
      <c r="N5" s="283"/>
      <c r="O5" s="283"/>
      <c r="P5" s="283"/>
      <c r="Q5" s="283"/>
      <c r="R5" s="283"/>
      <c r="S5" s="19"/>
    </row>
    <row r="6" spans="1:19" s="13" customFormat="1" ht="15" customHeight="1" x14ac:dyDescent="0.25">
      <c r="A6" s="101"/>
      <c r="B6" s="282" t="s">
        <v>390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99"/>
      <c r="K6" s="101"/>
      <c r="L6" s="282" t="s">
        <v>473</v>
      </c>
      <c r="M6" s="282" t="s">
        <v>299</v>
      </c>
      <c r="N6" s="279" t="s">
        <v>275</v>
      </c>
      <c r="O6" s="279"/>
      <c r="P6" s="279" t="s">
        <v>32</v>
      </c>
      <c r="Q6" s="279"/>
      <c r="R6" s="279" t="s">
        <v>33</v>
      </c>
      <c r="S6" s="279"/>
    </row>
    <row r="7" spans="1:19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99"/>
      <c r="K7" s="100" t="s">
        <v>368</v>
      </c>
      <c r="L7" s="281"/>
      <c r="M7" s="281"/>
      <c r="N7" s="100" t="s">
        <v>46</v>
      </c>
      <c r="O7" s="100" t="s">
        <v>3</v>
      </c>
      <c r="P7" s="100" t="s">
        <v>46</v>
      </c>
      <c r="Q7" s="100" t="s">
        <v>3</v>
      </c>
      <c r="R7" s="100" t="s">
        <v>46</v>
      </c>
      <c r="S7" s="100" t="s">
        <v>3</v>
      </c>
    </row>
    <row r="8" spans="1:19" x14ac:dyDescent="0.25">
      <c r="A8" s="138">
        <v>1990</v>
      </c>
      <c r="B8" s="167">
        <v>7150</v>
      </c>
      <c r="C8" s="167">
        <f t="shared" ref="C8:C27" si="0">(D8+F8+H8)/B8</f>
        <v>0.3858741258741259</v>
      </c>
      <c r="D8" s="15">
        <v>1200</v>
      </c>
      <c r="E8" s="12" t="s">
        <v>38</v>
      </c>
      <c r="F8" s="15">
        <v>940</v>
      </c>
      <c r="G8" s="12" t="s">
        <v>27</v>
      </c>
      <c r="H8" s="15">
        <v>619</v>
      </c>
      <c r="I8" s="176" t="s">
        <v>22</v>
      </c>
      <c r="J8" s="180"/>
      <c r="K8" s="171">
        <v>1990</v>
      </c>
      <c r="L8" s="15">
        <v>7180</v>
      </c>
      <c r="M8" s="172">
        <f t="shared" ref="M8:M27" si="1">+(N8+P8+R8)/L8</f>
        <v>0.30835654596100276</v>
      </c>
      <c r="N8" s="15">
        <v>890</v>
      </c>
      <c r="O8" s="12" t="s">
        <v>37</v>
      </c>
      <c r="P8" s="15">
        <v>732</v>
      </c>
      <c r="Q8" s="12" t="s">
        <v>29</v>
      </c>
      <c r="R8" s="15">
        <v>592</v>
      </c>
      <c r="S8" s="128" t="s">
        <v>38</v>
      </c>
    </row>
    <row r="9" spans="1:19" x14ac:dyDescent="0.25">
      <c r="A9" s="138">
        <v>1991</v>
      </c>
      <c r="B9" s="167">
        <v>7270</v>
      </c>
      <c r="C9" s="167">
        <f t="shared" si="0"/>
        <v>0.40310591471801926</v>
      </c>
      <c r="D9" s="15">
        <v>1156.58</v>
      </c>
      <c r="E9" s="12" t="s">
        <v>38</v>
      </c>
      <c r="F9" s="15">
        <v>1024</v>
      </c>
      <c r="G9" s="12" t="s">
        <v>27</v>
      </c>
      <c r="H9" s="15">
        <v>750</v>
      </c>
      <c r="I9" s="176" t="s">
        <v>22</v>
      </c>
      <c r="J9" s="180"/>
      <c r="K9" s="171">
        <v>1991</v>
      </c>
      <c r="L9" s="15">
        <v>7310</v>
      </c>
      <c r="M9" s="172">
        <f t="shared" si="1"/>
        <v>0.30632694938440491</v>
      </c>
      <c r="N9" s="15">
        <v>800</v>
      </c>
      <c r="O9" s="12" t="s">
        <v>37</v>
      </c>
      <c r="P9" s="15">
        <v>778.7</v>
      </c>
      <c r="Q9" s="12" t="s">
        <v>29</v>
      </c>
      <c r="R9" s="15">
        <v>660.55</v>
      </c>
      <c r="S9" s="128" t="s">
        <v>38</v>
      </c>
    </row>
    <row r="10" spans="1:19" x14ac:dyDescent="0.25">
      <c r="A10" s="138">
        <v>1992</v>
      </c>
      <c r="B10" s="167">
        <v>7250</v>
      </c>
      <c r="C10" s="167">
        <f t="shared" si="0"/>
        <v>0.42864551724137934</v>
      </c>
      <c r="D10" s="15">
        <v>1324.68</v>
      </c>
      <c r="E10" s="12" t="s">
        <v>38</v>
      </c>
      <c r="F10" s="167">
        <v>1025</v>
      </c>
      <c r="G10" s="12" t="s">
        <v>27</v>
      </c>
      <c r="H10" s="15">
        <v>758</v>
      </c>
      <c r="I10" s="176" t="s">
        <v>22</v>
      </c>
      <c r="J10" s="180"/>
      <c r="K10" s="171">
        <v>1992</v>
      </c>
      <c r="L10" s="15">
        <v>7260</v>
      </c>
      <c r="M10" s="172">
        <f t="shared" si="1"/>
        <v>0.2990771349862259</v>
      </c>
      <c r="N10" s="15">
        <v>780.6</v>
      </c>
      <c r="O10" s="12" t="s">
        <v>29</v>
      </c>
      <c r="P10" s="15">
        <v>719</v>
      </c>
      <c r="Q10" s="12" t="s">
        <v>22</v>
      </c>
      <c r="R10" s="15">
        <v>671.7</v>
      </c>
      <c r="S10" s="128" t="s">
        <v>38</v>
      </c>
    </row>
    <row r="11" spans="1:19" x14ac:dyDescent="0.25">
      <c r="A11" s="138">
        <v>1993</v>
      </c>
      <c r="B11" s="167">
        <v>6910</v>
      </c>
      <c r="C11" s="167">
        <f t="shared" si="0"/>
        <v>0.40367149059334295</v>
      </c>
      <c r="D11" s="15">
        <v>1010</v>
      </c>
      <c r="E11" s="12" t="s">
        <v>27</v>
      </c>
      <c r="F11" s="15">
        <v>1004.37</v>
      </c>
      <c r="G11" s="12" t="s">
        <v>38</v>
      </c>
      <c r="H11" s="15">
        <v>775</v>
      </c>
      <c r="I11" s="128" t="s">
        <v>22</v>
      </c>
      <c r="J11" s="180"/>
      <c r="K11" s="171">
        <v>1993</v>
      </c>
      <c r="L11" s="15">
        <v>7360</v>
      </c>
      <c r="M11" s="172">
        <f t="shared" si="1"/>
        <v>0.30726222826086963</v>
      </c>
      <c r="N11" s="15">
        <v>857</v>
      </c>
      <c r="O11" s="12" t="s">
        <v>22</v>
      </c>
      <c r="P11" s="15">
        <v>744.57</v>
      </c>
      <c r="Q11" s="12" t="s">
        <v>29</v>
      </c>
      <c r="R11" s="15">
        <v>659.88</v>
      </c>
      <c r="S11" s="128" t="s">
        <v>38</v>
      </c>
    </row>
    <row r="12" spans="1:19" x14ac:dyDescent="0.25">
      <c r="A12" s="138">
        <v>1994</v>
      </c>
      <c r="B12" s="167">
        <v>7050</v>
      </c>
      <c r="C12" s="167">
        <f t="shared" si="0"/>
        <v>0.42492340425531916</v>
      </c>
      <c r="D12" s="15">
        <v>1010.71</v>
      </c>
      <c r="E12" s="12" t="s">
        <v>38</v>
      </c>
      <c r="F12" s="15">
        <v>995</v>
      </c>
      <c r="G12" s="12" t="s">
        <v>27</v>
      </c>
      <c r="H12" s="15">
        <v>990</v>
      </c>
      <c r="I12" s="128" t="s">
        <v>22</v>
      </c>
      <c r="J12" s="180"/>
      <c r="K12" s="171">
        <v>1994</v>
      </c>
      <c r="L12" s="15">
        <v>7330</v>
      </c>
      <c r="M12" s="172">
        <f t="shared" si="1"/>
        <v>0.32796725784447478</v>
      </c>
      <c r="N12" s="15">
        <v>1000</v>
      </c>
      <c r="O12" s="12" t="s">
        <v>22</v>
      </c>
      <c r="P12" s="15">
        <v>713.03</v>
      </c>
      <c r="Q12" s="12" t="s">
        <v>29</v>
      </c>
      <c r="R12" s="15">
        <v>690.97</v>
      </c>
      <c r="S12" s="128" t="s">
        <v>38</v>
      </c>
    </row>
    <row r="13" spans="1:19" x14ac:dyDescent="0.25">
      <c r="A13" s="138">
        <v>1995</v>
      </c>
      <c r="B13" s="167">
        <v>7280</v>
      </c>
      <c r="C13" s="167">
        <f t="shared" si="0"/>
        <v>0.42145192307692309</v>
      </c>
      <c r="D13" s="15">
        <v>1121.17</v>
      </c>
      <c r="E13" s="12" t="s">
        <v>38</v>
      </c>
      <c r="F13" s="15">
        <v>1010</v>
      </c>
      <c r="G13" s="12" t="s">
        <v>22</v>
      </c>
      <c r="H13" s="15">
        <v>937</v>
      </c>
      <c r="I13" s="128" t="s">
        <v>27</v>
      </c>
      <c r="J13" s="180"/>
      <c r="K13" s="171">
        <v>1995</v>
      </c>
      <c r="L13" s="15">
        <v>7370</v>
      </c>
      <c r="M13" s="172">
        <f t="shared" si="1"/>
        <v>0.34075983717774755</v>
      </c>
      <c r="N13" s="15">
        <v>1080</v>
      </c>
      <c r="O13" s="12" t="s">
        <v>22</v>
      </c>
      <c r="P13" s="15">
        <v>720.35</v>
      </c>
      <c r="Q13" s="12" t="s">
        <v>38</v>
      </c>
      <c r="R13" s="15">
        <v>711.05</v>
      </c>
      <c r="S13" s="128" t="s">
        <v>29</v>
      </c>
    </row>
    <row r="14" spans="1:19" x14ac:dyDescent="0.25">
      <c r="A14" s="138">
        <v>1996</v>
      </c>
      <c r="B14" s="167">
        <v>7480</v>
      </c>
      <c r="C14" s="167">
        <f t="shared" si="0"/>
        <v>0.45633556149732624</v>
      </c>
      <c r="D14" s="15">
        <v>1222.3900000000001</v>
      </c>
      <c r="E14" s="12" t="s">
        <v>38</v>
      </c>
      <c r="F14" s="15">
        <v>1120</v>
      </c>
      <c r="G14" s="12" t="s">
        <v>22</v>
      </c>
      <c r="H14" s="167">
        <v>1071</v>
      </c>
      <c r="I14" s="128" t="s">
        <v>27</v>
      </c>
      <c r="J14" s="180"/>
      <c r="K14" s="171">
        <v>1996</v>
      </c>
      <c r="L14" s="15">
        <v>7610</v>
      </c>
      <c r="M14" s="172">
        <f t="shared" si="1"/>
        <v>0.333484888304862</v>
      </c>
      <c r="N14" s="15">
        <v>1180</v>
      </c>
      <c r="O14" s="12" t="s">
        <v>22</v>
      </c>
      <c r="P14" s="15">
        <v>715.55</v>
      </c>
      <c r="Q14" s="12" t="s">
        <v>38</v>
      </c>
      <c r="R14" s="15">
        <v>642.27</v>
      </c>
      <c r="S14" s="128" t="s">
        <v>29</v>
      </c>
    </row>
    <row r="15" spans="1:19" x14ac:dyDescent="0.25">
      <c r="A15" s="138">
        <v>1997</v>
      </c>
      <c r="B15" s="167">
        <v>7540</v>
      </c>
      <c r="C15" s="167">
        <f t="shared" si="0"/>
        <v>0.43930901856763932</v>
      </c>
      <c r="D15" s="15">
        <v>1200</v>
      </c>
      <c r="E15" s="12" t="s">
        <v>22</v>
      </c>
      <c r="F15" s="15">
        <v>1076.3900000000001</v>
      </c>
      <c r="G15" s="12" t="s">
        <v>38</v>
      </c>
      <c r="H15" s="15">
        <v>1036</v>
      </c>
      <c r="I15" s="128" t="s">
        <v>27</v>
      </c>
      <c r="J15" s="180"/>
      <c r="K15" s="171">
        <v>1997</v>
      </c>
      <c r="L15" s="15">
        <v>7920</v>
      </c>
      <c r="M15" s="172">
        <f t="shared" si="1"/>
        <v>0.35151641414141416</v>
      </c>
      <c r="N15" s="15">
        <v>1430</v>
      </c>
      <c r="O15" s="12" t="s">
        <v>22</v>
      </c>
      <c r="P15" s="15">
        <v>703.8</v>
      </c>
      <c r="Q15" s="12" t="s">
        <v>38</v>
      </c>
      <c r="R15" s="15">
        <v>650.21</v>
      </c>
      <c r="S15" s="128" t="s">
        <v>29</v>
      </c>
    </row>
    <row r="16" spans="1:19" x14ac:dyDescent="0.25">
      <c r="A16" s="138">
        <v>1998</v>
      </c>
      <c r="B16" s="167">
        <v>7570</v>
      </c>
      <c r="C16" s="167">
        <f t="shared" si="0"/>
        <v>0.44790620871862619</v>
      </c>
      <c r="D16" s="15">
        <v>1270</v>
      </c>
      <c r="E16" s="12" t="s">
        <v>22</v>
      </c>
      <c r="F16" s="15">
        <v>1061.6500000000001</v>
      </c>
      <c r="G16" s="12" t="s">
        <v>38</v>
      </c>
      <c r="H16" s="15">
        <v>1059</v>
      </c>
      <c r="I16" s="128" t="s">
        <v>27</v>
      </c>
      <c r="J16" s="180"/>
      <c r="K16" s="171">
        <v>1998</v>
      </c>
      <c r="L16" s="15">
        <v>8120</v>
      </c>
      <c r="M16" s="172">
        <f t="shared" si="1"/>
        <v>0.35559359605911334</v>
      </c>
      <c r="N16" s="15">
        <v>1490</v>
      </c>
      <c r="O16" s="12" t="s">
        <v>22</v>
      </c>
      <c r="P16" s="15">
        <v>745.13</v>
      </c>
      <c r="Q16" s="12" t="s">
        <v>38</v>
      </c>
      <c r="R16" s="15">
        <v>652.29</v>
      </c>
      <c r="S16" s="128" t="s">
        <v>29</v>
      </c>
    </row>
    <row r="17" spans="1:19" x14ac:dyDescent="0.25">
      <c r="A17" s="138">
        <v>1999</v>
      </c>
      <c r="B17" s="167">
        <v>7960</v>
      </c>
      <c r="C17" s="167">
        <f t="shared" si="0"/>
        <v>0.45305527638190957</v>
      </c>
      <c r="D17" s="15">
        <v>1480</v>
      </c>
      <c r="E17" s="12" t="s">
        <v>22</v>
      </c>
      <c r="F17" s="15">
        <v>1163</v>
      </c>
      <c r="G17" s="12" t="s">
        <v>27</v>
      </c>
      <c r="H17" s="15">
        <v>963.32</v>
      </c>
      <c r="I17" s="128" t="s">
        <v>38</v>
      </c>
      <c r="J17" s="180"/>
      <c r="K17" s="171">
        <v>1999</v>
      </c>
      <c r="L17" s="15">
        <v>8550</v>
      </c>
      <c r="M17" s="172">
        <f t="shared" si="1"/>
        <v>0.3696549707602339</v>
      </c>
      <c r="N17" s="15">
        <v>1700</v>
      </c>
      <c r="O17" s="12" t="s">
        <v>22</v>
      </c>
      <c r="P17" s="15">
        <v>776.93</v>
      </c>
      <c r="Q17" s="12" t="s">
        <v>38</v>
      </c>
      <c r="R17" s="15">
        <v>683.62</v>
      </c>
      <c r="S17" s="128" t="s">
        <v>29</v>
      </c>
    </row>
    <row r="18" spans="1:19" x14ac:dyDescent="0.25">
      <c r="A18" s="138">
        <v>2000</v>
      </c>
      <c r="B18" s="167">
        <v>8770</v>
      </c>
      <c r="C18" s="167">
        <f t="shared" si="0"/>
        <v>0.47916077537058149</v>
      </c>
      <c r="D18" s="15">
        <v>1780</v>
      </c>
      <c r="E18" s="12" t="s">
        <v>22</v>
      </c>
      <c r="F18" s="15">
        <v>1420</v>
      </c>
      <c r="G18" s="12" t="s">
        <v>27</v>
      </c>
      <c r="H18" s="15">
        <v>1002.24</v>
      </c>
      <c r="I18" s="128" t="s">
        <v>38</v>
      </c>
      <c r="J18" s="180"/>
      <c r="K18" s="171">
        <v>2000</v>
      </c>
      <c r="L18" s="15">
        <v>9020</v>
      </c>
      <c r="M18" s="172">
        <f t="shared" si="1"/>
        <v>0.3834412416851441</v>
      </c>
      <c r="N18" s="15">
        <v>1980</v>
      </c>
      <c r="O18" s="12" t="s">
        <v>22</v>
      </c>
      <c r="P18" s="15">
        <v>779.89</v>
      </c>
      <c r="Q18" s="12" t="s">
        <v>38</v>
      </c>
      <c r="R18" s="15">
        <v>698.75</v>
      </c>
      <c r="S18" s="128" t="s">
        <v>29</v>
      </c>
    </row>
    <row r="19" spans="1:19" x14ac:dyDescent="0.25">
      <c r="A19" s="138">
        <v>2001</v>
      </c>
      <c r="B19" s="167">
        <v>8928.25</v>
      </c>
      <c r="C19" s="167">
        <f t="shared" si="0"/>
        <v>0.47888779996079861</v>
      </c>
      <c r="D19" s="15">
        <v>1700</v>
      </c>
      <c r="E19" s="12" t="s">
        <v>22</v>
      </c>
      <c r="F19" s="15">
        <v>1519</v>
      </c>
      <c r="G19" s="12" t="s">
        <v>27</v>
      </c>
      <c r="H19" s="15">
        <v>1056.6300000000001</v>
      </c>
      <c r="I19" s="128" t="s">
        <v>44</v>
      </c>
      <c r="J19" s="180"/>
      <c r="K19" s="171">
        <v>2001</v>
      </c>
      <c r="L19" s="15">
        <v>9320</v>
      </c>
      <c r="M19" s="172">
        <f t="shared" si="1"/>
        <v>0.35935836909871249</v>
      </c>
      <c r="N19" s="15">
        <v>2040</v>
      </c>
      <c r="O19" s="12" t="s">
        <v>22</v>
      </c>
      <c r="P19" s="15">
        <v>648.04999999999995</v>
      </c>
      <c r="Q19" s="12" t="s">
        <v>29</v>
      </c>
      <c r="R19" s="15">
        <v>661.17</v>
      </c>
      <c r="S19" s="128" t="s">
        <v>38</v>
      </c>
    </row>
    <row r="20" spans="1:19" x14ac:dyDescent="0.25">
      <c r="A20" s="138">
        <v>2002</v>
      </c>
      <c r="B20" s="167">
        <v>8880</v>
      </c>
      <c r="C20" s="167">
        <f t="shared" si="0"/>
        <v>0.47882882882882882</v>
      </c>
      <c r="D20" s="18">
        <v>1550</v>
      </c>
      <c r="E20" s="12" t="s">
        <v>22</v>
      </c>
      <c r="F20" s="16">
        <v>1469</v>
      </c>
      <c r="G20" s="12" t="s">
        <v>27</v>
      </c>
      <c r="H20" s="18">
        <v>1233</v>
      </c>
      <c r="I20" s="128" t="s">
        <v>44</v>
      </c>
      <c r="J20" s="180"/>
      <c r="K20" s="171">
        <v>2002</v>
      </c>
      <c r="L20" s="16">
        <v>9480</v>
      </c>
      <c r="M20" s="172">
        <f t="shared" si="1"/>
        <v>0.37629957805907172</v>
      </c>
      <c r="N20" s="15">
        <v>2100</v>
      </c>
      <c r="O20" s="12" t="s">
        <v>22</v>
      </c>
      <c r="P20" s="16">
        <v>793.41</v>
      </c>
      <c r="Q20" s="12" t="s">
        <v>38</v>
      </c>
      <c r="R20" s="18">
        <v>673.91</v>
      </c>
      <c r="S20" s="128" t="s">
        <v>29</v>
      </c>
    </row>
    <row r="21" spans="1:19" x14ac:dyDescent="0.25">
      <c r="A21" s="138">
        <v>2003</v>
      </c>
      <c r="B21" s="167">
        <v>9530</v>
      </c>
      <c r="C21" s="167">
        <f t="shared" si="0"/>
        <v>0.51225498426023086</v>
      </c>
      <c r="D21" s="16">
        <v>2030</v>
      </c>
      <c r="E21" s="12" t="s">
        <v>22</v>
      </c>
      <c r="F21" s="16">
        <v>1479</v>
      </c>
      <c r="G21" s="12" t="s">
        <v>27</v>
      </c>
      <c r="H21" s="16">
        <v>1372.79</v>
      </c>
      <c r="I21" s="128" t="s">
        <v>44</v>
      </c>
      <c r="J21" s="180"/>
      <c r="K21" s="171">
        <v>2003</v>
      </c>
      <c r="L21" s="17">
        <v>10100</v>
      </c>
      <c r="M21" s="172">
        <f t="shared" si="1"/>
        <v>0.37300198019801978</v>
      </c>
      <c r="N21" s="17">
        <v>2320</v>
      </c>
      <c r="O21" s="12" t="s">
        <v>22</v>
      </c>
      <c r="P21" s="17">
        <v>761.2</v>
      </c>
      <c r="Q21" s="12" t="s">
        <v>38</v>
      </c>
      <c r="R21" s="17">
        <v>686.12</v>
      </c>
      <c r="S21" s="128" t="s">
        <v>29</v>
      </c>
    </row>
    <row r="22" spans="1:19" x14ac:dyDescent="0.25">
      <c r="A22" s="138">
        <v>2004</v>
      </c>
      <c r="B22" s="167">
        <v>9610</v>
      </c>
      <c r="C22" s="167">
        <f t="shared" si="0"/>
        <v>0.5133204994797087</v>
      </c>
      <c r="D22" s="17">
        <v>2390</v>
      </c>
      <c r="E22" s="12" t="s">
        <v>22</v>
      </c>
      <c r="F22" s="17">
        <v>1334</v>
      </c>
      <c r="G22" s="12" t="s">
        <v>27</v>
      </c>
      <c r="H22" s="17">
        <v>1209.01</v>
      </c>
      <c r="I22" s="128" t="s">
        <v>44</v>
      </c>
      <c r="J22" s="180"/>
      <c r="K22" s="171">
        <v>2004</v>
      </c>
      <c r="L22" s="18">
        <v>10600</v>
      </c>
      <c r="M22" s="172">
        <f t="shared" si="1"/>
        <v>0.3956707547169811</v>
      </c>
      <c r="N22" s="17">
        <v>2720</v>
      </c>
      <c r="O22" s="12" t="s">
        <v>22</v>
      </c>
      <c r="P22" s="18">
        <v>805.44</v>
      </c>
      <c r="Q22" s="12" t="s">
        <v>38</v>
      </c>
      <c r="R22" s="16">
        <v>668.67</v>
      </c>
      <c r="S22" s="128" t="s">
        <v>153</v>
      </c>
    </row>
    <row r="23" spans="1:19" x14ac:dyDescent="0.25">
      <c r="A23" s="138">
        <v>2005</v>
      </c>
      <c r="B23" s="167">
        <v>10000</v>
      </c>
      <c r="C23" s="167">
        <f t="shared" si="0"/>
        <v>0.51196700000000006</v>
      </c>
      <c r="D23" s="18">
        <v>2550</v>
      </c>
      <c r="E23" s="12" t="s">
        <v>22</v>
      </c>
      <c r="F23" s="18">
        <v>1367</v>
      </c>
      <c r="G23" s="12" t="s">
        <v>27</v>
      </c>
      <c r="H23" s="18">
        <v>1202.67</v>
      </c>
      <c r="I23" s="128" t="s">
        <v>44</v>
      </c>
      <c r="J23" s="180"/>
      <c r="K23" s="171">
        <v>2005</v>
      </c>
      <c r="L23" s="18">
        <v>10300</v>
      </c>
      <c r="M23" s="172">
        <f t="shared" si="1"/>
        <v>0.40575339805825245</v>
      </c>
      <c r="N23" s="18">
        <v>2780</v>
      </c>
      <c r="O23" s="12" t="s">
        <v>22</v>
      </c>
      <c r="P23" s="18">
        <v>724.04</v>
      </c>
      <c r="Q23" s="12" t="s">
        <v>38</v>
      </c>
      <c r="R23" s="18">
        <v>675.22</v>
      </c>
      <c r="S23" s="128" t="s">
        <v>29</v>
      </c>
    </row>
    <row r="24" spans="1:19" x14ac:dyDescent="0.25">
      <c r="A24" s="138">
        <v>2006</v>
      </c>
      <c r="B24" s="167">
        <v>10300</v>
      </c>
      <c r="C24" s="167">
        <f t="shared" si="0"/>
        <v>0.52483398058252428</v>
      </c>
      <c r="D24" s="18">
        <v>2840</v>
      </c>
      <c r="E24" s="12" t="s">
        <v>22</v>
      </c>
      <c r="F24" s="18">
        <v>1362</v>
      </c>
      <c r="G24" s="12" t="s">
        <v>27</v>
      </c>
      <c r="H24" s="18">
        <v>1203.79</v>
      </c>
      <c r="I24" s="128" t="s">
        <v>44</v>
      </c>
      <c r="J24" s="180"/>
      <c r="K24" s="171">
        <v>2006</v>
      </c>
      <c r="L24" s="18">
        <v>10800</v>
      </c>
      <c r="M24" s="172">
        <f t="shared" si="1"/>
        <v>0.43120185185185184</v>
      </c>
      <c r="N24" s="18">
        <v>3170</v>
      </c>
      <c r="O24" s="12" t="s">
        <v>22</v>
      </c>
      <c r="P24" s="18">
        <v>824.46</v>
      </c>
      <c r="Q24" s="12" t="s">
        <v>38</v>
      </c>
      <c r="R24" s="18">
        <v>662.52</v>
      </c>
      <c r="S24" s="128" t="s">
        <v>153</v>
      </c>
    </row>
    <row r="25" spans="1:19" x14ac:dyDescent="0.25">
      <c r="A25" s="138" t="s">
        <v>4</v>
      </c>
      <c r="B25" s="167">
        <v>11000</v>
      </c>
      <c r="C25" s="167">
        <f t="shared" si="0"/>
        <v>0.54530454545454554</v>
      </c>
      <c r="D25" s="167">
        <v>3040</v>
      </c>
      <c r="E25" s="12" t="s">
        <v>22</v>
      </c>
      <c r="F25" s="167">
        <v>1514</v>
      </c>
      <c r="G25" s="12" t="s">
        <v>27</v>
      </c>
      <c r="H25" s="167">
        <v>1444.35</v>
      </c>
      <c r="I25" s="128" t="s">
        <v>44</v>
      </c>
      <c r="J25" s="180"/>
      <c r="K25" s="171" t="s">
        <v>4</v>
      </c>
      <c r="L25" s="167">
        <v>11400</v>
      </c>
      <c r="M25" s="172">
        <f t="shared" si="1"/>
        <v>0.45895614035087723</v>
      </c>
      <c r="N25" s="167">
        <v>3740</v>
      </c>
      <c r="O25" s="12" t="s">
        <v>22</v>
      </c>
      <c r="P25" s="167">
        <v>802.1</v>
      </c>
      <c r="Q25" s="12" t="s">
        <v>38</v>
      </c>
      <c r="R25" s="167">
        <v>690</v>
      </c>
      <c r="S25" s="128" t="s">
        <v>153</v>
      </c>
    </row>
    <row r="26" spans="1:19" x14ac:dyDescent="0.25">
      <c r="A26" s="138" t="s">
        <v>5</v>
      </c>
      <c r="B26" s="167">
        <v>11600</v>
      </c>
      <c r="C26" s="167">
        <f t="shared" si="0"/>
        <v>0.54501120689655169</v>
      </c>
      <c r="D26" s="167">
        <v>3200</v>
      </c>
      <c r="E26" s="12" t="s">
        <v>22</v>
      </c>
      <c r="F26" s="167">
        <v>1603</v>
      </c>
      <c r="G26" s="12" t="s">
        <v>44</v>
      </c>
      <c r="H26" s="167">
        <v>1519.13</v>
      </c>
      <c r="I26" s="128" t="s">
        <v>27</v>
      </c>
      <c r="J26" s="180"/>
      <c r="K26" s="171" t="s">
        <v>5</v>
      </c>
      <c r="L26" s="16">
        <v>11700</v>
      </c>
      <c r="M26" s="172">
        <f t="shared" si="1"/>
        <v>0.47028376068376065</v>
      </c>
      <c r="N26" s="167">
        <v>4000</v>
      </c>
      <c r="O26" s="12" t="s">
        <v>22</v>
      </c>
      <c r="P26" s="167">
        <v>764.32</v>
      </c>
      <c r="Q26" s="12" t="s">
        <v>38</v>
      </c>
      <c r="R26" s="167">
        <v>738</v>
      </c>
      <c r="S26" s="128" t="s">
        <v>153</v>
      </c>
    </row>
    <row r="27" spans="1:19" x14ac:dyDescent="0.25">
      <c r="A27" s="138" t="s">
        <v>6</v>
      </c>
      <c r="B27" s="167">
        <v>11200</v>
      </c>
      <c r="C27" s="167">
        <f t="shared" si="0"/>
        <v>0.5267080357142857</v>
      </c>
      <c r="D27" s="167">
        <v>3100</v>
      </c>
      <c r="E27" s="12" t="s">
        <v>22</v>
      </c>
      <c r="F27" s="167">
        <v>1509.13</v>
      </c>
      <c r="G27" s="12" t="s">
        <v>44</v>
      </c>
      <c r="H27" s="167">
        <v>1290</v>
      </c>
      <c r="I27" s="128" t="s">
        <v>27</v>
      </c>
      <c r="J27" s="180"/>
      <c r="K27" s="171" t="s">
        <v>6</v>
      </c>
      <c r="L27" s="16">
        <v>11400</v>
      </c>
      <c r="M27" s="172">
        <f t="shared" si="1"/>
        <v>0.49899122807017543</v>
      </c>
      <c r="N27" s="167">
        <v>4360</v>
      </c>
      <c r="O27" s="12" t="s">
        <v>22</v>
      </c>
      <c r="P27" s="167">
        <v>685.5</v>
      </c>
      <c r="Q27" s="12" t="s">
        <v>38</v>
      </c>
      <c r="R27" s="167">
        <v>643</v>
      </c>
      <c r="S27" s="128" t="s">
        <v>29</v>
      </c>
    </row>
    <row r="28" spans="1:19" x14ac:dyDescent="0.25">
      <c r="A28" s="8"/>
      <c r="B28" s="9"/>
      <c r="C28" s="9"/>
      <c r="D28" s="12"/>
      <c r="E28" s="9"/>
      <c r="F28" s="12"/>
      <c r="G28" s="9"/>
      <c r="H28" s="9"/>
      <c r="I28" s="9"/>
      <c r="J28" s="81"/>
      <c r="K28" s="80"/>
      <c r="L28" s="9"/>
      <c r="M28" s="9"/>
      <c r="N28" s="12"/>
      <c r="O28" s="9"/>
      <c r="P28" s="12"/>
      <c r="Q28" s="9"/>
      <c r="R28" s="9"/>
      <c r="S28" s="9"/>
    </row>
    <row r="29" spans="1:19" x14ac:dyDescent="0.25">
      <c r="B29" s="10"/>
      <c r="H29" s="10"/>
      <c r="K29" s="71"/>
      <c r="L29" s="10"/>
      <c r="M29" s="10"/>
      <c r="O29" s="10"/>
      <c r="Q29" s="10"/>
      <c r="S29" s="21"/>
    </row>
    <row r="30" spans="1:19" x14ac:dyDescent="0.25">
      <c r="A30" s="22"/>
      <c r="B30" s="10"/>
      <c r="H30" s="10"/>
    </row>
    <row r="31" spans="1:19" x14ac:dyDescent="0.25">
      <c r="A31" s="22"/>
      <c r="B31" s="10"/>
      <c r="H31" s="10"/>
    </row>
  </sheetData>
  <mergeCells count="14">
    <mergeCell ref="A1:I2"/>
    <mergeCell ref="K1:S2"/>
    <mergeCell ref="M6:M7"/>
    <mergeCell ref="B5:I5"/>
    <mergeCell ref="K5:R5"/>
    <mergeCell ref="D6:E6"/>
    <mergeCell ref="F6:G6"/>
    <mergeCell ref="H6:I6"/>
    <mergeCell ref="C6:C7"/>
    <mergeCell ref="N6:O6"/>
    <mergeCell ref="P6:Q6"/>
    <mergeCell ref="R6:S6"/>
    <mergeCell ref="B6:B7"/>
    <mergeCell ref="L6:L7"/>
  </mergeCells>
  <pageMargins left="0.7" right="0.7" top="0.75" bottom="0.75" header="0.3" footer="0.3"/>
  <pageSetup orientation="landscape" r:id="rId1"/>
  <colBreaks count="1" manualBreakCount="1">
    <brk id="9" max="1048575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1"/>
  <sheetViews>
    <sheetView zoomScaleNormal="100" workbookViewId="0">
      <selection activeCell="A90" sqref="A90"/>
    </sheetView>
  </sheetViews>
  <sheetFormatPr defaultRowHeight="15" x14ac:dyDescent="0.25"/>
  <cols>
    <col min="1" max="1" width="6.5703125" customWidth="1"/>
    <col min="2" max="9" width="14" customWidth="1"/>
    <col min="10" max="33" width="9.140625" style="60"/>
  </cols>
  <sheetData>
    <row r="1" spans="1:33" ht="15" customHeight="1" x14ac:dyDescent="0.25">
      <c r="A1" s="278" t="s">
        <v>669</v>
      </c>
      <c r="B1" s="278"/>
      <c r="C1" s="278"/>
      <c r="D1" s="278"/>
      <c r="E1" s="278"/>
      <c r="F1" s="278"/>
      <c r="G1" s="278"/>
      <c r="H1" s="278"/>
      <c r="I1" s="278"/>
    </row>
    <row r="2" spans="1:33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</row>
    <row r="3" spans="1:33" x14ac:dyDescent="0.25">
      <c r="A3" s="5"/>
      <c r="B3" s="6"/>
      <c r="C3" s="6"/>
      <c r="D3" s="6"/>
      <c r="E3" s="6"/>
      <c r="F3" s="6"/>
      <c r="H3" s="6"/>
      <c r="I3" s="6"/>
    </row>
    <row r="4" spans="1:33" x14ac:dyDescent="0.25">
      <c r="A4" s="5"/>
      <c r="B4" s="6"/>
      <c r="C4" s="6"/>
      <c r="D4" s="6"/>
      <c r="E4" s="6"/>
      <c r="F4" s="6"/>
      <c r="H4" s="6"/>
      <c r="I4" s="6"/>
    </row>
    <row r="5" spans="1:33" x14ac:dyDescent="0.25">
      <c r="A5" s="105"/>
      <c r="B5" s="283" t="s">
        <v>41</v>
      </c>
      <c r="C5" s="283"/>
      <c r="D5" s="283"/>
      <c r="E5" s="283"/>
      <c r="F5" s="283"/>
      <c r="G5" s="283"/>
      <c r="H5" s="283"/>
      <c r="I5" s="283"/>
    </row>
    <row r="6" spans="1:33" s="13" customFormat="1" ht="15" customHeight="1" x14ac:dyDescent="0.25">
      <c r="A6" s="101"/>
      <c r="B6" s="282" t="s">
        <v>481</v>
      </c>
      <c r="C6" s="282" t="s">
        <v>299</v>
      </c>
      <c r="D6" s="279" t="s">
        <v>275</v>
      </c>
      <c r="E6" s="279"/>
      <c r="F6" s="279" t="s">
        <v>32</v>
      </c>
      <c r="G6" s="279"/>
      <c r="H6" s="279" t="s">
        <v>33</v>
      </c>
      <c r="I6" s="279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</row>
    <row r="7" spans="1:33" s="13" customFormat="1" ht="29.25" customHeight="1" x14ac:dyDescent="0.25">
      <c r="A7" s="100" t="s">
        <v>368</v>
      </c>
      <c r="B7" s="281"/>
      <c r="C7" s="281"/>
      <c r="D7" s="100" t="s">
        <v>8</v>
      </c>
      <c r="E7" s="100" t="s">
        <v>3</v>
      </c>
      <c r="F7" s="100" t="s">
        <v>8</v>
      </c>
      <c r="G7" s="100" t="s">
        <v>3</v>
      </c>
      <c r="H7" s="100" t="s">
        <v>8</v>
      </c>
      <c r="I7" s="100" t="s">
        <v>3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x14ac:dyDescent="0.25">
      <c r="A8" s="138">
        <v>1990</v>
      </c>
      <c r="B8" s="167">
        <v>852</v>
      </c>
      <c r="C8" s="167">
        <f t="shared" ref="C8:C28" si="0">(D8+F8+H8)/B8</f>
        <v>0.79636150234741787</v>
      </c>
      <c r="D8" s="15">
        <v>437</v>
      </c>
      <c r="E8" s="12" t="s">
        <v>27</v>
      </c>
      <c r="F8" s="15">
        <v>151.5</v>
      </c>
      <c r="G8" s="12" t="s">
        <v>118</v>
      </c>
      <c r="H8" s="15">
        <v>90</v>
      </c>
      <c r="I8" s="176" t="s">
        <v>37</v>
      </c>
    </row>
    <row r="9" spans="1:33" x14ac:dyDescent="0.25">
      <c r="A9" s="138">
        <v>1991</v>
      </c>
      <c r="B9" s="167">
        <v>795</v>
      </c>
      <c r="C9" s="167">
        <f t="shared" si="0"/>
        <v>0.75723270440251578</v>
      </c>
      <c r="D9" s="15">
        <v>292</v>
      </c>
      <c r="E9" s="12" t="s">
        <v>27</v>
      </c>
      <c r="F9" s="15">
        <v>230</v>
      </c>
      <c r="G9" s="12" t="s">
        <v>118</v>
      </c>
      <c r="H9" s="15">
        <v>80</v>
      </c>
      <c r="I9" s="176" t="s">
        <v>37</v>
      </c>
    </row>
    <row r="10" spans="1:33" x14ac:dyDescent="0.25">
      <c r="A10" s="138">
        <v>1992</v>
      </c>
      <c r="B10" s="167">
        <v>856</v>
      </c>
      <c r="C10" s="167">
        <f t="shared" si="0"/>
        <v>0.78621495327102808</v>
      </c>
      <c r="D10" s="15">
        <v>355</v>
      </c>
      <c r="E10" s="12" t="s">
        <v>27</v>
      </c>
      <c r="F10" s="167">
        <v>243</v>
      </c>
      <c r="G10" s="12" t="s">
        <v>118</v>
      </c>
      <c r="H10" s="15">
        <v>75</v>
      </c>
      <c r="I10" s="176" t="s">
        <v>42</v>
      </c>
    </row>
    <row r="11" spans="1:33" x14ac:dyDescent="0.25">
      <c r="A11" s="138">
        <v>1993</v>
      </c>
      <c r="B11" s="167">
        <v>796</v>
      </c>
      <c r="C11" s="167">
        <f t="shared" si="0"/>
        <v>0.91331658291457285</v>
      </c>
      <c r="D11" s="15">
        <v>414</v>
      </c>
      <c r="E11" s="12" t="s">
        <v>27</v>
      </c>
      <c r="F11" s="15">
        <v>243</v>
      </c>
      <c r="G11" s="12" t="s">
        <v>118</v>
      </c>
      <c r="H11" s="15">
        <v>70</v>
      </c>
      <c r="I11" s="128" t="s">
        <v>42</v>
      </c>
    </row>
    <row r="12" spans="1:33" x14ac:dyDescent="0.25">
      <c r="A12" s="138">
        <v>1994</v>
      </c>
      <c r="B12" s="167">
        <v>897</v>
      </c>
      <c r="C12" s="167">
        <f t="shared" si="0"/>
        <v>0.90969899665551834</v>
      </c>
      <c r="D12" s="15">
        <v>511</v>
      </c>
      <c r="E12" s="12" t="s">
        <v>27</v>
      </c>
      <c r="F12" s="15">
        <v>240</v>
      </c>
      <c r="G12" s="12" t="s">
        <v>118</v>
      </c>
      <c r="H12" s="15">
        <v>65</v>
      </c>
      <c r="I12" s="128" t="s">
        <v>42</v>
      </c>
    </row>
    <row r="13" spans="1:33" x14ac:dyDescent="0.25">
      <c r="A13" s="138">
        <v>1995</v>
      </c>
      <c r="B13" s="167">
        <v>918</v>
      </c>
      <c r="C13" s="167">
        <f t="shared" si="0"/>
        <v>0.91285403050108938</v>
      </c>
      <c r="D13" s="15">
        <v>518</v>
      </c>
      <c r="E13" s="12" t="s">
        <v>27</v>
      </c>
      <c r="F13" s="15">
        <v>260</v>
      </c>
      <c r="G13" s="12" t="s">
        <v>118</v>
      </c>
      <c r="H13" s="15">
        <v>60</v>
      </c>
      <c r="I13" s="128" t="s">
        <v>42</v>
      </c>
    </row>
    <row r="14" spans="1:33" x14ac:dyDescent="0.25">
      <c r="A14" s="138">
        <v>1996</v>
      </c>
      <c r="B14" s="167">
        <v>894</v>
      </c>
      <c r="C14" s="167">
        <f t="shared" si="0"/>
        <v>0.91387024608501122</v>
      </c>
      <c r="D14" s="15">
        <v>502</v>
      </c>
      <c r="E14" s="12" t="s">
        <v>27</v>
      </c>
      <c r="F14" s="15">
        <v>260</v>
      </c>
      <c r="G14" s="12" t="s">
        <v>118</v>
      </c>
      <c r="H14" s="167">
        <v>55</v>
      </c>
      <c r="I14" s="128" t="s">
        <v>42</v>
      </c>
    </row>
    <row r="15" spans="1:33" x14ac:dyDescent="0.25">
      <c r="A15" s="138">
        <v>1997</v>
      </c>
      <c r="B15" s="167">
        <v>822</v>
      </c>
      <c r="C15" s="167">
        <f t="shared" si="0"/>
        <v>0.90790754257907536</v>
      </c>
      <c r="D15" s="15">
        <v>416</v>
      </c>
      <c r="E15" s="12" t="s">
        <v>27</v>
      </c>
      <c r="F15" s="15">
        <v>265.3</v>
      </c>
      <c r="G15" s="12" t="s">
        <v>118</v>
      </c>
      <c r="H15" s="15">
        <v>65</v>
      </c>
      <c r="I15" s="128" t="s">
        <v>42</v>
      </c>
    </row>
    <row r="16" spans="1:33" x14ac:dyDescent="0.25">
      <c r="A16" s="138">
        <v>1998</v>
      </c>
      <c r="B16" s="167">
        <v>732</v>
      </c>
      <c r="C16" s="167">
        <f t="shared" si="0"/>
        <v>0.90027322404371579</v>
      </c>
      <c r="D16" s="15">
        <v>369</v>
      </c>
      <c r="E16" s="12" t="s">
        <v>27</v>
      </c>
      <c r="F16" s="15">
        <v>265</v>
      </c>
      <c r="G16" s="12" t="s">
        <v>118</v>
      </c>
      <c r="H16" s="15">
        <v>25</v>
      </c>
      <c r="I16" s="128" t="s">
        <v>42</v>
      </c>
    </row>
    <row r="17" spans="1:9" x14ac:dyDescent="0.25">
      <c r="A17" s="138">
        <v>1999</v>
      </c>
      <c r="B17" s="167">
        <v>673</v>
      </c>
      <c r="C17" s="167">
        <f t="shared" si="0"/>
        <v>0.89919762258543834</v>
      </c>
      <c r="D17" s="15">
        <v>359</v>
      </c>
      <c r="E17" s="12" t="s">
        <v>27</v>
      </c>
      <c r="F17" s="15">
        <v>219</v>
      </c>
      <c r="G17" s="12" t="s">
        <v>118</v>
      </c>
      <c r="H17" s="15">
        <v>27.16</v>
      </c>
      <c r="I17" s="128" t="s">
        <v>28</v>
      </c>
    </row>
    <row r="18" spans="1:9" x14ac:dyDescent="0.25">
      <c r="A18" s="138">
        <v>2000</v>
      </c>
      <c r="B18" s="167">
        <v>731</v>
      </c>
      <c r="C18" s="167">
        <f t="shared" si="0"/>
        <v>0.89876880984952123</v>
      </c>
      <c r="D18" s="15">
        <v>374</v>
      </c>
      <c r="E18" s="12" t="s">
        <v>27</v>
      </c>
      <c r="F18" s="15">
        <v>253</v>
      </c>
      <c r="G18" s="12" t="s">
        <v>118</v>
      </c>
      <c r="H18" s="15">
        <v>30</v>
      </c>
      <c r="I18" s="128" t="s">
        <v>42</v>
      </c>
    </row>
    <row r="19" spans="1:9" x14ac:dyDescent="0.25">
      <c r="A19" s="138">
        <v>2001</v>
      </c>
      <c r="B19" s="167">
        <v>745</v>
      </c>
      <c r="C19" s="167">
        <f t="shared" si="0"/>
        <v>0.90147651006711416</v>
      </c>
      <c r="D19" s="15">
        <v>393</v>
      </c>
      <c r="E19" s="12" t="s">
        <v>27</v>
      </c>
      <c r="F19" s="15">
        <v>245</v>
      </c>
      <c r="G19" s="12" t="s">
        <v>118</v>
      </c>
      <c r="H19" s="15">
        <v>33.6</v>
      </c>
      <c r="I19" s="128" t="s">
        <v>42</v>
      </c>
    </row>
    <row r="20" spans="1:9" x14ac:dyDescent="0.25">
      <c r="A20" s="138">
        <v>2002</v>
      </c>
      <c r="B20" s="167">
        <v>973</v>
      </c>
      <c r="C20" s="167">
        <f t="shared" si="0"/>
        <v>0.90030832476875644</v>
      </c>
      <c r="D20" s="18">
        <v>429</v>
      </c>
      <c r="E20" s="12" t="s">
        <v>118</v>
      </c>
      <c r="F20" s="16">
        <v>412</v>
      </c>
      <c r="G20" s="12" t="s">
        <v>27</v>
      </c>
      <c r="H20" s="18">
        <v>35</v>
      </c>
      <c r="I20" s="128" t="s">
        <v>22</v>
      </c>
    </row>
    <row r="21" spans="1:9" x14ac:dyDescent="0.25">
      <c r="A21" s="138">
        <v>2003</v>
      </c>
      <c r="B21" s="167">
        <v>1040</v>
      </c>
      <c r="C21" s="167">
        <f t="shared" si="0"/>
        <v>0.88076923076923075</v>
      </c>
      <c r="D21" s="16">
        <v>462</v>
      </c>
      <c r="E21" s="12" t="s">
        <v>27</v>
      </c>
      <c r="F21" s="16">
        <v>404</v>
      </c>
      <c r="G21" s="12" t="s">
        <v>118</v>
      </c>
      <c r="H21" s="16">
        <v>50</v>
      </c>
      <c r="I21" s="128" t="s">
        <v>22</v>
      </c>
    </row>
    <row r="22" spans="1:9" x14ac:dyDescent="0.25">
      <c r="A22" s="138">
        <v>2004</v>
      </c>
      <c r="B22" s="167">
        <v>1070</v>
      </c>
      <c r="C22" s="167">
        <f t="shared" si="0"/>
        <v>0.86822429906542054</v>
      </c>
      <c r="D22" s="17">
        <v>441</v>
      </c>
      <c r="E22" s="12" t="s">
        <v>27</v>
      </c>
      <c r="F22" s="17">
        <v>368</v>
      </c>
      <c r="G22" s="12" t="s">
        <v>118</v>
      </c>
      <c r="H22" s="17">
        <v>120</v>
      </c>
      <c r="I22" s="128" t="s">
        <v>22</v>
      </c>
    </row>
    <row r="23" spans="1:9" x14ac:dyDescent="0.25">
      <c r="A23" s="138">
        <v>2005</v>
      </c>
      <c r="B23" s="167">
        <v>1060</v>
      </c>
      <c r="C23" s="167">
        <f t="shared" si="0"/>
        <v>0.87075471698113205</v>
      </c>
      <c r="D23" s="18">
        <v>427</v>
      </c>
      <c r="E23" s="12" t="s">
        <v>27</v>
      </c>
      <c r="F23" s="18">
        <v>376</v>
      </c>
      <c r="G23" s="12" t="s">
        <v>118</v>
      </c>
      <c r="H23" s="18">
        <v>120</v>
      </c>
      <c r="I23" s="128" t="s">
        <v>22</v>
      </c>
    </row>
    <row r="24" spans="1:9" x14ac:dyDescent="0.25">
      <c r="A24" s="138">
        <v>2006</v>
      </c>
      <c r="B24" s="167">
        <v>1240</v>
      </c>
      <c r="C24" s="167">
        <f t="shared" si="0"/>
        <v>0.8564516129032258</v>
      </c>
      <c r="D24" s="18">
        <v>492</v>
      </c>
      <c r="E24" s="12" t="s">
        <v>27</v>
      </c>
      <c r="F24" s="18">
        <v>435</v>
      </c>
      <c r="G24" s="12" t="s">
        <v>118</v>
      </c>
      <c r="H24" s="18">
        <v>135</v>
      </c>
      <c r="I24" s="128" t="s">
        <v>22</v>
      </c>
    </row>
    <row r="25" spans="1:9" x14ac:dyDescent="0.25">
      <c r="A25" s="138" t="s">
        <v>4</v>
      </c>
      <c r="B25" s="167">
        <v>1410</v>
      </c>
      <c r="C25" s="167">
        <f t="shared" si="0"/>
        <v>0.81276595744680846</v>
      </c>
      <c r="D25" s="167">
        <v>601</v>
      </c>
      <c r="E25" s="12" t="s">
        <v>27</v>
      </c>
      <c r="F25" s="167">
        <v>405</v>
      </c>
      <c r="G25" s="12" t="s">
        <v>118</v>
      </c>
      <c r="H25" s="167">
        <v>140</v>
      </c>
      <c r="I25" s="128" t="s">
        <v>22</v>
      </c>
    </row>
    <row r="26" spans="1:9" x14ac:dyDescent="0.25">
      <c r="A26" s="138" t="s">
        <v>5</v>
      </c>
      <c r="B26" s="167">
        <v>1310</v>
      </c>
      <c r="C26" s="167">
        <f t="shared" si="0"/>
        <v>0.83587786259541985</v>
      </c>
      <c r="D26" s="167">
        <v>550</v>
      </c>
      <c r="E26" s="12" t="s">
        <v>27</v>
      </c>
      <c r="F26" s="167">
        <v>405</v>
      </c>
      <c r="G26" s="12" t="s">
        <v>118</v>
      </c>
      <c r="H26" s="167">
        <v>140</v>
      </c>
      <c r="I26" s="128" t="s">
        <v>22</v>
      </c>
    </row>
    <row r="27" spans="1:9" x14ac:dyDescent="0.25">
      <c r="A27" s="138" t="s">
        <v>6</v>
      </c>
      <c r="B27" s="167">
        <v>1180</v>
      </c>
      <c r="C27" s="167">
        <f t="shared" si="0"/>
        <v>0.84406779661016951</v>
      </c>
      <c r="D27" s="167">
        <v>476</v>
      </c>
      <c r="E27" s="12" t="s">
        <v>27</v>
      </c>
      <c r="F27" s="167">
        <v>390</v>
      </c>
      <c r="G27" s="12" t="s">
        <v>118</v>
      </c>
      <c r="H27" s="167">
        <v>130</v>
      </c>
      <c r="I27" s="128" t="s">
        <v>22</v>
      </c>
    </row>
    <row r="28" spans="1:9" x14ac:dyDescent="0.25">
      <c r="A28" s="138" t="s">
        <v>7</v>
      </c>
      <c r="B28" s="167">
        <v>1250</v>
      </c>
      <c r="C28" s="167">
        <f t="shared" si="0"/>
        <v>0.84640000000000004</v>
      </c>
      <c r="D28" s="167">
        <v>518</v>
      </c>
      <c r="E28" s="12" t="s">
        <v>27</v>
      </c>
      <c r="F28" s="167">
        <v>400</v>
      </c>
      <c r="G28" s="12" t="s">
        <v>118</v>
      </c>
      <c r="H28" s="167">
        <v>140</v>
      </c>
      <c r="I28" s="128" t="s">
        <v>22</v>
      </c>
    </row>
    <row r="29" spans="1:9" x14ac:dyDescent="0.25">
      <c r="A29" s="141"/>
      <c r="B29" s="157"/>
      <c r="C29" s="141"/>
      <c r="D29" s="141"/>
      <c r="E29" s="141"/>
      <c r="F29" s="141"/>
      <c r="G29" s="141"/>
      <c r="H29" s="157"/>
      <c r="I29" s="141"/>
    </row>
    <row r="30" spans="1:9" x14ac:dyDescent="0.25">
      <c r="A30" s="137" t="s">
        <v>670</v>
      </c>
      <c r="B30" s="157"/>
      <c r="C30" s="141"/>
      <c r="D30" s="141"/>
      <c r="E30" s="141"/>
      <c r="F30" s="141"/>
      <c r="G30" s="141"/>
      <c r="H30" s="157"/>
      <c r="I30" s="141"/>
    </row>
    <row r="31" spans="1:9" x14ac:dyDescent="0.25">
      <c r="A31" s="137" t="s">
        <v>645</v>
      </c>
      <c r="B31" s="157"/>
      <c r="C31" s="141"/>
      <c r="D31" s="141"/>
      <c r="E31" s="141"/>
      <c r="F31" s="141"/>
      <c r="G31" s="141"/>
      <c r="H31" s="157"/>
      <c r="I31" s="141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opLeftCell="A304" zoomScaleNormal="100" workbookViewId="0">
      <selection activeCell="A90" sqref="A90"/>
    </sheetView>
  </sheetViews>
  <sheetFormatPr defaultRowHeight="15" x14ac:dyDescent="0.25"/>
  <cols>
    <col min="1" max="1" width="23.42578125" style="88" customWidth="1"/>
    <col min="2" max="2" width="21.7109375" style="58" customWidth="1"/>
    <col min="3" max="3" width="8" style="249" customWidth="1"/>
    <col min="4" max="4" width="21.7109375" style="58" customWidth="1"/>
    <col min="5" max="5" width="8" style="249" customWidth="1"/>
    <col min="6" max="6" width="21.7109375" style="58" customWidth="1"/>
    <col min="7" max="7" width="8" style="249" customWidth="1"/>
    <col min="8" max="8" width="21.7109375" style="58" customWidth="1"/>
    <col min="9" max="9" width="8" style="249" customWidth="1"/>
    <col min="10" max="10" width="21.7109375" style="58" customWidth="1"/>
    <col min="11" max="11" width="8" style="249" customWidth="1"/>
    <col min="12" max="12" width="74.28515625" style="75" customWidth="1"/>
    <col min="13" max="16384" width="9.140625" style="59"/>
  </cols>
  <sheetData>
    <row r="1" spans="1:12" ht="15" customHeight="1" x14ac:dyDescent="0.25">
      <c r="A1" s="108" t="s">
        <v>515</v>
      </c>
      <c r="B1" s="111"/>
      <c r="C1" s="248"/>
      <c r="D1" s="106"/>
      <c r="E1" s="248"/>
      <c r="F1" s="106"/>
      <c r="G1" s="248"/>
      <c r="H1" s="106"/>
      <c r="I1" s="248"/>
      <c r="J1" s="106"/>
      <c r="K1" s="248"/>
    </row>
    <row r="2" spans="1:12" ht="15" customHeight="1" x14ac:dyDescent="0.25">
      <c r="A2" s="110" t="s">
        <v>516</v>
      </c>
      <c r="B2" s="106"/>
      <c r="C2" s="248"/>
      <c r="D2" s="106"/>
      <c r="E2" s="248"/>
      <c r="F2" s="106"/>
      <c r="G2" s="248"/>
      <c r="H2" s="106"/>
      <c r="I2" s="248"/>
      <c r="J2" s="106"/>
      <c r="K2" s="248"/>
    </row>
    <row r="3" spans="1:12" x14ac:dyDescent="0.25">
      <c r="A3" s="89"/>
    </row>
    <row r="5" spans="1:12" x14ac:dyDescent="0.25">
      <c r="A5" s="207" t="s">
        <v>306</v>
      </c>
      <c r="B5" s="208">
        <v>2005</v>
      </c>
      <c r="C5" s="250" t="s">
        <v>272</v>
      </c>
      <c r="D5" s="208">
        <v>2006</v>
      </c>
      <c r="E5" s="250" t="s">
        <v>272</v>
      </c>
      <c r="F5" s="208">
        <v>2007</v>
      </c>
      <c r="G5" s="250" t="s">
        <v>272</v>
      </c>
      <c r="H5" s="208">
        <v>2008</v>
      </c>
      <c r="I5" s="250" t="s">
        <v>272</v>
      </c>
      <c r="J5" s="208">
        <v>2009</v>
      </c>
      <c r="K5" s="250" t="s">
        <v>272</v>
      </c>
      <c r="L5" s="208" t="s">
        <v>273</v>
      </c>
    </row>
    <row r="6" spans="1:12" x14ac:dyDescent="0.25">
      <c r="A6" s="209" t="s">
        <v>172</v>
      </c>
      <c r="B6" s="210">
        <v>5750</v>
      </c>
      <c r="C6" s="136"/>
      <c r="D6" s="210">
        <v>5240</v>
      </c>
      <c r="E6" s="136"/>
      <c r="F6" s="210">
        <v>6010</v>
      </c>
      <c r="G6" s="136"/>
      <c r="H6" s="210">
        <v>5490</v>
      </c>
      <c r="I6" s="136"/>
      <c r="J6" s="210">
        <v>3660</v>
      </c>
      <c r="K6" s="136"/>
      <c r="L6" s="194"/>
    </row>
    <row r="7" spans="1:12" x14ac:dyDescent="0.25">
      <c r="A7" s="209" t="s">
        <v>121</v>
      </c>
      <c r="B7" s="210">
        <v>5220</v>
      </c>
      <c r="C7" s="136"/>
      <c r="D7" s="210">
        <v>5030</v>
      </c>
      <c r="E7" s="136"/>
      <c r="F7" s="210">
        <v>4240</v>
      </c>
      <c r="G7" s="136"/>
      <c r="H7" s="210">
        <v>4300</v>
      </c>
      <c r="I7" s="136"/>
      <c r="J7" s="210">
        <v>2370</v>
      </c>
      <c r="K7" s="136"/>
      <c r="L7" s="194" t="s">
        <v>482</v>
      </c>
    </row>
    <row r="8" spans="1:12" x14ac:dyDescent="0.25">
      <c r="A8" s="209" t="s">
        <v>173</v>
      </c>
      <c r="B8" s="211">
        <v>1210</v>
      </c>
      <c r="C8" s="136"/>
      <c r="D8" s="211">
        <v>1540</v>
      </c>
      <c r="E8" s="136"/>
      <c r="F8" s="211">
        <v>1160</v>
      </c>
      <c r="G8" s="136"/>
      <c r="H8" s="211">
        <v>1150</v>
      </c>
      <c r="I8" s="136"/>
      <c r="J8" s="211">
        <v>946</v>
      </c>
      <c r="K8" s="136"/>
      <c r="L8" s="194" t="s">
        <v>482</v>
      </c>
    </row>
    <row r="9" spans="1:12" x14ac:dyDescent="0.25">
      <c r="A9" s="209" t="s">
        <v>174</v>
      </c>
      <c r="B9" s="210">
        <v>1860</v>
      </c>
      <c r="C9" s="136"/>
      <c r="D9" s="210">
        <v>1860</v>
      </c>
      <c r="E9" s="136"/>
      <c r="F9" s="210">
        <v>2440</v>
      </c>
      <c r="G9" s="136"/>
      <c r="H9" s="210">
        <v>2530</v>
      </c>
      <c r="I9" s="136"/>
      <c r="J9" s="210">
        <v>1860</v>
      </c>
      <c r="K9" s="136"/>
      <c r="L9" s="194" t="s">
        <v>482</v>
      </c>
    </row>
    <row r="10" spans="1:12" x14ac:dyDescent="0.25">
      <c r="A10" s="209" t="s">
        <v>274</v>
      </c>
      <c r="B10" s="128"/>
      <c r="C10" s="136"/>
      <c r="D10" s="128"/>
      <c r="E10" s="251"/>
      <c r="F10" s="128"/>
      <c r="G10" s="136"/>
      <c r="H10" s="128"/>
      <c r="I10" s="136"/>
      <c r="J10" s="128"/>
      <c r="K10" s="258"/>
      <c r="L10" s="194"/>
    </row>
    <row r="11" spans="1:12" x14ac:dyDescent="0.25">
      <c r="A11" s="212" t="s">
        <v>275</v>
      </c>
      <c r="B11" s="128" t="s">
        <v>27</v>
      </c>
      <c r="C11" s="259">
        <v>0.5</v>
      </c>
      <c r="D11" s="128" t="s">
        <v>27</v>
      </c>
      <c r="E11" s="259">
        <v>0.48</v>
      </c>
      <c r="F11" s="128" t="s">
        <v>27</v>
      </c>
      <c r="G11" s="259">
        <v>0.34</v>
      </c>
      <c r="H11" s="128" t="s">
        <v>27</v>
      </c>
      <c r="I11" s="259">
        <v>0.37</v>
      </c>
      <c r="J11" s="128" t="s">
        <v>27</v>
      </c>
      <c r="K11" s="259">
        <v>0.26</v>
      </c>
      <c r="L11" s="194"/>
    </row>
    <row r="12" spans="1:12" x14ac:dyDescent="0.25">
      <c r="A12" s="212" t="s">
        <v>32</v>
      </c>
      <c r="B12" s="128" t="s">
        <v>307</v>
      </c>
      <c r="C12" s="259">
        <v>0.3</v>
      </c>
      <c r="D12" s="128" t="s">
        <v>307</v>
      </c>
      <c r="E12" s="259">
        <v>0.23</v>
      </c>
      <c r="F12" s="128" t="s">
        <v>139</v>
      </c>
      <c r="G12" s="259">
        <v>0.25</v>
      </c>
      <c r="H12" s="128" t="s">
        <v>28</v>
      </c>
      <c r="I12" s="259">
        <v>0.21</v>
      </c>
      <c r="J12" s="128" t="s">
        <v>307</v>
      </c>
      <c r="K12" s="259">
        <v>0.15</v>
      </c>
      <c r="L12" s="194"/>
    </row>
    <row r="13" spans="1:12" x14ac:dyDescent="0.25">
      <c r="A13" s="212" t="s">
        <v>33</v>
      </c>
      <c r="B13" s="128" t="s">
        <v>139</v>
      </c>
      <c r="C13" s="259">
        <v>0.06</v>
      </c>
      <c r="D13" s="128" t="s">
        <v>38</v>
      </c>
      <c r="E13" s="259">
        <v>0.06</v>
      </c>
      <c r="F13" s="128" t="s">
        <v>28</v>
      </c>
      <c r="G13" s="259">
        <v>0.16</v>
      </c>
      <c r="H13" s="128" t="s">
        <v>139</v>
      </c>
      <c r="I13" s="259">
        <v>0.18</v>
      </c>
      <c r="J13" s="128" t="s">
        <v>28</v>
      </c>
      <c r="K13" s="259">
        <v>0.14000000000000001</v>
      </c>
      <c r="L13" s="194"/>
    </row>
    <row r="14" spans="1:12" x14ac:dyDescent="0.25">
      <c r="A14" s="208"/>
      <c r="B14" s="128"/>
      <c r="C14" s="259">
        <f>SUM(C11:C13)</f>
        <v>0.8600000000000001</v>
      </c>
      <c r="D14" s="128"/>
      <c r="E14" s="259">
        <f>SUM(E11:E13)</f>
        <v>0.77</v>
      </c>
      <c r="F14" s="128"/>
      <c r="G14" s="259">
        <f>SUM(G11:G13)</f>
        <v>0.75000000000000011</v>
      </c>
      <c r="H14" s="128"/>
      <c r="I14" s="259">
        <f>SUM(I11:I13)</f>
        <v>0.76</v>
      </c>
      <c r="J14" s="128"/>
      <c r="K14" s="259">
        <f>SUM(K11:K13)</f>
        <v>0.55000000000000004</v>
      </c>
      <c r="L14" s="194"/>
    </row>
    <row r="15" spans="1:12" x14ac:dyDescent="0.25">
      <c r="A15" s="208"/>
      <c r="B15" s="128"/>
      <c r="C15" s="136"/>
      <c r="D15" s="128"/>
      <c r="E15" s="136"/>
      <c r="F15" s="128"/>
      <c r="G15" s="136"/>
      <c r="H15" s="128"/>
      <c r="I15" s="136"/>
      <c r="J15" s="128"/>
      <c r="K15" s="136"/>
      <c r="L15" s="194"/>
    </row>
    <row r="16" spans="1:12" x14ac:dyDescent="0.25">
      <c r="A16" s="208"/>
      <c r="B16" s="128"/>
      <c r="C16" s="136"/>
      <c r="D16" s="128"/>
      <c r="E16" s="136"/>
      <c r="F16" s="128"/>
      <c r="G16" s="136"/>
      <c r="H16" s="128"/>
      <c r="I16" s="136"/>
      <c r="J16" s="128"/>
      <c r="K16" s="136"/>
      <c r="L16" s="194"/>
    </row>
    <row r="17" spans="1:12" s="74" customFormat="1" x14ac:dyDescent="0.25">
      <c r="A17" s="207" t="s">
        <v>10</v>
      </c>
      <c r="B17" s="208">
        <v>2005</v>
      </c>
      <c r="C17" s="250" t="s">
        <v>272</v>
      </c>
      <c r="D17" s="208">
        <v>2006</v>
      </c>
      <c r="E17" s="250" t="s">
        <v>272</v>
      </c>
      <c r="F17" s="208">
        <v>2007</v>
      </c>
      <c r="G17" s="250" t="s">
        <v>272</v>
      </c>
      <c r="H17" s="208">
        <v>2008</v>
      </c>
      <c r="I17" s="250" t="s">
        <v>272</v>
      </c>
      <c r="J17" s="208">
        <v>2009</v>
      </c>
      <c r="K17" s="250" t="s">
        <v>272</v>
      </c>
      <c r="L17" s="208" t="s">
        <v>273</v>
      </c>
    </row>
    <row r="18" spans="1:12" s="58" customFormat="1" x14ac:dyDescent="0.25">
      <c r="A18" s="209" t="s">
        <v>172</v>
      </c>
      <c r="B18" s="128">
        <v>0.20399999999999999</v>
      </c>
      <c r="C18" s="136"/>
      <c r="D18" s="128">
        <v>0.153</v>
      </c>
      <c r="E18" s="136"/>
      <c r="F18" s="128">
        <v>0.22600000000000001</v>
      </c>
      <c r="G18" s="136"/>
      <c r="H18" s="128">
        <v>0.16400000000000001</v>
      </c>
      <c r="I18" s="136"/>
      <c r="J18" s="128">
        <v>0.16700000000000001</v>
      </c>
      <c r="K18" s="136"/>
      <c r="L18" s="176"/>
    </row>
    <row r="19" spans="1:12" s="58" customFormat="1" x14ac:dyDescent="0.25">
      <c r="A19" s="209" t="s">
        <v>121</v>
      </c>
      <c r="B19" s="213" t="s">
        <v>394</v>
      </c>
      <c r="C19" s="251"/>
      <c r="D19" s="213" t="s">
        <v>394</v>
      </c>
      <c r="E19" s="251"/>
      <c r="F19" s="214" t="s">
        <v>165</v>
      </c>
      <c r="G19" s="251"/>
      <c r="H19" s="213" t="s">
        <v>394</v>
      </c>
      <c r="I19" s="251"/>
      <c r="J19" s="213" t="s">
        <v>394</v>
      </c>
      <c r="K19" s="136"/>
      <c r="L19" s="215"/>
    </row>
    <row r="20" spans="1:12" s="58" customFormat="1" x14ac:dyDescent="0.25">
      <c r="A20" s="209" t="s">
        <v>173</v>
      </c>
      <c r="B20" s="213" t="s">
        <v>394</v>
      </c>
      <c r="C20" s="251"/>
      <c r="D20" s="213" t="s">
        <v>394</v>
      </c>
      <c r="E20" s="251"/>
      <c r="F20" s="213" t="s">
        <v>394</v>
      </c>
      <c r="G20" s="251"/>
      <c r="H20" s="213" t="s">
        <v>394</v>
      </c>
      <c r="I20" s="251"/>
      <c r="J20" s="213" t="s">
        <v>394</v>
      </c>
      <c r="K20" s="136"/>
      <c r="L20" s="194" t="s">
        <v>308</v>
      </c>
    </row>
    <row r="21" spans="1:12" s="58" customFormat="1" x14ac:dyDescent="0.25">
      <c r="A21" s="209" t="s">
        <v>174</v>
      </c>
      <c r="B21" s="128">
        <v>0.20399999999999999</v>
      </c>
      <c r="C21" s="136"/>
      <c r="D21" s="128">
        <v>0.153</v>
      </c>
      <c r="E21" s="136"/>
      <c r="F21" s="128">
        <v>0.22600000000000001</v>
      </c>
      <c r="G21" s="136"/>
      <c r="H21" s="128">
        <v>0.16400000000000001</v>
      </c>
      <c r="I21" s="136"/>
      <c r="J21" s="128">
        <v>0.16700000000000001</v>
      </c>
      <c r="K21" s="136"/>
      <c r="L21" s="195" t="s">
        <v>309</v>
      </c>
    </row>
    <row r="22" spans="1:12" s="58" customFormat="1" x14ac:dyDescent="0.25">
      <c r="A22" s="209" t="s">
        <v>274</v>
      </c>
      <c r="B22" s="128"/>
      <c r="C22" s="136"/>
      <c r="D22" s="128"/>
      <c r="E22" s="136"/>
      <c r="F22" s="128"/>
      <c r="G22" s="136"/>
      <c r="H22" s="128"/>
      <c r="I22" s="136"/>
      <c r="J22" s="128"/>
      <c r="K22" s="136"/>
      <c r="L22" s="194"/>
    </row>
    <row r="23" spans="1:12" s="58" customFormat="1" x14ac:dyDescent="0.25">
      <c r="A23" s="212" t="s">
        <v>275</v>
      </c>
      <c r="B23" s="128" t="s">
        <v>22</v>
      </c>
      <c r="C23" s="251">
        <f>0.147/0.204</f>
        <v>0.72058823529411764</v>
      </c>
      <c r="D23" s="128" t="s">
        <v>23</v>
      </c>
      <c r="E23" s="259">
        <f>0.13/0.153</f>
        <v>0.84967320261437917</v>
      </c>
      <c r="F23" s="128" t="s">
        <v>23</v>
      </c>
      <c r="G23" s="136">
        <f>0.139/0.226</f>
        <v>0.61504424778761069</v>
      </c>
      <c r="H23" s="128" t="s">
        <v>23</v>
      </c>
      <c r="I23" s="251">
        <f>0.088/0.164</f>
        <v>0.53658536585365846</v>
      </c>
      <c r="J23" s="128" t="s">
        <v>23</v>
      </c>
      <c r="K23" s="251">
        <f>0.083/0.167</f>
        <v>0.49700598802395207</v>
      </c>
      <c r="L23" s="176"/>
    </row>
    <row r="24" spans="1:12" s="58" customFormat="1" x14ac:dyDescent="0.25">
      <c r="A24" s="212" t="s">
        <v>32</v>
      </c>
      <c r="B24" s="128" t="s">
        <v>211</v>
      </c>
      <c r="C24" s="251">
        <f>0.04/0.204</f>
        <v>0.19607843137254904</v>
      </c>
      <c r="D24" s="128" t="s">
        <v>22</v>
      </c>
      <c r="E24" s="251">
        <f>0.02/0.153</f>
        <v>0.13071895424836602</v>
      </c>
      <c r="F24" s="128" t="s">
        <v>22</v>
      </c>
      <c r="G24" s="136">
        <f>0.055/0.226</f>
        <v>0.24336283185840707</v>
      </c>
      <c r="H24" s="128" t="s">
        <v>22</v>
      </c>
      <c r="I24" s="251">
        <f>0.074/0.164</f>
        <v>0.45121951219512191</v>
      </c>
      <c r="J24" s="128" t="s">
        <v>140</v>
      </c>
      <c r="K24" s="251">
        <f>0.043/0.167</f>
        <v>0.25748502994011974</v>
      </c>
      <c r="L24" s="176"/>
    </row>
    <row r="25" spans="1:12" s="58" customFormat="1" x14ac:dyDescent="0.25">
      <c r="A25" s="212" t="s">
        <v>33</v>
      </c>
      <c r="B25" s="128" t="s">
        <v>44</v>
      </c>
      <c r="C25" s="251">
        <f>0.017/0.204</f>
        <v>8.3333333333333343E-2</v>
      </c>
      <c r="D25" s="128" t="s">
        <v>58</v>
      </c>
      <c r="E25" s="259">
        <f>0.003/0.153</f>
        <v>1.9607843137254902E-2</v>
      </c>
      <c r="F25" s="128" t="s">
        <v>140</v>
      </c>
      <c r="G25" s="136">
        <f>0.022/0.226</f>
        <v>9.7345132743362817E-2</v>
      </c>
      <c r="H25" s="128" t="s">
        <v>38</v>
      </c>
      <c r="I25" s="251">
        <f>0.002/0.164</f>
        <v>1.2195121951219513E-2</v>
      </c>
      <c r="J25" s="128" t="s">
        <v>22</v>
      </c>
      <c r="K25" s="259">
        <f>0.04/0.167</f>
        <v>0.23952095808383234</v>
      </c>
      <c r="L25" s="176"/>
    </row>
    <row r="26" spans="1:12" s="58" customFormat="1" x14ac:dyDescent="0.25">
      <c r="A26" s="208"/>
      <c r="B26" s="128"/>
      <c r="C26" s="259">
        <f>SUM(C23:C25)</f>
        <v>1</v>
      </c>
      <c r="D26" s="128"/>
      <c r="E26" s="259">
        <f>SUM(E23:E25)</f>
        <v>1</v>
      </c>
      <c r="F26" s="128"/>
      <c r="G26" s="136">
        <f>SUM(G23:G25)</f>
        <v>0.95575221238938046</v>
      </c>
      <c r="H26" s="128"/>
      <c r="I26" s="259">
        <f>SUM(I23:I25)</f>
        <v>0.99999999999999989</v>
      </c>
      <c r="J26" s="128"/>
      <c r="K26" s="251">
        <f>SUM(K23:K25)</f>
        <v>0.99401197604790414</v>
      </c>
      <c r="L26" s="176"/>
    </row>
    <row r="27" spans="1:12" x14ac:dyDescent="0.25">
      <c r="A27" s="216"/>
      <c r="B27" s="128"/>
      <c r="C27" s="136"/>
      <c r="D27" s="128"/>
      <c r="E27" s="136"/>
      <c r="F27" s="128"/>
      <c r="G27" s="136"/>
      <c r="H27" s="128"/>
      <c r="I27" s="136"/>
      <c r="J27" s="128"/>
      <c r="K27" s="136"/>
      <c r="L27" s="194"/>
    </row>
    <row r="28" spans="1:12" x14ac:dyDescent="0.25">
      <c r="A28" s="216"/>
      <c r="B28" s="128"/>
      <c r="C28" s="136"/>
      <c r="D28" s="128"/>
      <c r="E28" s="136"/>
      <c r="F28" s="128"/>
      <c r="G28" s="136"/>
      <c r="H28" s="128"/>
      <c r="I28" s="136"/>
      <c r="J28" s="128"/>
      <c r="K28" s="136"/>
      <c r="L28" s="194"/>
    </row>
    <row r="29" spans="1:12" x14ac:dyDescent="0.25">
      <c r="A29" s="207" t="s">
        <v>11</v>
      </c>
      <c r="B29" s="208">
        <v>2005</v>
      </c>
      <c r="C29" s="250" t="s">
        <v>272</v>
      </c>
      <c r="D29" s="208">
        <v>2006</v>
      </c>
      <c r="E29" s="250" t="s">
        <v>272</v>
      </c>
      <c r="F29" s="208">
        <v>2007</v>
      </c>
      <c r="G29" s="250" t="s">
        <v>272</v>
      </c>
      <c r="H29" s="208">
        <v>2008</v>
      </c>
      <c r="I29" s="250" t="s">
        <v>272</v>
      </c>
      <c r="J29" s="208">
        <v>2009</v>
      </c>
      <c r="K29" s="250" t="s">
        <v>272</v>
      </c>
      <c r="L29" s="208" t="s">
        <v>273</v>
      </c>
    </row>
    <row r="30" spans="1:12" x14ac:dyDescent="0.25">
      <c r="A30" s="209" t="s">
        <v>172</v>
      </c>
      <c r="B30" s="210">
        <f>+B31+B33-B32</f>
        <v>2966</v>
      </c>
      <c r="C30" s="136"/>
      <c r="D30" s="210">
        <f t="shared" ref="D30:J30" si="0">+D31+D33-D32</f>
        <v>3047</v>
      </c>
      <c r="E30" s="136"/>
      <c r="F30" s="210">
        <f t="shared" si="0"/>
        <v>2980</v>
      </c>
      <c r="G30" s="136"/>
      <c r="H30" s="210">
        <f t="shared" si="0"/>
        <v>2506</v>
      </c>
      <c r="I30" s="136"/>
      <c r="J30" s="210">
        <f t="shared" si="0"/>
        <v>906</v>
      </c>
      <c r="K30" s="136"/>
      <c r="L30" s="194"/>
    </row>
    <row r="31" spans="1:12" x14ac:dyDescent="0.25">
      <c r="A31" s="209" t="s">
        <v>121</v>
      </c>
      <c r="B31" s="210">
        <v>489</v>
      </c>
      <c r="C31" s="136"/>
      <c r="D31" s="210">
        <v>589</v>
      </c>
      <c r="E31" s="136"/>
      <c r="F31" s="210">
        <v>455</v>
      </c>
      <c r="G31" s="136"/>
      <c r="H31" s="210">
        <v>648</v>
      </c>
      <c r="I31" s="136"/>
      <c r="J31" s="210">
        <v>383</v>
      </c>
      <c r="K31" s="136"/>
      <c r="L31" s="194" t="s">
        <v>483</v>
      </c>
    </row>
    <row r="32" spans="1:12" x14ac:dyDescent="0.25">
      <c r="A32" s="209" t="s">
        <v>173</v>
      </c>
      <c r="B32" s="210">
        <v>93</v>
      </c>
      <c r="C32" s="136"/>
      <c r="D32" s="210">
        <v>72</v>
      </c>
      <c r="E32" s="136"/>
      <c r="F32" s="210">
        <v>15</v>
      </c>
      <c r="G32" s="136"/>
      <c r="H32" s="210">
        <v>62</v>
      </c>
      <c r="I32" s="136"/>
      <c r="J32" s="210">
        <v>49</v>
      </c>
      <c r="K32" s="136"/>
      <c r="L32" s="194" t="s">
        <v>484</v>
      </c>
    </row>
    <row r="33" spans="1:12" x14ac:dyDescent="0.25">
      <c r="A33" s="209" t="s">
        <v>174</v>
      </c>
      <c r="B33" s="210">
        <v>2570</v>
      </c>
      <c r="C33" s="136"/>
      <c r="D33" s="210">
        <v>2530</v>
      </c>
      <c r="E33" s="136"/>
      <c r="F33" s="210">
        <v>2540</v>
      </c>
      <c r="G33" s="136"/>
      <c r="H33" s="210">
        <v>1920</v>
      </c>
      <c r="I33" s="136"/>
      <c r="J33" s="210">
        <v>572</v>
      </c>
      <c r="K33" s="136"/>
      <c r="L33" s="194"/>
    </row>
    <row r="34" spans="1:12" x14ac:dyDescent="0.25">
      <c r="A34" s="209" t="s">
        <v>274</v>
      </c>
      <c r="B34" s="128"/>
      <c r="C34" s="136"/>
      <c r="D34" s="128"/>
      <c r="E34" s="136"/>
      <c r="F34" s="128"/>
      <c r="G34" s="136"/>
      <c r="H34" s="128"/>
      <c r="I34" s="136"/>
      <c r="J34" s="128"/>
      <c r="K34" s="136"/>
      <c r="L34" s="194"/>
    </row>
    <row r="35" spans="1:12" x14ac:dyDescent="0.25">
      <c r="A35" s="212" t="s">
        <v>275</v>
      </c>
      <c r="B35" s="128" t="s">
        <v>22</v>
      </c>
      <c r="C35" s="251">
        <f>2280/2570</f>
        <v>0.88715953307392992</v>
      </c>
      <c r="D35" s="128" t="s">
        <v>22</v>
      </c>
      <c r="E35" s="251">
        <f>2360/2530</f>
        <v>0.93280632411067199</v>
      </c>
      <c r="F35" s="128" t="s">
        <v>22</v>
      </c>
      <c r="G35" s="251">
        <f>2500/2540</f>
        <v>0.98425196850393704</v>
      </c>
      <c r="H35" s="128" t="s">
        <v>22</v>
      </c>
      <c r="I35" s="251">
        <f>1860/1920</f>
        <v>0.96875</v>
      </c>
      <c r="J35" s="128" t="s">
        <v>22</v>
      </c>
      <c r="K35" s="251">
        <f>502/572</f>
        <v>0.8776223776223776</v>
      </c>
      <c r="L35" s="194"/>
    </row>
    <row r="36" spans="1:12" x14ac:dyDescent="0.25">
      <c r="A36" s="212" t="s">
        <v>32</v>
      </c>
      <c r="B36" s="128" t="s">
        <v>49</v>
      </c>
      <c r="C36" s="251">
        <f>276/2570</f>
        <v>0.10739299610894941</v>
      </c>
      <c r="D36" s="128" t="s">
        <v>49</v>
      </c>
      <c r="E36" s="251">
        <f>139/2530</f>
        <v>5.4940711462450595E-2</v>
      </c>
      <c r="F36" s="128" t="s">
        <v>49</v>
      </c>
      <c r="G36" s="251">
        <f>44.2/2540</f>
        <v>1.7401574803149609E-2</v>
      </c>
      <c r="H36" s="128" t="s">
        <v>49</v>
      </c>
      <c r="I36" s="251">
        <f>48.5/1920</f>
        <v>2.5260416666666667E-2</v>
      </c>
      <c r="J36" s="128" t="s">
        <v>49</v>
      </c>
      <c r="K36" s="251">
        <f>41.8/572</f>
        <v>7.3076923076923067E-2</v>
      </c>
      <c r="L36" s="194"/>
    </row>
    <row r="37" spans="1:12" x14ac:dyDescent="0.25">
      <c r="A37" s="212" t="s">
        <v>33</v>
      </c>
      <c r="B37" s="128" t="s">
        <v>90</v>
      </c>
      <c r="C37" s="251">
        <f>19.8/2570</f>
        <v>7.7042801556420236E-3</v>
      </c>
      <c r="D37" s="128" t="s">
        <v>90</v>
      </c>
      <c r="E37" s="251">
        <f>20.2/2530</f>
        <v>7.9841897233201582E-3</v>
      </c>
      <c r="F37" s="128" t="s">
        <v>57</v>
      </c>
      <c r="G37" s="259">
        <f>0.601/2540</f>
        <v>2.3661417322834644E-4</v>
      </c>
      <c r="H37" s="128" t="s">
        <v>73</v>
      </c>
      <c r="I37" s="251">
        <f>10.4/1920</f>
        <v>5.4166666666666669E-3</v>
      </c>
      <c r="J37" s="128" t="s">
        <v>90</v>
      </c>
      <c r="K37" s="251">
        <f>21.8/572</f>
        <v>3.8111888111888113E-2</v>
      </c>
      <c r="L37" s="194"/>
    </row>
    <row r="38" spans="1:12" x14ac:dyDescent="0.25">
      <c r="A38" s="208"/>
      <c r="B38" s="128"/>
      <c r="C38" s="259">
        <f>SUM(C35:C37)</f>
        <v>1.0022568093385213</v>
      </c>
      <c r="D38" s="128"/>
      <c r="E38" s="251">
        <f>SUM(E35:E37)</f>
        <v>0.99573122529644276</v>
      </c>
      <c r="F38" s="128"/>
      <c r="G38" s="259">
        <f>SUM(G35:G37)</f>
        <v>1.001890157480315</v>
      </c>
      <c r="H38" s="128"/>
      <c r="I38" s="251">
        <f>SUM(I35:I37)</f>
        <v>0.9994270833333333</v>
      </c>
      <c r="J38" s="128"/>
      <c r="K38" s="251">
        <f>SUM(K35:K37)</f>
        <v>0.98881118881118879</v>
      </c>
      <c r="L38" s="194"/>
    </row>
    <row r="39" spans="1:12" x14ac:dyDescent="0.25">
      <c r="A39" s="216"/>
      <c r="B39" s="128"/>
      <c r="C39" s="136"/>
      <c r="D39" s="128"/>
      <c r="E39" s="136"/>
      <c r="F39" s="128"/>
      <c r="G39" s="136"/>
      <c r="H39" s="128"/>
      <c r="I39" s="136"/>
      <c r="J39" s="128"/>
      <c r="K39" s="136"/>
      <c r="L39" s="194"/>
    </row>
    <row r="40" spans="1:12" x14ac:dyDescent="0.25">
      <c r="A40" s="216"/>
      <c r="B40" s="128"/>
      <c r="C40" s="136"/>
      <c r="D40" s="128"/>
      <c r="E40" s="136"/>
      <c r="F40" s="128"/>
      <c r="G40" s="136"/>
      <c r="H40" s="128"/>
      <c r="I40" s="136"/>
      <c r="J40" s="128"/>
      <c r="K40" s="136"/>
      <c r="L40" s="194"/>
    </row>
    <row r="41" spans="1:12" x14ac:dyDescent="0.25">
      <c r="A41" s="207" t="s">
        <v>135</v>
      </c>
      <c r="B41" s="208">
        <v>2005</v>
      </c>
      <c r="C41" s="250" t="s">
        <v>272</v>
      </c>
      <c r="D41" s="208">
        <v>2006</v>
      </c>
      <c r="E41" s="250" t="s">
        <v>272</v>
      </c>
      <c r="F41" s="208">
        <v>2007</v>
      </c>
      <c r="G41" s="250" t="s">
        <v>272</v>
      </c>
      <c r="H41" s="208">
        <v>2008</v>
      </c>
      <c r="I41" s="250" t="s">
        <v>272</v>
      </c>
      <c r="J41" s="208">
        <v>2009</v>
      </c>
      <c r="K41" s="250" t="s">
        <v>272</v>
      </c>
      <c r="L41" s="208" t="s">
        <v>273</v>
      </c>
    </row>
    <row r="42" spans="1:12" x14ac:dyDescent="0.25">
      <c r="A42" s="209" t="s">
        <v>172</v>
      </c>
      <c r="B42" s="210">
        <f>+B45-B44</f>
        <v>11766</v>
      </c>
      <c r="C42" s="136"/>
      <c r="D42" s="210">
        <f t="shared" ref="D42:J42" si="1">+D45-D44</f>
        <v>11580</v>
      </c>
      <c r="E42" s="136"/>
      <c r="F42" s="210">
        <f t="shared" si="1"/>
        <v>9825</v>
      </c>
      <c r="G42" s="136"/>
      <c r="H42" s="210">
        <f t="shared" si="1"/>
        <v>10486</v>
      </c>
      <c r="I42" s="136"/>
      <c r="J42" s="210">
        <f t="shared" si="1"/>
        <v>6961</v>
      </c>
      <c r="K42" s="136"/>
      <c r="L42" s="194"/>
    </row>
    <row r="43" spans="1:12" x14ac:dyDescent="0.25">
      <c r="A43" s="209" t="s">
        <v>121</v>
      </c>
      <c r="B43" s="260" t="s">
        <v>394</v>
      </c>
      <c r="C43" s="251"/>
      <c r="D43" s="260" t="s">
        <v>394</v>
      </c>
      <c r="E43" s="251"/>
      <c r="F43" s="260" t="s">
        <v>394</v>
      </c>
      <c r="G43" s="251"/>
      <c r="H43" s="260" t="s">
        <v>394</v>
      </c>
      <c r="I43" s="251"/>
      <c r="J43" s="260" t="s">
        <v>394</v>
      </c>
      <c r="K43" s="136"/>
      <c r="L43" s="194"/>
    </row>
    <row r="44" spans="1:12" x14ac:dyDescent="0.25">
      <c r="A44" s="209" t="s">
        <v>173</v>
      </c>
      <c r="B44" s="210">
        <v>34</v>
      </c>
      <c r="C44" s="136"/>
      <c r="D44" s="210">
        <v>20</v>
      </c>
      <c r="E44" s="136"/>
      <c r="F44" s="210">
        <v>15</v>
      </c>
      <c r="G44" s="136"/>
      <c r="H44" s="210">
        <v>14</v>
      </c>
      <c r="I44" s="136"/>
      <c r="J44" s="210">
        <v>9</v>
      </c>
      <c r="K44" s="136"/>
      <c r="L44" s="194" t="s">
        <v>485</v>
      </c>
    </row>
    <row r="45" spans="1:12" x14ac:dyDescent="0.25">
      <c r="A45" s="209" t="s">
        <v>174</v>
      </c>
      <c r="B45" s="210">
        <v>11800</v>
      </c>
      <c r="C45" s="136"/>
      <c r="D45" s="210">
        <v>11600</v>
      </c>
      <c r="E45" s="136"/>
      <c r="F45" s="210">
        <v>9840</v>
      </c>
      <c r="G45" s="136"/>
      <c r="H45" s="210">
        <v>10500</v>
      </c>
      <c r="I45" s="136"/>
      <c r="J45" s="210">
        <v>6970</v>
      </c>
      <c r="K45" s="136"/>
      <c r="L45" s="194" t="s">
        <v>485</v>
      </c>
    </row>
    <row r="46" spans="1:12" x14ac:dyDescent="0.25">
      <c r="A46" s="209" t="s">
        <v>274</v>
      </c>
      <c r="B46" s="128"/>
      <c r="C46" s="136"/>
      <c r="D46" s="128"/>
      <c r="E46" s="136"/>
      <c r="F46" s="128"/>
      <c r="G46" s="251"/>
      <c r="H46" s="128"/>
      <c r="I46" s="136"/>
      <c r="J46" s="128"/>
      <c r="K46" s="136"/>
      <c r="L46" s="194"/>
    </row>
    <row r="47" spans="1:12" x14ac:dyDescent="0.25">
      <c r="A47" s="212" t="s">
        <v>275</v>
      </c>
      <c r="B47" s="128" t="s">
        <v>139</v>
      </c>
      <c r="C47" s="251">
        <f>4060/B45</f>
        <v>0.34406779661016951</v>
      </c>
      <c r="D47" s="128" t="s">
        <v>139</v>
      </c>
      <c r="E47" s="251">
        <f>4540/D45</f>
        <v>0.39137931034482759</v>
      </c>
      <c r="F47" s="128" t="s">
        <v>139</v>
      </c>
      <c r="G47" s="251">
        <f>4450/F45</f>
        <v>0.45223577235772355</v>
      </c>
      <c r="H47" s="128" t="s">
        <v>139</v>
      </c>
      <c r="I47" s="251">
        <f>4430/H45</f>
        <v>0.42190476190476189</v>
      </c>
      <c r="J47" s="128" t="s">
        <v>139</v>
      </c>
      <c r="K47" s="251">
        <f>3200/J45</f>
        <v>0.45911047345767575</v>
      </c>
      <c r="L47" s="194"/>
    </row>
    <row r="48" spans="1:12" x14ac:dyDescent="0.25">
      <c r="A48" s="212" t="s">
        <v>32</v>
      </c>
      <c r="B48" s="128" t="s">
        <v>28</v>
      </c>
      <c r="C48" s="251">
        <f>3150/B45</f>
        <v>0.26694915254237289</v>
      </c>
      <c r="D48" s="128" t="s">
        <v>138</v>
      </c>
      <c r="E48" s="251">
        <f>2610/D45</f>
        <v>0.22500000000000001</v>
      </c>
      <c r="F48" s="128" t="s">
        <v>138</v>
      </c>
      <c r="G48" s="251">
        <f>1960/F45</f>
        <v>0.1991869918699187</v>
      </c>
      <c r="H48" s="128" t="s">
        <v>138</v>
      </c>
      <c r="I48" s="251">
        <f>2350/H45</f>
        <v>0.22380952380952382</v>
      </c>
      <c r="J48" s="128" t="s">
        <v>138</v>
      </c>
      <c r="K48" s="251">
        <f>1910/J45</f>
        <v>0.27403156384505023</v>
      </c>
      <c r="L48" s="194"/>
    </row>
    <row r="49" spans="1:12" x14ac:dyDescent="0.25">
      <c r="A49" s="212" t="s">
        <v>33</v>
      </c>
      <c r="B49" s="128" t="s">
        <v>138</v>
      </c>
      <c r="C49" s="251">
        <f>2460/B45</f>
        <v>0.20847457627118643</v>
      </c>
      <c r="D49" s="128" t="s">
        <v>28</v>
      </c>
      <c r="E49" s="251">
        <f>1640/D45</f>
        <v>0.14137931034482759</v>
      </c>
      <c r="F49" s="128" t="s">
        <v>28</v>
      </c>
      <c r="G49" s="251">
        <f>1410/F45</f>
        <v>0.14329268292682926</v>
      </c>
      <c r="H49" s="128" t="s">
        <v>28</v>
      </c>
      <c r="I49" s="251">
        <f>1940/H45</f>
        <v>0.18476190476190477</v>
      </c>
      <c r="J49" s="128" t="s">
        <v>28</v>
      </c>
      <c r="K49" s="251">
        <f>1410/J45</f>
        <v>0.20229555236728838</v>
      </c>
      <c r="L49" s="194"/>
    </row>
    <row r="50" spans="1:12" x14ac:dyDescent="0.25">
      <c r="A50" s="208"/>
      <c r="B50" s="128"/>
      <c r="C50" s="251">
        <f>SUM(C47:C49)</f>
        <v>0.81949152542372872</v>
      </c>
      <c r="D50" s="128"/>
      <c r="E50" s="251">
        <f>SUM(E47:E49)</f>
        <v>0.75775862068965516</v>
      </c>
      <c r="F50" s="128"/>
      <c r="G50" s="251">
        <f>SUM(G47:G49)</f>
        <v>0.79471544715447151</v>
      </c>
      <c r="H50" s="128"/>
      <c r="I50" s="259">
        <f>SUM(I47:I49)</f>
        <v>0.83047619047619048</v>
      </c>
      <c r="J50" s="128"/>
      <c r="K50" s="251">
        <f>SUM(K47:K49)</f>
        <v>0.93543758967001434</v>
      </c>
      <c r="L50" s="194"/>
    </row>
    <row r="51" spans="1:12" x14ac:dyDescent="0.25">
      <c r="A51" s="216"/>
      <c r="B51" s="128"/>
      <c r="C51" s="136"/>
      <c r="D51" s="128"/>
      <c r="E51" s="136"/>
      <c r="F51" s="128"/>
      <c r="G51" s="136"/>
      <c r="H51" s="128"/>
      <c r="I51" s="136"/>
      <c r="J51" s="128"/>
      <c r="K51" s="136"/>
      <c r="L51" s="194"/>
    </row>
    <row r="52" spans="1:12" x14ac:dyDescent="0.25">
      <c r="A52" s="216"/>
      <c r="B52" s="128"/>
      <c r="C52" s="136"/>
      <c r="D52" s="128"/>
      <c r="E52" s="136"/>
      <c r="F52" s="128"/>
      <c r="G52" s="136"/>
      <c r="H52" s="128"/>
      <c r="I52" s="136"/>
      <c r="J52" s="128"/>
      <c r="K52" s="136"/>
      <c r="L52" s="194"/>
    </row>
    <row r="53" spans="1:12" x14ac:dyDescent="0.25">
      <c r="A53" s="207" t="s">
        <v>277</v>
      </c>
      <c r="B53" s="208">
        <v>2005</v>
      </c>
      <c r="C53" s="250" t="s">
        <v>272</v>
      </c>
      <c r="D53" s="208">
        <v>2006</v>
      </c>
      <c r="E53" s="250" t="s">
        <v>272</v>
      </c>
      <c r="F53" s="208">
        <v>2007</v>
      </c>
      <c r="G53" s="250" t="s">
        <v>272</v>
      </c>
      <c r="H53" s="208">
        <v>2008</v>
      </c>
      <c r="I53" s="250" t="s">
        <v>272</v>
      </c>
      <c r="J53" s="208">
        <v>2009</v>
      </c>
      <c r="K53" s="250" t="s">
        <v>272</v>
      </c>
      <c r="L53" s="208" t="s">
        <v>273</v>
      </c>
    </row>
    <row r="54" spans="1:12" x14ac:dyDescent="0.25">
      <c r="A54" s="209" t="s">
        <v>172</v>
      </c>
      <c r="B54" s="128">
        <v>0.16</v>
      </c>
      <c r="C54" s="136"/>
      <c r="D54" s="128">
        <v>0.18</v>
      </c>
      <c r="E54" s="136"/>
      <c r="F54" s="128">
        <v>0.19</v>
      </c>
      <c r="G54" s="136"/>
      <c r="H54" s="128">
        <v>0.22</v>
      </c>
      <c r="I54" s="136"/>
      <c r="J54" s="128">
        <v>0.15</v>
      </c>
      <c r="K54" s="136"/>
      <c r="L54" s="194" t="s">
        <v>486</v>
      </c>
    </row>
    <row r="55" spans="1:12" x14ac:dyDescent="0.25">
      <c r="A55" s="209" t="s">
        <v>121</v>
      </c>
      <c r="B55" s="128">
        <v>0.11</v>
      </c>
      <c r="C55" s="136"/>
      <c r="D55" s="128">
        <v>0.155</v>
      </c>
      <c r="E55" s="136"/>
      <c r="F55" s="128">
        <v>0.15</v>
      </c>
      <c r="G55" s="136"/>
      <c r="H55" s="128">
        <v>0.17499999999999999</v>
      </c>
      <c r="I55" s="136"/>
      <c r="J55" s="128">
        <v>0.12</v>
      </c>
      <c r="K55" s="136"/>
      <c r="L55" s="194" t="s">
        <v>487</v>
      </c>
    </row>
    <row r="56" spans="1:12" x14ac:dyDescent="0.25">
      <c r="A56" s="209" t="s">
        <v>173</v>
      </c>
      <c r="B56" s="213" t="s">
        <v>394</v>
      </c>
      <c r="C56" s="136"/>
      <c r="D56" s="213" t="s">
        <v>394</v>
      </c>
      <c r="E56" s="136"/>
      <c r="F56" s="213" t="s">
        <v>394</v>
      </c>
      <c r="G56" s="136"/>
      <c r="H56" s="213" t="s">
        <v>394</v>
      </c>
      <c r="I56" s="136"/>
      <c r="J56" s="213" t="s">
        <v>394</v>
      </c>
      <c r="K56" s="136"/>
      <c r="L56" s="194"/>
    </row>
    <row r="57" spans="1:12" x14ac:dyDescent="0.25">
      <c r="A57" s="209" t="s">
        <v>174</v>
      </c>
      <c r="B57" s="213" t="s">
        <v>394</v>
      </c>
      <c r="C57" s="136"/>
      <c r="D57" s="213" t="s">
        <v>394</v>
      </c>
      <c r="E57" s="136"/>
      <c r="F57" s="218">
        <f>0.0126*0.04</f>
        <v>5.04E-4</v>
      </c>
      <c r="G57" s="136"/>
      <c r="H57" s="213" t="s">
        <v>394</v>
      </c>
      <c r="I57" s="136"/>
      <c r="J57" s="218">
        <v>7.2000000000000005E-4</v>
      </c>
      <c r="K57" s="136"/>
      <c r="L57" s="194"/>
    </row>
    <row r="58" spans="1:12" x14ac:dyDescent="0.25">
      <c r="A58" s="209" t="s">
        <v>274</v>
      </c>
      <c r="B58" s="128"/>
      <c r="C58" s="136"/>
      <c r="D58" s="128"/>
      <c r="E58" s="136"/>
      <c r="F58" s="128"/>
      <c r="G58" s="136"/>
      <c r="H58" s="128"/>
      <c r="I58" s="136"/>
      <c r="J58" s="128"/>
      <c r="K58" s="136"/>
      <c r="L58" s="194"/>
    </row>
    <row r="59" spans="1:12" x14ac:dyDescent="0.25">
      <c r="A59" s="212" t="s">
        <v>275</v>
      </c>
      <c r="B59" s="210" t="s">
        <v>310</v>
      </c>
      <c r="C59" s="260" t="s">
        <v>394</v>
      </c>
      <c r="D59" s="210" t="s">
        <v>310</v>
      </c>
      <c r="E59" s="260" t="s">
        <v>394</v>
      </c>
      <c r="F59" s="128" t="s">
        <v>34</v>
      </c>
      <c r="G59" s="259">
        <f>0.000504/F57</f>
        <v>1</v>
      </c>
      <c r="H59" s="210" t="s">
        <v>310</v>
      </c>
      <c r="I59" s="260" t="s">
        <v>394</v>
      </c>
      <c r="J59" s="128" t="s">
        <v>311</v>
      </c>
      <c r="K59" s="259">
        <f>0.00072/J57</f>
        <v>1</v>
      </c>
      <c r="L59" s="194"/>
    </row>
    <row r="60" spans="1:12" x14ac:dyDescent="0.25">
      <c r="A60" s="212" t="s">
        <v>32</v>
      </c>
      <c r="B60" s="210" t="s">
        <v>310</v>
      </c>
      <c r="C60" s="260" t="s">
        <v>394</v>
      </c>
      <c r="D60" s="210" t="s">
        <v>310</v>
      </c>
      <c r="E60" s="260" t="s">
        <v>394</v>
      </c>
      <c r="F60" s="210" t="s">
        <v>310</v>
      </c>
      <c r="G60" s="260" t="s">
        <v>394</v>
      </c>
      <c r="H60" s="210" t="s">
        <v>310</v>
      </c>
      <c r="I60" s="260" t="s">
        <v>394</v>
      </c>
      <c r="J60" s="210" t="s">
        <v>310</v>
      </c>
      <c r="K60" s="260" t="s">
        <v>394</v>
      </c>
      <c r="L60" s="194"/>
    </row>
    <row r="61" spans="1:12" x14ac:dyDescent="0.25">
      <c r="A61" s="212" t="s">
        <v>33</v>
      </c>
      <c r="B61" s="210" t="s">
        <v>310</v>
      </c>
      <c r="C61" s="260" t="s">
        <v>394</v>
      </c>
      <c r="D61" s="210" t="s">
        <v>310</v>
      </c>
      <c r="E61" s="260" t="s">
        <v>394</v>
      </c>
      <c r="F61" s="210" t="s">
        <v>310</v>
      </c>
      <c r="G61" s="260" t="s">
        <v>394</v>
      </c>
      <c r="H61" s="210" t="s">
        <v>310</v>
      </c>
      <c r="I61" s="260" t="s">
        <v>394</v>
      </c>
      <c r="J61" s="210" t="s">
        <v>310</v>
      </c>
      <c r="K61" s="260" t="s">
        <v>394</v>
      </c>
      <c r="L61" s="194"/>
    </row>
    <row r="62" spans="1:12" x14ac:dyDescent="0.25">
      <c r="A62" s="208"/>
      <c r="B62" s="128"/>
      <c r="C62" s="260" t="s">
        <v>394</v>
      </c>
      <c r="D62" s="128"/>
      <c r="E62" s="260" t="s">
        <v>394</v>
      </c>
      <c r="F62" s="128"/>
      <c r="G62" s="259">
        <f>SUM(G59:G61)</f>
        <v>1</v>
      </c>
      <c r="H62" s="128"/>
      <c r="I62" s="260" t="s">
        <v>394</v>
      </c>
      <c r="J62" s="128"/>
      <c r="K62" s="259">
        <f>SUM(K59:K61)</f>
        <v>1</v>
      </c>
      <c r="L62" s="194"/>
    </row>
    <row r="63" spans="1:12" x14ac:dyDescent="0.25">
      <c r="A63" s="216"/>
      <c r="B63" s="128"/>
      <c r="C63" s="136"/>
      <c r="D63" s="128"/>
      <c r="E63" s="136"/>
      <c r="F63" s="128"/>
      <c r="G63" s="136"/>
      <c r="H63" s="128"/>
      <c r="I63" s="136"/>
      <c r="J63" s="128"/>
      <c r="K63" s="136"/>
      <c r="L63" s="194"/>
    </row>
    <row r="64" spans="1:12" x14ac:dyDescent="0.25">
      <c r="A64" s="216"/>
      <c r="B64" s="128"/>
      <c r="C64" s="136"/>
      <c r="D64" s="128"/>
      <c r="E64" s="136"/>
      <c r="F64" s="128"/>
      <c r="G64" s="136"/>
      <c r="H64" s="128"/>
      <c r="I64" s="136"/>
      <c r="J64" s="128"/>
      <c r="K64" s="136"/>
      <c r="L64" s="194"/>
    </row>
    <row r="65" spans="1:12" x14ac:dyDescent="0.25">
      <c r="A65" s="207" t="s">
        <v>14</v>
      </c>
      <c r="B65" s="208">
        <v>2005</v>
      </c>
      <c r="C65" s="250" t="s">
        <v>272</v>
      </c>
      <c r="D65" s="208">
        <v>2006</v>
      </c>
      <c r="E65" s="250" t="s">
        <v>272</v>
      </c>
      <c r="F65" s="208">
        <v>2007</v>
      </c>
      <c r="G65" s="250" t="s">
        <v>272</v>
      </c>
      <c r="H65" s="208">
        <v>2008</v>
      </c>
      <c r="I65" s="250" t="s">
        <v>272</v>
      </c>
      <c r="J65" s="208">
        <v>2009</v>
      </c>
      <c r="K65" s="250" t="s">
        <v>272</v>
      </c>
      <c r="L65" s="208" t="s">
        <v>273</v>
      </c>
    </row>
    <row r="66" spans="1:12" x14ac:dyDescent="0.25">
      <c r="A66" s="209" t="s">
        <v>172</v>
      </c>
      <c r="B66" s="214" t="s">
        <v>165</v>
      </c>
      <c r="C66" s="251"/>
      <c r="D66" s="214" t="s">
        <v>165</v>
      </c>
      <c r="E66" s="251"/>
      <c r="F66" s="214" t="s">
        <v>165</v>
      </c>
      <c r="G66" s="251"/>
      <c r="H66" s="214" t="s">
        <v>165</v>
      </c>
      <c r="I66" s="251"/>
      <c r="J66" s="214" t="s">
        <v>165</v>
      </c>
      <c r="K66" s="136"/>
      <c r="L66" s="194"/>
    </row>
    <row r="67" spans="1:12" x14ac:dyDescent="0.25">
      <c r="A67" s="209" t="s">
        <v>121</v>
      </c>
      <c r="B67" s="217">
        <v>226</v>
      </c>
      <c r="C67" s="251"/>
      <c r="D67" s="217">
        <v>243</v>
      </c>
      <c r="E67" s="251"/>
      <c r="F67" s="214" t="s">
        <v>165</v>
      </c>
      <c r="G67" s="251"/>
      <c r="H67" s="214" t="s">
        <v>165</v>
      </c>
      <c r="I67" s="251"/>
      <c r="J67" s="214" t="s">
        <v>165</v>
      </c>
      <c r="K67" s="136"/>
      <c r="L67" s="194"/>
    </row>
    <row r="68" spans="1:12" x14ac:dyDescent="0.25">
      <c r="A68" s="209" t="s">
        <v>173</v>
      </c>
      <c r="B68" s="173">
        <v>2.91</v>
      </c>
      <c r="C68" s="136"/>
      <c r="D68" s="173">
        <v>4.47</v>
      </c>
      <c r="E68" s="136"/>
      <c r="F68" s="213" t="s">
        <v>394</v>
      </c>
      <c r="G68" s="136"/>
      <c r="H68" s="173">
        <v>6.14</v>
      </c>
      <c r="I68" s="136"/>
      <c r="J68" s="173">
        <v>3.81</v>
      </c>
      <c r="K68" s="136"/>
      <c r="L68" s="194" t="s">
        <v>488</v>
      </c>
    </row>
    <row r="69" spans="1:12" x14ac:dyDescent="0.25">
      <c r="A69" s="209" t="s">
        <v>174</v>
      </c>
      <c r="B69" s="173">
        <v>2.74</v>
      </c>
      <c r="C69" s="136"/>
      <c r="D69" s="173">
        <v>0.80700000000000005</v>
      </c>
      <c r="E69" s="136"/>
      <c r="F69" s="219">
        <v>2.27</v>
      </c>
      <c r="G69" s="136"/>
      <c r="H69" s="173">
        <v>1.95</v>
      </c>
      <c r="I69" s="136"/>
      <c r="J69" s="219">
        <v>1.39</v>
      </c>
      <c r="K69" s="136"/>
      <c r="L69" s="194" t="s">
        <v>489</v>
      </c>
    </row>
    <row r="70" spans="1:12" x14ac:dyDescent="0.25">
      <c r="A70" s="209" t="s">
        <v>274</v>
      </c>
      <c r="B70" s="128"/>
      <c r="C70" s="136"/>
      <c r="D70" s="128"/>
      <c r="E70" s="136"/>
      <c r="F70" s="128"/>
      <c r="G70" s="136"/>
      <c r="H70" s="128"/>
      <c r="I70" s="136"/>
      <c r="J70" s="128"/>
      <c r="K70" s="136"/>
      <c r="L70" s="194"/>
    </row>
    <row r="71" spans="1:12" x14ac:dyDescent="0.25">
      <c r="A71" s="212" t="s">
        <v>275</v>
      </c>
      <c r="B71" s="210" t="s">
        <v>310</v>
      </c>
      <c r="C71" s="260" t="s">
        <v>394</v>
      </c>
      <c r="D71" s="210" t="s">
        <v>310</v>
      </c>
      <c r="E71" s="260" t="s">
        <v>394</v>
      </c>
      <c r="F71" s="210" t="s">
        <v>310</v>
      </c>
      <c r="G71" s="260" t="s">
        <v>394</v>
      </c>
      <c r="H71" s="128" t="s">
        <v>141</v>
      </c>
      <c r="I71" s="261">
        <v>0.95</v>
      </c>
      <c r="J71" s="128" t="s">
        <v>141</v>
      </c>
      <c r="K71" s="261">
        <v>0.95</v>
      </c>
      <c r="L71" s="194"/>
    </row>
    <row r="72" spans="1:12" x14ac:dyDescent="0.25">
      <c r="A72" s="212" t="s">
        <v>32</v>
      </c>
      <c r="B72" s="210" t="s">
        <v>310</v>
      </c>
      <c r="C72" s="260" t="s">
        <v>394</v>
      </c>
      <c r="D72" s="210" t="s">
        <v>310</v>
      </c>
      <c r="E72" s="260" t="s">
        <v>394</v>
      </c>
      <c r="F72" s="210" t="s">
        <v>310</v>
      </c>
      <c r="G72" s="260" t="s">
        <v>394</v>
      </c>
      <c r="H72" s="210" t="s">
        <v>310</v>
      </c>
      <c r="I72" s="260" t="s">
        <v>394</v>
      </c>
      <c r="J72" s="210" t="s">
        <v>310</v>
      </c>
      <c r="K72" s="260" t="s">
        <v>394</v>
      </c>
      <c r="L72" s="194"/>
    </row>
    <row r="73" spans="1:12" x14ac:dyDescent="0.25">
      <c r="A73" s="212" t="s">
        <v>33</v>
      </c>
      <c r="B73" s="210" t="s">
        <v>310</v>
      </c>
      <c r="C73" s="260" t="s">
        <v>394</v>
      </c>
      <c r="D73" s="210" t="s">
        <v>310</v>
      </c>
      <c r="E73" s="260" t="s">
        <v>394</v>
      </c>
      <c r="F73" s="210" t="s">
        <v>310</v>
      </c>
      <c r="G73" s="260" t="s">
        <v>394</v>
      </c>
      <c r="H73" s="210" t="s">
        <v>310</v>
      </c>
      <c r="I73" s="260" t="s">
        <v>394</v>
      </c>
      <c r="J73" s="210" t="s">
        <v>310</v>
      </c>
      <c r="K73" s="260" t="s">
        <v>394</v>
      </c>
      <c r="L73" s="194"/>
    </row>
    <row r="74" spans="1:12" x14ac:dyDescent="0.25">
      <c r="A74" s="208"/>
      <c r="B74" s="128"/>
      <c r="C74" s="259">
        <f>SUM(C71:C73)</f>
        <v>0</v>
      </c>
      <c r="D74" s="128"/>
      <c r="E74" s="259">
        <f>SUM(E71:E73)</f>
        <v>0</v>
      </c>
      <c r="F74" s="128"/>
      <c r="G74" s="259">
        <f>SUM(G71:G73)</f>
        <v>0</v>
      </c>
      <c r="H74" s="128"/>
      <c r="I74" s="259">
        <f>SUM(I71:I73)</f>
        <v>0.95</v>
      </c>
      <c r="J74" s="128"/>
      <c r="K74" s="259">
        <f>SUM(K71:K73)</f>
        <v>0.95</v>
      </c>
      <c r="L74" s="194"/>
    </row>
    <row r="75" spans="1:12" x14ac:dyDescent="0.25">
      <c r="A75" s="216"/>
      <c r="B75" s="128"/>
      <c r="C75" s="136"/>
      <c r="D75" s="128"/>
      <c r="E75" s="136"/>
      <c r="F75" s="128"/>
      <c r="G75" s="136"/>
      <c r="H75" s="128"/>
      <c r="I75" s="136"/>
      <c r="J75" s="128"/>
      <c r="K75" s="136"/>
      <c r="L75" s="194"/>
    </row>
    <row r="76" spans="1:12" x14ac:dyDescent="0.25">
      <c r="A76" s="216"/>
      <c r="B76" s="128"/>
      <c r="C76" s="136"/>
      <c r="D76" s="128"/>
      <c r="E76" s="136"/>
      <c r="F76" s="128"/>
      <c r="G76" s="136"/>
      <c r="H76" s="128"/>
      <c r="I76" s="136"/>
      <c r="J76" s="128"/>
      <c r="K76" s="136"/>
      <c r="L76" s="194"/>
    </row>
    <row r="77" spans="1:12" x14ac:dyDescent="0.25">
      <c r="A77" s="207" t="s">
        <v>264</v>
      </c>
      <c r="B77" s="208">
        <v>2005</v>
      </c>
      <c r="C77" s="250" t="s">
        <v>272</v>
      </c>
      <c r="D77" s="208">
        <v>2006</v>
      </c>
      <c r="E77" s="250" t="s">
        <v>272</v>
      </c>
      <c r="F77" s="208">
        <v>2007</v>
      </c>
      <c r="G77" s="250" t="s">
        <v>272</v>
      </c>
      <c r="H77" s="208">
        <v>2008</v>
      </c>
      <c r="I77" s="250" t="s">
        <v>272</v>
      </c>
      <c r="J77" s="208">
        <v>2009</v>
      </c>
      <c r="K77" s="250" t="s">
        <v>272</v>
      </c>
      <c r="L77" s="208" t="s">
        <v>273</v>
      </c>
    </row>
    <row r="78" spans="1:12" x14ac:dyDescent="0.25">
      <c r="A78" s="209" t="s">
        <v>172</v>
      </c>
      <c r="B78" s="214" t="s">
        <v>165</v>
      </c>
      <c r="C78" s="251"/>
      <c r="D78" s="214" t="s">
        <v>165</v>
      </c>
      <c r="E78" s="251"/>
      <c r="F78" s="214" t="s">
        <v>165</v>
      </c>
      <c r="G78" s="251"/>
      <c r="H78" s="214" t="s">
        <v>165</v>
      </c>
      <c r="I78" s="251"/>
      <c r="J78" s="214" t="s">
        <v>165</v>
      </c>
      <c r="K78" s="136"/>
      <c r="L78" s="194" t="s">
        <v>490</v>
      </c>
    </row>
    <row r="79" spans="1:12" x14ac:dyDescent="0.25">
      <c r="A79" s="209" t="s">
        <v>121</v>
      </c>
      <c r="B79" s="213" t="s">
        <v>394</v>
      </c>
      <c r="C79" s="251"/>
      <c r="D79" s="213" t="s">
        <v>394</v>
      </c>
      <c r="E79" s="251"/>
      <c r="F79" s="213" t="s">
        <v>394</v>
      </c>
      <c r="G79" s="251"/>
      <c r="H79" s="213" t="s">
        <v>394</v>
      </c>
      <c r="I79" s="251"/>
      <c r="J79" s="213" t="s">
        <v>394</v>
      </c>
      <c r="K79" s="136"/>
      <c r="L79" s="194"/>
    </row>
    <row r="80" spans="1:12" x14ac:dyDescent="0.25">
      <c r="A80" s="209" t="s">
        <v>173</v>
      </c>
      <c r="B80" s="173">
        <v>13.7</v>
      </c>
      <c r="C80" s="136"/>
      <c r="D80" s="173">
        <v>17.399999999999999</v>
      </c>
      <c r="E80" s="136"/>
      <c r="F80" s="173">
        <v>12</v>
      </c>
      <c r="G80" s="136"/>
      <c r="H80" s="173">
        <v>2.2799999999999998</v>
      </c>
      <c r="I80" s="136"/>
      <c r="J80" s="173">
        <v>0.74299999999999999</v>
      </c>
      <c r="K80" s="136"/>
      <c r="L80" s="194"/>
    </row>
    <row r="81" spans="1:12" x14ac:dyDescent="0.25">
      <c r="A81" s="209" t="s">
        <v>174</v>
      </c>
      <c r="B81" s="173">
        <v>52.9</v>
      </c>
      <c r="C81" s="136"/>
      <c r="D81" s="173">
        <v>53.8</v>
      </c>
      <c r="E81" s="136"/>
      <c r="F81" s="219">
        <v>46.4</v>
      </c>
      <c r="G81" s="136"/>
      <c r="H81" s="173">
        <v>64.3</v>
      </c>
      <c r="I81" s="136"/>
      <c r="J81" s="219">
        <v>23</v>
      </c>
      <c r="K81" s="136"/>
      <c r="L81" s="194"/>
    </row>
    <row r="82" spans="1:12" x14ac:dyDescent="0.25">
      <c r="A82" s="209" t="s">
        <v>274</v>
      </c>
      <c r="B82" s="128"/>
      <c r="C82" s="136"/>
      <c r="D82" s="128"/>
      <c r="E82" s="136"/>
      <c r="F82" s="128"/>
      <c r="G82" s="136"/>
      <c r="H82" s="128"/>
      <c r="I82" s="136"/>
      <c r="J82" s="128"/>
      <c r="K82" s="136"/>
      <c r="L82" s="194"/>
    </row>
    <row r="83" spans="1:12" x14ac:dyDescent="0.25">
      <c r="A83" s="212" t="s">
        <v>275</v>
      </c>
      <c r="B83" s="128" t="s">
        <v>34</v>
      </c>
      <c r="C83" s="261">
        <v>0.99</v>
      </c>
      <c r="D83" s="128" t="s">
        <v>34</v>
      </c>
      <c r="E83" s="261">
        <v>0.99</v>
      </c>
      <c r="F83" s="128" t="s">
        <v>34</v>
      </c>
      <c r="G83" s="261">
        <v>0.99</v>
      </c>
      <c r="H83" s="128" t="s">
        <v>34</v>
      </c>
      <c r="I83" s="261">
        <v>1</v>
      </c>
      <c r="J83" s="128" t="s">
        <v>34</v>
      </c>
      <c r="K83" s="261">
        <v>1</v>
      </c>
      <c r="L83" s="194"/>
    </row>
    <row r="84" spans="1:12" x14ac:dyDescent="0.25">
      <c r="A84" s="212" t="s">
        <v>32</v>
      </c>
      <c r="B84" s="128" t="s">
        <v>38</v>
      </c>
      <c r="C84" s="261">
        <v>0.01</v>
      </c>
      <c r="D84" s="128" t="s">
        <v>38</v>
      </c>
      <c r="E84" s="260">
        <v>8.9999999999999993E-3</v>
      </c>
      <c r="F84" s="128" t="s">
        <v>38</v>
      </c>
      <c r="G84" s="260">
        <v>8.9999999999999993E-3</v>
      </c>
      <c r="H84" s="210" t="s">
        <v>310</v>
      </c>
      <c r="I84" s="260" t="s">
        <v>394</v>
      </c>
      <c r="J84" s="210" t="s">
        <v>310</v>
      </c>
      <c r="K84" s="260" t="s">
        <v>394</v>
      </c>
      <c r="L84" s="194"/>
    </row>
    <row r="85" spans="1:12" x14ac:dyDescent="0.25">
      <c r="A85" s="212" t="s">
        <v>33</v>
      </c>
      <c r="B85" s="210" t="s">
        <v>310</v>
      </c>
      <c r="C85" s="260" t="s">
        <v>394</v>
      </c>
      <c r="D85" s="128" t="s">
        <v>22</v>
      </c>
      <c r="E85" s="261">
        <v>1E-4</v>
      </c>
      <c r="F85" s="128" t="s">
        <v>22</v>
      </c>
      <c r="G85" s="261">
        <v>1E-4</v>
      </c>
      <c r="H85" s="210" t="s">
        <v>310</v>
      </c>
      <c r="I85" s="260" t="s">
        <v>394</v>
      </c>
      <c r="J85" s="210" t="s">
        <v>310</v>
      </c>
      <c r="K85" s="260" t="s">
        <v>394</v>
      </c>
      <c r="L85" s="194"/>
    </row>
    <row r="86" spans="1:12" x14ac:dyDescent="0.25">
      <c r="A86" s="208"/>
      <c r="B86" s="128"/>
      <c r="C86" s="259">
        <f>SUM(C83:C85)</f>
        <v>1</v>
      </c>
      <c r="D86" s="128"/>
      <c r="E86" s="251">
        <f>SUM(E83:E85)</f>
        <v>0.99909999999999999</v>
      </c>
      <c r="F86" s="128"/>
      <c r="G86" s="251">
        <f>SUM(G83:G85)</f>
        <v>0.99909999999999999</v>
      </c>
      <c r="H86" s="128"/>
      <c r="I86" s="259">
        <f>SUM(I83:I85)</f>
        <v>1</v>
      </c>
      <c r="J86" s="128"/>
      <c r="K86" s="259">
        <f>SUM(K83:K85)</f>
        <v>1</v>
      </c>
      <c r="L86" s="194"/>
    </row>
    <row r="87" spans="1:12" x14ac:dyDescent="0.25">
      <c r="A87" s="216"/>
      <c r="B87" s="128"/>
      <c r="C87" s="136"/>
      <c r="D87" s="128"/>
      <c r="E87" s="136"/>
      <c r="F87" s="128"/>
      <c r="G87" s="136"/>
      <c r="H87" s="128"/>
      <c r="I87" s="136"/>
      <c r="J87" s="128"/>
      <c r="K87" s="136"/>
      <c r="L87" s="194"/>
    </row>
    <row r="88" spans="1:12" x14ac:dyDescent="0.25">
      <c r="A88" s="216"/>
      <c r="B88" s="128"/>
      <c r="C88" s="136"/>
      <c r="D88" s="128"/>
      <c r="E88" s="136"/>
      <c r="F88" s="128"/>
      <c r="G88" s="136"/>
      <c r="H88" s="128"/>
      <c r="I88" s="136"/>
      <c r="J88" s="128"/>
      <c r="K88" s="136"/>
      <c r="L88" s="194"/>
    </row>
    <row r="89" spans="1:12" x14ac:dyDescent="0.25">
      <c r="A89" s="207" t="s">
        <v>16</v>
      </c>
      <c r="B89" s="208">
        <v>2005</v>
      </c>
      <c r="C89" s="250" t="s">
        <v>272</v>
      </c>
      <c r="D89" s="208">
        <v>2006</v>
      </c>
      <c r="E89" s="250" t="s">
        <v>272</v>
      </c>
      <c r="F89" s="208">
        <v>2007</v>
      </c>
      <c r="G89" s="250" t="s">
        <v>272</v>
      </c>
      <c r="H89" s="208">
        <v>2008</v>
      </c>
      <c r="I89" s="250" t="s">
        <v>272</v>
      </c>
      <c r="J89" s="208">
        <v>2009</v>
      </c>
      <c r="K89" s="250" t="s">
        <v>272</v>
      </c>
      <c r="L89" s="208" t="s">
        <v>273</v>
      </c>
    </row>
    <row r="90" spans="1:12" x14ac:dyDescent="0.25">
      <c r="A90" s="209" t="s">
        <v>172</v>
      </c>
      <c r="B90" s="128">
        <f>+B91+B93-B92</f>
        <v>153863.223</v>
      </c>
      <c r="C90" s="136"/>
      <c r="D90" s="128">
        <f>+D91+D93-D92</f>
        <v>162892.19200000001</v>
      </c>
      <c r="E90" s="136"/>
      <c r="F90" s="128">
        <f>+F91+F93-F92</f>
        <v>137866.84099999999</v>
      </c>
      <c r="G90" s="136"/>
      <c r="H90" s="128">
        <f>+H91+H93-H92</f>
        <v>155699.64000000001</v>
      </c>
      <c r="I90" s="136"/>
      <c r="J90" s="128">
        <f>+J91+J93-J92</f>
        <v>148849.13699999999</v>
      </c>
      <c r="K90" s="136"/>
      <c r="L90" s="194"/>
    </row>
    <row r="91" spans="1:12" x14ac:dyDescent="0.25">
      <c r="A91" s="209" t="s">
        <v>121</v>
      </c>
      <c r="B91" s="211">
        <v>154000</v>
      </c>
      <c r="C91" s="136"/>
      <c r="D91" s="211">
        <v>163000</v>
      </c>
      <c r="E91" s="136"/>
      <c r="F91" s="211">
        <v>138000</v>
      </c>
      <c r="G91" s="136"/>
      <c r="H91" s="211">
        <v>156000</v>
      </c>
      <c r="I91" s="136"/>
      <c r="J91" s="211">
        <v>149000</v>
      </c>
      <c r="K91" s="136"/>
      <c r="L91" s="194"/>
    </row>
    <row r="92" spans="1:12" x14ac:dyDescent="0.25">
      <c r="A92" s="209" t="s">
        <v>173</v>
      </c>
      <c r="B92" s="211">
        <v>137</v>
      </c>
      <c r="C92" s="136"/>
      <c r="D92" s="211">
        <v>108</v>
      </c>
      <c r="E92" s="136"/>
      <c r="F92" s="211">
        <v>134</v>
      </c>
      <c r="G92" s="136"/>
      <c r="H92" s="211">
        <v>301</v>
      </c>
      <c r="I92" s="136"/>
      <c r="J92" s="211">
        <v>151</v>
      </c>
      <c r="K92" s="136"/>
      <c r="L92" s="194" t="s">
        <v>491</v>
      </c>
    </row>
    <row r="93" spans="1:12" x14ac:dyDescent="0.25">
      <c r="A93" s="209" t="s">
        <v>174</v>
      </c>
      <c r="B93" s="173">
        <v>0.223</v>
      </c>
      <c r="C93" s="136"/>
      <c r="D93" s="173">
        <v>0.192</v>
      </c>
      <c r="E93" s="136"/>
      <c r="F93" s="219">
        <v>0.84099999999999997</v>
      </c>
      <c r="G93" s="136"/>
      <c r="H93" s="173">
        <v>0.64</v>
      </c>
      <c r="I93" s="136"/>
      <c r="J93" s="219">
        <v>0.13700000000000001</v>
      </c>
      <c r="K93" s="136"/>
      <c r="L93" s="194" t="s">
        <v>491</v>
      </c>
    </row>
    <row r="94" spans="1:12" x14ac:dyDescent="0.25">
      <c r="A94" s="209" t="s">
        <v>274</v>
      </c>
      <c r="B94" s="128"/>
      <c r="C94" s="136"/>
      <c r="D94" s="128"/>
      <c r="E94" s="136"/>
      <c r="F94" s="128"/>
      <c r="G94" s="136"/>
      <c r="H94" s="128"/>
      <c r="I94" s="136"/>
      <c r="J94" s="128"/>
      <c r="K94" s="136"/>
      <c r="L94" s="194"/>
    </row>
    <row r="95" spans="1:12" x14ac:dyDescent="0.25">
      <c r="A95" s="212" t="s">
        <v>275</v>
      </c>
      <c r="B95" s="128" t="s">
        <v>73</v>
      </c>
      <c r="C95" s="261">
        <v>0.99</v>
      </c>
      <c r="D95" s="128" t="s">
        <v>38</v>
      </c>
      <c r="E95" s="261">
        <v>0.99</v>
      </c>
      <c r="F95" s="128" t="s">
        <v>38</v>
      </c>
      <c r="G95" s="261">
        <v>0.78</v>
      </c>
      <c r="H95" s="128" t="s">
        <v>38</v>
      </c>
      <c r="I95" s="261">
        <v>0.63</v>
      </c>
      <c r="J95" s="128" t="s">
        <v>38</v>
      </c>
      <c r="K95" s="261">
        <v>1</v>
      </c>
      <c r="L95" s="194"/>
    </row>
    <row r="96" spans="1:12" x14ac:dyDescent="0.25">
      <c r="A96" s="212" t="s">
        <v>32</v>
      </c>
      <c r="B96" s="128" t="s">
        <v>38</v>
      </c>
      <c r="C96" s="261">
        <v>0.01</v>
      </c>
      <c r="D96" s="128" t="s">
        <v>189</v>
      </c>
      <c r="E96" s="261">
        <v>0.01</v>
      </c>
      <c r="F96" s="128" t="s">
        <v>44</v>
      </c>
      <c r="G96" s="261">
        <v>0.21</v>
      </c>
      <c r="H96" s="128" t="s">
        <v>44</v>
      </c>
      <c r="I96" s="261">
        <v>0.37</v>
      </c>
      <c r="J96" s="210" t="s">
        <v>310</v>
      </c>
      <c r="K96" s="260" t="s">
        <v>394</v>
      </c>
      <c r="L96" s="194"/>
    </row>
    <row r="97" spans="1:12" x14ac:dyDescent="0.25">
      <c r="A97" s="212" t="s">
        <v>33</v>
      </c>
      <c r="B97" s="210" t="s">
        <v>310</v>
      </c>
      <c r="C97" s="260" t="s">
        <v>394</v>
      </c>
      <c r="D97" s="210" t="s">
        <v>310</v>
      </c>
      <c r="E97" s="260" t="s">
        <v>394</v>
      </c>
      <c r="F97" s="128" t="s">
        <v>178</v>
      </c>
      <c r="G97" s="261">
        <v>0.01</v>
      </c>
      <c r="H97" s="210" t="s">
        <v>310</v>
      </c>
      <c r="I97" s="260" t="s">
        <v>394</v>
      </c>
      <c r="J97" s="210" t="s">
        <v>310</v>
      </c>
      <c r="K97" s="260" t="s">
        <v>394</v>
      </c>
      <c r="L97" s="194"/>
    </row>
    <row r="98" spans="1:12" x14ac:dyDescent="0.25">
      <c r="A98" s="208"/>
      <c r="B98" s="128"/>
      <c r="C98" s="259">
        <f>SUM(C95:C97)</f>
        <v>1</v>
      </c>
      <c r="D98" s="128"/>
      <c r="E98" s="259">
        <f>SUM(E95:E97)</f>
        <v>1</v>
      </c>
      <c r="F98" s="128"/>
      <c r="G98" s="259">
        <f>SUM(G95:G97)</f>
        <v>1</v>
      </c>
      <c r="H98" s="128"/>
      <c r="I98" s="259">
        <f>SUM(I95:I97)</f>
        <v>1</v>
      </c>
      <c r="J98" s="128"/>
      <c r="K98" s="259">
        <f>SUM(K95:K97)</f>
        <v>1</v>
      </c>
      <c r="L98" s="194"/>
    </row>
    <row r="99" spans="1:12" x14ac:dyDescent="0.25">
      <c r="A99" s="216"/>
      <c r="B99" s="128"/>
      <c r="C99" s="136"/>
      <c r="D99" s="128"/>
      <c r="E99" s="136"/>
      <c r="F99" s="128"/>
      <c r="G99" s="136"/>
      <c r="H99" s="128"/>
      <c r="I99" s="136"/>
      <c r="J99" s="128"/>
      <c r="K99" s="136"/>
      <c r="L99" s="194"/>
    </row>
    <row r="100" spans="1:12" x14ac:dyDescent="0.25">
      <c r="A100" s="216"/>
      <c r="B100" s="128"/>
      <c r="C100" s="136"/>
      <c r="D100" s="128"/>
      <c r="E100" s="136"/>
      <c r="F100" s="128"/>
      <c r="G100" s="136"/>
      <c r="H100" s="128"/>
      <c r="I100" s="136"/>
      <c r="J100" s="128"/>
      <c r="K100" s="136"/>
      <c r="L100" s="194"/>
    </row>
    <row r="101" spans="1:12" x14ac:dyDescent="0.25">
      <c r="A101" s="207" t="s">
        <v>17</v>
      </c>
      <c r="B101" s="208">
        <v>2005</v>
      </c>
      <c r="C101" s="250" t="s">
        <v>272</v>
      </c>
      <c r="D101" s="208">
        <v>2006</v>
      </c>
      <c r="E101" s="250" t="s">
        <v>272</v>
      </c>
      <c r="F101" s="208">
        <v>2007</v>
      </c>
      <c r="G101" s="250" t="s">
        <v>272</v>
      </c>
      <c r="H101" s="208">
        <v>2008</v>
      </c>
      <c r="I101" s="250" t="s">
        <v>272</v>
      </c>
      <c r="J101" s="208">
        <v>2009</v>
      </c>
      <c r="K101" s="250" t="s">
        <v>272</v>
      </c>
      <c r="L101" s="208" t="s">
        <v>273</v>
      </c>
    </row>
    <row r="102" spans="1:12" x14ac:dyDescent="0.25">
      <c r="A102" s="209" t="s">
        <v>172</v>
      </c>
      <c r="B102" s="210">
        <f>+B103+B105-B104</f>
        <v>761</v>
      </c>
      <c r="C102" s="136"/>
      <c r="D102" s="128">
        <f>+D103+D105-D104</f>
        <v>754.78</v>
      </c>
      <c r="E102" s="136"/>
      <c r="F102" s="128">
        <f>+F103+F105-F104</f>
        <v>723.59</v>
      </c>
      <c r="G102" s="136"/>
      <c r="H102" s="128">
        <f>+H103+H105-H104</f>
        <v>637.42999999999995</v>
      </c>
      <c r="I102" s="136"/>
      <c r="J102" s="128">
        <f>+J103+J105-J104</f>
        <v>544.6</v>
      </c>
      <c r="K102" s="136"/>
      <c r="L102" s="194" t="s">
        <v>492</v>
      </c>
    </row>
    <row r="103" spans="1:12" x14ac:dyDescent="0.25">
      <c r="A103" s="209" t="s">
        <v>121</v>
      </c>
      <c r="B103" s="211">
        <v>750</v>
      </c>
      <c r="C103" s="136"/>
      <c r="D103" s="211">
        <v>760</v>
      </c>
      <c r="E103" s="136"/>
      <c r="F103" s="211">
        <v>730</v>
      </c>
      <c r="G103" s="136"/>
      <c r="H103" s="211">
        <v>650</v>
      </c>
      <c r="I103" s="136"/>
      <c r="J103" s="211">
        <v>550</v>
      </c>
      <c r="K103" s="136"/>
      <c r="L103" s="194"/>
    </row>
    <row r="104" spans="1:12" x14ac:dyDescent="0.25">
      <c r="A104" s="209" t="s">
        <v>173</v>
      </c>
      <c r="B104" s="173">
        <v>15.2</v>
      </c>
      <c r="C104" s="136"/>
      <c r="D104" s="173">
        <v>10.4</v>
      </c>
      <c r="E104" s="136"/>
      <c r="F104" s="173">
        <v>9.98</v>
      </c>
      <c r="G104" s="136"/>
      <c r="H104" s="173">
        <v>14.6</v>
      </c>
      <c r="I104" s="136"/>
      <c r="J104" s="173">
        <v>7.52</v>
      </c>
      <c r="K104" s="136"/>
      <c r="L104" s="194"/>
    </row>
    <row r="105" spans="1:12" x14ac:dyDescent="0.25">
      <c r="A105" s="209" t="s">
        <v>174</v>
      </c>
      <c r="B105" s="173">
        <v>26.2</v>
      </c>
      <c r="C105" s="136"/>
      <c r="D105" s="173">
        <v>5.18</v>
      </c>
      <c r="E105" s="136"/>
      <c r="F105" s="219">
        <v>3.57</v>
      </c>
      <c r="G105" s="136"/>
      <c r="H105" s="173">
        <v>2.0299999999999998</v>
      </c>
      <c r="I105" s="136"/>
      <c r="J105" s="219">
        <v>2.12</v>
      </c>
      <c r="K105" s="136"/>
      <c r="L105" s="194"/>
    </row>
    <row r="106" spans="1:12" x14ac:dyDescent="0.25">
      <c r="A106" s="209" t="s">
        <v>274</v>
      </c>
      <c r="B106" s="128"/>
      <c r="C106" s="136"/>
      <c r="D106" s="128"/>
      <c r="E106" s="136"/>
      <c r="F106" s="128"/>
      <c r="G106" s="136"/>
      <c r="H106" s="128"/>
      <c r="I106" s="136"/>
      <c r="J106" s="128"/>
      <c r="K106" s="136"/>
      <c r="L106" s="194"/>
    </row>
    <row r="107" spans="1:12" x14ac:dyDescent="0.25">
      <c r="A107" s="212" t="s">
        <v>275</v>
      </c>
      <c r="B107" s="128" t="s">
        <v>71</v>
      </c>
      <c r="C107" s="261">
        <v>0.76</v>
      </c>
      <c r="D107" s="128" t="s">
        <v>73</v>
      </c>
      <c r="E107" s="261">
        <v>0.98</v>
      </c>
      <c r="F107" s="128" t="s">
        <v>73</v>
      </c>
      <c r="G107" s="260">
        <v>0.74789915966386555</v>
      </c>
      <c r="H107" s="128" t="s">
        <v>73</v>
      </c>
      <c r="I107" s="251">
        <v>0.76354679802955661</v>
      </c>
      <c r="J107" s="128" t="s">
        <v>73</v>
      </c>
      <c r="K107" s="260">
        <v>0.58490566037735847</v>
      </c>
      <c r="L107" s="194"/>
    </row>
    <row r="108" spans="1:12" x14ac:dyDescent="0.25">
      <c r="A108" s="212" t="s">
        <v>32</v>
      </c>
      <c r="B108" s="128" t="s">
        <v>73</v>
      </c>
      <c r="C108" s="261">
        <v>0.23</v>
      </c>
      <c r="D108" s="128" t="s">
        <v>189</v>
      </c>
      <c r="E108" s="261">
        <v>0.02</v>
      </c>
      <c r="F108" s="128" t="s">
        <v>38</v>
      </c>
      <c r="G108" s="260">
        <v>0.23305322128851541</v>
      </c>
      <c r="H108" s="128" t="s">
        <v>57</v>
      </c>
      <c r="I108" s="259">
        <v>0.1103448275862069</v>
      </c>
      <c r="J108" s="128" t="s">
        <v>57</v>
      </c>
      <c r="K108" s="260">
        <v>0.39433962264150946</v>
      </c>
      <c r="L108" s="194"/>
    </row>
    <row r="109" spans="1:12" x14ac:dyDescent="0.25">
      <c r="A109" s="212" t="s">
        <v>33</v>
      </c>
      <c r="B109" s="128" t="s">
        <v>189</v>
      </c>
      <c r="C109" s="261">
        <v>0.01</v>
      </c>
      <c r="D109" s="210" t="s">
        <v>310</v>
      </c>
      <c r="E109" s="260" t="s">
        <v>394</v>
      </c>
      <c r="F109" s="128" t="s">
        <v>57</v>
      </c>
      <c r="G109" s="260">
        <v>1.1204481792717087E-2</v>
      </c>
      <c r="H109" s="128" t="s">
        <v>27</v>
      </c>
      <c r="I109" s="260">
        <v>6.7980295566502466E-2</v>
      </c>
      <c r="J109" s="128" t="s">
        <v>178</v>
      </c>
      <c r="K109" s="261">
        <v>0.02</v>
      </c>
      <c r="L109" s="194"/>
    </row>
    <row r="110" spans="1:12" x14ac:dyDescent="0.25">
      <c r="A110" s="207"/>
      <c r="B110" s="128"/>
      <c r="C110" s="259">
        <f>SUM(C107:C109)</f>
        <v>1</v>
      </c>
      <c r="D110" s="128"/>
      <c r="E110" s="259">
        <f>SUM(E107:E109)</f>
        <v>1</v>
      </c>
      <c r="F110" s="128"/>
      <c r="G110" s="251">
        <f>SUM(G107:G109)</f>
        <v>0.99215686274509807</v>
      </c>
      <c r="H110" s="128"/>
      <c r="I110" s="251">
        <f>SUM(I107:I109)</f>
        <v>0.94187192118226593</v>
      </c>
      <c r="J110" s="128"/>
      <c r="K110" s="251">
        <f>SUM(K107:K109)</f>
        <v>0.99924528301886795</v>
      </c>
      <c r="L110" s="194"/>
    </row>
    <row r="111" spans="1:12" x14ac:dyDescent="0.25">
      <c r="A111" s="207"/>
      <c r="B111" s="128"/>
      <c r="C111" s="136"/>
      <c r="D111" s="128"/>
      <c r="E111" s="258"/>
      <c r="F111" s="128"/>
      <c r="G111" s="136"/>
      <c r="H111" s="128"/>
      <c r="I111" s="136"/>
      <c r="J111" s="128"/>
      <c r="K111" s="136"/>
      <c r="L111" s="194"/>
    </row>
    <row r="112" spans="1:12" x14ac:dyDescent="0.25">
      <c r="A112" s="207"/>
      <c r="B112" s="128"/>
      <c r="C112" s="136"/>
      <c r="D112" s="128"/>
      <c r="E112" s="136"/>
      <c r="F112" s="128"/>
      <c r="G112" s="136"/>
      <c r="H112" s="128"/>
      <c r="I112" s="136"/>
      <c r="J112" s="128"/>
      <c r="K112" s="136"/>
      <c r="L112" s="194"/>
    </row>
    <row r="113" spans="1:12" x14ac:dyDescent="0.25">
      <c r="A113" s="207" t="s">
        <v>21</v>
      </c>
      <c r="B113" s="208">
        <v>2005</v>
      </c>
      <c r="C113" s="250" t="s">
        <v>272</v>
      </c>
      <c r="D113" s="208">
        <v>2006</v>
      </c>
      <c r="E113" s="250" t="s">
        <v>272</v>
      </c>
      <c r="F113" s="208">
        <v>2007</v>
      </c>
      <c r="G113" s="250" t="s">
        <v>272</v>
      </c>
      <c r="H113" s="208">
        <v>2008</v>
      </c>
      <c r="I113" s="250" t="s">
        <v>272</v>
      </c>
      <c r="J113" s="208">
        <v>2009</v>
      </c>
      <c r="K113" s="250" t="s">
        <v>272</v>
      </c>
      <c r="L113" s="208" t="s">
        <v>273</v>
      </c>
    </row>
    <row r="114" spans="1:12" x14ac:dyDescent="0.25">
      <c r="A114" s="209" t="s">
        <v>172</v>
      </c>
      <c r="B114" s="128">
        <f>+B115+B117-B116</f>
        <v>0.25625000000000003</v>
      </c>
      <c r="C114" s="136"/>
      <c r="D114" s="128">
        <f>+D115+D117-D116</f>
        <v>0.25039999999999996</v>
      </c>
      <c r="E114" s="136"/>
      <c r="F114" s="128">
        <f>+F115+F117-F116</f>
        <v>0.235656</v>
      </c>
      <c r="G114" s="136"/>
      <c r="H114" s="128">
        <f>+H115+H117-H116</f>
        <v>0.25807000000000002</v>
      </c>
      <c r="I114" s="136"/>
      <c r="J114" s="128">
        <f>+J115+J117-J116</f>
        <v>0.26744000000000001</v>
      </c>
      <c r="K114" s="136"/>
      <c r="L114" s="194"/>
    </row>
    <row r="115" spans="1:12" x14ac:dyDescent="0.25">
      <c r="A115" s="209" t="s">
        <v>121</v>
      </c>
      <c r="B115" s="220">
        <v>0.25600000000000001</v>
      </c>
      <c r="C115" s="252"/>
      <c r="D115" s="220">
        <v>0.252</v>
      </c>
      <c r="E115" s="252"/>
      <c r="F115" s="220">
        <v>0.23799999999999999</v>
      </c>
      <c r="G115" s="257"/>
      <c r="H115" s="220">
        <v>0.23300000000000001</v>
      </c>
      <c r="I115" s="252"/>
      <c r="J115" s="220">
        <v>0.223</v>
      </c>
      <c r="K115" s="136"/>
      <c r="L115" s="194"/>
    </row>
    <row r="116" spans="1:12" x14ac:dyDescent="0.25">
      <c r="A116" s="209" t="s">
        <v>173</v>
      </c>
      <c r="B116" s="222">
        <v>1.3799999999999999E-3</v>
      </c>
      <c r="C116" s="136"/>
      <c r="D116" s="222">
        <v>2.6900000000000001E-3</v>
      </c>
      <c r="E116" s="136"/>
      <c r="F116" s="222">
        <v>3.1900000000000001E-3</v>
      </c>
      <c r="G116" s="136"/>
      <c r="H116" s="222">
        <v>2.4299999999999999E-3</v>
      </c>
      <c r="I116" s="136"/>
      <c r="J116" s="222">
        <v>2.16E-3</v>
      </c>
      <c r="K116" s="136"/>
      <c r="L116" s="194"/>
    </row>
    <row r="117" spans="1:12" x14ac:dyDescent="0.25">
      <c r="A117" s="209" t="s">
        <v>174</v>
      </c>
      <c r="B117" s="222">
        <v>1.6299999999999999E-3</v>
      </c>
      <c r="C117" s="136"/>
      <c r="D117" s="222">
        <v>1.09E-3</v>
      </c>
      <c r="E117" s="136"/>
      <c r="F117" s="175">
        <v>8.4599999999999996E-4</v>
      </c>
      <c r="G117" s="136"/>
      <c r="H117" s="222">
        <v>2.75E-2</v>
      </c>
      <c r="I117" s="136"/>
      <c r="J117" s="222">
        <v>4.6600000000000003E-2</v>
      </c>
      <c r="K117" s="136"/>
      <c r="L117" s="194"/>
    </row>
    <row r="118" spans="1:12" x14ac:dyDescent="0.25">
      <c r="A118" s="209" t="s">
        <v>274</v>
      </c>
      <c r="B118" s="128"/>
      <c r="C118" s="136"/>
      <c r="D118" s="128"/>
      <c r="E118" s="136"/>
      <c r="F118" s="128"/>
      <c r="G118" s="136"/>
      <c r="H118" s="175"/>
      <c r="I118" s="136"/>
      <c r="J118" s="128"/>
      <c r="K118" s="136"/>
      <c r="L118" s="194"/>
    </row>
    <row r="119" spans="1:12" x14ac:dyDescent="0.25">
      <c r="A119" s="212" t="s">
        <v>275</v>
      </c>
      <c r="B119" s="128" t="s">
        <v>38</v>
      </c>
      <c r="C119" s="261">
        <v>0.98</v>
      </c>
      <c r="D119" s="128" t="s">
        <v>38</v>
      </c>
      <c r="E119" s="261">
        <v>0.94</v>
      </c>
      <c r="F119" s="128" t="s">
        <v>38</v>
      </c>
      <c r="G119" s="261">
        <v>0.49</v>
      </c>
      <c r="H119" s="128" t="s">
        <v>73</v>
      </c>
      <c r="I119" s="261">
        <v>0.99</v>
      </c>
      <c r="J119" s="128" t="s">
        <v>73</v>
      </c>
      <c r="K119" s="261">
        <v>0.99</v>
      </c>
      <c r="L119" s="194"/>
    </row>
    <row r="120" spans="1:12" x14ac:dyDescent="0.25">
      <c r="A120" s="212" t="s">
        <v>32</v>
      </c>
      <c r="B120" s="128" t="s">
        <v>27</v>
      </c>
      <c r="C120" s="261">
        <v>0.02</v>
      </c>
      <c r="D120" s="128" t="s">
        <v>312</v>
      </c>
      <c r="E120" s="261">
        <v>0.04</v>
      </c>
      <c r="F120" s="128" t="s">
        <v>295</v>
      </c>
      <c r="G120" s="261">
        <v>0.42</v>
      </c>
      <c r="H120" s="128" t="s">
        <v>38</v>
      </c>
      <c r="I120" s="260">
        <v>1E-3</v>
      </c>
      <c r="J120" s="128" t="s">
        <v>38</v>
      </c>
      <c r="K120" s="260">
        <v>2E-3</v>
      </c>
      <c r="L120" s="194"/>
    </row>
    <row r="121" spans="1:12" x14ac:dyDescent="0.25">
      <c r="A121" s="212" t="s">
        <v>33</v>
      </c>
      <c r="B121" s="128" t="s">
        <v>73</v>
      </c>
      <c r="C121" s="261">
        <v>1.0000000000000001E-5</v>
      </c>
      <c r="D121" s="128" t="s">
        <v>27</v>
      </c>
      <c r="E121" s="261">
        <v>0.02</v>
      </c>
      <c r="F121" s="128" t="s">
        <v>73</v>
      </c>
      <c r="G121" s="261">
        <v>0.05</v>
      </c>
      <c r="H121" s="128" t="s">
        <v>27</v>
      </c>
      <c r="I121" s="260">
        <v>1E-3</v>
      </c>
      <c r="J121" s="128" t="s">
        <v>313</v>
      </c>
      <c r="K121" s="260">
        <v>2E-3</v>
      </c>
      <c r="L121" s="194"/>
    </row>
    <row r="122" spans="1:12" x14ac:dyDescent="0.25">
      <c r="A122" s="207"/>
      <c r="B122" s="128"/>
      <c r="C122" s="259">
        <f>SUM(C119:C121)</f>
        <v>1.0000100000000001</v>
      </c>
      <c r="D122" s="128"/>
      <c r="E122" s="259">
        <f>SUM(E119:E121)</f>
        <v>1</v>
      </c>
      <c r="F122" s="128"/>
      <c r="G122" s="259">
        <f>SUM(G119:G121)</f>
        <v>0.96</v>
      </c>
      <c r="H122" s="128"/>
      <c r="I122" s="259">
        <v>1.0015021459227467</v>
      </c>
      <c r="J122" s="128"/>
      <c r="K122" s="259">
        <v>1.0015021459227467</v>
      </c>
      <c r="L122" s="194"/>
    </row>
    <row r="123" spans="1:12" x14ac:dyDescent="0.25">
      <c r="A123" s="207"/>
      <c r="B123" s="128"/>
      <c r="C123" s="136"/>
      <c r="D123" s="128"/>
      <c r="E123" s="136"/>
      <c r="F123" s="128"/>
      <c r="G123" s="136"/>
      <c r="H123" s="128"/>
      <c r="I123" s="136"/>
      <c r="J123" s="128"/>
      <c r="K123" s="136"/>
      <c r="L123" s="194"/>
    </row>
    <row r="124" spans="1:12" x14ac:dyDescent="0.25">
      <c r="A124" s="207"/>
      <c r="B124" s="128"/>
      <c r="C124" s="136"/>
      <c r="D124" s="128"/>
      <c r="E124" s="136"/>
      <c r="F124" s="128"/>
      <c r="G124" s="136"/>
      <c r="H124" s="128"/>
      <c r="I124" s="136"/>
      <c r="J124" s="128"/>
      <c r="K124" s="136"/>
      <c r="L124" s="194"/>
    </row>
    <row r="125" spans="1:12" x14ac:dyDescent="0.25">
      <c r="A125" s="207" t="s">
        <v>278</v>
      </c>
      <c r="B125" s="208">
        <v>2005</v>
      </c>
      <c r="C125" s="250" t="s">
        <v>272</v>
      </c>
      <c r="D125" s="208">
        <v>2006</v>
      </c>
      <c r="E125" s="250" t="s">
        <v>272</v>
      </c>
      <c r="F125" s="208">
        <v>2007</v>
      </c>
      <c r="G125" s="250" t="s">
        <v>272</v>
      </c>
      <c r="H125" s="208">
        <v>2008</v>
      </c>
      <c r="I125" s="250" t="s">
        <v>272</v>
      </c>
      <c r="J125" s="208">
        <v>2009</v>
      </c>
      <c r="K125" s="250" t="s">
        <v>272</v>
      </c>
      <c r="L125" s="208" t="s">
        <v>273</v>
      </c>
    </row>
    <row r="126" spans="1:12" x14ac:dyDescent="0.25">
      <c r="A126" s="209" t="s">
        <v>172</v>
      </c>
      <c r="B126" s="128">
        <f>+B129-B128</f>
        <v>42.4</v>
      </c>
      <c r="C126" s="136"/>
      <c r="D126" s="128">
        <f>+D129-D128</f>
        <v>30.400000000000002</v>
      </c>
      <c r="E126" s="136"/>
      <c r="F126" s="128">
        <f>+F129-F128</f>
        <v>42.900000000000006</v>
      </c>
      <c r="G126" s="136"/>
      <c r="H126" s="128">
        <f>+H129-H128</f>
        <v>50.349999999999994</v>
      </c>
      <c r="I126" s="136"/>
      <c r="J126" s="128">
        <f>+J129-J128</f>
        <v>21.700000000000003</v>
      </c>
      <c r="K126" s="136"/>
      <c r="L126" s="194"/>
    </row>
    <row r="127" spans="1:12" x14ac:dyDescent="0.25">
      <c r="A127" s="209" t="s">
        <v>121</v>
      </c>
      <c r="B127" s="213" t="s">
        <v>394</v>
      </c>
      <c r="C127" s="251"/>
      <c r="D127" s="213" t="s">
        <v>394</v>
      </c>
      <c r="E127" s="251"/>
      <c r="F127" s="213" t="s">
        <v>394</v>
      </c>
      <c r="G127" s="251"/>
      <c r="H127" s="213" t="s">
        <v>394</v>
      </c>
      <c r="I127" s="251"/>
      <c r="J127" s="213" t="s">
        <v>394</v>
      </c>
      <c r="K127" s="136"/>
      <c r="L127" s="194"/>
    </row>
    <row r="128" spans="1:12" x14ac:dyDescent="0.25">
      <c r="A128" s="209" t="s">
        <v>173</v>
      </c>
      <c r="B128" s="222">
        <v>22.1</v>
      </c>
      <c r="C128" s="136"/>
      <c r="D128" s="222">
        <v>22.2</v>
      </c>
      <c r="E128" s="136"/>
      <c r="F128" s="222">
        <v>15.7</v>
      </c>
      <c r="G128" s="136"/>
      <c r="H128" s="222">
        <v>7.95</v>
      </c>
      <c r="I128" s="136"/>
      <c r="J128" s="222">
        <v>11.4</v>
      </c>
      <c r="K128" s="136"/>
      <c r="L128" s="194"/>
    </row>
    <row r="129" spans="1:12" x14ac:dyDescent="0.25">
      <c r="A129" s="209" t="s">
        <v>174</v>
      </c>
      <c r="B129" s="222">
        <v>64.5</v>
      </c>
      <c r="C129" s="136"/>
      <c r="D129" s="222">
        <v>52.6</v>
      </c>
      <c r="E129" s="136"/>
      <c r="F129" s="175">
        <v>58.6</v>
      </c>
      <c r="G129" s="136"/>
      <c r="H129" s="222">
        <v>58.3</v>
      </c>
      <c r="I129" s="136"/>
      <c r="J129" s="222">
        <v>33.1</v>
      </c>
      <c r="K129" s="136"/>
      <c r="L129" s="194"/>
    </row>
    <row r="130" spans="1:12" x14ac:dyDescent="0.25">
      <c r="A130" s="209" t="s">
        <v>274</v>
      </c>
      <c r="B130" s="128"/>
      <c r="C130" s="136"/>
      <c r="D130" s="128"/>
      <c r="E130" s="136"/>
      <c r="F130" s="128"/>
      <c r="G130" s="136"/>
      <c r="H130" s="175"/>
      <c r="I130" s="136"/>
      <c r="J130" s="128"/>
      <c r="K130" s="136"/>
      <c r="L130" s="194"/>
    </row>
    <row r="131" spans="1:12" x14ac:dyDescent="0.25">
      <c r="A131" s="212" t="s">
        <v>275</v>
      </c>
      <c r="B131" s="128" t="s">
        <v>22</v>
      </c>
      <c r="C131" s="261">
        <v>0.52</v>
      </c>
      <c r="D131" s="128" t="s">
        <v>22</v>
      </c>
      <c r="E131" s="261">
        <v>0.41</v>
      </c>
      <c r="F131" s="128" t="s">
        <v>22</v>
      </c>
      <c r="G131" s="261">
        <v>0.48</v>
      </c>
      <c r="H131" s="128" t="s">
        <v>22</v>
      </c>
      <c r="I131" s="261">
        <v>0.48</v>
      </c>
      <c r="J131" s="128" t="s">
        <v>22</v>
      </c>
      <c r="K131" s="261">
        <v>0.46</v>
      </c>
      <c r="L131" s="194"/>
    </row>
    <row r="132" spans="1:12" x14ac:dyDescent="0.25">
      <c r="A132" s="212" t="s">
        <v>32</v>
      </c>
      <c r="B132" s="128" t="s">
        <v>73</v>
      </c>
      <c r="C132" s="261">
        <v>0.23</v>
      </c>
      <c r="D132" s="128" t="s">
        <v>73</v>
      </c>
      <c r="E132" s="261">
        <v>0.3</v>
      </c>
      <c r="F132" s="128" t="s">
        <v>38</v>
      </c>
      <c r="G132" s="261">
        <v>0.22</v>
      </c>
      <c r="H132" s="128" t="s">
        <v>38</v>
      </c>
      <c r="I132" s="261">
        <v>0.22</v>
      </c>
      <c r="J132" s="128" t="s">
        <v>73</v>
      </c>
      <c r="K132" s="261">
        <v>0.22</v>
      </c>
      <c r="L132" s="194"/>
    </row>
    <row r="133" spans="1:12" x14ac:dyDescent="0.25">
      <c r="A133" s="212" t="s">
        <v>33</v>
      </c>
      <c r="B133" s="128" t="s">
        <v>38</v>
      </c>
      <c r="C133" s="261">
        <v>0.15</v>
      </c>
      <c r="D133" s="128" t="s">
        <v>38</v>
      </c>
      <c r="E133" s="261">
        <v>0.18</v>
      </c>
      <c r="F133" s="128" t="s">
        <v>73</v>
      </c>
      <c r="G133" s="261">
        <v>0.21</v>
      </c>
      <c r="H133" s="128" t="s">
        <v>73</v>
      </c>
      <c r="I133" s="261">
        <v>0.2</v>
      </c>
      <c r="J133" s="128" t="s">
        <v>38</v>
      </c>
      <c r="K133" s="261">
        <v>0.19</v>
      </c>
      <c r="L133" s="194"/>
    </row>
    <row r="134" spans="1:12" x14ac:dyDescent="0.25">
      <c r="A134" s="207"/>
      <c r="B134" s="128"/>
      <c r="C134" s="259">
        <f>SUM(C131:C133)</f>
        <v>0.9</v>
      </c>
      <c r="D134" s="128"/>
      <c r="E134" s="259">
        <f>SUM(E131:E133)</f>
        <v>0.8899999999999999</v>
      </c>
      <c r="F134" s="128"/>
      <c r="G134" s="259">
        <f>SUM(G131:G133)</f>
        <v>0.90999999999999992</v>
      </c>
      <c r="H134" s="128"/>
      <c r="I134" s="259">
        <f>SUM(I131:I133)</f>
        <v>0.89999999999999991</v>
      </c>
      <c r="J134" s="128"/>
      <c r="K134" s="259">
        <f>SUM(K131:K133)</f>
        <v>0.87000000000000011</v>
      </c>
      <c r="L134" s="194"/>
    </row>
    <row r="135" spans="1:12" x14ac:dyDescent="0.25">
      <c r="A135" s="207"/>
      <c r="B135" s="128"/>
      <c r="C135" s="136"/>
      <c r="D135" s="128"/>
      <c r="E135" s="136"/>
      <c r="F135" s="128"/>
      <c r="G135" s="136"/>
      <c r="H135" s="128"/>
      <c r="I135" s="136"/>
      <c r="J135" s="128"/>
      <c r="K135" s="136"/>
      <c r="L135" s="194"/>
    </row>
    <row r="136" spans="1:12" x14ac:dyDescent="0.25">
      <c r="A136" s="207"/>
      <c r="B136" s="128"/>
      <c r="C136" s="136"/>
      <c r="D136" s="128"/>
      <c r="E136" s="136"/>
      <c r="F136" s="128"/>
      <c r="G136" s="136"/>
      <c r="H136" s="128"/>
      <c r="I136" s="136"/>
      <c r="J136" s="128"/>
      <c r="K136" s="136"/>
      <c r="L136" s="194"/>
    </row>
    <row r="137" spans="1:12" x14ac:dyDescent="0.25">
      <c r="A137" s="207" t="s">
        <v>279</v>
      </c>
      <c r="B137" s="208">
        <v>2005</v>
      </c>
      <c r="C137" s="250" t="s">
        <v>272</v>
      </c>
      <c r="D137" s="208">
        <v>2006</v>
      </c>
      <c r="E137" s="250" t="s">
        <v>272</v>
      </c>
      <c r="F137" s="208">
        <v>2007</v>
      </c>
      <c r="G137" s="250" t="s">
        <v>272</v>
      </c>
      <c r="H137" s="208">
        <v>2008</v>
      </c>
      <c r="I137" s="250" t="s">
        <v>272</v>
      </c>
      <c r="J137" s="208">
        <v>2009</v>
      </c>
      <c r="K137" s="250" t="s">
        <v>272</v>
      </c>
      <c r="L137" s="208" t="s">
        <v>273</v>
      </c>
    </row>
    <row r="138" spans="1:12" x14ac:dyDescent="0.25">
      <c r="A138" s="209" t="s">
        <v>172</v>
      </c>
      <c r="B138" s="128">
        <v>0.83</v>
      </c>
      <c r="C138" s="136"/>
      <c r="D138" s="128">
        <v>0.62</v>
      </c>
      <c r="E138" s="136"/>
      <c r="F138" s="128">
        <v>0.63</v>
      </c>
      <c r="G138" s="136"/>
      <c r="H138" s="128">
        <v>0.69</v>
      </c>
      <c r="I138" s="136"/>
      <c r="J138" s="128">
        <v>0.53</v>
      </c>
      <c r="K138" s="136"/>
      <c r="L138" s="194" t="s">
        <v>493</v>
      </c>
    </row>
    <row r="139" spans="1:12" x14ac:dyDescent="0.25">
      <c r="A139" s="209" t="s">
        <v>121</v>
      </c>
      <c r="B139" s="213" t="s">
        <v>394</v>
      </c>
      <c r="C139" s="251"/>
      <c r="D139" s="213" t="s">
        <v>394</v>
      </c>
      <c r="E139" s="251"/>
      <c r="F139" s="213" t="s">
        <v>394</v>
      </c>
      <c r="G139" s="251"/>
      <c r="H139" s="213" t="s">
        <v>394</v>
      </c>
      <c r="I139" s="251"/>
      <c r="J139" s="213" t="s">
        <v>394</v>
      </c>
      <c r="K139" s="136"/>
      <c r="L139" s="194"/>
    </row>
    <row r="140" spans="1:12" x14ac:dyDescent="0.25">
      <c r="A140" s="209" t="s">
        <v>173</v>
      </c>
      <c r="B140" s="128">
        <v>2.66</v>
      </c>
      <c r="C140" s="136"/>
      <c r="D140" s="128">
        <v>1.58</v>
      </c>
      <c r="E140" s="136"/>
      <c r="F140" s="128">
        <v>1.06</v>
      </c>
      <c r="G140" s="136"/>
      <c r="H140" s="128">
        <v>0.95</v>
      </c>
      <c r="I140" s="136"/>
      <c r="J140" s="128">
        <v>1.1599999999999999</v>
      </c>
      <c r="K140" s="136"/>
      <c r="L140" s="194" t="s">
        <v>494</v>
      </c>
    </row>
    <row r="141" spans="1:12" x14ac:dyDescent="0.25">
      <c r="A141" s="209" t="s">
        <v>174</v>
      </c>
      <c r="B141" s="128">
        <v>6.25</v>
      </c>
      <c r="C141" s="136"/>
      <c r="D141" s="128">
        <v>5.64</v>
      </c>
      <c r="E141" s="136"/>
      <c r="F141" s="128">
        <v>6.06</v>
      </c>
      <c r="G141" s="136"/>
      <c r="H141" s="128">
        <v>6.3</v>
      </c>
      <c r="I141" s="136"/>
      <c r="J141" s="128">
        <v>5.19</v>
      </c>
      <c r="K141" s="136"/>
      <c r="L141" s="194" t="s">
        <v>495</v>
      </c>
    </row>
    <row r="142" spans="1:12" x14ac:dyDescent="0.25">
      <c r="A142" s="209" t="s">
        <v>274</v>
      </c>
      <c r="B142" s="128"/>
      <c r="C142" s="136"/>
      <c r="D142" s="128"/>
      <c r="E142" s="136"/>
      <c r="F142" s="128"/>
      <c r="G142" s="136"/>
      <c r="H142" s="128"/>
      <c r="I142" s="136"/>
      <c r="J142" s="128"/>
      <c r="K142" s="136"/>
      <c r="L142" s="194"/>
    </row>
    <row r="143" spans="1:12" x14ac:dyDescent="0.25">
      <c r="A143" s="212" t="s">
        <v>275</v>
      </c>
      <c r="B143" s="128" t="s">
        <v>78</v>
      </c>
      <c r="C143" s="251">
        <v>0.77600000000000002</v>
      </c>
      <c r="D143" s="128" t="s">
        <v>78</v>
      </c>
      <c r="E143" s="251">
        <v>0.76800000000000002</v>
      </c>
      <c r="F143" s="128" t="s">
        <v>78</v>
      </c>
      <c r="G143" s="251">
        <v>0.80700000000000005</v>
      </c>
      <c r="H143" s="128" t="s">
        <v>78</v>
      </c>
      <c r="I143" s="259">
        <v>0.84</v>
      </c>
      <c r="J143" s="128" t="s">
        <v>78</v>
      </c>
      <c r="K143" s="251">
        <v>0.82699999999999996</v>
      </c>
      <c r="L143" s="194"/>
    </row>
    <row r="144" spans="1:12" x14ac:dyDescent="0.25">
      <c r="A144" s="212" t="s">
        <v>32</v>
      </c>
      <c r="B144" s="128" t="s">
        <v>29</v>
      </c>
      <c r="C144" s="251">
        <v>0.216</v>
      </c>
      <c r="D144" s="128" t="s">
        <v>29</v>
      </c>
      <c r="E144" s="251">
        <v>0.223</v>
      </c>
      <c r="F144" s="128" t="s">
        <v>29</v>
      </c>
      <c r="G144" s="251">
        <v>0.183</v>
      </c>
      <c r="H144" s="128" t="s">
        <v>29</v>
      </c>
      <c r="I144" s="251">
        <v>0.153</v>
      </c>
      <c r="J144" s="128" t="s">
        <v>29</v>
      </c>
      <c r="K144" s="251">
        <v>0.16800000000000001</v>
      </c>
      <c r="L144" s="194"/>
    </row>
    <row r="145" spans="1:12" x14ac:dyDescent="0.25">
      <c r="A145" s="212" t="s">
        <v>33</v>
      </c>
      <c r="B145" s="128" t="s">
        <v>94</v>
      </c>
      <c r="C145" s="251">
        <v>5.0000000000000001E-3</v>
      </c>
      <c r="D145" s="128" t="s">
        <v>94</v>
      </c>
      <c r="E145" s="251">
        <v>6.0000000000000001E-3</v>
      </c>
      <c r="F145" s="128" t="s">
        <v>94</v>
      </c>
      <c r="G145" s="259">
        <v>0.01</v>
      </c>
      <c r="H145" s="128" t="s">
        <v>94</v>
      </c>
      <c r="I145" s="251">
        <v>7.0000000000000001E-3</v>
      </c>
      <c r="J145" s="128" t="s">
        <v>49</v>
      </c>
      <c r="K145" s="251">
        <v>4.0000000000000001E-3</v>
      </c>
      <c r="L145" s="194"/>
    </row>
    <row r="146" spans="1:12" x14ac:dyDescent="0.25">
      <c r="A146" s="207"/>
      <c r="B146" s="128"/>
      <c r="C146" s="251">
        <f>SUM(C143:C145)</f>
        <v>0.997</v>
      </c>
      <c r="D146" s="128"/>
      <c r="E146" s="251">
        <f>SUM(E143:E145)</f>
        <v>0.997</v>
      </c>
      <c r="F146" s="128"/>
      <c r="G146" s="259">
        <f>SUM(G143:G145)</f>
        <v>1</v>
      </c>
      <c r="H146" s="128"/>
      <c r="I146" s="259">
        <f>SUM(I143:I145)</f>
        <v>1</v>
      </c>
      <c r="J146" s="128"/>
      <c r="K146" s="251">
        <f>SUM(K143:K145)</f>
        <v>0.999</v>
      </c>
      <c r="L146" s="194"/>
    </row>
    <row r="147" spans="1:12" x14ac:dyDescent="0.25">
      <c r="A147" s="207"/>
      <c r="B147" s="128"/>
      <c r="C147" s="136"/>
      <c r="D147" s="128"/>
      <c r="E147" s="136"/>
      <c r="F147" s="128"/>
      <c r="G147" s="136"/>
      <c r="H147" s="128"/>
      <c r="I147" s="136"/>
      <c r="J147" s="128"/>
      <c r="K147" s="136"/>
      <c r="L147" s="194"/>
    </row>
    <row r="148" spans="1:12" x14ac:dyDescent="0.25">
      <c r="A148" s="207"/>
      <c r="B148" s="128"/>
      <c r="C148" s="136"/>
      <c r="D148" s="128"/>
      <c r="E148" s="136"/>
      <c r="F148" s="128"/>
      <c r="G148" s="136"/>
      <c r="H148" s="128"/>
      <c r="I148" s="136"/>
      <c r="J148" s="128"/>
      <c r="K148" s="136"/>
      <c r="L148" s="194"/>
    </row>
    <row r="149" spans="1:12" x14ac:dyDescent="0.25">
      <c r="A149" s="207" t="s">
        <v>196</v>
      </c>
      <c r="B149" s="208">
        <v>2005</v>
      </c>
      <c r="C149" s="250" t="s">
        <v>272</v>
      </c>
      <c r="D149" s="208">
        <v>2006</v>
      </c>
      <c r="E149" s="250" t="s">
        <v>272</v>
      </c>
      <c r="F149" s="208">
        <v>2007</v>
      </c>
      <c r="G149" s="250" t="s">
        <v>272</v>
      </c>
      <c r="H149" s="208">
        <v>2008</v>
      </c>
      <c r="I149" s="250" t="s">
        <v>272</v>
      </c>
      <c r="J149" s="208">
        <v>2009</v>
      </c>
      <c r="K149" s="250" t="s">
        <v>272</v>
      </c>
      <c r="L149" s="208" t="s">
        <v>273</v>
      </c>
    </row>
    <row r="150" spans="1:12" x14ac:dyDescent="0.25">
      <c r="A150" s="209" t="s">
        <v>172</v>
      </c>
      <c r="B150" s="210">
        <f>+B151+B153-B152</f>
        <v>182036</v>
      </c>
      <c r="C150" s="136"/>
      <c r="D150" s="210">
        <f>+D151+D153-D152</f>
        <v>173724</v>
      </c>
      <c r="E150" s="136"/>
      <c r="F150" s="210">
        <f>+F151+F153-F152</f>
        <v>169138</v>
      </c>
      <c r="G150" s="136"/>
      <c r="H150" s="210">
        <f>+H151+H153-H152</f>
        <v>175955</v>
      </c>
      <c r="I150" s="136"/>
      <c r="J150" s="210">
        <f>+J151+J153-J152</f>
        <v>81413</v>
      </c>
      <c r="K150" s="136"/>
      <c r="L150" s="194" t="s">
        <v>496</v>
      </c>
    </row>
    <row r="151" spans="1:12" x14ac:dyDescent="0.25">
      <c r="A151" s="209" t="s">
        <v>121</v>
      </c>
      <c r="B151" s="211">
        <v>176000</v>
      </c>
      <c r="C151" s="136"/>
      <c r="D151" s="211">
        <v>169000</v>
      </c>
      <c r="E151" s="136"/>
      <c r="F151" s="211">
        <v>166000</v>
      </c>
      <c r="G151" s="136"/>
      <c r="H151" s="211">
        <v>173000</v>
      </c>
      <c r="I151" s="136"/>
      <c r="J151" s="211">
        <v>80800</v>
      </c>
      <c r="K151" s="136"/>
      <c r="L151" s="194" t="s">
        <v>497</v>
      </c>
    </row>
    <row r="152" spans="1:12" x14ac:dyDescent="0.25">
      <c r="A152" s="209" t="s">
        <v>173</v>
      </c>
      <c r="B152" s="210">
        <v>150</v>
      </c>
      <c r="C152" s="136"/>
      <c r="D152" s="210">
        <v>106</v>
      </c>
      <c r="E152" s="136"/>
      <c r="F152" s="210">
        <v>108</v>
      </c>
      <c r="G152" s="136"/>
      <c r="H152" s="210">
        <v>323</v>
      </c>
      <c r="I152" s="136"/>
      <c r="J152" s="210">
        <v>152</v>
      </c>
      <c r="K152" s="136"/>
      <c r="L152" s="194" t="s">
        <v>498</v>
      </c>
    </row>
    <row r="153" spans="1:12" x14ac:dyDescent="0.25">
      <c r="A153" s="209" t="s">
        <v>174</v>
      </c>
      <c r="B153" s="210">
        <v>6186</v>
      </c>
      <c r="C153" s="136"/>
      <c r="D153" s="210">
        <v>4830</v>
      </c>
      <c r="E153" s="136"/>
      <c r="F153" s="210">
        <v>3246</v>
      </c>
      <c r="G153" s="136"/>
      <c r="H153" s="210">
        <v>3278</v>
      </c>
      <c r="I153" s="136"/>
      <c r="J153" s="210">
        <v>765</v>
      </c>
      <c r="K153" s="136"/>
      <c r="L153" s="194" t="s">
        <v>498</v>
      </c>
    </row>
    <row r="154" spans="1:12" x14ac:dyDescent="0.25">
      <c r="A154" s="209" t="s">
        <v>274</v>
      </c>
      <c r="B154" s="128"/>
      <c r="C154" s="136"/>
      <c r="D154" s="128"/>
      <c r="E154" s="136"/>
      <c r="F154" s="128"/>
      <c r="G154" s="136"/>
      <c r="H154" s="128"/>
      <c r="I154" s="136"/>
      <c r="J154" s="128"/>
      <c r="K154" s="136"/>
      <c r="L154" s="194"/>
    </row>
    <row r="155" spans="1:12" x14ac:dyDescent="0.25">
      <c r="A155" s="212" t="s">
        <v>275</v>
      </c>
      <c r="B155" s="128" t="s">
        <v>38</v>
      </c>
      <c r="C155" s="259">
        <v>0.37</v>
      </c>
      <c r="D155" s="128" t="s">
        <v>28</v>
      </c>
      <c r="E155" s="259">
        <v>0.6</v>
      </c>
      <c r="F155" s="128" t="s">
        <v>28</v>
      </c>
      <c r="G155" s="259">
        <v>0.6</v>
      </c>
      <c r="H155" s="128" t="s">
        <v>28</v>
      </c>
      <c r="I155" s="259">
        <v>0.61</v>
      </c>
      <c r="J155" s="128" t="s">
        <v>38</v>
      </c>
      <c r="K155" s="259">
        <v>0.32</v>
      </c>
      <c r="L155" s="194"/>
    </row>
    <row r="156" spans="1:12" x14ac:dyDescent="0.25">
      <c r="A156" s="212" t="s">
        <v>32</v>
      </c>
      <c r="B156" s="128" t="s">
        <v>28</v>
      </c>
      <c r="C156" s="259">
        <v>0.44</v>
      </c>
      <c r="D156" s="128" t="s">
        <v>38</v>
      </c>
      <c r="E156" s="259">
        <v>0.27</v>
      </c>
      <c r="F156" s="128" t="s">
        <v>38</v>
      </c>
      <c r="G156" s="259">
        <v>0.24</v>
      </c>
      <c r="H156" s="128" t="s">
        <v>38</v>
      </c>
      <c r="I156" s="259">
        <v>0.2</v>
      </c>
      <c r="J156" s="128" t="s">
        <v>78</v>
      </c>
      <c r="K156" s="259">
        <v>0.27</v>
      </c>
      <c r="L156" s="194"/>
    </row>
    <row r="157" spans="1:12" x14ac:dyDescent="0.25">
      <c r="A157" s="212" t="s">
        <v>33</v>
      </c>
      <c r="B157" s="128" t="s">
        <v>78</v>
      </c>
      <c r="C157" s="259">
        <v>7.0000000000000007E-2</v>
      </c>
      <c r="D157" s="128" t="s">
        <v>314</v>
      </c>
      <c r="E157" s="259">
        <v>0.06</v>
      </c>
      <c r="F157" s="128" t="s">
        <v>78</v>
      </c>
      <c r="G157" s="259">
        <v>0.09</v>
      </c>
      <c r="H157" s="128" t="s">
        <v>78</v>
      </c>
      <c r="I157" s="259">
        <v>7.0000000000000007E-2</v>
      </c>
      <c r="J157" s="128" t="s">
        <v>28</v>
      </c>
      <c r="K157" s="259">
        <v>0.2</v>
      </c>
      <c r="L157" s="194"/>
    </row>
    <row r="158" spans="1:12" x14ac:dyDescent="0.25">
      <c r="A158" s="207"/>
      <c r="B158" s="128"/>
      <c r="C158" s="259">
        <f>SUM(C155:C157)</f>
        <v>0.88000000000000012</v>
      </c>
      <c r="D158" s="128"/>
      <c r="E158" s="259">
        <f>SUM(E155:E157)</f>
        <v>0.92999999999999994</v>
      </c>
      <c r="F158" s="128"/>
      <c r="G158" s="259">
        <f>SUM(G155:G157)</f>
        <v>0.92999999999999994</v>
      </c>
      <c r="H158" s="128"/>
      <c r="I158" s="259">
        <f>SUM(I155:I157)</f>
        <v>0.88000000000000012</v>
      </c>
      <c r="J158" s="128"/>
      <c r="K158" s="259">
        <f>SUM(K155:K157)</f>
        <v>0.79</v>
      </c>
      <c r="L158" s="194"/>
    </row>
    <row r="159" spans="1:12" x14ac:dyDescent="0.25">
      <c r="A159" s="207"/>
      <c r="B159" s="128"/>
      <c r="C159" s="136"/>
      <c r="D159" s="128"/>
      <c r="E159" s="136"/>
      <c r="F159" s="128"/>
      <c r="G159" s="136"/>
      <c r="H159" s="128"/>
      <c r="I159" s="136"/>
      <c r="J159" s="128"/>
      <c r="K159" s="136"/>
      <c r="L159" s="194"/>
    </row>
    <row r="160" spans="1:12" x14ac:dyDescent="0.25">
      <c r="A160" s="207"/>
      <c r="B160" s="128"/>
      <c r="C160" s="136"/>
      <c r="D160" s="128"/>
      <c r="E160" s="136"/>
      <c r="F160" s="128"/>
      <c r="G160" s="136"/>
      <c r="H160" s="128"/>
      <c r="I160" s="136"/>
      <c r="J160" s="128"/>
      <c r="K160" s="136"/>
      <c r="L160" s="194"/>
    </row>
    <row r="161" spans="1:12" x14ac:dyDescent="0.25">
      <c r="A161" s="207" t="s">
        <v>160</v>
      </c>
      <c r="B161" s="208">
        <v>2005</v>
      </c>
      <c r="C161" s="250" t="s">
        <v>272</v>
      </c>
      <c r="D161" s="208">
        <v>2006</v>
      </c>
      <c r="E161" s="250" t="s">
        <v>272</v>
      </c>
      <c r="F161" s="208">
        <v>2007</v>
      </c>
      <c r="G161" s="250" t="s">
        <v>272</v>
      </c>
      <c r="H161" s="208">
        <v>2008</v>
      </c>
      <c r="I161" s="250" t="s">
        <v>272</v>
      </c>
      <c r="J161" s="208">
        <v>2009</v>
      </c>
      <c r="K161" s="250" t="s">
        <v>272</v>
      </c>
      <c r="L161" s="208" t="s">
        <v>273</v>
      </c>
    </row>
    <row r="162" spans="1:12" x14ac:dyDescent="0.25">
      <c r="A162" s="209" t="s">
        <v>172</v>
      </c>
      <c r="B162" s="210">
        <f>++B163-B164</f>
        <v>131</v>
      </c>
      <c r="C162" s="136"/>
      <c r="D162" s="210">
        <f>++D163-D164</f>
        <v>144</v>
      </c>
      <c r="E162" s="136"/>
      <c r="F162" s="210">
        <f>++F163-F164</f>
        <v>133</v>
      </c>
      <c r="G162" s="136"/>
      <c r="H162" s="210">
        <f>++H163-H164</f>
        <v>119</v>
      </c>
      <c r="I162" s="136"/>
      <c r="J162" s="210">
        <f>++J163-J164</f>
        <v>70</v>
      </c>
      <c r="K162" s="136"/>
      <c r="L162" s="194"/>
    </row>
    <row r="163" spans="1:12" x14ac:dyDescent="0.25">
      <c r="A163" s="209" t="s">
        <v>121</v>
      </c>
      <c r="B163" s="211">
        <v>429</v>
      </c>
      <c r="C163" s="136"/>
      <c r="D163" s="211">
        <v>444</v>
      </c>
      <c r="E163" s="136"/>
      <c r="F163" s="211">
        <v>410</v>
      </c>
      <c r="G163" s="136"/>
      <c r="H163" s="211">
        <v>406</v>
      </c>
      <c r="I163" s="136"/>
      <c r="J163" s="211">
        <v>369</v>
      </c>
      <c r="K163" s="136"/>
      <c r="L163" s="194"/>
    </row>
    <row r="164" spans="1:12" x14ac:dyDescent="0.25">
      <c r="A164" s="209" t="s">
        <v>173</v>
      </c>
      <c r="B164" s="210">
        <v>298</v>
      </c>
      <c r="C164" s="136"/>
      <c r="D164" s="210">
        <v>300</v>
      </c>
      <c r="E164" s="136"/>
      <c r="F164" s="210">
        <v>277</v>
      </c>
      <c r="G164" s="136"/>
      <c r="H164" s="210">
        <v>287</v>
      </c>
      <c r="I164" s="136"/>
      <c r="J164" s="210">
        <v>299</v>
      </c>
      <c r="K164" s="136"/>
      <c r="L164" s="194" t="s">
        <v>490</v>
      </c>
    </row>
    <row r="165" spans="1:12" x14ac:dyDescent="0.25">
      <c r="A165" s="209" t="s">
        <v>174</v>
      </c>
      <c r="B165" s="260" t="s">
        <v>394</v>
      </c>
      <c r="C165" s="136"/>
      <c r="D165" s="260" t="s">
        <v>394</v>
      </c>
      <c r="E165" s="136"/>
      <c r="F165" s="260" t="s">
        <v>394</v>
      </c>
      <c r="G165" s="136"/>
      <c r="H165" s="260" t="s">
        <v>394</v>
      </c>
      <c r="I165" s="136"/>
      <c r="J165" s="260" t="s">
        <v>394</v>
      </c>
      <c r="K165" s="136"/>
      <c r="L165" s="194" t="s">
        <v>499</v>
      </c>
    </row>
    <row r="166" spans="1:12" x14ac:dyDescent="0.25">
      <c r="A166" s="209" t="s">
        <v>274</v>
      </c>
      <c r="B166" s="128"/>
      <c r="C166" s="136"/>
      <c r="D166" s="128"/>
      <c r="E166" s="136"/>
      <c r="F166" s="128"/>
      <c r="G166" s="136"/>
      <c r="H166" s="128"/>
      <c r="I166" s="136"/>
      <c r="J166" s="128"/>
      <c r="K166" s="136"/>
      <c r="L166" s="194"/>
    </row>
    <row r="167" spans="1:12" x14ac:dyDescent="0.25">
      <c r="A167" s="212" t="s">
        <v>275</v>
      </c>
      <c r="B167" s="210" t="s">
        <v>310</v>
      </c>
      <c r="C167" s="260" t="s">
        <v>394</v>
      </c>
      <c r="D167" s="210" t="s">
        <v>310</v>
      </c>
      <c r="E167" s="260" t="s">
        <v>394</v>
      </c>
      <c r="F167" s="210" t="s">
        <v>310</v>
      </c>
      <c r="G167" s="260" t="s">
        <v>394</v>
      </c>
      <c r="H167" s="210" t="s">
        <v>310</v>
      </c>
      <c r="I167" s="260" t="s">
        <v>394</v>
      </c>
      <c r="J167" s="210" t="s">
        <v>310</v>
      </c>
      <c r="K167" s="260" t="s">
        <v>394</v>
      </c>
      <c r="L167" s="194"/>
    </row>
    <row r="168" spans="1:12" x14ac:dyDescent="0.25">
      <c r="A168" s="212" t="s">
        <v>32</v>
      </c>
      <c r="B168" s="210" t="s">
        <v>310</v>
      </c>
      <c r="C168" s="260" t="s">
        <v>394</v>
      </c>
      <c r="D168" s="210" t="s">
        <v>310</v>
      </c>
      <c r="E168" s="260" t="s">
        <v>394</v>
      </c>
      <c r="F168" s="210" t="s">
        <v>310</v>
      </c>
      <c r="G168" s="260" t="s">
        <v>394</v>
      </c>
      <c r="H168" s="210" t="s">
        <v>310</v>
      </c>
      <c r="I168" s="260" t="s">
        <v>394</v>
      </c>
      <c r="J168" s="210" t="s">
        <v>310</v>
      </c>
      <c r="K168" s="260" t="s">
        <v>394</v>
      </c>
      <c r="L168" s="194"/>
    </row>
    <row r="169" spans="1:12" x14ac:dyDescent="0.25">
      <c r="A169" s="212" t="s">
        <v>33</v>
      </c>
      <c r="B169" s="210" t="s">
        <v>310</v>
      </c>
      <c r="C169" s="260" t="s">
        <v>394</v>
      </c>
      <c r="D169" s="210" t="s">
        <v>310</v>
      </c>
      <c r="E169" s="260" t="s">
        <v>394</v>
      </c>
      <c r="F169" s="210" t="s">
        <v>310</v>
      </c>
      <c r="G169" s="260" t="s">
        <v>394</v>
      </c>
      <c r="H169" s="210" t="s">
        <v>310</v>
      </c>
      <c r="I169" s="260" t="s">
        <v>394</v>
      </c>
      <c r="J169" s="210" t="s">
        <v>310</v>
      </c>
      <c r="K169" s="260" t="s">
        <v>394</v>
      </c>
      <c r="L169" s="194"/>
    </row>
    <row r="170" spans="1:12" x14ac:dyDescent="0.25">
      <c r="A170" s="216"/>
      <c r="B170" s="128"/>
      <c r="C170" s="136"/>
      <c r="D170" s="128"/>
      <c r="E170" s="136"/>
      <c r="F170" s="128"/>
      <c r="G170" s="136"/>
      <c r="H170" s="128"/>
      <c r="I170" s="136"/>
      <c r="J170" s="128"/>
      <c r="K170" s="136"/>
      <c r="L170" s="194"/>
    </row>
    <row r="171" spans="1:12" x14ac:dyDescent="0.25">
      <c r="A171" s="216"/>
      <c r="B171" s="128"/>
      <c r="C171" s="136"/>
      <c r="D171" s="128"/>
      <c r="E171" s="136"/>
      <c r="F171" s="128"/>
      <c r="G171" s="136"/>
      <c r="H171" s="128"/>
      <c r="I171" s="136"/>
      <c r="J171" s="128"/>
      <c r="K171" s="136"/>
      <c r="L171" s="194"/>
    </row>
    <row r="172" spans="1:12" x14ac:dyDescent="0.25">
      <c r="A172" s="216" t="s">
        <v>161</v>
      </c>
      <c r="B172" s="208">
        <v>2005</v>
      </c>
      <c r="C172" s="250" t="s">
        <v>272</v>
      </c>
      <c r="D172" s="208">
        <v>2006</v>
      </c>
      <c r="E172" s="250" t="s">
        <v>272</v>
      </c>
      <c r="F172" s="208">
        <v>2007</v>
      </c>
      <c r="G172" s="250" t="s">
        <v>272</v>
      </c>
      <c r="H172" s="208">
        <v>2008</v>
      </c>
      <c r="I172" s="250" t="s">
        <v>272</v>
      </c>
      <c r="J172" s="208">
        <v>2009</v>
      </c>
      <c r="K172" s="250" t="s">
        <v>272</v>
      </c>
      <c r="L172" s="208" t="s">
        <v>273</v>
      </c>
    </row>
    <row r="173" spans="1:12" x14ac:dyDescent="0.25">
      <c r="A173" s="209" t="s">
        <v>172</v>
      </c>
      <c r="B173" s="128">
        <v>2.5</v>
      </c>
      <c r="C173" s="136"/>
      <c r="D173" s="128">
        <v>2.5</v>
      </c>
      <c r="E173" s="136"/>
      <c r="F173" s="128">
        <v>2.4</v>
      </c>
      <c r="G173" s="136"/>
      <c r="H173" s="128">
        <v>2.2999999999999998</v>
      </c>
      <c r="I173" s="136"/>
      <c r="J173" s="128">
        <v>1.3</v>
      </c>
      <c r="K173" s="136"/>
      <c r="L173" s="194"/>
    </row>
    <row r="174" spans="1:12" x14ac:dyDescent="0.25">
      <c r="A174" s="209" t="s">
        <v>121</v>
      </c>
      <c r="B174" s="214" t="s">
        <v>165</v>
      </c>
      <c r="C174" s="251"/>
      <c r="D174" s="214" t="s">
        <v>165</v>
      </c>
      <c r="E174" s="251"/>
      <c r="F174" s="214" t="s">
        <v>165</v>
      </c>
      <c r="G174" s="251"/>
      <c r="H174" s="214" t="s">
        <v>165</v>
      </c>
      <c r="I174" s="251"/>
      <c r="J174" s="214" t="s">
        <v>165</v>
      </c>
      <c r="K174" s="136"/>
      <c r="L174" s="194"/>
    </row>
    <row r="175" spans="1:12" x14ac:dyDescent="0.25">
      <c r="A175" s="209" t="s">
        <v>173</v>
      </c>
      <c r="B175" s="128">
        <v>1.72</v>
      </c>
      <c r="C175" s="136"/>
      <c r="D175" s="128">
        <v>1.5</v>
      </c>
      <c r="E175" s="136"/>
      <c r="F175" s="128">
        <v>1.44</v>
      </c>
      <c r="G175" s="136"/>
      <c r="H175" s="128">
        <v>1.45</v>
      </c>
      <c r="I175" s="136"/>
      <c r="J175" s="128">
        <v>0.91900000000000004</v>
      </c>
      <c r="K175" s="136"/>
      <c r="L175" s="194" t="s">
        <v>500</v>
      </c>
    </row>
    <row r="176" spans="1:12" x14ac:dyDescent="0.25">
      <c r="A176" s="209" t="s">
        <v>174</v>
      </c>
      <c r="B176" s="128">
        <v>3.58</v>
      </c>
      <c r="C176" s="136"/>
      <c r="D176" s="128">
        <v>3.26</v>
      </c>
      <c r="E176" s="136"/>
      <c r="F176" s="128">
        <v>3.14</v>
      </c>
      <c r="G176" s="136"/>
      <c r="H176" s="128">
        <v>3.16</v>
      </c>
      <c r="I176" s="136"/>
      <c r="J176" s="128">
        <v>1.89</v>
      </c>
      <c r="K176" s="136"/>
      <c r="L176" s="194" t="s">
        <v>500</v>
      </c>
    </row>
    <row r="177" spans="1:12" x14ac:dyDescent="0.25">
      <c r="A177" s="209" t="s">
        <v>274</v>
      </c>
      <c r="B177" s="128"/>
      <c r="C177" s="136"/>
      <c r="D177" s="128"/>
      <c r="E177" s="136"/>
      <c r="F177" s="128"/>
      <c r="G177" s="136"/>
      <c r="H177" s="128"/>
      <c r="I177" s="136"/>
      <c r="J177" s="128"/>
      <c r="K177" s="136"/>
      <c r="L177" s="194"/>
    </row>
    <row r="178" spans="1:12" x14ac:dyDescent="0.25">
      <c r="A178" s="212" t="s">
        <v>275</v>
      </c>
      <c r="B178" s="128" t="s">
        <v>78</v>
      </c>
      <c r="C178" s="259">
        <v>0.76</v>
      </c>
      <c r="D178" s="128" t="s">
        <v>78</v>
      </c>
      <c r="E178" s="259">
        <v>0.6</v>
      </c>
      <c r="F178" s="128" t="s">
        <v>78</v>
      </c>
      <c r="G178" s="259">
        <v>0.57999999999999996</v>
      </c>
      <c r="H178" s="128" t="s">
        <v>78</v>
      </c>
      <c r="I178" s="259">
        <v>0.53</v>
      </c>
      <c r="J178" s="128" t="s">
        <v>128</v>
      </c>
      <c r="K178" s="259">
        <v>0.67</v>
      </c>
      <c r="L178" s="194"/>
    </row>
    <row r="179" spans="1:12" x14ac:dyDescent="0.25">
      <c r="A179" s="212" t="s">
        <v>32</v>
      </c>
      <c r="B179" s="128" t="s">
        <v>128</v>
      </c>
      <c r="C179" s="259">
        <v>0.24</v>
      </c>
      <c r="D179" s="128" t="s">
        <v>128</v>
      </c>
      <c r="E179" s="259">
        <v>0.4</v>
      </c>
      <c r="F179" s="128" t="s">
        <v>128</v>
      </c>
      <c r="G179" s="259">
        <v>0.42</v>
      </c>
      <c r="H179" s="128" t="s">
        <v>128</v>
      </c>
      <c r="I179" s="259">
        <v>0.47</v>
      </c>
      <c r="J179" s="128" t="s">
        <v>78</v>
      </c>
      <c r="K179" s="259">
        <v>0.31</v>
      </c>
      <c r="L179" s="194"/>
    </row>
    <row r="180" spans="1:12" x14ac:dyDescent="0.25">
      <c r="A180" s="212" t="s">
        <v>33</v>
      </c>
      <c r="B180" s="210" t="s">
        <v>310</v>
      </c>
      <c r="C180" s="260" t="s">
        <v>394</v>
      </c>
      <c r="D180" s="210" t="s">
        <v>310</v>
      </c>
      <c r="E180" s="260" t="s">
        <v>394</v>
      </c>
      <c r="F180" s="210" t="s">
        <v>310</v>
      </c>
      <c r="G180" s="260" t="s">
        <v>394</v>
      </c>
      <c r="H180" s="210" t="s">
        <v>310</v>
      </c>
      <c r="I180" s="260" t="s">
        <v>394</v>
      </c>
      <c r="J180" s="128" t="s">
        <v>22</v>
      </c>
      <c r="K180" s="259">
        <v>0.01</v>
      </c>
      <c r="L180" s="194"/>
    </row>
    <row r="181" spans="1:12" x14ac:dyDescent="0.25">
      <c r="A181" s="216"/>
      <c r="B181" s="128"/>
      <c r="C181" s="259">
        <f>SUM(C178:C180)</f>
        <v>1</v>
      </c>
      <c r="D181" s="128"/>
      <c r="E181" s="259">
        <f>SUM(E178:E180)</f>
        <v>1</v>
      </c>
      <c r="F181" s="128"/>
      <c r="G181" s="259">
        <f>SUM(G178:G180)</f>
        <v>1</v>
      </c>
      <c r="H181" s="128"/>
      <c r="I181" s="259">
        <f>SUM(I178:I180)</f>
        <v>1</v>
      </c>
      <c r="J181" s="128"/>
      <c r="K181" s="259">
        <f>SUM(K178:K180)</f>
        <v>0.99</v>
      </c>
      <c r="L181" s="194"/>
    </row>
    <row r="182" spans="1:12" x14ac:dyDescent="0.25">
      <c r="A182" s="216"/>
      <c r="B182" s="128"/>
      <c r="C182" s="136"/>
      <c r="D182" s="128"/>
      <c r="E182" s="136"/>
      <c r="F182" s="128"/>
      <c r="G182" s="136"/>
      <c r="H182" s="128"/>
      <c r="I182" s="136"/>
      <c r="J182" s="128"/>
      <c r="K182" s="136"/>
      <c r="L182" s="194"/>
    </row>
    <row r="183" spans="1:12" x14ac:dyDescent="0.25">
      <c r="A183" s="216"/>
      <c r="B183" s="128"/>
      <c r="C183" s="136"/>
      <c r="D183" s="128"/>
      <c r="E183" s="136"/>
      <c r="F183" s="128"/>
      <c r="G183" s="136"/>
      <c r="H183" s="128"/>
      <c r="I183" s="136"/>
      <c r="J183" s="128"/>
      <c r="K183" s="136"/>
      <c r="L183" s="194"/>
    </row>
    <row r="184" spans="1:12" x14ac:dyDescent="0.25">
      <c r="A184" s="216" t="s">
        <v>325</v>
      </c>
      <c r="B184" s="208">
        <v>2005</v>
      </c>
      <c r="C184" s="250" t="s">
        <v>272</v>
      </c>
      <c r="D184" s="208">
        <v>2006</v>
      </c>
      <c r="E184" s="250" t="s">
        <v>272</v>
      </c>
      <c r="F184" s="208">
        <v>2007</v>
      </c>
      <c r="G184" s="250" t="s">
        <v>272</v>
      </c>
      <c r="H184" s="208">
        <v>2008</v>
      </c>
      <c r="I184" s="250" t="s">
        <v>272</v>
      </c>
      <c r="J184" s="208">
        <v>2009</v>
      </c>
      <c r="K184" s="250" t="s">
        <v>272</v>
      </c>
      <c r="L184" s="208" t="s">
        <v>273</v>
      </c>
    </row>
    <row r="185" spans="1:12" x14ac:dyDescent="0.25">
      <c r="A185" s="209" t="s">
        <v>172</v>
      </c>
      <c r="B185" s="260" t="s">
        <v>394</v>
      </c>
      <c r="C185" s="136"/>
      <c r="D185" s="260" t="s">
        <v>394</v>
      </c>
      <c r="E185" s="136"/>
      <c r="F185" s="260" t="s">
        <v>394</v>
      </c>
      <c r="G185" s="136"/>
      <c r="H185" s="260" t="s">
        <v>394</v>
      </c>
      <c r="I185" s="136"/>
      <c r="J185" s="260" t="s">
        <v>394</v>
      </c>
      <c r="K185" s="136"/>
      <c r="L185" s="194"/>
    </row>
    <row r="186" spans="1:12" x14ac:dyDescent="0.25">
      <c r="A186" s="209" t="s">
        <v>121</v>
      </c>
      <c r="B186" s="214" t="s">
        <v>165</v>
      </c>
      <c r="C186" s="251"/>
      <c r="D186" s="214" t="s">
        <v>165</v>
      </c>
      <c r="E186" s="251"/>
      <c r="F186" s="214" t="s">
        <v>165</v>
      </c>
      <c r="G186" s="251"/>
      <c r="H186" s="214" t="s">
        <v>165</v>
      </c>
      <c r="I186" s="251"/>
      <c r="J186" s="214" t="s">
        <v>165</v>
      </c>
      <c r="K186" s="136"/>
      <c r="L186" s="194" t="s">
        <v>501</v>
      </c>
    </row>
    <row r="187" spans="1:12" x14ac:dyDescent="0.25">
      <c r="A187" s="209" t="s">
        <v>173</v>
      </c>
      <c r="B187" s="128">
        <v>21.8</v>
      </c>
      <c r="C187" s="136"/>
      <c r="D187" s="128">
        <v>9.02</v>
      </c>
      <c r="E187" s="136"/>
      <c r="F187" s="128">
        <v>11.7</v>
      </c>
      <c r="G187" s="136"/>
      <c r="H187" s="128">
        <v>21</v>
      </c>
      <c r="I187" s="136"/>
      <c r="J187" s="128">
        <v>10.5</v>
      </c>
      <c r="K187" s="136"/>
      <c r="L187" s="194" t="s">
        <v>501</v>
      </c>
    </row>
    <row r="188" spans="1:12" x14ac:dyDescent="0.25">
      <c r="A188" s="209" t="s">
        <v>174</v>
      </c>
      <c r="B188" s="128">
        <v>15</v>
      </c>
      <c r="C188" s="136"/>
      <c r="D188" s="128">
        <v>15.2</v>
      </c>
      <c r="E188" s="136"/>
      <c r="F188" s="128">
        <v>9</v>
      </c>
      <c r="G188" s="136"/>
      <c r="H188" s="128">
        <v>15.8</v>
      </c>
      <c r="I188" s="136"/>
      <c r="J188" s="128">
        <v>6.27</v>
      </c>
      <c r="K188" s="136"/>
      <c r="L188" s="194" t="s">
        <v>501</v>
      </c>
    </row>
    <row r="189" spans="1:12" x14ac:dyDescent="0.25">
      <c r="A189" s="209" t="s">
        <v>274</v>
      </c>
      <c r="B189" s="128"/>
      <c r="C189" s="136"/>
      <c r="D189" s="128"/>
      <c r="E189" s="136"/>
      <c r="F189" s="128"/>
      <c r="G189" s="136"/>
      <c r="H189" s="128"/>
      <c r="I189" s="136"/>
      <c r="J189" s="128"/>
      <c r="K189" s="136"/>
      <c r="L189" s="194"/>
    </row>
    <row r="190" spans="1:12" x14ac:dyDescent="0.25">
      <c r="A190" s="212" t="s">
        <v>275</v>
      </c>
      <c r="B190" s="128" t="s">
        <v>22</v>
      </c>
      <c r="C190" s="259">
        <v>0.35</v>
      </c>
      <c r="D190" s="128" t="s">
        <v>22</v>
      </c>
      <c r="E190" s="259">
        <v>0.52</v>
      </c>
      <c r="F190" s="128" t="s">
        <v>22</v>
      </c>
      <c r="G190" s="259">
        <v>0.45</v>
      </c>
      <c r="H190" s="128" t="s">
        <v>22</v>
      </c>
      <c r="I190" s="259">
        <v>0.88</v>
      </c>
      <c r="J190" s="128" t="s">
        <v>22</v>
      </c>
      <c r="K190" s="259">
        <v>0.53</v>
      </c>
      <c r="L190" s="194"/>
    </row>
    <row r="191" spans="1:12" x14ac:dyDescent="0.25">
      <c r="A191" s="212" t="s">
        <v>32</v>
      </c>
      <c r="B191" s="128" t="s">
        <v>29</v>
      </c>
      <c r="C191" s="259">
        <v>0.28999999999999998</v>
      </c>
      <c r="D191" s="128" t="s">
        <v>141</v>
      </c>
      <c r="E191" s="259">
        <v>0.19</v>
      </c>
      <c r="F191" s="128" t="s">
        <v>141</v>
      </c>
      <c r="G191" s="259">
        <v>0.24</v>
      </c>
      <c r="H191" s="128" t="s">
        <v>141</v>
      </c>
      <c r="I191" s="259">
        <v>0.06</v>
      </c>
      <c r="J191" s="128" t="s">
        <v>141</v>
      </c>
      <c r="K191" s="259">
        <v>0.27</v>
      </c>
      <c r="L191" s="194"/>
    </row>
    <row r="192" spans="1:12" x14ac:dyDescent="0.25">
      <c r="A192" s="212" t="s">
        <v>33</v>
      </c>
      <c r="B192" s="128" t="s">
        <v>141</v>
      </c>
      <c r="C192" s="259">
        <v>0.16</v>
      </c>
      <c r="D192" s="128" t="s">
        <v>29</v>
      </c>
      <c r="E192" s="259">
        <v>0.18</v>
      </c>
      <c r="F192" s="128" t="s">
        <v>29</v>
      </c>
      <c r="G192" s="259">
        <v>0.22</v>
      </c>
      <c r="H192" s="128" t="s">
        <v>29</v>
      </c>
      <c r="I192" s="259">
        <v>0.03</v>
      </c>
      <c r="J192" s="128" t="s">
        <v>29</v>
      </c>
      <c r="K192" s="259">
        <v>0.08</v>
      </c>
      <c r="L192" s="194"/>
    </row>
    <row r="193" spans="1:12" x14ac:dyDescent="0.25">
      <c r="A193" s="216"/>
      <c r="B193" s="128"/>
      <c r="C193" s="259">
        <f>SUM(C190:C192)</f>
        <v>0.79999999999999993</v>
      </c>
      <c r="D193" s="128"/>
      <c r="E193" s="259">
        <f>SUM(E190:E192)</f>
        <v>0.8899999999999999</v>
      </c>
      <c r="F193" s="128"/>
      <c r="G193" s="259">
        <f>SUM(G190:G192)</f>
        <v>0.90999999999999992</v>
      </c>
      <c r="H193" s="128"/>
      <c r="I193" s="259">
        <f>SUM(I190:I192)</f>
        <v>0.97</v>
      </c>
      <c r="J193" s="128"/>
      <c r="K193" s="259">
        <f>SUM(K190:K192)</f>
        <v>0.88</v>
      </c>
      <c r="L193" s="194"/>
    </row>
    <row r="194" spans="1:12" x14ac:dyDescent="0.25">
      <c r="A194" s="216"/>
      <c r="B194" s="128"/>
      <c r="C194" s="136"/>
      <c r="D194" s="128"/>
      <c r="E194" s="136"/>
      <c r="F194" s="128"/>
      <c r="G194" s="136"/>
      <c r="H194" s="128"/>
      <c r="I194" s="136"/>
      <c r="J194" s="128"/>
      <c r="K194" s="136"/>
      <c r="L194" s="194"/>
    </row>
    <row r="195" spans="1:12" x14ac:dyDescent="0.25">
      <c r="A195" s="216"/>
      <c r="B195" s="128"/>
      <c r="C195" s="136"/>
      <c r="D195" s="128"/>
      <c r="E195" s="136"/>
      <c r="F195" s="128"/>
      <c r="G195" s="136"/>
      <c r="H195" s="128"/>
      <c r="I195" s="136"/>
      <c r="J195" s="128"/>
      <c r="K195" s="136"/>
      <c r="L195" s="194"/>
    </row>
    <row r="196" spans="1:12" x14ac:dyDescent="0.25">
      <c r="A196" s="216" t="s">
        <v>280</v>
      </c>
      <c r="B196" s="208">
        <v>2005</v>
      </c>
      <c r="C196" s="250" t="s">
        <v>272</v>
      </c>
      <c r="D196" s="208">
        <v>2006</v>
      </c>
      <c r="E196" s="250" t="s">
        <v>272</v>
      </c>
      <c r="F196" s="208">
        <v>2007</v>
      </c>
      <c r="G196" s="250" t="s">
        <v>272</v>
      </c>
      <c r="H196" s="208">
        <v>2008</v>
      </c>
      <c r="I196" s="250" t="s">
        <v>272</v>
      </c>
      <c r="J196" s="208">
        <v>2009</v>
      </c>
      <c r="K196" s="250" t="s">
        <v>272</v>
      </c>
      <c r="L196" s="208" t="s">
        <v>273</v>
      </c>
    </row>
    <row r="197" spans="1:12" x14ac:dyDescent="0.25">
      <c r="A197" s="209" t="s">
        <v>172</v>
      </c>
      <c r="B197" s="210">
        <v>368</v>
      </c>
      <c r="C197" s="136"/>
      <c r="D197" s="210">
        <v>365</v>
      </c>
      <c r="E197" s="136"/>
      <c r="F197" s="210">
        <v>351</v>
      </c>
      <c r="G197" s="136"/>
      <c r="H197" s="210">
        <v>464</v>
      </c>
      <c r="I197" s="136"/>
      <c r="J197" s="210">
        <v>422</v>
      </c>
      <c r="K197" s="136"/>
      <c r="L197" s="194" t="s">
        <v>502</v>
      </c>
    </row>
    <row r="198" spans="1:12" x14ac:dyDescent="0.25">
      <c r="A198" s="209" t="s">
        <v>121</v>
      </c>
      <c r="B198" s="213" t="s">
        <v>394</v>
      </c>
      <c r="C198" s="251"/>
      <c r="D198" s="213" t="s">
        <v>394</v>
      </c>
      <c r="E198" s="251"/>
      <c r="F198" s="213" t="s">
        <v>394</v>
      </c>
      <c r="G198" s="251"/>
      <c r="H198" s="213" t="s">
        <v>394</v>
      </c>
      <c r="I198" s="251"/>
      <c r="J198" s="213" t="s">
        <v>394</v>
      </c>
      <c r="K198" s="136"/>
      <c r="L198" s="194"/>
    </row>
    <row r="199" spans="1:12" x14ac:dyDescent="0.25">
      <c r="A199" s="209" t="s">
        <v>173</v>
      </c>
      <c r="B199" s="128">
        <v>13.5</v>
      </c>
      <c r="C199" s="136"/>
      <c r="D199" s="128">
        <v>2.2400000000000002</v>
      </c>
      <c r="E199" s="136"/>
      <c r="F199" s="128">
        <v>29</v>
      </c>
      <c r="G199" s="136"/>
      <c r="H199" s="128">
        <v>48.3</v>
      </c>
      <c r="I199" s="136"/>
      <c r="J199" s="128">
        <v>15.3</v>
      </c>
      <c r="K199" s="136"/>
      <c r="L199" s="194" t="s">
        <v>502</v>
      </c>
    </row>
    <row r="200" spans="1:12" x14ac:dyDescent="0.25">
      <c r="A200" s="209" t="s">
        <v>174</v>
      </c>
      <c r="B200" s="210">
        <v>656</v>
      </c>
      <c r="C200" s="136"/>
      <c r="D200" s="210">
        <v>572</v>
      </c>
      <c r="E200" s="136"/>
      <c r="F200" s="210">
        <v>602</v>
      </c>
      <c r="G200" s="136"/>
      <c r="H200" s="210">
        <v>571</v>
      </c>
      <c r="I200" s="136"/>
      <c r="J200" s="210">
        <v>269</v>
      </c>
      <c r="K200" s="136"/>
      <c r="L200" s="194" t="s">
        <v>502</v>
      </c>
    </row>
    <row r="201" spans="1:12" x14ac:dyDescent="0.25">
      <c r="A201" s="209" t="s">
        <v>274</v>
      </c>
      <c r="B201" s="128"/>
      <c r="C201" s="136"/>
      <c r="D201" s="128"/>
      <c r="E201" s="136"/>
      <c r="F201" s="128"/>
      <c r="G201" s="136"/>
      <c r="H201" s="128"/>
      <c r="I201" s="136"/>
      <c r="J201" s="128"/>
      <c r="K201" s="136"/>
      <c r="L201" s="194"/>
    </row>
    <row r="202" spans="1:12" x14ac:dyDescent="0.25">
      <c r="A202" s="212" t="s">
        <v>275</v>
      </c>
      <c r="B202" s="128" t="s">
        <v>167</v>
      </c>
      <c r="C202" s="259">
        <v>0.75</v>
      </c>
      <c r="D202" s="128" t="s">
        <v>167</v>
      </c>
      <c r="E202" s="259">
        <v>0.44</v>
      </c>
      <c r="F202" s="128" t="s">
        <v>167</v>
      </c>
      <c r="G202" s="259">
        <v>0.56999999999999995</v>
      </c>
      <c r="H202" s="128" t="s">
        <v>167</v>
      </c>
      <c r="I202" s="259">
        <v>0.63</v>
      </c>
      <c r="J202" s="128" t="s">
        <v>167</v>
      </c>
      <c r="K202" s="259">
        <v>0.63</v>
      </c>
      <c r="L202" s="194"/>
    </row>
    <row r="203" spans="1:12" x14ac:dyDescent="0.25">
      <c r="A203" s="212" t="s">
        <v>32</v>
      </c>
      <c r="B203" s="128" t="s">
        <v>34</v>
      </c>
      <c r="C203" s="259">
        <v>0.1</v>
      </c>
      <c r="D203" s="128" t="s">
        <v>34</v>
      </c>
      <c r="E203" s="259">
        <v>0.34</v>
      </c>
      <c r="F203" s="128" t="s">
        <v>34</v>
      </c>
      <c r="G203" s="259">
        <v>0.18</v>
      </c>
      <c r="H203" s="128" t="s">
        <v>27</v>
      </c>
      <c r="I203" s="259">
        <v>0.18</v>
      </c>
      <c r="J203" s="128" t="s">
        <v>313</v>
      </c>
      <c r="K203" s="259">
        <v>0.24</v>
      </c>
      <c r="L203" s="194"/>
    </row>
    <row r="204" spans="1:12" x14ac:dyDescent="0.25">
      <c r="A204" s="212" t="s">
        <v>33</v>
      </c>
      <c r="B204" s="128" t="s">
        <v>27</v>
      </c>
      <c r="C204" s="259">
        <v>0.06</v>
      </c>
      <c r="D204" s="128" t="s">
        <v>98</v>
      </c>
      <c r="E204" s="259">
        <v>0.06</v>
      </c>
      <c r="F204" s="128" t="s">
        <v>27</v>
      </c>
      <c r="G204" s="259">
        <v>0.12</v>
      </c>
      <c r="H204" s="128" t="s">
        <v>28</v>
      </c>
      <c r="I204" s="259">
        <v>0.12</v>
      </c>
      <c r="J204" s="128" t="s">
        <v>27</v>
      </c>
      <c r="K204" s="259">
        <v>0.1</v>
      </c>
      <c r="L204" s="194"/>
    </row>
    <row r="205" spans="1:12" x14ac:dyDescent="0.25">
      <c r="A205" s="216"/>
      <c r="B205" s="128"/>
      <c r="C205" s="259">
        <f>SUM(C202:C204)</f>
        <v>0.90999999999999992</v>
      </c>
      <c r="D205" s="128"/>
      <c r="E205" s="259">
        <f>SUM(E202:E204)</f>
        <v>0.84000000000000008</v>
      </c>
      <c r="F205" s="128"/>
      <c r="G205" s="259">
        <f>SUM(G202:G204)</f>
        <v>0.87</v>
      </c>
      <c r="H205" s="128"/>
      <c r="I205" s="259">
        <f>SUM(I202:I204)</f>
        <v>0.93</v>
      </c>
      <c r="J205" s="128"/>
      <c r="K205" s="259">
        <f>SUM(K202:K204)</f>
        <v>0.97</v>
      </c>
      <c r="L205" s="194"/>
    </row>
    <row r="206" spans="1:12" x14ac:dyDescent="0.25">
      <c r="A206" s="216"/>
      <c r="B206" s="128"/>
      <c r="C206" s="136"/>
      <c r="D206" s="128"/>
      <c r="E206" s="136"/>
      <c r="F206" s="128"/>
      <c r="G206" s="136"/>
      <c r="H206" s="128"/>
      <c r="I206" s="136"/>
      <c r="J206" s="128"/>
      <c r="K206" s="136"/>
      <c r="L206" s="194"/>
    </row>
    <row r="207" spans="1:12" x14ac:dyDescent="0.25">
      <c r="A207" s="216"/>
      <c r="B207" s="128"/>
      <c r="C207" s="136"/>
      <c r="D207" s="128"/>
      <c r="E207" s="136"/>
      <c r="F207" s="128"/>
      <c r="G207" s="136"/>
      <c r="H207" s="128"/>
      <c r="I207" s="136"/>
      <c r="J207" s="128"/>
      <c r="K207" s="136"/>
      <c r="L207" s="194"/>
    </row>
    <row r="208" spans="1:12" x14ac:dyDescent="0.25">
      <c r="A208" s="216" t="s">
        <v>168</v>
      </c>
      <c r="B208" s="208">
        <v>2005</v>
      </c>
      <c r="C208" s="250" t="s">
        <v>272</v>
      </c>
      <c r="D208" s="208">
        <v>2006</v>
      </c>
      <c r="E208" s="250" t="s">
        <v>272</v>
      </c>
      <c r="F208" s="208">
        <v>2007</v>
      </c>
      <c r="G208" s="250" t="s">
        <v>272</v>
      </c>
      <c r="H208" s="208">
        <v>2008</v>
      </c>
      <c r="I208" s="250" t="s">
        <v>272</v>
      </c>
      <c r="J208" s="208">
        <v>2009</v>
      </c>
      <c r="K208" s="250" t="s">
        <v>272</v>
      </c>
      <c r="L208" s="208" t="s">
        <v>273</v>
      </c>
    </row>
    <row r="209" spans="1:12" x14ac:dyDescent="0.25">
      <c r="A209" s="209" t="s">
        <v>172</v>
      </c>
      <c r="B209" s="260" t="s">
        <v>394</v>
      </c>
      <c r="C209" s="136"/>
      <c r="D209" s="260" t="s">
        <v>394</v>
      </c>
      <c r="E209" s="136"/>
      <c r="F209" s="260" t="s">
        <v>394</v>
      </c>
      <c r="G209" s="136"/>
      <c r="H209" s="260" t="s">
        <v>394</v>
      </c>
      <c r="I209" s="136"/>
      <c r="J209" s="260" t="s">
        <v>394</v>
      </c>
      <c r="K209" s="136"/>
      <c r="L209" s="194"/>
    </row>
    <row r="210" spans="1:12" x14ac:dyDescent="0.25">
      <c r="A210" s="209" t="s">
        <v>121</v>
      </c>
      <c r="B210" s="260" t="s">
        <v>394</v>
      </c>
      <c r="C210" s="251"/>
      <c r="D210" s="260" t="s">
        <v>394</v>
      </c>
      <c r="E210" s="251"/>
      <c r="F210" s="260" t="s">
        <v>394</v>
      </c>
      <c r="G210" s="251"/>
      <c r="H210" s="260" t="s">
        <v>394</v>
      </c>
      <c r="I210" s="251"/>
      <c r="J210" s="260" t="s">
        <v>394</v>
      </c>
      <c r="K210" s="136"/>
      <c r="L210" s="194"/>
    </row>
    <row r="211" spans="1:12" x14ac:dyDescent="0.25">
      <c r="A211" s="209" t="s">
        <v>173</v>
      </c>
      <c r="B211" s="128">
        <v>0.31900000000000001</v>
      </c>
      <c r="C211" s="136"/>
      <c r="D211" s="128">
        <v>0.39</v>
      </c>
      <c r="E211" s="136"/>
      <c r="F211" s="128">
        <v>8.4000000000000005E-2</v>
      </c>
      <c r="G211" s="136"/>
      <c r="H211" s="128">
        <v>0.73199999999999998</v>
      </c>
      <c r="I211" s="136"/>
      <c r="J211" s="128">
        <v>0.753</v>
      </c>
      <c r="K211" s="136"/>
      <c r="L211" s="194" t="s">
        <v>503</v>
      </c>
    </row>
    <row r="212" spans="1:12" x14ac:dyDescent="0.25">
      <c r="A212" s="209" t="s">
        <v>174</v>
      </c>
      <c r="B212" s="128">
        <v>0.21199999999999999</v>
      </c>
      <c r="C212" s="136"/>
      <c r="D212" s="128">
        <v>9.4E-2</v>
      </c>
      <c r="E212" s="136"/>
      <c r="F212" s="128">
        <v>6.7000000000000004E-2</v>
      </c>
      <c r="G212" s="136"/>
      <c r="H212" s="128">
        <v>0.155</v>
      </c>
      <c r="I212" s="136"/>
      <c r="J212" s="128">
        <v>0.20599999999999999</v>
      </c>
      <c r="K212" s="136"/>
      <c r="L212" s="194" t="s">
        <v>503</v>
      </c>
    </row>
    <row r="213" spans="1:12" x14ac:dyDescent="0.25">
      <c r="A213" s="209" t="s">
        <v>274</v>
      </c>
      <c r="B213" s="128"/>
      <c r="C213" s="136"/>
      <c r="D213" s="128"/>
      <c r="E213" s="136"/>
      <c r="F213" s="128"/>
      <c r="G213" s="136"/>
      <c r="H213" s="128"/>
      <c r="I213" s="136"/>
      <c r="J213" s="128"/>
      <c r="K213" s="136"/>
      <c r="L213" s="194"/>
    </row>
    <row r="214" spans="1:12" x14ac:dyDescent="0.25">
      <c r="A214" s="212" t="s">
        <v>275</v>
      </c>
      <c r="B214" s="128" t="s">
        <v>44</v>
      </c>
      <c r="C214" s="259">
        <v>0.6</v>
      </c>
      <c r="D214" s="128" t="s">
        <v>24</v>
      </c>
      <c r="E214" s="259">
        <v>0.54</v>
      </c>
      <c r="F214" s="128" t="s">
        <v>44</v>
      </c>
      <c r="G214" s="259">
        <v>0.51</v>
      </c>
      <c r="H214" s="128" t="s">
        <v>44</v>
      </c>
      <c r="I214" s="259">
        <v>0.88</v>
      </c>
      <c r="J214" s="128" t="s">
        <v>44</v>
      </c>
      <c r="K214" s="259">
        <v>0.45</v>
      </c>
      <c r="L214" s="194"/>
    </row>
    <row r="215" spans="1:12" x14ac:dyDescent="0.25">
      <c r="A215" s="212" t="s">
        <v>32</v>
      </c>
      <c r="B215" s="128" t="s">
        <v>78</v>
      </c>
      <c r="C215" s="259">
        <v>0.15</v>
      </c>
      <c r="D215" s="128" t="s">
        <v>44</v>
      </c>
      <c r="E215" s="259">
        <v>0.23</v>
      </c>
      <c r="F215" s="128" t="s">
        <v>38</v>
      </c>
      <c r="G215" s="259">
        <v>0.28000000000000003</v>
      </c>
      <c r="H215" s="128" t="s">
        <v>57</v>
      </c>
      <c r="I215" s="259">
        <v>0.09</v>
      </c>
      <c r="J215" s="128" t="s">
        <v>78</v>
      </c>
      <c r="K215" s="259">
        <v>0.43</v>
      </c>
      <c r="L215" s="194"/>
    </row>
    <row r="216" spans="1:12" x14ac:dyDescent="0.25">
      <c r="A216" s="212" t="s">
        <v>33</v>
      </c>
      <c r="B216" s="128" t="s">
        <v>141</v>
      </c>
      <c r="C216" s="259">
        <v>0.14000000000000001</v>
      </c>
      <c r="D216" s="128" t="s">
        <v>57</v>
      </c>
      <c r="E216" s="259">
        <v>0.15</v>
      </c>
      <c r="F216" s="128" t="s">
        <v>57</v>
      </c>
      <c r="G216" s="259">
        <v>0.21</v>
      </c>
      <c r="H216" s="128" t="s">
        <v>38</v>
      </c>
      <c r="I216" s="259">
        <v>0.03</v>
      </c>
      <c r="J216" s="128" t="s">
        <v>57</v>
      </c>
      <c r="K216" s="259">
        <v>7.0000000000000007E-2</v>
      </c>
      <c r="L216" s="194"/>
    </row>
    <row r="217" spans="1:12" x14ac:dyDescent="0.25">
      <c r="A217" s="216"/>
      <c r="B217" s="128"/>
      <c r="C217" s="259">
        <f>SUM(C214:C216)</f>
        <v>0.89</v>
      </c>
      <c r="D217" s="128"/>
      <c r="E217" s="259">
        <f>SUM(E214:E216)</f>
        <v>0.92</v>
      </c>
      <c r="F217" s="128"/>
      <c r="G217" s="259">
        <f>SUM(G214:G216)</f>
        <v>1</v>
      </c>
      <c r="H217" s="128"/>
      <c r="I217" s="259">
        <f>SUM(I214:I216)</f>
        <v>1</v>
      </c>
      <c r="J217" s="128"/>
      <c r="K217" s="259">
        <f>SUM(K214:K216)</f>
        <v>0.95</v>
      </c>
      <c r="L217" s="194"/>
    </row>
    <row r="218" spans="1:12" x14ac:dyDescent="0.25">
      <c r="A218" s="216"/>
      <c r="B218" s="128"/>
      <c r="C218" s="136"/>
      <c r="D218" s="128"/>
      <c r="E218" s="136"/>
      <c r="F218" s="128"/>
      <c r="G218" s="136"/>
      <c r="H218" s="128"/>
      <c r="I218" s="136"/>
      <c r="J218" s="128"/>
      <c r="K218" s="136"/>
      <c r="L218" s="194"/>
    </row>
    <row r="219" spans="1:12" x14ac:dyDescent="0.25">
      <c r="A219" s="216"/>
      <c r="B219" s="128"/>
      <c r="C219" s="136"/>
      <c r="D219" s="128"/>
      <c r="E219" s="136"/>
      <c r="F219" s="128"/>
      <c r="G219" s="136"/>
      <c r="H219" s="128"/>
      <c r="I219" s="136"/>
      <c r="J219" s="128"/>
      <c r="K219" s="136"/>
      <c r="L219" s="194"/>
    </row>
    <row r="220" spans="1:12" x14ac:dyDescent="0.25">
      <c r="A220" s="216" t="s">
        <v>281</v>
      </c>
      <c r="B220" s="208">
        <v>2005</v>
      </c>
      <c r="C220" s="250" t="s">
        <v>272</v>
      </c>
      <c r="D220" s="208">
        <v>2006</v>
      </c>
      <c r="E220" s="250" t="s">
        <v>272</v>
      </c>
      <c r="F220" s="208">
        <v>2007</v>
      </c>
      <c r="G220" s="250" t="s">
        <v>272</v>
      </c>
      <c r="H220" s="208">
        <v>2008</v>
      </c>
      <c r="I220" s="250" t="s">
        <v>272</v>
      </c>
      <c r="J220" s="208">
        <v>2009</v>
      </c>
      <c r="K220" s="250" t="s">
        <v>272</v>
      </c>
      <c r="L220" s="208" t="s">
        <v>273</v>
      </c>
    </row>
    <row r="221" spans="1:12" x14ac:dyDescent="0.25">
      <c r="A221" s="209" t="s">
        <v>172</v>
      </c>
      <c r="B221" s="128">
        <f>+B222+B224-B223</f>
        <v>226</v>
      </c>
      <c r="C221" s="136"/>
      <c r="D221" s="128">
        <f>+D222+D224-D223</f>
        <v>271.27999999999997</v>
      </c>
      <c r="E221" s="136"/>
      <c r="F221" s="128">
        <f>+F222+F224-F223</f>
        <v>229.99</v>
      </c>
      <c r="G221" s="136"/>
      <c r="H221" s="128">
        <f>+H222+H224-H223</f>
        <v>199.70000000000002</v>
      </c>
      <c r="I221" s="136"/>
      <c r="J221" s="128">
        <f>+J222+J224-J223</f>
        <v>139.25400000000002</v>
      </c>
      <c r="K221" s="136"/>
      <c r="L221" s="194"/>
    </row>
    <row r="222" spans="1:12" x14ac:dyDescent="0.25">
      <c r="A222" s="209" t="s">
        <v>121</v>
      </c>
      <c r="B222" s="128">
        <v>198</v>
      </c>
      <c r="C222" s="136"/>
      <c r="D222" s="128">
        <v>233</v>
      </c>
      <c r="E222" s="136"/>
      <c r="F222" s="128">
        <v>196</v>
      </c>
      <c r="G222" s="136"/>
      <c r="H222" s="128">
        <v>182</v>
      </c>
      <c r="I222" s="136"/>
      <c r="J222" s="128">
        <v>127</v>
      </c>
      <c r="K222" s="136"/>
      <c r="L222" s="194" t="s">
        <v>504</v>
      </c>
    </row>
    <row r="223" spans="1:12" x14ac:dyDescent="0.25">
      <c r="A223" s="209" t="s">
        <v>173</v>
      </c>
      <c r="B223" s="128">
        <v>10.8</v>
      </c>
      <c r="C223" s="136"/>
      <c r="D223" s="128">
        <v>8.6199999999999992</v>
      </c>
      <c r="E223" s="136"/>
      <c r="F223" s="128">
        <v>9.01</v>
      </c>
      <c r="G223" s="136"/>
      <c r="H223" s="128">
        <v>11.1</v>
      </c>
      <c r="I223" s="136"/>
      <c r="J223" s="128">
        <v>9.1460000000000008</v>
      </c>
      <c r="K223" s="136"/>
      <c r="L223" s="194" t="s">
        <v>505</v>
      </c>
    </row>
    <row r="224" spans="1:12" x14ac:dyDescent="0.25">
      <c r="A224" s="209" t="s">
        <v>174</v>
      </c>
      <c r="B224" s="128">
        <v>38.799999999999997</v>
      </c>
      <c r="C224" s="136"/>
      <c r="D224" s="128">
        <v>46.9</v>
      </c>
      <c r="E224" s="136"/>
      <c r="F224" s="128">
        <v>43</v>
      </c>
      <c r="G224" s="136"/>
      <c r="H224" s="128">
        <v>28.8</v>
      </c>
      <c r="I224" s="136"/>
      <c r="J224" s="128">
        <v>21.4</v>
      </c>
      <c r="K224" s="136"/>
      <c r="L224" s="194" t="s">
        <v>506</v>
      </c>
    </row>
    <row r="225" spans="1:12" x14ac:dyDescent="0.25">
      <c r="A225" s="209" t="s">
        <v>274</v>
      </c>
      <c r="B225" s="128"/>
      <c r="C225" s="136"/>
      <c r="D225" s="128"/>
      <c r="E225" s="136"/>
      <c r="F225" s="128"/>
      <c r="G225" s="136"/>
      <c r="H225" s="128"/>
      <c r="I225" s="136"/>
      <c r="J225" s="128"/>
      <c r="K225" s="136"/>
      <c r="L225" s="194"/>
    </row>
    <row r="226" spans="1:12" x14ac:dyDescent="0.25">
      <c r="A226" s="212" t="s">
        <v>275</v>
      </c>
      <c r="B226" s="210" t="s">
        <v>310</v>
      </c>
      <c r="C226" s="260" t="s">
        <v>394</v>
      </c>
      <c r="D226" s="210" t="s">
        <v>310</v>
      </c>
      <c r="E226" s="260" t="s">
        <v>394</v>
      </c>
      <c r="F226" s="210" t="s">
        <v>310</v>
      </c>
      <c r="G226" s="260" t="s">
        <v>394</v>
      </c>
      <c r="H226" s="210" t="s">
        <v>310</v>
      </c>
      <c r="I226" s="260" t="s">
        <v>394</v>
      </c>
      <c r="J226" s="210" t="s">
        <v>310</v>
      </c>
      <c r="K226" s="260" t="s">
        <v>394</v>
      </c>
      <c r="L226" s="194"/>
    </row>
    <row r="227" spans="1:12" x14ac:dyDescent="0.25">
      <c r="A227" s="212" t="s">
        <v>32</v>
      </c>
      <c r="B227" s="210" t="s">
        <v>310</v>
      </c>
      <c r="C227" s="260" t="s">
        <v>394</v>
      </c>
      <c r="D227" s="210" t="s">
        <v>310</v>
      </c>
      <c r="E227" s="260" t="s">
        <v>394</v>
      </c>
      <c r="F227" s="210" t="s">
        <v>310</v>
      </c>
      <c r="G227" s="260" t="s">
        <v>394</v>
      </c>
      <c r="H227" s="210" t="s">
        <v>310</v>
      </c>
      <c r="I227" s="260" t="s">
        <v>394</v>
      </c>
      <c r="J227" s="210" t="s">
        <v>310</v>
      </c>
      <c r="K227" s="260" t="s">
        <v>394</v>
      </c>
      <c r="L227" s="194"/>
    </row>
    <row r="228" spans="1:12" x14ac:dyDescent="0.25">
      <c r="A228" s="212" t="s">
        <v>33</v>
      </c>
      <c r="B228" s="210" t="s">
        <v>310</v>
      </c>
      <c r="C228" s="260" t="s">
        <v>394</v>
      </c>
      <c r="D228" s="210" t="s">
        <v>310</v>
      </c>
      <c r="E228" s="260" t="s">
        <v>394</v>
      </c>
      <c r="F228" s="210" t="s">
        <v>310</v>
      </c>
      <c r="G228" s="260" t="s">
        <v>394</v>
      </c>
      <c r="H228" s="210" t="s">
        <v>310</v>
      </c>
      <c r="I228" s="260" t="s">
        <v>394</v>
      </c>
      <c r="J228" s="210" t="s">
        <v>310</v>
      </c>
      <c r="K228" s="260" t="s">
        <v>394</v>
      </c>
      <c r="L228" s="194"/>
    </row>
    <row r="229" spans="1:12" x14ac:dyDescent="0.25">
      <c r="A229" s="216"/>
      <c r="B229" s="128"/>
      <c r="C229" s="260" t="s">
        <v>394</v>
      </c>
      <c r="D229" s="128"/>
      <c r="E229" s="260" t="s">
        <v>394</v>
      </c>
      <c r="F229" s="128"/>
      <c r="G229" s="260" t="s">
        <v>394</v>
      </c>
      <c r="H229" s="128"/>
      <c r="I229" s="260" t="s">
        <v>394</v>
      </c>
      <c r="J229" s="128"/>
      <c r="K229" s="260" t="s">
        <v>394</v>
      </c>
      <c r="L229" s="194"/>
    </row>
    <row r="230" spans="1:12" x14ac:dyDescent="0.25">
      <c r="A230" s="216"/>
      <c r="B230" s="128"/>
      <c r="C230" s="136"/>
      <c r="D230" s="128"/>
      <c r="E230" s="136"/>
      <c r="F230" s="128"/>
      <c r="G230" s="136"/>
      <c r="H230" s="128"/>
      <c r="I230" s="136"/>
      <c r="J230" s="128"/>
      <c r="K230" s="136"/>
      <c r="L230" s="194"/>
    </row>
    <row r="231" spans="1:12" x14ac:dyDescent="0.25">
      <c r="A231" s="216"/>
      <c r="B231" s="128"/>
      <c r="C231" s="136"/>
      <c r="D231" s="128"/>
      <c r="E231" s="136"/>
      <c r="F231" s="128"/>
      <c r="G231" s="136"/>
      <c r="H231" s="128"/>
      <c r="I231" s="136"/>
      <c r="J231" s="128"/>
      <c r="K231" s="136"/>
      <c r="L231" s="194"/>
    </row>
    <row r="232" spans="1:12" x14ac:dyDescent="0.25">
      <c r="A232" s="216" t="s">
        <v>266</v>
      </c>
      <c r="B232" s="208">
        <v>2005</v>
      </c>
      <c r="C232" s="250" t="s">
        <v>272</v>
      </c>
      <c r="D232" s="208">
        <v>2006</v>
      </c>
      <c r="E232" s="250" t="s">
        <v>272</v>
      </c>
      <c r="F232" s="208">
        <v>2007</v>
      </c>
      <c r="G232" s="250" t="s">
        <v>272</v>
      </c>
      <c r="H232" s="208">
        <v>2008</v>
      </c>
      <c r="I232" s="250" t="s">
        <v>272</v>
      </c>
      <c r="J232" s="208">
        <v>2009</v>
      </c>
      <c r="K232" s="250" t="s">
        <v>272</v>
      </c>
      <c r="L232" s="208" t="s">
        <v>273</v>
      </c>
    </row>
    <row r="233" spans="1:12" x14ac:dyDescent="0.25">
      <c r="A233" s="209" t="s">
        <v>172</v>
      </c>
      <c r="B233" s="128">
        <f>+B234+B236-B235</f>
        <v>23.500000000000007</v>
      </c>
      <c r="C233" s="136"/>
      <c r="D233" s="128">
        <f>+D234+D236-D235</f>
        <v>33.5</v>
      </c>
      <c r="E233" s="136"/>
      <c r="F233" s="128">
        <f>+F234+F236-F235</f>
        <v>35.600000000000009</v>
      </c>
      <c r="G233" s="136"/>
      <c r="H233" s="128">
        <f>+H234+H236-H235</f>
        <v>33.399999999999991</v>
      </c>
      <c r="I233" s="136"/>
      <c r="J233" s="128">
        <f>+J234+J236-J235</f>
        <v>25.719999999999992</v>
      </c>
      <c r="K233" s="136"/>
      <c r="L233" s="194"/>
    </row>
    <row r="234" spans="1:12" x14ac:dyDescent="0.25">
      <c r="A234" s="209" t="s">
        <v>121</v>
      </c>
      <c r="B234" s="128">
        <v>58</v>
      </c>
      <c r="C234" s="136"/>
      <c r="D234" s="128">
        <v>59.8</v>
      </c>
      <c r="E234" s="136"/>
      <c r="F234" s="128">
        <v>57</v>
      </c>
      <c r="G234" s="136"/>
      <c r="H234" s="128">
        <v>55.9</v>
      </c>
      <c r="I234" s="136"/>
      <c r="J234" s="128">
        <v>47.8</v>
      </c>
      <c r="K234" s="136"/>
      <c r="L234" s="194"/>
    </row>
    <row r="235" spans="1:12" x14ac:dyDescent="0.25">
      <c r="A235" s="209" t="s">
        <v>173</v>
      </c>
      <c r="B235" s="128">
        <v>46.4</v>
      </c>
      <c r="C235" s="136"/>
      <c r="D235" s="128">
        <v>37.200000000000003</v>
      </c>
      <c r="E235" s="136"/>
      <c r="F235" s="128">
        <v>33.799999999999997</v>
      </c>
      <c r="G235" s="136"/>
      <c r="H235" s="128">
        <v>32.700000000000003</v>
      </c>
      <c r="I235" s="136"/>
      <c r="J235" s="128">
        <v>29.6</v>
      </c>
      <c r="K235" s="136"/>
      <c r="L235" s="194" t="s">
        <v>507</v>
      </c>
    </row>
    <row r="236" spans="1:12" x14ac:dyDescent="0.25">
      <c r="A236" s="209" t="s">
        <v>174</v>
      </c>
      <c r="B236" s="128">
        <v>11.9</v>
      </c>
      <c r="C236" s="136"/>
      <c r="D236" s="128">
        <v>10.9</v>
      </c>
      <c r="E236" s="136"/>
      <c r="F236" s="128">
        <v>12.4</v>
      </c>
      <c r="G236" s="136"/>
      <c r="H236" s="128">
        <v>10.199999999999999</v>
      </c>
      <c r="I236" s="136"/>
      <c r="J236" s="128">
        <v>7.52</v>
      </c>
      <c r="K236" s="136"/>
      <c r="L236" s="194" t="s">
        <v>507</v>
      </c>
    </row>
    <row r="237" spans="1:12" x14ac:dyDescent="0.25">
      <c r="A237" s="209" t="s">
        <v>274</v>
      </c>
      <c r="B237" s="128"/>
      <c r="C237" s="136"/>
      <c r="D237" s="128"/>
      <c r="E237" s="136"/>
      <c r="F237" s="128"/>
      <c r="G237" s="136"/>
      <c r="H237" s="128"/>
      <c r="I237" s="136"/>
      <c r="J237" s="128"/>
      <c r="K237" s="136"/>
      <c r="L237" s="194"/>
    </row>
    <row r="238" spans="1:12" x14ac:dyDescent="0.25">
      <c r="A238" s="212" t="s">
        <v>275</v>
      </c>
      <c r="B238" s="128" t="s">
        <v>78</v>
      </c>
      <c r="C238" s="259">
        <v>0.41</v>
      </c>
      <c r="D238" s="128" t="s">
        <v>78</v>
      </c>
      <c r="E238" s="259">
        <v>0.46</v>
      </c>
      <c r="F238" s="128" t="s">
        <v>73</v>
      </c>
      <c r="G238" s="259">
        <v>0.31</v>
      </c>
      <c r="H238" s="128" t="s">
        <v>73</v>
      </c>
      <c r="I238" s="259">
        <v>0.31</v>
      </c>
      <c r="J238" s="128" t="s">
        <v>38</v>
      </c>
      <c r="K238" s="259">
        <v>0.27</v>
      </c>
      <c r="L238" s="194"/>
    </row>
    <row r="239" spans="1:12" x14ac:dyDescent="0.25">
      <c r="A239" s="212" t="s">
        <v>32</v>
      </c>
      <c r="B239" s="128" t="s">
        <v>73</v>
      </c>
      <c r="C239" s="259">
        <v>0.28999999999999998</v>
      </c>
      <c r="D239" s="128" t="s">
        <v>73</v>
      </c>
      <c r="E239" s="259">
        <v>0.32</v>
      </c>
      <c r="F239" s="128" t="s">
        <v>38</v>
      </c>
      <c r="G239" s="259">
        <v>0.28999999999999998</v>
      </c>
      <c r="H239" s="128" t="s">
        <v>38</v>
      </c>
      <c r="I239" s="259">
        <v>0.24</v>
      </c>
      <c r="J239" s="128" t="s">
        <v>78</v>
      </c>
      <c r="K239" s="259">
        <v>0.25</v>
      </c>
      <c r="L239" s="194"/>
    </row>
    <row r="240" spans="1:12" x14ac:dyDescent="0.25">
      <c r="A240" s="212" t="s">
        <v>33</v>
      </c>
      <c r="B240" s="128" t="s">
        <v>38</v>
      </c>
      <c r="C240" s="259">
        <v>0.24</v>
      </c>
      <c r="D240" s="128" t="s">
        <v>38</v>
      </c>
      <c r="E240" s="259">
        <v>0.12</v>
      </c>
      <c r="F240" s="128" t="s">
        <v>78</v>
      </c>
      <c r="G240" s="259">
        <v>0.22</v>
      </c>
      <c r="H240" s="128" t="s">
        <v>78</v>
      </c>
      <c r="I240" s="259">
        <v>0.23</v>
      </c>
      <c r="J240" s="128" t="s">
        <v>73</v>
      </c>
      <c r="K240" s="259">
        <v>0.25</v>
      </c>
      <c r="L240" s="194"/>
    </row>
    <row r="241" spans="1:12" x14ac:dyDescent="0.25">
      <c r="A241" s="216"/>
      <c r="B241" s="128"/>
      <c r="C241" s="259">
        <f>SUM(C238:C240)</f>
        <v>0.94</v>
      </c>
      <c r="D241" s="128"/>
      <c r="E241" s="259">
        <f>SUM(E238:E240)</f>
        <v>0.9</v>
      </c>
      <c r="F241" s="128"/>
      <c r="G241" s="259">
        <f>SUM(G238:G240)</f>
        <v>0.82</v>
      </c>
      <c r="H241" s="128"/>
      <c r="I241" s="259">
        <f>SUM(I238:I240)</f>
        <v>0.78</v>
      </c>
      <c r="J241" s="128"/>
      <c r="K241" s="259">
        <f>SUM(K238:K240)</f>
        <v>0.77</v>
      </c>
      <c r="L241" s="194"/>
    </row>
    <row r="242" spans="1:12" x14ac:dyDescent="0.25">
      <c r="A242" s="216"/>
      <c r="B242" s="128"/>
      <c r="C242" s="136"/>
      <c r="D242" s="128"/>
      <c r="E242" s="136"/>
      <c r="F242" s="128"/>
      <c r="G242" s="136"/>
      <c r="H242" s="128"/>
      <c r="I242" s="136"/>
      <c r="J242" s="128"/>
      <c r="K242" s="136"/>
      <c r="L242" s="194"/>
    </row>
    <row r="243" spans="1:12" x14ac:dyDescent="0.25">
      <c r="A243" s="216"/>
      <c r="B243" s="128"/>
      <c r="C243" s="136"/>
      <c r="D243" s="128"/>
      <c r="E243" s="136"/>
      <c r="F243" s="128"/>
      <c r="G243" s="136"/>
      <c r="H243" s="128"/>
      <c r="I243" s="136"/>
      <c r="J243" s="128"/>
      <c r="K243" s="136"/>
      <c r="L243" s="194"/>
    </row>
    <row r="244" spans="1:12" x14ac:dyDescent="0.25">
      <c r="A244" s="216" t="s">
        <v>267</v>
      </c>
      <c r="B244" s="208">
        <v>2005</v>
      </c>
      <c r="C244" s="250" t="s">
        <v>272</v>
      </c>
      <c r="D244" s="208">
        <v>2006</v>
      </c>
      <c r="E244" s="250" t="s">
        <v>272</v>
      </c>
      <c r="F244" s="208">
        <v>2007</v>
      </c>
      <c r="G244" s="250" t="s">
        <v>272</v>
      </c>
      <c r="H244" s="208">
        <v>2008</v>
      </c>
      <c r="I244" s="250" t="s">
        <v>272</v>
      </c>
      <c r="J244" s="208">
        <v>2009</v>
      </c>
      <c r="K244" s="250" t="s">
        <v>272</v>
      </c>
      <c r="L244" s="208" t="s">
        <v>273</v>
      </c>
    </row>
    <row r="245" spans="1:12" x14ac:dyDescent="0.25">
      <c r="A245" s="209" t="s">
        <v>172</v>
      </c>
      <c r="B245" s="213" t="s">
        <v>394</v>
      </c>
      <c r="C245" s="136"/>
      <c r="D245" s="213" t="s">
        <v>394</v>
      </c>
      <c r="E245" s="136"/>
      <c r="F245" s="213" t="s">
        <v>394</v>
      </c>
      <c r="G245" s="136"/>
      <c r="H245" s="213" t="s">
        <v>394</v>
      </c>
      <c r="I245" s="136"/>
      <c r="J245" s="213" t="s">
        <v>394</v>
      </c>
      <c r="K245" s="136"/>
      <c r="L245" s="194"/>
    </row>
    <row r="246" spans="1:12" x14ac:dyDescent="0.25">
      <c r="A246" s="209" t="s">
        <v>121</v>
      </c>
      <c r="B246" s="213" t="s">
        <v>394</v>
      </c>
      <c r="C246" s="251"/>
      <c r="D246" s="213" t="s">
        <v>394</v>
      </c>
      <c r="E246" s="251"/>
      <c r="F246" s="213" t="s">
        <v>394</v>
      </c>
      <c r="G246" s="251"/>
      <c r="H246" s="213" t="s">
        <v>394</v>
      </c>
      <c r="I246" s="251"/>
      <c r="J246" s="213" t="s">
        <v>394</v>
      </c>
      <c r="K246" s="136"/>
      <c r="L246" s="194"/>
    </row>
    <row r="247" spans="1:12" x14ac:dyDescent="0.25">
      <c r="A247" s="209" t="s">
        <v>173</v>
      </c>
      <c r="B247" s="175">
        <v>4.3400000000000001E-2</v>
      </c>
      <c r="C247" s="136"/>
      <c r="D247" s="175">
        <v>6.8599999999999994E-2</v>
      </c>
      <c r="E247" s="136"/>
      <c r="F247" s="175">
        <v>0.16300000000000001</v>
      </c>
      <c r="G247" s="136"/>
      <c r="H247" s="175">
        <v>6.2799999999999995E-2</v>
      </c>
      <c r="I247" s="136"/>
      <c r="J247" s="175">
        <v>1.7000000000000001E-2</v>
      </c>
      <c r="K247" s="136"/>
      <c r="L247" s="194" t="s">
        <v>508</v>
      </c>
    </row>
    <row r="248" spans="1:12" x14ac:dyDescent="0.25">
      <c r="A248" s="209" t="s">
        <v>174</v>
      </c>
      <c r="B248" s="175">
        <v>9.7699999999999992E-3</v>
      </c>
      <c r="C248" s="136"/>
      <c r="D248" s="175">
        <v>5.1700000000000001E-3</v>
      </c>
      <c r="E248" s="136"/>
      <c r="F248" s="175">
        <v>8.0000000000000004E-4</v>
      </c>
      <c r="G248" s="136"/>
      <c r="H248" s="175">
        <v>1.5599999999999999E-2</v>
      </c>
      <c r="I248" s="136"/>
      <c r="J248" s="175">
        <v>4.96E-3</v>
      </c>
      <c r="K248" s="136"/>
      <c r="L248" s="194" t="s">
        <v>508</v>
      </c>
    </row>
    <row r="249" spans="1:12" x14ac:dyDescent="0.25">
      <c r="A249" s="209" t="s">
        <v>274</v>
      </c>
      <c r="B249" s="128"/>
      <c r="C249" s="136"/>
      <c r="D249" s="128"/>
      <c r="E249" s="136"/>
      <c r="F249" s="128"/>
      <c r="G249" s="136"/>
      <c r="H249" s="128"/>
      <c r="I249" s="136"/>
      <c r="J249" s="128"/>
      <c r="K249" s="136"/>
      <c r="L249" s="194"/>
    </row>
    <row r="250" spans="1:12" x14ac:dyDescent="0.25">
      <c r="A250" s="212" t="s">
        <v>275</v>
      </c>
      <c r="B250" s="128" t="s">
        <v>178</v>
      </c>
      <c r="C250" s="259">
        <f>8/10</f>
        <v>0.8</v>
      </c>
      <c r="D250" s="128" t="s">
        <v>28</v>
      </c>
      <c r="E250" s="259">
        <v>0.7</v>
      </c>
      <c r="F250" s="128" t="s">
        <v>22</v>
      </c>
      <c r="G250" s="259">
        <v>1</v>
      </c>
      <c r="H250" s="128" t="s">
        <v>22</v>
      </c>
      <c r="I250" s="259">
        <v>1</v>
      </c>
      <c r="J250" s="128" t="s">
        <v>22</v>
      </c>
      <c r="K250" s="259">
        <v>0.99</v>
      </c>
      <c r="L250" s="194"/>
    </row>
    <row r="251" spans="1:12" x14ac:dyDescent="0.25">
      <c r="A251" s="212" t="s">
        <v>32</v>
      </c>
      <c r="B251" s="128" t="s">
        <v>22</v>
      </c>
      <c r="C251" s="259">
        <f>1/10</f>
        <v>0.1</v>
      </c>
      <c r="D251" s="128" t="s">
        <v>22</v>
      </c>
      <c r="E251" s="259">
        <v>0.21</v>
      </c>
      <c r="F251" s="128"/>
      <c r="G251" s="259"/>
      <c r="H251" s="128"/>
      <c r="I251" s="259"/>
      <c r="J251" s="128" t="s">
        <v>206</v>
      </c>
      <c r="K251" s="259">
        <v>0.01</v>
      </c>
      <c r="L251" s="194"/>
    </row>
    <row r="252" spans="1:12" x14ac:dyDescent="0.25">
      <c r="A252" s="212" t="s">
        <v>33</v>
      </c>
      <c r="B252" s="128" t="s">
        <v>49</v>
      </c>
      <c r="C252" s="259">
        <f>1/10</f>
        <v>0.1</v>
      </c>
      <c r="D252" s="128" t="s">
        <v>509</v>
      </c>
      <c r="E252" s="259">
        <v>0.05</v>
      </c>
      <c r="F252" s="128"/>
      <c r="G252" s="259"/>
      <c r="H252" s="128"/>
      <c r="I252" s="259"/>
      <c r="J252" s="128"/>
      <c r="K252" s="259"/>
      <c r="L252" s="194"/>
    </row>
    <row r="253" spans="1:12" x14ac:dyDescent="0.25">
      <c r="A253" s="216"/>
      <c r="B253" s="128"/>
      <c r="C253" s="259">
        <f>SUM(C250:C252)</f>
        <v>1</v>
      </c>
      <c r="D253" s="128"/>
      <c r="E253" s="259">
        <f>SUM(E250:E252)</f>
        <v>0.96</v>
      </c>
      <c r="F253" s="128"/>
      <c r="G253" s="259">
        <f>SUM(G250:G252)</f>
        <v>1</v>
      </c>
      <c r="H253" s="128"/>
      <c r="I253" s="259">
        <f>SUM(I250:I252)</f>
        <v>1</v>
      </c>
      <c r="J253" s="128"/>
      <c r="K253" s="259">
        <f>SUM(K250:K252)</f>
        <v>1</v>
      </c>
      <c r="L253" s="194"/>
    </row>
    <row r="254" spans="1:12" x14ac:dyDescent="0.25">
      <c r="A254" s="216"/>
      <c r="B254" s="128"/>
      <c r="C254" s="136"/>
      <c r="D254" s="128"/>
      <c r="E254" s="136"/>
      <c r="F254" s="128"/>
      <c r="G254" s="136"/>
      <c r="H254" s="128"/>
      <c r="I254" s="136"/>
      <c r="J254" s="128"/>
      <c r="K254" s="136"/>
      <c r="L254" s="194"/>
    </row>
    <row r="255" spans="1:12" x14ac:dyDescent="0.25">
      <c r="A255" s="216"/>
      <c r="B255" s="128"/>
      <c r="C255" s="136"/>
      <c r="D255" s="128"/>
      <c r="E255" s="136"/>
      <c r="F255" s="128"/>
      <c r="G255" s="136"/>
      <c r="H255" s="128"/>
      <c r="I255" s="136"/>
      <c r="J255" s="128"/>
      <c r="K255" s="136"/>
      <c r="L255" s="194"/>
    </row>
    <row r="256" spans="1:12" x14ac:dyDescent="0.25">
      <c r="A256" s="216" t="s">
        <v>316</v>
      </c>
      <c r="B256" s="208">
        <v>2005</v>
      </c>
      <c r="C256" s="250" t="s">
        <v>272</v>
      </c>
      <c r="D256" s="208">
        <v>2006</v>
      </c>
      <c r="E256" s="250" t="s">
        <v>272</v>
      </c>
      <c r="F256" s="208">
        <v>2007</v>
      </c>
      <c r="G256" s="250" t="s">
        <v>272</v>
      </c>
      <c r="H256" s="208">
        <v>2008</v>
      </c>
      <c r="I256" s="250" t="s">
        <v>272</v>
      </c>
      <c r="J256" s="208">
        <v>2009</v>
      </c>
      <c r="K256" s="250" t="s">
        <v>272</v>
      </c>
      <c r="L256" s="208" t="s">
        <v>273</v>
      </c>
    </row>
    <row r="257" spans="1:12" x14ac:dyDescent="0.25">
      <c r="A257" s="209" t="s">
        <v>172</v>
      </c>
      <c r="B257" s="210">
        <f>+B258+B260-B259</f>
        <v>770</v>
      </c>
      <c r="C257" s="136"/>
      <c r="D257" s="210">
        <f>+D258+D260-D259</f>
        <v>731</v>
      </c>
      <c r="E257" s="136"/>
      <c r="F257" s="210">
        <f>+F258+F260-F259</f>
        <v>717</v>
      </c>
      <c r="G257" s="136"/>
      <c r="H257" s="210">
        <f>+H258+H260-H259</f>
        <v>674</v>
      </c>
      <c r="I257" s="136"/>
      <c r="J257" s="210">
        <f>+J258+J260-J259</f>
        <v>424</v>
      </c>
      <c r="K257" s="136"/>
      <c r="L257" s="194"/>
    </row>
    <row r="258" spans="1:12" x14ac:dyDescent="0.25">
      <c r="A258" s="209" t="s">
        <v>121</v>
      </c>
      <c r="B258" s="210">
        <v>606</v>
      </c>
      <c r="C258" s="136"/>
      <c r="D258" s="210">
        <v>516</v>
      </c>
      <c r="E258" s="136"/>
      <c r="F258" s="210">
        <v>516</v>
      </c>
      <c r="G258" s="136"/>
      <c r="H258" s="210">
        <v>524</v>
      </c>
      <c r="I258" s="136"/>
      <c r="J258" s="210">
        <v>304</v>
      </c>
      <c r="K258" s="136"/>
      <c r="L258" s="194" t="s">
        <v>317</v>
      </c>
    </row>
    <row r="259" spans="1:12" x14ac:dyDescent="0.25">
      <c r="A259" s="209" t="s">
        <v>173</v>
      </c>
      <c r="B259" s="210">
        <v>32</v>
      </c>
      <c r="C259" s="136"/>
      <c r="D259" s="210">
        <v>30</v>
      </c>
      <c r="E259" s="136"/>
      <c r="F259" s="210">
        <v>28</v>
      </c>
      <c r="G259" s="136"/>
      <c r="H259" s="210">
        <v>37</v>
      </c>
      <c r="I259" s="136"/>
      <c r="J259" s="210">
        <v>33</v>
      </c>
      <c r="K259" s="136"/>
      <c r="L259" s="194"/>
    </row>
    <row r="260" spans="1:12" x14ac:dyDescent="0.25">
      <c r="A260" s="209" t="s">
        <v>174</v>
      </c>
      <c r="B260" s="210">
        <v>196</v>
      </c>
      <c r="C260" s="136"/>
      <c r="D260" s="210">
        <v>245</v>
      </c>
      <c r="E260" s="136"/>
      <c r="F260" s="210">
        <v>229</v>
      </c>
      <c r="G260" s="136"/>
      <c r="H260" s="210">
        <v>187</v>
      </c>
      <c r="I260" s="136"/>
      <c r="J260" s="210">
        <v>153</v>
      </c>
      <c r="K260" s="136"/>
      <c r="L260" s="194"/>
    </row>
    <row r="261" spans="1:12" x14ac:dyDescent="0.25">
      <c r="A261" s="209" t="s">
        <v>274</v>
      </c>
      <c r="B261" s="128"/>
      <c r="C261" s="136"/>
      <c r="D261" s="128"/>
      <c r="E261" s="136"/>
      <c r="F261" s="128"/>
      <c r="G261" s="136"/>
      <c r="H261" s="128"/>
      <c r="I261" s="251"/>
      <c r="J261" s="128"/>
      <c r="K261" s="136"/>
      <c r="L261" s="194"/>
    </row>
    <row r="262" spans="1:12" x14ac:dyDescent="0.25">
      <c r="A262" s="212" t="s">
        <v>275</v>
      </c>
      <c r="B262" s="128" t="s">
        <v>210</v>
      </c>
      <c r="C262" s="259">
        <v>1</v>
      </c>
      <c r="D262" s="128" t="s">
        <v>210</v>
      </c>
      <c r="E262" s="259">
        <v>1</v>
      </c>
      <c r="F262" s="128" t="s">
        <v>210</v>
      </c>
      <c r="G262" s="259">
        <v>1</v>
      </c>
      <c r="H262" s="128" t="s">
        <v>210</v>
      </c>
      <c r="I262" s="259">
        <v>1</v>
      </c>
      <c r="J262" s="128" t="s">
        <v>210</v>
      </c>
      <c r="K262" s="259">
        <v>1</v>
      </c>
      <c r="L262" s="194"/>
    </row>
    <row r="263" spans="1:12" x14ac:dyDescent="0.25">
      <c r="A263" s="212" t="s">
        <v>32</v>
      </c>
      <c r="B263" s="210" t="s">
        <v>310</v>
      </c>
      <c r="C263" s="260" t="s">
        <v>394</v>
      </c>
      <c r="D263" s="210" t="s">
        <v>310</v>
      </c>
      <c r="E263" s="260" t="s">
        <v>394</v>
      </c>
      <c r="F263" s="210" t="s">
        <v>310</v>
      </c>
      <c r="G263" s="260" t="s">
        <v>394</v>
      </c>
      <c r="H263" s="210" t="s">
        <v>310</v>
      </c>
      <c r="I263" s="260" t="s">
        <v>394</v>
      </c>
      <c r="J263" s="210" t="s">
        <v>310</v>
      </c>
      <c r="K263" s="260" t="s">
        <v>394</v>
      </c>
      <c r="L263" s="194"/>
    </row>
    <row r="264" spans="1:12" x14ac:dyDescent="0.25">
      <c r="A264" s="212" t="s">
        <v>33</v>
      </c>
      <c r="B264" s="210" t="s">
        <v>310</v>
      </c>
      <c r="C264" s="260" t="s">
        <v>394</v>
      </c>
      <c r="D264" s="210" t="s">
        <v>310</v>
      </c>
      <c r="E264" s="260" t="s">
        <v>394</v>
      </c>
      <c r="F264" s="210" t="s">
        <v>310</v>
      </c>
      <c r="G264" s="260" t="s">
        <v>394</v>
      </c>
      <c r="H264" s="210" t="s">
        <v>310</v>
      </c>
      <c r="I264" s="260" t="s">
        <v>394</v>
      </c>
      <c r="J264" s="210" t="s">
        <v>310</v>
      </c>
      <c r="K264" s="260" t="s">
        <v>394</v>
      </c>
      <c r="L264" s="194"/>
    </row>
    <row r="265" spans="1:12" x14ac:dyDescent="0.25">
      <c r="A265" s="216"/>
      <c r="B265" s="128"/>
      <c r="C265" s="259">
        <f>SUM(C262:C264)</f>
        <v>1</v>
      </c>
      <c r="D265" s="128"/>
      <c r="E265" s="259">
        <f>SUM(E262:E264)</f>
        <v>1</v>
      </c>
      <c r="F265" s="128"/>
      <c r="G265" s="259">
        <f>SUM(G262:G264)</f>
        <v>1</v>
      </c>
      <c r="H265" s="128"/>
      <c r="I265" s="259">
        <f>SUM(I262:I264)</f>
        <v>1</v>
      </c>
      <c r="J265" s="128"/>
      <c r="K265" s="259">
        <f>SUM(K262:K264)</f>
        <v>1</v>
      </c>
      <c r="L265" s="194"/>
    </row>
    <row r="266" spans="1:12" x14ac:dyDescent="0.25">
      <c r="A266" s="216"/>
      <c r="B266" s="128"/>
      <c r="C266" s="136"/>
      <c r="D266" s="128"/>
      <c r="E266" s="136"/>
      <c r="F266" s="128"/>
      <c r="G266" s="258"/>
      <c r="H266" s="128"/>
      <c r="I266" s="136"/>
      <c r="J266" s="128"/>
      <c r="K266" s="136"/>
      <c r="L266" s="194"/>
    </row>
    <row r="267" spans="1:12" x14ac:dyDescent="0.25">
      <c r="A267" s="216"/>
      <c r="B267" s="128"/>
      <c r="C267" s="136"/>
      <c r="D267" s="128"/>
      <c r="E267" s="136"/>
      <c r="F267" s="128"/>
      <c r="G267" s="136"/>
      <c r="H267" s="128"/>
      <c r="I267" s="136"/>
      <c r="J267" s="128"/>
      <c r="K267" s="136"/>
      <c r="L267" s="194"/>
    </row>
    <row r="268" spans="1:12" x14ac:dyDescent="0.25">
      <c r="A268" s="216" t="s">
        <v>318</v>
      </c>
      <c r="B268" s="208">
        <v>2005</v>
      </c>
      <c r="C268" s="250" t="s">
        <v>272</v>
      </c>
      <c r="D268" s="208">
        <v>2006</v>
      </c>
      <c r="E268" s="250" t="s">
        <v>272</v>
      </c>
      <c r="F268" s="208">
        <v>2007</v>
      </c>
      <c r="G268" s="250" t="s">
        <v>272</v>
      </c>
      <c r="H268" s="208">
        <v>2008</v>
      </c>
      <c r="I268" s="250" t="s">
        <v>272</v>
      </c>
      <c r="J268" s="208">
        <v>2009</v>
      </c>
      <c r="K268" s="250" t="s">
        <v>272</v>
      </c>
      <c r="L268" s="208" t="s">
        <v>273</v>
      </c>
    </row>
    <row r="269" spans="1:12" x14ac:dyDescent="0.25">
      <c r="A269" s="209" t="s">
        <v>172</v>
      </c>
      <c r="B269" s="210">
        <v>37830</v>
      </c>
      <c r="C269" s="136"/>
      <c r="D269" s="210">
        <v>32620</v>
      </c>
      <c r="E269" s="136"/>
      <c r="F269" s="210">
        <v>33770</v>
      </c>
      <c r="G269" s="136"/>
      <c r="H269" s="210">
        <v>31650</v>
      </c>
      <c r="I269" s="136"/>
      <c r="J269" s="210">
        <v>27500</v>
      </c>
      <c r="K269" s="136"/>
      <c r="L269" s="194"/>
    </row>
    <row r="270" spans="1:12" x14ac:dyDescent="0.25">
      <c r="A270" s="209" t="s">
        <v>121</v>
      </c>
      <c r="B270" s="210">
        <v>35200</v>
      </c>
      <c r="C270" s="136"/>
      <c r="D270" s="210">
        <v>30200</v>
      </c>
      <c r="E270" s="136"/>
      <c r="F270" s="210">
        <v>31100</v>
      </c>
      <c r="G270" s="136"/>
      <c r="H270" s="210">
        <v>28900</v>
      </c>
      <c r="I270" s="136"/>
      <c r="J270" s="210">
        <v>25500</v>
      </c>
      <c r="K270" s="136"/>
      <c r="L270" s="194" t="s">
        <v>510</v>
      </c>
    </row>
    <row r="271" spans="1:12" x14ac:dyDescent="0.25">
      <c r="A271" s="209" t="s">
        <v>173</v>
      </c>
      <c r="B271" s="213" t="s">
        <v>394</v>
      </c>
      <c r="C271" s="251"/>
      <c r="D271" s="213" t="s">
        <v>394</v>
      </c>
      <c r="E271" s="251"/>
      <c r="F271" s="213" t="s">
        <v>394</v>
      </c>
      <c r="G271" s="251"/>
      <c r="H271" s="213" t="s">
        <v>394</v>
      </c>
      <c r="I271" s="251"/>
      <c r="J271" s="213" t="s">
        <v>394</v>
      </c>
      <c r="K271" s="136"/>
      <c r="L271" s="194" t="s">
        <v>510</v>
      </c>
    </row>
    <row r="272" spans="1:12" x14ac:dyDescent="0.25">
      <c r="A272" s="209" t="s">
        <v>174</v>
      </c>
      <c r="B272" s="210">
        <v>2630</v>
      </c>
      <c r="C272" s="136"/>
      <c r="D272" s="210">
        <v>2420</v>
      </c>
      <c r="E272" s="136"/>
      <c r="F272" s="210">
        <v>2670</v>
      </c>
      <c r="G272" s="136"/>
      <c r="H272" s="210">
        <v>2750</v>
      </c>
      <c r="I272" s="136"/>
      <c r="J272" s="210">
        <v>2000</v>
      </c>
      <c r="K272" s="136"/>
      <c r="L272" s="194" t="s">
        <v>510</v>
      </c>
    </row>
    <row r="273" spans="1:12" x14ac:dyDescent="0.25">
      <c r="A273" s="209" t="s">
        <v>274</v>
      </c>
      <c r="B273" s="179"/>
      <c r="C273" s="136"/>
      <c r="D273" s="128"/>
      <c r="E273" s="136"/>
      <c r="F273" s="128"/>
      <c r="G273" s="136"/>
      <c r="H273" s="128"/>
      <c r="I273" s="136"/>
      <c r="J273" s="128"/>
      <c r="K273" s="136"/>
      <c r="L273" s="194"/>
    </row>
    <row r="274" spans="1:12" x14ac:dyDescent="0.25">
      <c r="A274" s="212" t="s">
        <v>275</v>
      </c>
      <c r="B274" s="128" t="s">
        <v>90</v>
      </c>
      <c r="C274" s="259">
        <v>1</v>
      </c>
      <c r="D274" s="128" t="s">
        <v>90</v>
      </c>
      <c r="E274" s="259">
        <v>1</v>
      </c>
      <c r="F274" s="128" t="s">
        <v>90</v>
      </c>
      <c r="G274" s="259">
        <v>1</v>
      </c>
      <c r="H274" s="128" t="s">
        <v>90</v>
      </c>
      <c r="I274" s="259">
        <v>1</v>
      </c>
      <c r="J274" s="128" t="s">
        <v>90</v>
      </c>
      <c r="K274" s="259">
        <v>1</v>
      </c>
      <c r="L274" s="194"/>
    </row>
    <row r="275" spans="1:12" x14ac:dyDescent="0.25">
      <c r="A275" s="212" t="s">
        <v>32</v>
      </c>
      <c r="B275" s="210" t="s">
        <v>310</v>
      </c>
      <c r="C275" s="260" t="s">
        <v>394</v>
      </c>
      <c r="D275" s="210" t="s">
        <v>310</v>
      </c>
      <c r="E275" s="260" t="s">
        <v>394</v>
      </c>
      <c r="F275" s="210" t="s">
        <v>310</v>
      </c>
      <c r="G275" s="260" t="s">
        <v>394</v>
      </c>
      <c r="H275" s="210" t="s">
        <v>310</v>
      </c>
      <c r="I275" s="260" t="s">
        <v>394</v>
      </c>
      <c r="J275" s="210" t="s">
        <v>310</v>
      </c>
      <c r="K275" s="260" t="s">
        <v>394</v>
      </c>
      <c r="L275" s="194"/>
    </row>
    <row r="276" spans="1:12" x14ac:dyDescent="0.25">
      <c r="A276" s="212" t="s">
        <v>33</v>
      </c>
      <c r="B276" s="210" t="s">
        <v>310</v>
      </c>
      <c r="C276" s="260" t="s">
        <v>394</v>
      </c>
      <c r="D276" s="210" t="s">
        <v>310</v>
      </c>
      <c r="E276" s="260" t="s">
        <v>394</v>
      </c>
      <c r="F276" s="210" t="s">
        <v>310</v>
      </c>
      <c r="G276" s="260" t="s">
        <v>394</v>
      </c>
      <c r="H276" s="210" t="s">
        <v>310</v>
      </c>
      <c r="I276" s="260" t="s">
        <v>394</v>
      </c>
      <c r="J276" s="210" t="s">
        <v>310</v>
      </c>
      <c r="K276" s="260" t="s">
        <v>394</v>
      </c>
      <c r="L276" s="194"/>
    </row>
    <row r="277" spans="1:12" x14ac:dyDescent="0.25">
      <c r="A277" s="216"/>
      <c r="B277" s="128"/>
      <c r="C277" s="259">
        <f>SUM(C274:C276)</f>
        <v>1</v>
      </c>
      <c r="D277" s="128"/>
      <c r="E277" s="259">
        <f>SUM(E274:E276)</f>
        <v>1</v>
      </c>
      <c r="F277" s="128"/>
      <c r="G277" s="259">
        <f>SUM(G274:G276)</f>
        <v>1</v>
      </c>
      <c r="H277" s="128"/>
      <c r="I277" s="259">
        <f>SUM(I274:I276)</f>
        <v>1</v>
      </c>
      <c r="J277" s="128"/>
      <c r="K277" s="259">
        <f>SUM(K274:K276)</f>
        <v>1</v>
      </c>
      <c r="L277" s="194"/>
    </row>
    <row r="278" spans="1:12" x14ac:dyDescent="0.25">
      <c r="A278" s="216"/>
      <c r="B278" s="128"/>
      <c r="C278" s="136"/>
      <c r="D278" s="128"/>
      <c r="E278" s="136"/>
      <c r="F278" s="128"/>
      <c r="G278" s="136"/>
      <c r="H278" s="128"/>
      <c r="I278" s="136"/>
      <c r="J278" s="128"/>
      <c r="K278" s="136"/>
      <c r="L278" s="194"/>
    </row>
    <row r="279" spans="1:12" x14ac:dyDescent="0.25">
      <c r="A279" s="216"/>
      <c r="B279" s="128"/>
      <c r="C279" s="136"/>
      <c r="D279" s="128"/>
      <c r="E279" s="136"/>
      <c r="F279" s="128"/>
      <c r="G279" s="136"/>
      <c r="H279" s="128"/>
      <c r="I279" s="136"/>
      <c r="J279" s="128"/>
      <c r="K279" s="136"/>
      <c r="L279" s="194"/>
    </row>
    <row r="280" spans="1:12" x14ac:dyDescent="0.25">
      <c r="A280" s="216" t="s">
        <v>124</v>
      </c>
      <c r="B280" s="208">
        <v>2005</v>
      </c>
      <c r="C280" s="250" t="s">
        <v>272</v>
      </c>
      <c r="D280" s="208">
        <v>2006</v>
      </c>
      <c r="E280" s="250" t="s">
        <v>272</v>
      </c>
      <c r="F280" s="208">
        <v>2007</v>
      </c>
      <c r="G280" s="250" t="s">
        <v>272</v>
      </c>
      <c r="H280" s="208">
        <v>2008</v>
      </c>
      <c r="I280" s="250" t="s">
        <v>272</v>
      </c>
      <c r="J280" s="208">
        <v>2009</v>
      </c>
      <c r="K280" s="250" t="s">
        <v>272</v>
      </c>
      <c r="L280" s="208" t="s">
        <v>273</v>
      </c>
    </row>
    <row r="281" spans="1:12" x14ac:dyDescent="0.25">
      <c r="A281" s="209" t="s">
        <v>172</v>
      </c>
      <c r="B281" s="210">
        <v>10000</v>
      </c>
      <c r="C281" s="136"/>
      <c r="D281" s="210">
        <v>9000</v>
      </c>
      <c r="E281" s="136"/>
      <c r="F281" s="210">
        <v>10000</v>
      </c>
      <c r="G281" s="136"/>
      <c r="H281" s="210">
        <v>11000</v>
      </c>
      <c r="I281" s="136"/>
      <c r="J281" s="210">
        <v>4600</v>
      </c>
      <c r="K281" s="136"/>
      <c r="L281" s="194"/>
    </row>
    <row r="282" spans="1:12" x14ac:dyDescent="0.25">
      <c r="A282" s="209" t="s">
        <v>121</v>
      </c>
      <c r="B282" s="210">
        <v>2500</v>
      </c>
      <c r="C282" s="136"/>
      <c r="D282" s="210">
        <v>2400</v>
      </c>
      <c r="E282" s="136"/>
      <c r="F282" s="210">
        <v>2600</v>
      </c>
      <c r="G282" s="136"/>
      <c r="H282" s="210">
        <v>2500</v>
      </c>
      <c r="I282" s="136"/>
      <c r="J282" s="210">
        <v>1700</v>
      </c>
      <c r="K282" s="136"/>
      <c r="L282" s="194" t="s">
        <v>503</v>
      </c>
    </row>
    <row r="283" spans="1:12" x14ac:dyDescent="0.25">
      <c r="A283" s="209" t="s">
        <v>173</v>
      </c>
      <c r="B283" s="210">
        <v>569</v>
      </c>
      <c r="C283" s="136"/>
      <c r="D283" s="210">
        <v>809</v>
      </c>
      <c r="E283" s="136"/>
      <c r="F283" s="210">
        <v>510</v>
      </c>
      <c r="G283" s="136"/>
      <c r="H283" s="210">
        <v>694</v>
      </c>
      <c r="I283" s="136"/>
      <c r="J283" s="210">
        <v>705</v>
      </c>
      <c r="K283" s="136"/>
      <c r="L283" s="194" t="s">
        <v>503</v>
      </c>
    </row>
    <row r="284" spans="1:12" x14ac:dyDescent="0.25">
      <c r="A284" s="209" t="s">
        <v>174</v>
      </c>
      <c r="B284" s="210">
        <v>8110</v>
      </c>
      <c r="C284" s="136"/>
      <c r="D284" s="210">
        <v>7380</v>
      </c>
      <c r="E284" s="136"/>
      <c r="F284" s="210">
        <v>8190</v>
      </c>
      <c r="G284" s="136"/>
      <c r="H284" s="210">
        <v>9560</v>
      </c>
      <c r="I284" s="136"/>
      <c r="J284" s="210">
        <v>3670</v>
      </c>
      <c r="K284" s="136"/>
      <c r="L284" s="194" t="s">
        <v>503</v>
      </c>
    </row>
    <row r="285" spans="1:12" x14ac:dyDescent="0.25">
      <c r="A285" s="209" t="s">
        <v>274</v>
      </c>
      <c r="B285" s="128"/>
      <c r="C285" s="136"/>
      <c r="D285" s="128"/>
      <c r="E285" s="136"/>
      <c r="F285" s="128"/>
      <c r="G285" s="136"/>
      <c r="H285" s="128"/>
      <c r="I285" s="136"/>
      <c r="J285" s="128"/>
      <c r="K285" s="136"/>
      <c r="L285" s="194"/>
    </row>
    <row r="286" spans="1:12" x14ac:dyDescent="0.25">
      <c r="A286" s="212" t="s">
        <v>275</v>
      </c>
      <c r="B286" s="128" t="s">
        <v>38</v>
      </c>
      <c r="C286" s="259">
        <v>0.87</v>
      </c>
      <c r="D286" s="128" t="s">
        <v>38</v>
      </c>
      <c r="E286" s="259">
        <v>0.85</v>
      </c>
      <c r="F286" s="128" t="s">
        <v>38</v>
      </c>
      <c r="G286" s="259">
        <v>0.89</v>
      </c>
      <c r="H286" s="128" t="s">
        <v>38</v>
      </c>
      <c r="I286" s="259">
        <v>0.85</v>
      </c>
      <c r="J286" s="128" t="s">
        <v>38</v>
      </c>
      <c r="K286" s="259">
        <v>0.88</v>
      </c>
      <c r="L286" s="194"/>
    </row>
    <row r="287" spans="1:12" x14ac:dyDescent="0.25">
      <c r="A287" s="212" t="s">
        <v>32</v>
      </c>
      <c r="B287" s="128" t="s">
        <v>85</v>
      </c>
      <c r="C287" s="259">
        <v>0.05</v>
      </c>
      <c r="D287" s="128" t="s">
        <v>85</v>
      </c>
      <c r="E287" s="259">
        <v>0.09</v>
      </c>
      <c r="F287" s="128" t="s">
        <v>85</v>
      </c>
      <c r="G287" s="259">
        <v>0.08</v>
      </c>
      <c r="H287" s="128" t="s">
        <v>24</v>
      </c>
      <c r="I287" s="259">
        <v>0.1</v>
      </c>
      <c r="J287" s="128" t="s">
        <v>24</v>
      </c>
      <c r="K287" s="259">
        <v>0.05</v>
      </c>
      <c r="L287" s="194"/>
    </row>
    <row r="288" spans="1:12" x14ac:dyDescent="0.25">
      <c r="A288" s="212" t="s">
        <v>33</v>
      </c>
      <c r="B288" s="128" t="s">
        <v>24</v>
      </c>
      <c r="C288" s="259">
        <v>0.05</v>
      </c>
      <c r="D288" s="128" t="s">
        <v>24</v>
      </c>
      <c r="E288" s="259">
        <v>0.02</v>
      </c>
      <c r="F288" s="128" t="s">
        <v>78</v>
      </c>
      <c r="G288" s="259">
        <v>0.01</v>
      </c>
      <c r="H288" s="128" t="s">
        <v>85</v>
      </c>
      <c r="I288" s="259">
        <v>0.02</v>
      </c>
      <c r="J288" s="128" t="s">
        <v>57</v>
      </c>
      <c r="K288" s="259">
        <v>0.02</v>
      </c>
      <c r="L288" s="194"/>
    </row>
    <row r="289" spans="1:12" x14ac:dyDescent="0.25">
      <c r="A289" s="216"/>
      <c r="B289" s="128"/>
      <c r="C289" s="259">
        <f>SUM(C286:C288)</f>
        <v>0.97000000000000008</v>
      </c>
      <c r="D289" s="128"/>
      <c r="E289" s="259">
        <f>SUM(E286:E288)</f>
        <v>0.96</v>
      </c>
      <c r="F289" s="128"/>
      <c r="G289" s="259">
        <f>SUM(G286:G288)</f>
        <v>0.98</v>
      </c>
      <c r="H289" s="128"/>
      <c r="I289" s="259">
        <f>SUM(I286:I288)</f>
        <v>0.97</v>
      </c>
      <c r="J289" s="128"/>
      <c r="K289" s="259">
        <f>SUM(K286:K288)</f>
        <v>0.95000000000000007</v>
      </c>
      <c r="L289" s="194"/>
    </row>
    <row r="290" spans="1:12" x14ac:dyDescent="0.25">
      <c r="A290" s="216"/>
      <c r="B290" s="128"/>
      <c r="C290" s="136"/>
      <c r="D290" s="128"/>
      <c r="E290" s="136"/>
      <c r="F290" s="128"/>
      <c r="G290" s="258"/>
      <c r="H290" s="128"/>
      <c r="I290" s="136"/>
      <c r="J290" s="128"/>
      <c r="K290" s="136"/>
      <c r="L290" s="194"/>
    </row>
    <row r="291" spans="1:12" x14ac:dyDescent="0.25">
      <c r="A291" s="216"/>
      <c r="B291" s="128"/>
      <c r="C291" s="136"/>
      <c r="D291" s="128"/>
      <c r="E291" s="136"/>
      <c r="F291" s="128"/>
      <c r="G291" s="136"/>
      <c r="H291" s="128"/>
      <c r="I291" s="136"/>
      <c r="J291" s="128"/>
      <c r="K291" s="136"/>
      <c r="L291" s="194"/>
    </row>
    <row r="292" spans="1:12" x14ac:dyDescent="0.25">
      <c r="A292" s="216" t="s">
        <v>233</v>
      </c>
      <c r="B292" s="208">
        <v>2005</v>
      </c>
      <c r="C292" s="250" t="s">
        <v>272</v>
      </c>
      <c r="D292" s="208">
        <v>2006</v>
      </c>
      <c r="E292" s="250" t="s">
        <v>272</v>
      </c>
      <c r="F292" s="208">
        <v>2007</v>
      </c>
      <c r="G292" s="250" t="s">
        <v>272</v>
      </c>
      <c r="H292" s="208">
        <v>2008</v>
      </c>
      <c r="I292" s="250" t="s">
        <v>272</v>
      </c>
      <c r="J292" s="208">
        <v>2009</v>
      </c>
      <c r="K292" s="250" t="s">
        <v>272</v>
      </c>
      <c r="L292" s="208" t="s">
        <v>273</v>
      </c>
    </row>
    <row r="293" spans="1:12" x14ac:dyDescent="0.25">
      <c r="A293" s="209" t="s">
        <v>172</v>
      </c>
      <c r="B293" s="260" t="s">
        <v>394</v>
      </c>
      <c r="C293" s="136"/>
      <c r="D293" s="260" t="s">
        <v>394</v>
      </c>
      <c r="E293" s="136"/>
      <c r="F293" s="260" t="s">
        <v>394</v>
      </c>
      <c r="G293" s="136"/>
      <c r="H293" s="260" t="s">
        <v>394</v>
      </c>
      <c r="I293" s="136"/>
      <c r="J293" s="260" t="s">
        <v>394</v>
      </c>
      <c r="K293" s="136"/>
      <c r="L293" s="194"/>
    </row>
    <row r="294" spans="1:12" x14ac:dyDescent="0.25">
      <c r="A294" s="209" t="s">
        <v>121</v>
      </c>
      <c r="B294" s="128">
        <v>1.23</v>
      </c>
      <c r="C294" s="136"/>
      <c r="D294" s="128">
        <v>1.1599999999999999</v>
      </c>
      <c r="E294" s="136" t="s">
        <v>319</v>
      </c>
      <c r="F294" s="128">
        <v>1.28</v>
      </c>
      <c r="G294" s="136"/>
      <c r="H294" s="128">
        <v>1.25</v>
      </c>
      <c r="I294" s="136"/>
      <c r="J294" s="128">
        <v>1.25</v>
      </c>
      <c r="K294" s="136"/>
      <c r="L294" s="194"/>
    </row>
    <row r="295" spans="1:12" x14ac:dyDescent="0.25">
      <c r="A295" s="209" t="s">
        <v>173</v>
      </c>
      <c r="B295" s="128">
        <v>3.6800000000000001E-3</v>
      </c>
      <c r="C295" s="136"/>
      <c r="D295" s="128">
        <v>3.15E-3</v>
      </c>
      <c r="E295" s="136"/>
      <c r="F295" s="128">
        <v>1.5800000000000002E-2</v>
      </c>
      <c r="G295" s="136"/>
      <c r="H295" s="128">
        <v>0.13</v>
      </c>
      <c r="I295" s="136"/>
      <c r="J295" s="128">
        <v>0.122</v>
      </c>
      <c r="K295" s="136"/>
      <c r="L295" s="194"/>
    </row>
    <row r="296" spans="1:12" x14ac:dyDescent="0.25">
      <c r="A296" s="209" t="s">
        <v>174</v>
      </c>
      <c r="B296" s="128">
        <v>4.3300000000000001E-4</v>
      </c>
      <c r="C296" s="136"/>
      <c r="D296" s="128">
        <v>0</v>
      </c>
      <c r="E296" s="136"/>
      <c r="F296" s="128">
        <v>3.8099999999999999E-4</v>
      </c>
      <c r="G296" s="136"/>
      <c r="H296" s="128">
        <v>3.1999999999999999E-5</v>
      </c>
      <c r="I296" s="136"/>
      <c r="J296" s="128">
        <v>8.7000000000000001E-5</v>
      </c>
      <c r="K296" s="136"/>
      <c r="L296" s="194"/>
    </row>
    <row r="297" spans="1:12" x14ac:dyDescent="0.25">
      <c r="A297" s="209" t="s">
        <v>274</v>
      </c>
      <c r="B297" s="128"/>
      <c r="C297" s="136"/>
      <c r="D297" s="128"/>
      <c r="E297" s="136"/>
      <c r="F297" s="128"/>
      <c r="G297" s="136"/>
      <c r="H297" s="128"/>
      <c r="I297" s="136"/>
      <c r="J297" s="128"/>
      <c r="K297" s="136"/>
      <c r="L297" s="194"/>
    </row>
    <row r="298" spans="1:12" x14ac:dyDescent="0.25">
      <c r="A298" s="212" t="s">
        <v>275</v>
      </c>
      <c r="B298" s="128" t="s">
        <v>38</v>
      </c>
      <c r="C298" s="259">
        <v>1</v>
      </c>
      <c r="D298" s="210" t="s">
        <v>310</v>
      </c>
      <c r="E298" s="260" t="s">
        <v>394</v>
      </c>
      <c r="F298" s="128" t="s">
        <v>141</v>
      </c>
      <c r="G298" s="259">
        <v>0.61</v>
      </c>
      <c r="H298" s="128" t="s">
        <v>141</v>
      </c>
      <c r="I298" s="259">
        <v>1</v>
      </c>
      <c r="J298" s="128" t="s">
        <v>141</v>
      </c>
      <c r="K298" s="259">
        <v>1</v>
      </c>
      <c r="L298" s="194"/>
    </row>
    <row r="299" spans="1:12" x14ac:dyDescent="0.25">
      <c r="A299" s="212" t="s">
        <v>32</v>
      </c>
      <c r="B299" s="210" t="s">
        <v>310</v>
      </c>
      <c r="C299" s="260" t="s">
        <v>394</v>
      </c>
      <c r="D299" s="210" t="s">
        <v>310</v>
      </c>
      <c r="E299" s="260" t="s">
        <v>394</v>
      </c>
      <c r="F299" s="128" t="s">
        <v>295</v>
      </c>
      <c r="G299" s="259">
        <v>0.39</v>
      </c>
      <c r="H299" s="210" t="s">
        <v>310</v>
      </c>
      <c r="I299" s="260" t="s">
        <v>394</v>
      </c>
      <c r="J299" s="210" t="s">
        <v>310</v>
      </c>
      <c r="K299" s="260" t="s">
        <v>394</v>
      </c>
      <c r="L299" s="194"/>
    </row>
    <row r="300" spans="1:12" x14ac:dyDescent="0.25">
      <c r="A300" s="212" t="s">
        <v>33</v>
      </c>
      <c r="B300" s="210" t="s">
        <v>310</v>
      </c>
      <c r="C300" s="260" t="s">
        <v>394</v>
      </c>
      <c r="D300" s="210" t="s">
        <v>310</v>
      </c>
      <c r="E300" s="260" t="s">
        <v>394</v>
      </c>
      <c r="F300" s="210" t="s">
        <v>310</v>
      </c>
      <c r="G300" s="260" t="s">
        <v>394</v>
      </c>
      <c r="H300" s="210" t="s">
        <v>310</v>
      </c>
      <c r="I300" s="260" t="s">
        <v>394</v>
      </c>
      <c r="J300" s="210" t="s">
        <v>310</v>
      </c>
      <c r="K300" s="260" t="s">
        <v>394</v>
      </c>
      <c r="L300" s="194"/>
    </row>
    <row r="301" spans="1:12" x14ac:dyDescent="0.25">
      <c r="A301" s="216"/>
      <c r="B301" s="128"/>
      <c r="C301" s="259">
        <f>SUM(C296:C300)</f>
        <v>1</v>
      </c>
      <c r="D301" s="128"/>
      <c r="E301" s="259">
        <f>SUM(E296:E300)</f>
        <v>0</v>
      </c>
      <c r="F301" s="128"/>
      <c r="G301" s="259">
        <f>SUM(G296:G300)</f>
        <v>1</v>
      </c>
      <c r="H301" s="128"/>
      <c r="I301" s="259">
        <f>SUM(I296:I300)</f>
        <v>1</v>
      </c>
      <c r="J301" s="128"/>
      <c r="K301" s="259">
        <f>SUM(K298:K300)</f>
        <v>1</v>
      </c>
      <c r="L301" s="194"/>
    </row>
    <row r="302" spans="1:12" x14ac:dyDescent="0.25">
      <c r="A302" s="216"/>
      <c r="B302" s="128"/>
      <c r="C302" s="136"/>
      <c r="D302" s="128"/>
      <c r="E302" s="136"/>
      <c r="F302" s="128"/>
      <c r="G302" s="136"/>
      <c r="H302" s="128"/>
      <c r="I302" s="136"/>
      <c r="J302" s="128"/>
      <c r="K302" s="136"/>
      <c r="L302" s="194"/>
    </row>
    <row r="303" spans="1:12" x14ac:dyDescent="0.25">
      <c r="A303" s="216"/>
      <c r="B303" s="128"/>
      <c r="C303" s="136"/>
      <c r="D303" s="128"/>
      <c r="E303" s="136"/>
      <c r="F303" s="128"/>
      <c r="G303" s="136"/>
      <c r="H303" s="128"/>
      <c r="I303" s="136"/>
      <c r="J303" s="128"/>
      <c r="K303" s="136"/>
      <c r="L303" s="194"/>
    </row>
    <row r="304" spans="1:12" x14ac:dyDescent="0.25">
      <c r="A304" s="216" t="s">
        <v>286</v>
      </c>
      <c r="B304" s="208">
        <v>2005</v>
      </c>
      <c r="C304" s="250" t="s">
        <v>272</v>
      </c>
      <c r="D304" s="208">
        <v>2006</v>
      </c>
      <c r="E304" s="250" t="s">
        <v>272</v>
      </c>
      <c r="F304" s="208">
        <v>2007</v>
      </c>
      <c r="G304" s="250" t="s">
        <v>272</v>
      </c>
      <c r="H304" s="208">
        <v>2008</v>
      </c>
      <c r="I304" s="250" t="s">
        <v>272</v>
      </c>
      <c r="J304" s="208">
        <v>2009</v>
      </c>
      <c r="K304" s="250" t="s">
        <v>272</v>
      </c>
      <c r="L304" s="208" t="s">
        <v>273</v>
      </c>
    </row>
    <row r="305" spans="1:12" x14ac:dyDescent="0.25">
      <c r="A305" s="209" t="s">
        <v>172</v>
      </c>
      <c r="B305" s="128">
        <f>+B308-B307</f>
        <v>0.20800000000000002</v>
      </c>
      <c r="C305" s="136"/>
      <c r="D305" s="128">
        <f>+D308-D307</f>
        <v>7.5000000000000011E-2</v>
      </c>
      <c r="E305" s="136"/>
      <c r="F305" s="128">
        <f>+F308-F307</f>
        <v>0.14799999999999999</v>
      </c>
      <c r="G305" s="136"/>
      <c r="H305" s="128">
        <f>+H308-H307</f>
        <v>0.26100000000000001</v>
      </c>
      <c r="I305" s="136"/>
      <c r="J305" s="128">
        <f>+J308-J307</f>
        <v>1.4999999999999999E-2</v>
      </c>
      <c r="K305" s="136"/>
      <c r="L305" s="194"/>
    </row>
    <row r="306" spans="1:12" x14ac:dyDescent="0.25">
      <c r="A306" s="209" t="s">
        <v>121</v>
      </c>
      <c r="B306" s="213" t="s">
        <v>394</v>
      </c>
      <c r="C306" s="251"/>
      <c r="D306" s="213" t="s">
        <v>394</v>
      </c>
      <c r="E306" s="251"/>
      <c r="F306" s="213" t="s">
        <v>394</v>
      </c>
      <c r="G306" s="251"/>
      <c r="H306" s="213" t="s">
        <v>394</v>
      </c>
      <c r="I306" s="251"/>
      <c r="J306" s="213" t="s">
        <v>394</v>
      </c>
      <c r="K306" s="136"/>
      <c r="L306" s="194"/>
    </row>
    <row r="307" spans="1:12" x14ac:dyDescent="0.25">
      <c r="A307" s="209" t="s">
        <v>173</v>
      </c>
      <c r="B307" s="128">
        <v>0.17399999999999999</v>
      </c>
      <c r="C307" s="136"/>
      <c r="D307" s="128">
        <v>0.247</v>
      </c>
      <c r="E307" s="136"/>
      <c r="F307" s="128">
        <v>0.14599999999999999</v>
      </c>
      <c r="G307" s="136"/>
      <c r="H307" s="128">
        <v>9.6000000000000002E-2</v>
      </c>
      <c r="I307" s="136"/>
      <c r="J307" s="128">
        <v>9.4E-2</v>
      </c>
      <c r="K307" s="136"/>
      <c r="L307" s="194" t="s">
        <v>511</v>
      </c>
    </row>
    <row r="308" spans="1:12" x14ac:dyDescent="0.25">
      <c r="A308" s="209" t="s">
        <v>174</v>
      </c>
      <c r="B308" s="128">
        <v>0.38200000000000001</v>
      </c>
      <c r="C308" s="136"/>
      <c r="D308" s="128">
        <v>0.32200000000000001</v>
      </c>
      <c r="E308" s="136"/>
      <c r="F308" s="128">
        <v>0.29399999999999998</v>
      </c>
      <c r="G308" s="136"/>
      <c r="H308" s="128">
        <v>0.35699999999999998</v>
      </c>
      <c r="I308" s="136"/>
      <c r="J308" s="128">
        <v>0.109</v>
      </c>
      <c r="K308" s="136"/>
      <c r="L308" s="194" t="s">
        <v>511</v>
      </c>
    </row>
    <row r="309" spans="1:12" x14ac:dyDescent="0.25">
      <c r="A309" s="209" t="s">
        <v>274</v>
      </c>
      <c r="B309" s="128"/>
      <c r="C309" s="136"/>
      <c r="D309" s="128"/>
      <c r="E309" s="136"/>
      <c r="F309" s="128"/>
      <c r="G309" s="136"/>
      <c r="H309" s="128"/>
      <c r="I309" s="136"/>
      <c r="J309" s="128"/>
      <c r="K309" s="136"/>
      <c r="L309" s="194"/>
    </row>
    <row r="310" spans="1:12" x14ac:dyDescent="0.25">
      <c r="A310" s="212" t="s">
        <v>275</v>
      </c>
      <c r="B310" s="128" t="s">
        <v>27</v>
      </c>
      <c r="C310" s="251">
        <v>0.78639999999999999</v>
      </c>
      <c r="D310" s="128" t="s">
        <v>27</v>
      </c>
      <c r="E310" s="259">
        <v>0.76</v>
      </c>
      <c r="F310" s="128" t="s">
        <v>27</v>
      </c>
      <c r="G310" s="259">
        <v>0.73</v>
      </c>
      <c r="H310" s="128" t="s">
        <v>27</v>
      </c>
      <c r="I310" s="259">
        <v>0.67</v>
      </c>
      <c r="J310" s="128" t="s">
        <v>62</v>
      </c>
      <c r="K310" s="259">
        <v>0.49</v>
      </c>
      <c r="L310" s="194"/>
    </row>
    <row r="311" spans="1:12" x14ac:dyDescent="0.25">
      <c r="A311" s="212" t="s">
        <v>32</v>
      </c>
      <c r="B311" s="128" t="s">
        <v>38</v>
      </c>
      <c r="C311" s="251">
        <v>0.21440000000000001</v>
      </c>
      <c r="D311" s="128" t="s">
        <v>38</v>
      </c>
      <c r="E311" s="259">
        <v>0.21</v>
      </c>
      <c r="F311" s="128" t="s">
        <v>38</v>
      </c>
      <c r="G311" s="259">
        <v>0.22</v>
      </c>
      <c r="H311" s="128" t="s">
        <v>38</v>
      </c>
      <c r="I311" s="259">
        <v>0.17</v>
      </c>
      <c r="J311" s="128" t="s">
        <v>38</v>
      </c>
      <c r="K311" s="259">
        <v>0.33</v>
      </c>
      <c r="L311" s="194"/>
    </row>
    <row r="312" spans="1:12" x14ac:dyDescent="0.25">
      <c r="A312" s="212" t="s">
        <v>33</v>
      </c>
      <c r="B312" s="128" t="s">
        <v>22</v>
      </c>
      <c r="C312" s="259">
        <v>1.36E-5</v>
      </c>
      <c r="D312" s="128" t="s">
        <v>61</v>
      </c>
      <c r="E312" s="259">
        <v>0.02</v>
      </c>
      <c r="F312" s="128" t="s">
        <v>62</v>
      </c>
      <c r="G312" s="259">
        <v>0.05</v>
      </c>
      <c r="H312" s="128" t="s">
        <v>62</v>
      </c>
      <c r="I312" s="259">
        <v>0.15</v>
      </c>
      <c r="J312" s="128" t="s">
        <v>27</v>
      </c>
      <c r="K312" s="259">
        <v>0.18</v>
      </c>
      <c r="L312" s="194"/>
    </row>
    <row r="313" spans="1:12" x14ac:dyDescent="0.25">
      <c r="A313" s="216"/>
      <c r="B313" s="128"/>
      <c r="C313" s="259">
        <f>SUM(C308:C312)</f>
        <v>1.0008135999999999</v>
      </c>
      <c r="D313" s="128"/>
      <c r="E313" s="259">
        <f>SUM(E308:E312)</f>
        <v>0.99</v>
      </c>
      <c r="F313" s="128"/>
      <c r="G313" s="259">
        <f>SUM(G308:G312)</f>
        <v>1</v>
      </c>
      <c r="H313" s="128"/>
      <c r="I313" s="259">
        <f>SUM(I308:I312)</f>
        <v>0.9900000000000001</v>
      </c>
      <c r="J313" s="128"/>
      <c r="K313" s="259">
        <f>SUM(K310:K312)</f>
        <v>1</v>
      </c>
      <c r="L313" s="194"/>
    </row>
    <row r="314" spans="1:12" x14ac:dyDescent="0.25">
      <c r="A314" s="216"/>
      <c r="B314" s="128"/>
      <c r="C314" s="136"/>
      <c r="D314" s="128"/>
      <c r="E314" s="136"/>
      <c r="F314" s="128"/>
      <c r="G314" s="136"/>
      <c r="H314" s="128"/>
      <c r="I314" s="136"/>
      <c r="J314" s="128"/>
      <c r="K314" s="136"/>
      <c r="L314" s="194"/>
    </row>
    <row r="315" spans="1:12" x14ac:dyDescent="0.25">
      <c r="A315" s="216"/>
      <c r="B315" s="128"/>
      <c r="C315" s="136"/>
      <c r="D315" s="128"/>
      <c r="E315" s="136"/>
      <c r="F315" s="128"/>
      <c r="G315" s="136"/>
      <c r="H315" s="128"/>
      <c r="I315" s="136"/>
      <c r="J315" s="128"/>
      <c r="K315" s="136"/>
      <c r="L315" s="194"/>
    </row>
    <row r="316" spans="1:12" x14ac:dyDescent="0.25">
      <c r="A316" s="216" t="s">
        <v>270</v>
      </c>
      <c r="B316" s="208">
        <v>2005</v>
      </c>
      <c r="C316" s="250" t="s">
        <v>272</v>
      </c>
      <c r="D316" s="208">
        <v>2006</v>
      </c>
      <c r="E316" s="250" t="s">
        <v>272</v>
      </c>
      <c r="F316" s="208">
        <v>2007</v>
      </c>
      <c r="G316" s="250" t="s">
        <v>272</v>
      </c>
      <c r="H316" s="208">
        <v>2008</v>
      </c>
      <c r="I316" s="250" t="s">
        <v>272</v>
      </c>
      <c r="J316" s="208">
        <v>2009</v>
      </c>
      <c r="K316" s="250" t="s">
        <v>272</v>
      </c>
      <c r="L316" s="208" t="s">
        <v>273</v>
      </c>
    </row>
    <row r="317" spans="1:12" x14ac:dyDescent="0.25">
      <c r="A317" s="209" t="s">
        <v>172</v>
      </c>
      <c r="B317" s="210">
        <v>1720</v>
      </c>
      <c r="C317" s="136"/>
      <c r="D317" s="210">
        <v>1870</v>
      </c>
      <c r="E317" s="136"/>
      <c r="F317" s="210">
        <v>1950</v>
      </c>
      <c r="G317" s="136"/>
      <c r="H317" s="210">
        <v>1440</v>
      </c>
      <c r="I317" s="136"/>
      <c r="J317" s="210">
        <v>1360</v>
      </c>
      <c r="K317" s="136"/>
      <c r="L317" s="194" t="s">
        <v>512</v>
      </c>
    </row>
    <row r="318" spans="1:12" x14ac:dyDescent="0.25">
      <c r="A318" s="209" t="s">
        <v>121</v>
      </c>
      <c r="B318" s="210">
        <v>300</v>
      </c>
      <c r="C318" s="136"/>
      <c r="D318" s="210">
        <v>300</v>
      </c>
      <c r="E318" s="136"/>
      <c r="F318" s="210">
        <v>300</v>
      </c>
      <c r="G318" s="136"/>
      <c r="H318" s="210">
        <v>200</v>
      </c>
      <c r="I318" s="136"/>
      <c r="J318" s="210">
        <v>200</v>
      </c>
      <c r="K318" s="136"/>
      <c r="L318" s="194"/>
    </row>
    <row r="319" spans="1:12" x14ac:dyDescent="0.25">
      <c r="A319" s="209" t="s">
        <v>173</v>
      </c>
      <c r="B319" s="128">
        <v>20.9</v>
      </c>
      <c r="C319" s="136"/>
      <c r="D319" s="128">
        <v>32.799999999999997</v>
      </c>
      <c r="E319" s="136"/>
      <c r="F319" s="128">
        <v>9.73</v>
      </c>
      <c r="G319" s="136"/>
      <c r="H319" s="128">
        <v>14.9</v>
      </c>
      <c r="I319" s="136"/>
      <c r="J319" s="128">
        <v>14.8</v>
      </c>
      <c r="K319" s="136"/>
      <c r="L319" s="194"/>
    </row>
    <row r="320" spans="1:12" x14ac:dyDescent="0.25">
      <c r="A320" s="209" t="s">
        <v>174</v>
      </c>
      <c r="B320" s="210">
        <v>1190</v>
      </c>
      <c r="C320" s="136"/>
      <c r="D320" s="210">
        <v>1230</v>
      </c>
      <c r="E320" s="136"/>
      <c r="F320" s="210">
        <v>1460</v>
      </c>
      <c r="G320" s="136"/>
      <c r="H320" s="210">
        <v>1380</v>
      </c>
      <c r="I320" s="136"/>
      <c r="J320" s="210">
        <v>943</v>
      </c>
      <c r="K320" s="136"/>
      <c r="L320" s="194" t="s">
        <v>513</v>
      </c>
    </row>
    <row r="321" spans="1:12" x14ac:dyDescent="0.25">
      <c r="A321" s="209" t="s">
        <v>274</v>
      </c>
      <c r="B321" s="128"/>
      <c r="C321" s="136"/>
      <c r="D321" s="128"/>
      <c r="E321" s="136"/>
      <c r="F321" s="128"/>
      <c r="G321" s="136"/>
      <c r="H321" s="128"/>
      <c r="I321" s="136"/>
      <c r="J321" s="128"/>
      <c r="K321" s="136"/>
      <c r="L321" s="194"/>
    </row>
    <row r="322" spans="1:12" x14ac:dyDescent="0.25">
      <c r="A322" s="209" t="s">
        <v>320</v>
      </c>
      <c r="B322" s="167"/>
      <c r="C322" s="136"/>
      <c r="D322" s="128"/>
      <c r="E322" s="136"/>
      <c r="F322" s="128"/>
      <c r="G322" s="136"/>
      <c r="H322" s="128"/>
      <c r="I322" s="136"/>
      <c r="J322" s="128"/>
      <c r="K322" s="136"/>
      <c r="L322" s="194"/>
    </row>
    <row r="323" spans="1:12" x14ac:dyDescent="0.25">
      <c r="A323" s="212" t="s">
        <v>275</v>
      </c>
      <c r="B323" s="128" t="s">
        <v>27</v>
      </c>
      <c r="C323" s="259">
        <v>0.88</v>
      </c>
      <c r="D323" s="128" t="s">
        <v>27</v>
      </c>
      <c r="E323" s="259">
        <v>0.68</v>
      </c>
      <c r="F323" s="128" t="s">
        <v>27</v>
      </c>
      <c r="G323" s="259">
        <v>0.93</v>
      </c>
      <c r="H323" s="128" t="s">
        <v>27</v>
      </c>
      <c r="I323" s="259">
        <v>0.5</v>
      </c>
      <c r="J323" s="128" t="s">
        <v>62</v>
      </c>
      <c r="K323" s="259">
        <v>0.48</v>
      </c>
      <c r="L323" s="194"/>
    </row>
    <row r="324" spans="1:12" x14ac:dyDescent="0.25">
      <c r="A324" s="212" t="s">
        <v>32</v>
      </c>
      <c r="B324" s="128" t="s">
        <v>189</v>
      </c>
      <c r="C324" s="259">
        <v>0.12</v>
      </c>
      <c r="D324" s="128" t="s">
        <v>189</v>
      </c>
      <c r="E324" s="259">
        <v>0.32</v>
      </c>
      <c r="F324" s="128" t="s">
        <v>189</v>
      </c>
      <c r="G324" s="259">
        <v>7.0000000000000007E-2</v>
      </c>
      <c r="H324" s="128" t="s">
        <v>62</v>
      </c>
      <c r="I324" s="259">
        <v>0.23</v>
      </c>
      <c r="J324" s="128" t="s">
        <v>27</v>
      </c>
      <c r="K324" s="259">
        <v>0.42</v>
      </c>
      <c r="L324" s="194"/>
    </row>
    <row r="325" spans="1:12" x14ac:dyDescent="0.25">
      <c r="A325" s="212" t="s">
        <v>33</v>
      </c>
      <c r="B325" s="210" t="s">
        <v>310</v>
      </c>
      <c r="C325" s="260" t="s">
        <v>394</v>
      </c>
      <c r="D325" s="210" t="s">
        <v>310</v>
      </c>
      <c r="E325" s="260" t="s">
        <v>394</v>
      </c>
      <c r="F325" s="210" t="s">
        <v>310</v>
      </c>
      <c r="G325" s="260" t="s">
        <v>394</v>
      </c>
      <c r="H325" s="128" t="s">
        <v>34</v>
      </c>
      <c r="I325" s="259">
        <v>0.2</v>
      </c>
      <c r="J325" s="128" t="s">
        <v>189</v>
      </c>
      <c r="K325" s="259">
        <v>0.1</v>
      </c>
      <c r="L325" s="194"/>
    </row>
    <row r="326" spans="1:12" x14ac:dyDescent="0.25">
      <c r="A326" s="216"/>
      <c r="B326" s="128"/>
      <c r="C326" s="259">
        <f>SUM(C320:C325)</f>
        <v>1</v>
      </c>
      <c r="D326" s="128"/>
      <c r="E326" s="259">
        <f>SUM(E320:E325)</f>
        <v>1</v>
      </c>
      <c r="F326" s="128"/>
      <c r="G326" s="259">
        <f>SUM(G320:G325)</f>
        <v>1</v>
      </c>
      <c r="H326" s="128"/>
      <c r="I326" s="259">
        <f>SUM(I320:I325)</f>
        <v>0.92999999999999994</v>
      </c>
      <c r="J326" s="128"/>
      <c r="K326" s="259">
        <f>SUM(K323:K325)</f>
        <v>0.99999999999999989</v>
      </c>
      <c r="L326" s="194"/>
    </row>
    <row r="327" spans="1:12" x14ac:dyDescent="0.25">
      <c r="A327" s="209" t="s">
        <v>321</v>
      </c>
      <c r="B327" s="167"/>
      <c r="C327" s="259"/>
      <c r="D327" s="128"/>
      <c r="E327" s="259"/>
      <c r="F327" s="128"/>
      <c r="G327" s="259"/>
      <c r="H327" s="128"/>
      <c r="I327" s="259"/>
      <c r="J327" s="128"/>
      <c r="K327" s="259"/>
      <c r="L327" s="194"/>
    </row>
    <row r="328" spans="1:12" x14ac:dyDescent="0.25">
      <c r="A328" s="212" t="s">
        <v>275</v>
      </c>
      <c r="B328" s="128" t="s">
        <v>34</v>
      </c>
      <c r="C328" s="259">
        <v>0.71</v>
      </c>
      <c r="D328" s="128" t="s">
        <v>34</v>
      </c>
      <c r="E328" s="259">
        <v>0.74</v>
      </c>
      <c r="F328" s="128" t="s">
        <v>34</v>
      </c>
      <c r="G328" s="259">
        <v>0.63</v>
      </c>
      <c r="H328" s="128" t="s">
        <v>34</v>
      </c>
      <c r="I328" s="259">
        <v>0.77</v>
      </c>
      <c r="J328" s="128" t="s">
        <v>34</v>
      </c>
      <c r="K328" s="259">
        <v>0.74</v>
      </c>
      <c r="L328" s="194"/>
    </row>
    <row r="329" spans="1:12" x14ac:dyDescent="0.25">
      <c r="A329" s="212" t="s">
        <v>32</v>
      </c>
      <c r="B329" s="128" t="s">
        <v>38</v>
      </c>
      <c r="C329" s="259">
        <v>0.25</v>
      </c>
      <c r="D329" s="128" t="s">
        <v>38</v>
      </c>
      <c r="E329" s="259">
        <v>0.23</v>
      </c>
      <c r="F329" s="128" t="s">
        <v>38</v>
      </c>
      <c r="G329" s="259">
        <v>0.26</v>
      </c>
      <c r="H329" s="128" t="s">
        <v>38</v>
      </c>
      <c r="I329" s="259">
        <v>0.23</v>
      </c>
      <c r="J329" s="128" t="s">
        <v>38</v>
      </c>
      <c r="K329" s="259">
        <v>0.26</v>
      </c>
      <c r="L329" s="194"/>
    </row>
    <row r="330" spans="1:12" x14ac:dyDescent="0.25">
      <c r="A330" s="212" t="s">
        <v>33</v>
      </c>
      <c r="B330" s="128" t="s">
        <v>189</v>
      </c>
      <c r="C330" s="259">
        <v>0.04</v>
      </c>
      <c r="D330" s="128" t="s">
        <v>189</v>
      </c>
      <c r="E330" s="259">
        <v>0.03</v>
      </c>
      <c r="F330" s="128" t="s">
        <v>189</v>
      </c>
      <c r="G330" s="259">
        <v>0.11</v>
      </c>
      <c r="H330" s="210" t="s">
        <v>310</v>
      </c>
      <c r="I330" s="260" t="s">
        <v>394</v>
      </c>
      <c r="J330" s="210" t="s">
        <v>310</v>
      </c>
      <c r="K330" s="260" t="s">
        <v>394</v>
      </c>
      <c r="L330" s="194"/>
    </row>
    <row r="331" spans="1:12" x14ac:dyDescent="0.25">
      <c r="A331" s="216"/>
      <c r="B331" s="128"/>
      <c r="C331" s="259">
        <f>SUM(C328:C330)</f>
        <v>1</v>
      </c>
      <c r="D331" s="128"/>
      <c r="E331" s="259">
        <f>SUM(E328:E330)</f>
        <v>1</v>
      </c>
      <c r="F331" s="128"/>
      <c r="G331" s="259">
        <f>SUM(G328:G330)</f>
        <v>1</v>
      </c>
      <c r="H331" s="128"/>
      <c r="I331" s="259">
        <f>SUM(I328:I330)</f>
        <v>1</v>
      </c>
      <c r="J331" s="128"/>
      <c r="K331" s="259">
        <f>SUM(K328:K330)</f>
        <v>1</v>
      </c>
      <c r="L331" s="194"/>
    </row>
    <row r="332" spans="1:12" x14ac:dyDescent="0.25">
      <c r="A332" s="209" t="s">
        <v>322</v>
      </c>
      <c r="B332" s="167"/>
      <c r="C332" s="258"/>
      <c r="D332" s="128"/>
      <c r="E332" s="258"/>
      <c r="F332" s="128"/>
      <c r="G332" s="258"/>
      <c r="H332" s="128"/>
      <c r="I332" s="258"/>
      <c r="J332" s="128"/>
      <c r="K332" s="258"/>
      <c r="L332" s="194"/>
    </row>
    <row r="333" spans="1:12" x14ac:dyDescent="0.25">
      <c r="A333" s="212" t="s">
        <v>275</v>
      </c>
      <c r="B333" s="128" t="s">
        <v>34</v>
      </c>
      <c r="C333" s="259">
        <v>0.74</v>
      </c>
      <c r="D333" s="128" t="s">
        <v>34</v>
      </c>
      <c r="E333" s="259">
        <v>0.54</v>
      </c>
      <c r="F333" s="128" t="s">
        <v>34</v>
      </c>
      <c r="G333" s="259">
        <v>0.45</v>
      </c>
      <c r="H333" s="128" t="s">
        <v>34</v>
      </c>
      <c r="I333" s="259">
        <v>0.48</v>
      </c>
      <c r="J333" s="128" t="s">
        <v>27</v>
      </c>
      <c r="K333" s="259">
        <v>0.54</v>
      </c>
      <c r="L333" s="194"/>
    </row>
    <row r="334" spans="1:12" x14ac:dyDescent="0.25">
      <c r="A334" s="212" t="s">
        <v>32</v>
      </c>
      <c r="B334" s="128" t="s">
        <v>27</v>
      </c>
      <c r="C334" s="259">
        <v>0.19</v>
      </c>
      <c r="D334" s="128" t="s">
        <v>27</v>
      </c>
      <c r="E334" s="259">
        <v>0.24</v>
      </c>
      <c r="F334" s="128" t="s">
        <v>27</v>
      </c>
      <c r="G334" s="259">
        <v>0.38</v>
      </c>
      <c r="H334" s="128" t="s">
        <v>27</v>
      </c>
      <c r="I334" s="259">
        <v>0.37</v>
      </c>
      <c r="J334" s="128" t="s">
        <v>34</v>
      </c>
      <c r="K334" s="259">
        <v>0.34</v>
      </c>
      <c r="L334" s="194"/>
    </row>
    <row r="335" spans="1:12" x14ac:dyDescent="0.25">
      <c r="A335" s="212" t="s">
        <v>33</v>
      </c>
      <c r="B335" s="128" t="s">
        <v>42</v>
      </c>
      <c r="C335" s="259">
        <v>0.03</v>
      </c>
      <c r="D335" s="128" t="s">
        <v>296</v>
      </c>
      <c r="E335" s="259">
        <v>0.03</v>
      </c>
      <c r="F335" s="128" t="s">
        <v>296</v>
      </c>
      <c r="G335" s="259">
        <v>7.0000000000000007E-2</v>
      </c>
      <c r="H335" s="128" t="s">
        <v>38</v>
      </c>
      <c r="I335" s="259">
        <v>0.11</v>
      </c>
      <c r="J335" s="128" t="s">
        <v>189</v>
      </c>
      <c r="K335" s="259">
        <v>0.12</v>
      </c>
      <c r="L335" s="194"/>
    </row>
    <row r="336" spans="1:12" x14ac:dyDescent="0.25">
      <c r="A336" s="216"/>
      <c r="B336" s="128"/>
      <c r="C336" s="259">
        <f>SUM(C333:C335)</f>
        <v>0.96</v>
      </c>
      <c r="D336" s="128"/>
      <c r="E336" s="259">
        <f>SUM(E333:E335)</f>
        <v>0.81</v>
      </c>
      <c r="F336" s="128"/>
      <c r="G336" s="259">
        <f>SUM(G333:G335)</f>
        <v>0.90000000000000013</v>
      </c>
      <c r="H336" s="128"/>
      <c r="I336" s="259">
        <f>SUM(I333:I335)</f>
        <v>0.96</v>
      </c>
      <c r="J336" s="128"/>
      <c r="K336" s="259">
        <f>SUM(K333:K335)</f>
        <v>1</v>
      </c>
      <c r="L336" s="194"/>
    </row>
    <row r="337" spans="1:12" x14ac:dyDescent="0.25">
      <c r="A337" s="209" t="s">
        <v>323</v>
      </c>
      <c r="B337" s="167"/>
      <c r="C337" s="259"/>
      <c r="D337" s="128"/>
      <c r="E337" s="259"/>
      <c r="F337" s="128"/>
      <c r="G337" s="259"/>
      <c r="H337" s="128"/>
      <c r="I337" s="259"/>
      <c r="J337" s="128"/>
      <c r="K337" s="259"/>
      <c r="L337" s="194"/>
    </row>
    <row r="338" spans="1:12" x14ac:dyDescent="0.25">
      <c r="A338" s="212" t="s">
        <v>275</v>
      </c>
      <c r="B338" s="128" t="s">
        <v>27</v>
      </c>
      <c r="C338" s="259">
        <v>0.87</v>
      </c>
      <c r="D338" s="128" t="s">
        <v>27</v>
      </c>
      <c r="E338" s="259">
        <v>0.7</v>
      </c>
      <c r="F338" s="128" t="s">
        <v>27</v>
      </c>
      <c r="G338" s="259">
        <v>0.76</v>
      </c>
      <c r="H338" s="128" t="s">
        <v>27</v>
      </c>
      <c r="I338" s="259">
        <v>0.91</v>
      </c>
      <c r="J338" s="128" t="s">
        <v>27</v>
      </c>
      <c r="K338" s="259">
        <v>0.86</v>
      </c>
      <c r="L338" s="194"/>
    </row>
    <row r="339" spans="1:12" x14ac:dyDescent="0.25">
      <c r="A339" s="212" t="s">
        <v>32</v>
      </c>
      <c r="B339" s="128" t="s">
        <v>50</v>
      </c>
      <c r="C339" s="259">
        <v>0.08</v>
      </c>
      <c r="D339" s="128" t="s">
        <v>50</v>
      </c>
      <c r="E339" s="259">
        <v>0.09</v>
      </c>
      <c r="F339" s="128" t="s">
        <v>50</v>
      </c>
      <c r="G339" s="259">
        <v>0.06</v>
      </c>
      <c r="H339" s="128" t="s">
        <v>50</v>
      </c>
      <c r="I339" s="259">
        <v>0.06</v>
      </c>
      <c r="J339" s="128" t="s">
        <v>50</v>
      </c>
      <c r="K339" s="259">
        <v>0.09</v>
      </c>
      <c r="L339" s="194"/>
    </row>
    <row r="340" spans="1:12" x14ac:dyDescent="0.25">
      <c r="A340" s="212" t="s">
        <v>33</v>
      </c>
      <c r="B340" s="128" t="s">
        <v>189</v>
      </c>
      <c r="C340" s="259">
        <v>0.05</v>
      </c>
      <c r="D340" s="128" t="s">
        <v>189</v>
      </c>
      <c r="E340" s="259">
        <v>0.21</v>
      </c>
      <c r="F340" s="128" t="s">
        <v>189</v>
      </c>
      <c r="G340" s="259">
        <v>0.18</v>
      </c>
      <c r="H340" s="128" t="s">
        <v>189</v>
      </c>
      <c r="I340" s="259">
        <v>0.03</v>
      </c>
      <c r="J340" s="128" t="s">
        <v>189</v>
      </c>
      <c r="K340" s="259">
        <v>0.05</v>
      </c>
      <c r="L340" s="194"/>
    </row>
    <row r="341" spans="1:12" x14ac:dyDescent="0.25">
      <c r="A341" s="216"/>
      <c r="B341" s="128"/>
      <c r="C341" s="259">
        <f>SUM(C338:C340)</f>
        <v>1</v>
      </c>
      <c r="D341" s="128"/>
      <c r="E341" s="259">
        <f>SUM(E338:E340)</f>
        <v>0.99999999999999989</v>
      </c>
      <c r="F341" s="128"/>
      <c r="G341" s="259">
        <f>SUM(G338:G340)</f>
        <v>1</v>
      </c>
      <c r="H341" s="128"/>
      <c r="I341" s="259">
        <f>SUM(I338:I340)</f>
        <v>1</v>
      </c>
      <c r="J341" s="128"/>
      <c r="K341" s="259">
        <f>SUM(K338:K340)</f>
        <v>1</v>
      </c>
      <c r="L341" s="194"/>
    </row>
    <row r="342" spans="1:12" x14ac:dyDescent="0.25">
      <c r="A342" s="216"/>
      <c r="B342" s="128"/>
      <c r="C342" s="136"/>
      <c r="D342" s="128"/>
      <c r="E342" s="136"/>
      <c r="F342" s="128"/>
      <c r="G342" s="136"/>
      <c r="H342" s="128"/>
      <c r="I342" s="136"/>
      <c r="J342" s="128"/>
      <c r="K342" s="136"/>
      <c r="L342" s="194"/>
    </row>
    <row r="343" spans="1:12" x14ac:dyDescent="0.25">
      <c r="A343" s="216"/>
      <c r="B343" s="128"/>
      <c r="C343" s="136"/>
      <c r="D343" s="128"/>
      <c r="E343" s="136"/>
      <c r="F343" s="128"/>
      <c r="G343" s="136"/>
      <c r="H343" s="128"/>
      <c r="I343" s="136"/>
      <c r="J343" s="128"/>
      <c r="K343" s="136"/>
      <c r="L343" s="194"/>
    </row>
    <row r="344" spans="1:12" x14ac:dyDescent="0.25">
      <c r="A344" s="216" t="s">
        <v>287</v>
      </c>
      <c r="B344" s="208">
        <v>2005</v>
      </c>
      <c r="C344" s="250" t="s">
        <v>272</v>
      </c>
      <c r="D344" s="208">
        <v>2006</v>
      </c>
      <c r="E344" s="250" t="s">
        <v>272</v>
      </c>
      <c r="F344" s="208">
        <v>2007</v>
      </c>
      <c r="G344" s="250" t="s">
        <v>272</v>
      </c>
      <c r="H344" s="208">
        <v>2008</v>
      </c>
      <c r="I344" s="250" t="s">
        <v>272</v>
      </c>
      <c r="J344" s="208">
        <v>2009</v>
      </c>
      <c r="K344" s="250" t="s">
        <v>272</v>
      </c>
      <c r="L344" s="208" t="s">
        <v>273</v>
      </c>
    </row>
    <row r="345" spans="1:12" x14ac:dyDescent="0.25">
      <c r="A345" s="209" t="s">
        <v>172</v>
      </c>
      <c r="B345" s="223" t="s">
        <v>165</v>
      </c>
      <c r="C345" s="253"/>
      <c r="D345" s="223" t="s">
        <v>165</v>
      </c>
      <c r="E345" s="253"/>
      <c r="F345" s="223" t="s">
        <v>165</v>
      </c>
      <c r="G345" s="253"/>
      <c r="H345" s="223" t="s">
        <v>165</v>
      </c>
      <c r="I345" s="253"/>
      <c r="J345" s="223" t="s">
        <v>165</v>
      </c>
      <c r="K345" s="136"/>
      <c r="L345" s="194"/>
    </row>
    <row r="346" spans="1:12" x14ac:dyDescent="0.25">
      <c r="A346" s="209" t="s">
        <v>121</v>
      </c>
      <c r="B346" s="224" t="s">
        <v>262</v>
      </c>
      <c r="C346" s="254"/>
      <c r="D346" s="224" t="s">
        <v>262</v>
      </c>
      <c r="E346" s="254"/>
      <c r="F346" s="223" t="s">
        <v>165</v>
      </c>
      <c r="G346" s="254"/>
      <c r="H346" s="223" t="s">
        <v>165</v>
      </c>
      <c r="I346" s="254"/>
      <c r="J346" s="223" t="s">
        <v>165</v>
      </c>
      <c r="K346" s="136"/>
      <c r="L346" s="194"/>
    </row>
    <row r="347" spans="1:12" x14ac:dyDescent="0.25">
      <c r="A347" s="209" t="s">
        <v>173</v>
      </c>
      <c r="B347" s="225">
        <v>5.1999999999999998E-2</v>
      </c>
      <c r="C347" s="255"/>
      <c r="D347" s="225">
        <v>0.13</v>
      </c>
      <c r="E347" s="255"/>
      <c r="F347" s="225">
        <v>0.109</v>
      </c>
      <c r="G347" s="255"/>
      <c r="H347" s="225">
        <v>0.496</v>
      </c>
      <c r="I347" s="255"/>
      <c r="J347" s="225">
        <v>3.7999999999999999E-2</v>
      </c>
      <c r="K347" s="136"/>
      <c r="L347" s="194" t="s">
        <v>514</v>
      </c>
    </row>
    <row r="348" spans="1:12" x14ac:dyDescent="0.25">
      <c r="A348" s="209" t="s">
        <v>174</v>
      </c>
      <c r="B348" s="128">
        <v>2.08</v>
      </c>
      <c r="C348" s="136"/>
      <c r="D348" s="128">
        <v>2.29</v>
      </c>
      <c r="E348" s="136"/>
      <c r="F348" s="128">
        <v>3.88</v>
      </c>
      <c r="G348" s="136"/>
      <c r="H348" s="128">
        <v>3.99</v>
      </c>
      <c r="I348" s="136"/>
      <c r="J348" s="128">
        <v>3.59</v>
      </c>
      <c r="K348" s="136"/>
      <c r="L348" s="194" t="s">
        <v>514</v>
      </c>
    </row>
    <row r="349" spans="1:12" x14ac:dyDescent="0.25">
      <c r="A349" s="209" t="s">
        <v>274</v>
      </c>
      <c r="B349" s="128"/>
      <c r="C349" s="136"/>
      <c r="D349" s="128"/>
      <c r="E349" s="136"/>
      <c r="F349" s="128"/>
      <c r="G349" s="136"/>
      <c r="H349" s="128"/>
      <c r="I349" s="136"/>
      <c r="J349" s="128"/>
      <c r="K349" s="136"/>
      <c r="L349" s="194"/>
    </row>
    <row r="350" spans="1:12" x14ac:dyDescent="0.25">
      <c r="A350" s="212" t="s">
        <v>275</v>
      </c>
      <c r="B350" s="128" t="s">
        <v>134</v>
      </c>
      <c r="C350" s="259">
        <v>0.37</v>
      </c>
      <c r="D350" s="128" t="s">
        <v>23</v>
      </c>
      <c r="E350" s="259">
        <v>0.37</v>
      </c>
      <c r="F350" s="128" t="s">
        <v>23</v>
      </c>
      <c r="G350" s="259">
        <v>0.3</v>
      </c>
      <c r="H350" s="128" t="s">
        <v>23</v>
      </c>
      <c r="I350" s="259">
        <v>0.28000000000000003</v>
      </c>
      <c r="J350" s="128" t="s">
        <v>23</v>
      </c>
      <c r="K350" s="259">
        <v>0.25</v>
      </c>
      <c r="L350" s="194"/>
    </row>
    <row r="351" spans="1:12" x14ac:dyDescent="0.25">
      <c r="A351" s="212" t="s">
        <v>32</v>
      </c>
      <c r="B351" s="128" t="s">
        <v>23</v>
      </c>
      <c r="C351" s="259">
        <v>0.26</v>
      </c>
      <c r="D351" s="128" t="s">
        <v>134</v>
      </c>
      <c r="E351" s="259">
        <v>0.31</v>
      </c>
      <c r="F351" s="128" t="s">
        <v>38</v>
      </c>
      <c r="G351" s="259">
        <v>0.21</v>
      </c>
      <c r="H351" s="128" t="s">
        <v>38</v>
      </c>
      <c r="I351" s="259">
        <v>0.24</v>
      </c>
      <c r="J351" s="128" t="s">
        <v>38</v>
      </c>
      <c r="K351" s="259">
        <v>0.24</v>
      </c>
      <c r="L351" s="194"/>
    </row>
    <row r="352" spans="1:12" x14ac:dyDescent="0.25">
      <c r="A352" s="212" t="s">
        <v>33</v>
      </c>
      <c r="B352" s="128" t="s">
        <v>38</v>
      </c>
      <c r="C352" s="259">
        <v>0.13</v>
      </c>
      <c r="D352" s="128" t="s">
        <v>38</v>
      </c>
      <c r="E352" s="259">
        <v>0.09</v>
      </c>
      <c r="F352" s="128" t="s">
        <v>134</v>
      </c>
      <c r="G352" s="259">
        <v>0.19</v>
      </c>
      <c r="H352" s="128" t="s">
        <v>134</v>
      </c>
      <c r="I352" s="259">
        <v>0.21</v>
      </c>
      <c r="J352" s="128" t="s">
        <v>134</v>
      </c>
      <c r="K352" s="259">
        <v>0.21</v>
      </c>
      <c r="L352" s="194"/>
    </row>
    <row r="353" spans="1:12" x14ac:dyDescent="0.25">
      <c r="A353" s="216"/>
      <c r="B353" s="128"/>
      <c r="C353" s="259">
        <f>SUM(C348:C352)</f>
        <v>0.76</v>
      </c>
      <c r="D353" s="128"/>
      <c r="E353" s="259">
        <f>SUM(E348:E352)</f>
        <v>0.76999999999999991</v>
      </c>
      <c r="F353" s="128"/>
      <c r="G353" s="259">
        <f>SUM(G348:G352)</f>
        <v>0.7</v>
      </c>
      <c r="H353" s="128"/>
      <c r="I353" s="259">
        <f>SUM(I348:I352)</f>
        <v>0.73</v>
      </c>
      <c r="J353" s="128"/>
      <c r="K353" s="259">
        <f>SUM(K350:K352)</f>
        <v>0.7</v>
      </c>
      <c r="L353" s="194"/>
    </row>
    <row r="354" spans="1:12" x14ac:dyDescent="0.25">
      <c r="A354" s="216"/>
      <c r="B354" s="128"/>
      <c r="C354" s="136"/>
      <c r="D354" s="128"/>
      <c r="E354" s="258"/>
      <c r="F354" s="128"/>
      <c r="G354" s="136"/>
      <c r="H354" s="128"/>
      <c r="I354" s="136"/>
      <c r="J354" s="128"/>
      <c r="K354" s="136"/>
      <c r="L354" s="194"/>
    </row>
    <row r="355" spans="1:12" x14ac:dyDescent="0.25">
      <c r="A355" s="216"/>
      <c r="B355" s="128"/>
      <c r="C355" s="136"/>
      <c r="D355" s="128"/>
      <c r="E355" s="136"/>
      <c r="F355" s="128"/>
      <c r="G355" s="136"/>
      <c r="H355" s="128"/>
      <c r="I355" s="136"/>
      <c r="J355" s="128"/>
      <c r="K355" s="136"/>
      <c r="L355" s="194"/>
    </row>
    <row r="356" spans="1:12" x14ac:dyDescent="0.25">
      <c r="A356" s="216" t="s">
        <v>127</v>
      </c>
      <c r="B356" s="208">
        <v>2005</v>
      </c>
      <c r="C356" s="250" t="s">
        <v>272</v>
      </c>
      <c r="D356" s="208">
        <v>2006</v>
      </c>
      <c r="E356" s="250" t="s">
        <v>272</v>
      </c>
      <c r="F356" s="208">
        <v>2007</v>
      </c>
      <c r="G356" s="250" t="s">
        <v>272</v>
      </c>
      <c r="H356" s="208">
        <v>2008</v>
      </c>
      <c r="I356" s="250" t="s">
        <v>272</v>
      </c>
      <c r="J356" s="208">
        <v>2009</v>
      </c>
      <c r="K356" s="250" t="s">
        <v>272</v>
      </c>
      <c r="L356" s="208" t="s">
        <v>273</v>
      </c>
    </row>
    <row r="357" spans="1:12" x14ac:dyDescent="0.25">
      <c r="A357" s="209" t="s">
        <v>172</v>
      </c>
      <c r="B357" s="223" t="s">
        <v>165</v>
      </c>
      <c r="C357" s="253"/>
      <c r="D357" s="223" t="s">
        <v>165</v>
      </c>
      <c r="E357" s="253"/>
      <c r="F357" s="223" t="s">
        <v>165</v>
      </c>
      <c r="G357" s="253"/>
      <c r="H357" s="223" t="s">
        <v>165</v>
      </c>
      <c r="I357" s="253"/>
      <c r="J357" s="223" t="s">
        <v>165</v>
      </c>
      <c r="K357" s="136"/>
      <c r="L357" s="194"/>
    </row>
    <row r="358" spans="1:12" x14ac:dyDescent="0.25">
      <c r="A358" s="209" t="s">
        <v>121</v>
      </c>
      <c r="B358" s="226">
        <v>748</v>
      </c>
      <c r="C358" s="256"/>
      <c r="D358" s="226">
        <v>727</v>
      </c>
      <c r="E358" s="256"/>
      <c r="F358" s="226">
        <v>803</v>
      </c>
      <c r="G358" s="256"/>
      <c r="H358" s="226">
        <v>778</v>
      </c>
      <c r="I358" s="256"/>
      <c r="J358" s="226">
        <v>736</v>
      </c>
      <c r="K358" s="136"/>
      <c r="L358" s="167"/>
    </row>
    <row r="359" spans="1:12" x14ac:dyDescent="0.25">
      <c r="A359" s="209" t="s">
        <v>173</v>
      </c>
      <c r="B359" s="227">
        <v>786</v>
      </c>
      <c r="C359" s="255"/>
      <c r="D359" s="227">
        <v>825</v>
      </c>
      <c r="E359" s="255"/>
      <c r="F359" s="227">
        <v>816</v>
      </c>
      <c r="G359" s="255"/>
      <c r="H359" s="227">
        <v>725</v>
      </c>
      <c r="I359" s="255"/>
      <c r="J359" s="227">
        <v>785</v>
      </c>
      <c r="K359" s="136"/>
      <c r="L359" s="194"/>
    </row>
    <row r="360" spans="1:12" x14ac:dyDescent="0.25">
      <c r="A360" s="209" t="s">
        <v>174</v>
      </c>
      <c r="B360" s="128">
        <v>156</v>
      </c>
      <c r="C360" s="136"/>
      <c r="D360" s="128">
        <v>383</v>
      </c>
      <c r="E360" s="136"/>
      <c r="F360" s="128">
        <v>271</v>
      </c>
      <c r="G360" s="136"/>
      <c r="H360" s="128">
        <v>63.2</v>
      </c>
      <c r="I360" s="136"/>
      <c r="J360" s="128">
        <v>74.2</v>
      </c>
      <c r="K360" s="136"/>
      <c r="L360" s="194"/>
    </row>
    <row r="361" spans="1:12" x14ac:dyDescent="0.25">
      <c r="A361" s="209" t="s">
        <v>274</v>
      </c>
      <c r="B361" s="128"/>
      <c r="C361" s="136"/>
      <c r="D361" s="128"/>
      <c r="E361" s="136"/>
      <c r="F361" s="128"/>
      <c r="G361" s="136"/>
      <c r="H361" s="128"/>
      <c r="I361" s="136"/>
      <c r="J361" s="128"/>
      <c r="K361" s="136"/>
      <c r="L361" s="194"/>
    </row>
    <row r="362" spans="1:12" x14ac:dyDescent="0.25">
      <c r="A362" s="212" t="s">
        <v>275</v>
      </c>
      <c r="B362" s="128" t="s">
        <v>44</v>
      </c>
      <c r="C362" s="259">
        <v>0.61</v>
      </c>
      <c r="D362" s="128" t="s">
        <v>44</v>
      </c>
      <c r="E362" s="259">
        <v>0.62</v>
      </c>
      <c r="F362" s="128" t="s">
        <v>44</v>
      </c>
      <c r="G362" s="259">
        <v>0.67</v>
      </c>
      <c r="H362" s="128" t="s">
        <v>44</v>
      </c>
      <c r="I362" s="259">
        <v>0.69</v>
      </c>
      <c r="J362" s="128" t="s">
        <v>44</v>
      </c>
      <c r="K362" s="259">
        <v>0.75</v>
      </c>
      <c r="L362" s="194" t="s">
        <v>647</v>
      </c>
    </row>
    <row r="363" spans="1:12" x14ac:dyDescent="0.25">
      <c r="A363" s="212" t="s">
        <v>32</v>
      </c>
      <c r="B363" s="128" t="s">
        <v>27</v>
      </c>
      <c r="C363" s="259">
        <v>0.22</v>
      </c>
      <c r="D363" s="128" t="s">
        <v>27</v>
      </c>
      <c r="E363" s="259">
        <v>0.18</v>
      </c>
      <c r="F363" s="128" t="s">
        <v>73</v>
      </c>
      <c r="G363" s="259">
        <v>0.14000000000000001</v>
      </c>
      <c r="H363" s="128" t="s">
        <v>324</v>
      </c>
      <c r="I363" s="259">
        <v>0.14000000000000001</v>
      </c>
      <c r="J363" s="128" t="s">
        <v>297</v>
      </c>
      <c r="K363" s="259">
        <v>0.16</v>
      </c>
      <c r="L363" s="194" t="s">
        <v>647</v>
      </c>
    </row>
    <row r="364" spans="1:12" x14ac:dyDescent="0.25">
      <c r="A364" s="212" t="s">
        <v>33</v>
      </c>
      <c r="B364" s="128" t="s">
        <v>324</v>
      </c>
      <c r="C364" s="259">
        <v>0.1</v>
      </c>
      <c r="D364" s="128" t="s">
        <v>324</v>
      </c>
      <c r="E364" s="259">
        <v>0.11</v>
      </c>
      <c r="F364" s="128" t="s">
        <v>324</v>
      </c>
      <c r="G364" s="259">
        <v>0.09</v>
      </c>
      <c r="H364" s="128" t="s">
        <v>73</v>
      </c>
      <c r="I364" s="259">
        <v>0.12</v>
      </c>
      <c r="J364" s="128" t="s">
        <v>73</v>
      </c>
      <c r="K364" s="259">
        <v>7.0000000000000007E-2</v>
      </c>
      <c r="L364" s="194" t="s">
        <v>647</v>
      </c>
    </row>
    <row r="365" spans="1:12" x14ac:dyDescent="0.25">
      <c r="A365" s="216"/>
      <c r="B365" s="128"/>
      <c r="C365" s="259">
        <f>SUM(C360:C364)</f>
        <v>0.92999999999999994</v>
      </c>
      <c r="D365" s="128"/>
      <c r="E365" s="259">
        <f>SUM(E360:E364)</f>
        <v>0.91</v>
      </c>
      <c r="F365" s="128"/>
      <c r="G365" s="259">
        <f>SUM(G360:G364)</f>
        <v>0.9</v>
      </c>
      <c r="H365" s="128"/>
      <c r="I365" s="259">
        <f>SUM(I360:I364)</f>
        <v>0.95</v>
      </c>
      <c r="J365" s="128"/>
      <c r="K365" s="259">
        <f>SUM(K362:K364)</f>
        <v>0.98</v>
      </c>
      <c r="L365" s="194"/>
    </row>
    <row r="366" spans="1:12" x14ac:dyDescent="0.25">
      <c r="A366" s="216"/>
      <c r="B366" s="128"/>
      <c r="C366" s="136"/>
      <c r="D366" s="128"/>
      <c r="E366" s="136"/>
      <c r="F366" s="128"/>
      <c r="G366" s="136"/>
      <c r="H366" s="128"/>
      <c r="I366" s="136"/>
      <c r="J366" s="128"/>
      <c r="K366" s="136"/>
      <c r="L366" s="194"/>
    </row>
    <row r="367" spans="1:12" x14ac:dyDescent="0.25">
      <c r="A367" s="194" t="s">
        <v>646</v>
      </c>
      <c r="B367" s="128"/>
      <c r="C367" s="136"/>
      <c r="D367" s="128"/>
      <c r="E367" s="136"/>
      <c r="F367" s="128"/>
      <c r="G367" s="136"/>
      <c r="H367" s="128"/>
      <c r="I367" s="136"/>
      <c r="J367" s="128"/>
      <c r="K367" s="136"/>
      <c r="L367" s="194"/>
    </row>
  </sheetData>
  <pageMargins left="0.7" right="0.7" top="0.75" bottom="0.75" header="0.3" footer="0.3"/>
  <pageSetup scale="48" orientation="landscape" r:id="rId1"/>
  <rowBreaks count="5" manualBreakCount="5">
    <brk id="64" max="11" man="1"/>
    <brk id="124" max="11" man="1"/>
    <brk id="195" max="11" man="1"/>
    <brk id="255" max="11" man="1"/>
    <brk id="315" max="16383" man="1"/>
  </rowBreaks>
  <colBreaks count="1" manualBreakCount="1">
    <brk id="12" max="1048575" man="1"/>
  </col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2"/>
  <sheetViews>
    <sheetView topLeftCell="A283" zoomScaleNormal="100" workbookViewId="0">
      <selection activeCell="A90" sqref="A90"/>
    </sheetView>
  </sheetViews>
  <sheetFormatPr defaultRowHeight="15" x14ac:dyDescent="0.25"/>
  <cols>
    <col min="1" max="1" width="31.85546875" style="11" customWidth="1"/>
    <col min="2" max="2" width="19.5703125" customWidth="1"/>
    <col min="3" max="3" width="8" customWidth="1"/>
    <col min="4" max="4" width="19.5703125" bestFit="1" customWidth="1"/>
    <col min="5" max="5" width="8" customWidth="1"/>
    <col min="6" max="6" width="19.5703125" customWidth="1"/>
    <col min="7" max="7" width="8" customWidth="1"/>
    <col min="8" max="8" width="19.5703125" customWidth="1"/>
    <col min="9" max="9" width="8" customWidth="1"/>
    <col min="10" max="10" width="19.5703125" customWidth="1"/>
    <col min="11" max="11" width="8" customWidth="1"/>
    <col min="12" max="12" width="84.7109375" bestFit="1" customWidth="1"/>
  </cols>
  <sheetData>
    <row r="1" spans="1:12" ht="15" customHeight="1" x14ac:dyDescent="0.25">
      <c r="A1" s="107" t="s">
        <v>517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15" customHeight="1" x14ac:dyDescent="0.25">
      <c r="A2" s="110" t="s">
        <v>518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2" x14ac:dyDescent="0.25">
      <c r="A3" s="73"/>
    </row>
    <row r="5" spans="1:12" x14ac:dyDescent="0.25">
      <c r="A5" s="165" t="s">
        <v>248</v>
      </c>
      <c r="B5" s="208">
        <v>2005</v>
      </c>
      <c r="C5" s="208" t="s">
        <v>272</v>
      </c>
      <c r="D5" s="208">
        <v>2006</v>
      </c>
      <c r="E5" s="208" t="s">
        <v>272</v>
      </c>
      <c r="F5" s="208">
        <v>2007</v>
      </c>
      <c r="G5" s="208" t="s">
        <v>272</v>
      </c>
      <c r="H5" s="208">
        <v>2008</v>
      </c>
      <c r="I5" s="208" t="s">
        <v>272</v>
      </c>
      <c r="J5" s="208">
        <v>2009</v>
      </c>
      <c r="K5" s="208" t="s">
        <v>272</v>
      </c>
      <c r="L5" s="208" t="s">
        <v>273</v>
      </c>
    </row>
    <row r="6" spans="1:12" x14ac:dyDescent="0.25">
      <c r="A6" s="228" t="s">
        <v>172</v>
      </c>
      <c r="B6" s="217">
        <v>6530</v>
      </c>
      <c r="C6" s="217"/>
      <c r="D6" s="217">
        <v>5700</v>
      </c>
      <c r="E6" s="217"/>
      <c r="F6" s="217">
        <v>5170</v>
      </c>
      <c r="G6" s="217"/>
      <c r="H6" s="217">
        <v>3940</v>
      </c>
      <c r="I6" s="217"/>
      <c r="J6" s="217">
        <v>3320</v>
      </c>
      <c r="K6" s="141"/>
      <c r="L6" s="141" t="s">
        <v>519</v>
      </c>
    </row>
    <row r="7" spans="1:12" x14ac:dyDescent="0.25">
      <c r="A7" s="228" t="s">
        <v>121</v>
      </c>
      <c r="B7" s="224" t="s">
        <v>262</v>
      </c>
      <c r="C7" s="217"/>
      <c r="D7" s="224" t="s">
        <v>262</v>
      </c>
      <c r="E7" s="217"/>
      <c r="F7" s="224" t="s">
        <v>262</v>
      </c>
      <c r="G7" s="217"/>
      <c r="H7" s="224" t="s">
        <v>262</v>
      </c>
      <c r="I7" s="217"/>
      <c r="J7" s="224" t="s">
        <v>262</v>
      </c>
      <c r="K7" s="141"/>
      <c r="L7" s="141"/>
    </row>
    <row r="8" spans="1:12" x14ac:dyDescent="0.25">
      <c r="A8" s="229" t="s">
        <v>201</v>
      </c>
      <c r="B8" s="217">
        <v>2481</v>
      </c>
      <c r="C8" s="217"/>
      <c r="D8" s="217">
        <v>2284</v>
      </c>
      <c r="E8" s="217"/>
      <c r="F8" s="217">
        <v>2554</v>
      </c>
      <c r="G8" s="217"/>
      <c r="H8" s="217">
        <v>2658</v>
      </c>
      <c r="I8" s="217"/>
      <c r="J8" s="217">
        <v>1727</v>
      </c>
      <c r="K8" s="141"/>
      <c r="L8" s="141"/>
    </row>
    <row r="9" spans="1:12" x14ac:dyDescent="0.25">
      <c r="A9" s="229" t="s">
        <v>187</v>
      </c>
      <c r="B9" s="217">
        <v>3030</v>
      </c>
      <c r="C9" s="217"/>
      <c r="D9" s="217">
        <v>4380</v>
      </c>
      <c r="E9" s="217"/>
      <c r="F9" s="217">
        <v>4120</v>
      </c>
      <c r="G9" s="217"/>
      <c r="H9" s="217">
        <v>3630</v>
      </c>
      <c r="I9" s="217"/>
      <c r="J9" s="217">
        <v>2820</v>
      </c>
      <c r="K9" s="141"/>
      <c r="L9" s="141"/>
    </row>
    <row r="10" spans="1:12" x14ac:dyDescent="0.25">
      <c r="A10" s="230" t="s">
        <v>173</v>
      </c>
      <c r="B10" s="217">
        <v>2370</v>
      </c>
      <c r="C10" s="217"/>
      <c r="D10" s="217">
        <v>2820</v>
      </c>
      <c r="E10" s="217"/>
      <c r="F10" s="217">
        <v>2840</v>
      </c>
      <c r="G10" s="217"/>
      <c r="H10" s="217">
        <v>3280</v>
      </c>
      <c r="I10" s="217"/>
      <c r="J10" s="217">
        <v>2710</v>
      </c>
      <c r="K10" s="141"/>
      <c r="L10" s="141" t="s">
        <v>520</v>
      </c>
    </row>
    <row r="11" spans="1:12" x14ac:dyDescent="0.25">
      <c r="A11" s="228" t="s">
        <v>174</v>
      </c>
      <c r="B11" s="217">
        <v>5330</v>
      </c>
      <c r="C11" s="217"/>
      <c r="D11" s="217">
        <v>5180</v>
      </c>
      <c r="E11" s="217"/>
      <c r="F11" s="217">
        <v>4490</v>
      </c>
      <c r="G11" s="217"/>
      <c r="H11" s="217">
        <v>4200</v>
      </c>
      <c r="I11" s="217"/>
      <c r="J11" s="217">
        <v>4110</v>
      </c>
      <c r="K11" s="141"/>
      <c r="L11" s="141" t="s">
        <v>521</v>
      </c>
    </row>
    <row r="12" spans="1:12" s="59" customFormat="1" x14ac:dyDescent="0.25">
      <c r="A12" s="231" t="s">
        <v>274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94"/>
    </row>
    <row r="13" spans="1:12" x14ac:dyDescent="0.25">
      <c r="A13" s="231" t="s">
        <v>275</v>
      </c>
      <c r="B13" s="138" t="s">
        <v>38</v>
      </c>
      <c r="C13" s="232">
        <f>2740/B11</f>
        <v>0.51407129455909939</v>
      </c>
      <c r="D13" s="138" t="s">
        <v>38</v>
      </c>
      <c r="E13" s="232">
        <f>2830/D11</f>
        <v>0.54633204633204635</v>
      </c>
      <c r="F13" s="138" t="s">
        <v>38</v>
      </c>
      <c r="G13" s="232">
        <f>2690/F11</f>
        <v>0.59910913140311806</v>
      </c>
      <c r="H13" s="138" t="s">
        <v>38</v>
      </c>
      <c r="I13" s="232">
        <f>2700/H11</f>
        <v>0.6428571428571429</v>
      </c>
      <c r="J13" s="138" t="s">
        <v>38</v>
      </c>
      <c r="K13" s="232">
        <f>2570/J11</f>
        <v>0.62530413625304138</v>
      </c>
      <c r="L13" s="141"/>
    </row>
    <row r="14" spans="1:12" x14ac:dyDescent="0.25">
      <c r="A14" s="231" t="s">
        <v>32</v>
      </c>
      <c r="B14" s="138" t="s">
        <v>24</v>
      </c>
      <c r="C14" s="232">
        <f>880/B11</f>
        <v>0.16510318949343339</v>
      </c>
      <c r="D14" s="138" t="s">
        <v>24</v>
      </c>
      <c r="E14" s="232">
        <f>720/D11</f>
        <v>0.138996138996139</v>
      </c>
      <c r="F14" s="138" t="s">
        <v>24</v>
      </c>
      <c r="G14" s="232">
        <f>492/F11</f>
        <v>0.10957683741648107</v>
      </c>
      <c r="H14" s="138" t="s">
        <v>24</v>
      </c>
      <c r="I14" s="232">
        <f>335/H11</f>
        <v>7.9761904761904756E-2</v>
      </c>
      <c r="J14" s="138" t="s">
        <v>24</v>
      </c>
      <c r="K14" s="232">
        <f>371/J11</f>
        <v>9.0267639902676403E-2</v>
      </c>
      <c r="L14" s="141"/>
    </row>
    <row r="15" spans="1:12" x14ac:dyDescent="0.25">
      <c r="A15" s="231" t="s">
        <v>33</v>
      </c>
      <c r="B15" s="138" t="s">
        <v>22</v>
      </c>
      <c r="C15" s="232">
        <f>190/B11</f>
        <v>3.5647279549718573E-2</v>
      </c>
      <c r="D15" s="138" t="s">
        <v>22</v>
      </c>
      <c r="E15" s="232">
        <f>225/D11</f>
        <v>4.343629343629344E-2</v>
      </c>
      <c r="F15" s="138" t="s">
        <v>22</v>
      </c>
      <c r="G15" s="232">
        <f>204/F11</f>
        <v>4.5434298440979959E-2</v>
      </c>
      <c r="H15" s="138" t="s">
        <v>22</v>
      </c>
      <c r="I15" s="232">
        <f>173/H11</f>
        <v>4.1190476190476187E-2</v>
      </c>
      <c r="J15" s="138" t="s">
        <v>22</v>
      </c>
      <c r="K15" s="232">
        <f>252/J11</f>
        <v>6.1313868613138686E-2</v>
      </c>
      <c r="L15" s="141"/>
    </row>
    <row r="16" spans="1:12" x14ac:dyDescent="0.25">
      <c r="A16" s="165"/>
      <c r="B16" s="141"/>
      <c r="C16" s="262">
        <f>SUM(C13:C15)</f>
        <v>0.71482176360225136</v>
      </c>
      <c r="D16" s="141"/>
      <c r="E16" s="262">
        <f>SUM(E13:E15)</f>
        <v>0.72876447876447881</v>
      </c>
      <c r="F16" s="141"/>
      <c r="G16" s="262">
        <f>SUM(G13:G15)</f>
        <v>0.75412026726057912</v>
      </c>
      <c r="H16" s="141"/>
      <c r="I16" s="262">
        <f>SUM(I13:I15)</f>
        <v>0.76380952380952394</v>
      </c>
      <c r="J16" s="141"/>
      <c r="K16" s="262">
        <f>SUM(K13:K15)</f>
        <v>0.77688564476885646</v>
      </c>
      <c r="L16" s="141"/>
    </row>
    <row r="17" spans="1:12" x14ac:dyDescent="0.25">
      <c r="A17" s="165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x14ac:dyDescent="0.25">
      <c r="A18" s="165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 x14ac:dyDescent="0.25">
      <c r="A19" s="165" t="s">
        <v>177</v>
      </c>
      <c r="B19" s="208">
        <v>2005</v>
      </c>
      <c r="C19" s="208" t="s">
        <v>272</v>
      </c>
      <c r="D19" s="208">
        <v>2006</v>
      </c>
      <c r="E19" s="208" t="s">
        <v>272</v>
      </c>
      <c r="F19" s="208">
        <v>2007</v>
      </c>
      <c r="G19" s="208" t="s">
        <v>272</v>
      </c>
      <c r="H19" s="208">
        <v>2008</v>
      </c>
      <c r="I19" s="208" t="s">
        <v>272</v>
      </c>
      <c r="J19" s="208">
        <v>2009</v>
      </c>
      <c r="K19" s="208" t="s">
        <v>272</v>
      </c>
      <c r="L19" s="208" t="s">
        <v>273</v>
      </c>
    </row>
    <row r="20" spans="1:12" x14ac:dyDescent="0.25">
      <c r="A20" s="228" t="s">
        <v>172</v>
      </c>
      <c r="B20" s="217">
        <v>9140</v>
      </c>
      <c r="C20" s="217"/>
      <c r="D20" s="217">
        <v>10500</v>
      </c>
      <c r="E20" s="217"/>
      <c r="F20" s="217">
        <v>9690</v>
      </c>
      <c r="G20" s="217"/>
      <c r="H20" s="217">
        <v>8140</v>
      </c>
      <c r="I20" s="217"/>
      <c r="J20" s="217">
        <v>6770</v>
      </c>
      <c r="K20" s="193"/>
      <c r="L20" s="141"/>
    </row>
    <row r="21" spans="1:12" x14ac:dyDescent="0.25">
      <c r="A21" s="228" t="s">
        <v>121</v>
      </c>
      <c r="B21" s="217">
        <v>3620</v>
      </c>
      <c r="C21" s="217"/>
      <c r="D21" s="217">
        <v>3520</v>
      </c>
      <c r="E21" s="217"/>
      <c r="F21" s="217">
        <v>3480</v>
      </c>
      <c r="G21" s="217"/>
      <c r="H21" s="217">
        <v>3180</v>
      </c>
      <c r="I21" s="217"/>
      <c r="J21" s="217">
        <v>3020</v>
      </c>
      <c r="K21" s="160"/>
      <c r="L21" s="141" t="s">
        <v>522</v>
      </c>
    </row>
    <row r="22" spans="1:12" x14ac:dyDescent="0.25">
      <c r="A22" s="228" t="s">
        <v>173</v>
      </c>
      <c r="B22" s="217">
        <v>740</v>
      </c>
      <c r="C22" s="217"/>
      <c r="D22" s="217">
        <v>459</v>
      </c>
      <c r="E22" s="217"/>
      <c r="F22" s="217">
        <v>305</v>
      </c>
      <c r="G22" s="217"/>
      <c r="H22" s="217">
        <v>366</v>
      </c>
      <c r="I22" s="217"/>
      <c r="J22" s="217">
        <v>385</v>
      </c>
      <c r="K22" s="193"/>
      <c r="L22" s="141"/>
    </row>
    <row r="23" spans="1:12" x14ac:dyDescent="0.25">
      <c r="A23" s="228" t="s">
        <v>174</v>
      </c>
      <c r="B23" s="217">
        <v>6370</v>
      </c>
      <c r="C23" s="217"/>
      <c r="D23" s="217">
        <v>7260</v>
      </c>
      <c r="E23" s="217"/>
      <c r="F23" s="217">
        <v>5920</v>
      </c>
      <c r="G23" s="217"/>
      <c r="H23" s="217">
        <v>7050</v>
      </c>
      <c r="I23" s="217"/>
      <c r="J23" s="217">
        <v>4750</v>
      </c>
      <c r="K23" s="160"/>
      <c r="L23" s="141"/>
    </row>
    <row r="24" spans="1:12" s="59" customFormat="1" x14ac:dyDescent="0.25">
      <c r="A24" s="231" t="s">
        <v>274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94"/>
    </row>
    <row r="25" spans="1:12" x14ac:dyDescent="0.25">
      <c r="A25" s="231" t="s">
        <v>275</v>
      </c>
      <c r="B25" s="138" t="s">
        <v>22</v>
      </c>
      <c r="C25" s="232">
        <f>3870/B23</f>
        <v>0.60753532182103609</v>
      </c>
      <c r="D25" s="138" t="s">
        <v>22</v>
      </c>
      <c r="E25" s="232">
        <f>5070/D23</f>
        <v>0.69834710743801653</v>
      </c>
      <c r="F25" s="138" t="s">
        <v>22</v>
      </c>
      <c r="G25" s="232">
        <f>3770/F23</f>
        <v>0.63682432432432434</v>
      </c>
      <c r="H25" s="138" t="s">
        <v>22</v>
      </c>
      <c r="I25" s="232">
        <f>5190/H23</f>
        <v>0.7361702127659574</v>
      </c>
      <c r="J25" s="138" t="s">
        <v>22</v>
      </c>
      <c r="K25" s="232">
        <f>3040/J23</f>
        <v>0.64</v>
      </c>
      <c r="L25" s="141"/>
    </row>
    <row r="26" spans="1:12" x14ac:dyDescent="0.25">
      <c r="A26" s="231" t="s">
        <v>32</v>
      </c>
      <c r="B26" s="138" t="s">
        <v>73</v>
      </c>
      <c r="C26" s="232">
        <f>900/B23</f>
        <v>0.14128728414442701</v>
      </c>
      <c r="D26" s="138" t="s">
        <v>44</v>
      </c>
      <c r="E26" s="232">
        <f>846/D23</f>
        <v>0.11652892561983472</v>
      </c>
      <c r="F26" s="138" t="s">
        <v>73</v>
      </c>
      <c r="G26" s="232">
        <f>648/F23</f>
        <v>0.10945945945945947</v>
      </c>
      <c r="H26" s="138" t="s">
        <v>73</v>
      </c>
      <c r="I26" s="232">
        <f>865/H23</f>
        <v>0.1226950354609929</v>
      </c>
      <c r="J26" s="138" t="s">
        <v>73</v>
      </c>
      <c r="K26" s="232">
        <f>1170/J23</f>
        <v>0.24631578947368421</v>
      </c>
      <c r="L26" s="141"/>
    </row>
    <row r="27" spans="1:12" x14ac:dyDescent="0.25">
      <c r="A27" s="231" t="s">
        <v>33</v>
      </c>
      <c r="B27" s="138" t="s">
        <v>58</v>
      </c>
      <c r="C27" s="232">
        <f>701/B23</f>
        <v>0.11004709576138147</v>
      </c>
      <c r="D27" s="138" t="s">
        <v>73</v>
      </c>
      <c r="E27" s="232">
        <f>800/D23</f>
        <v>0.11019283746556474</v>
      </c>
      <c r="F27" s="138" t="s">
        <v>58</v>
      </c>
      <c r="G27" s="232">
        <f>613/F23</f>
        <v>0.10354729729729729</v>
      </c>
      <c r="H27" s="138" t="s">
        <v>44</v>
      </c>
      <c r="I27" s="232">
        <f>433/H23</f>
        <v>6.1418439716312057E-2</v>
      </c>
      <c r="J27" s="138" t="s">
        <v>44</v>
      </c>
      <c r="K27" s="232">
        <f>212/J23</f>
        <v>4.4631578947368418E-2</v>
      </c>
      <c r="L27" s="141"/>
    </row>
    <row r="28" spans="1:12" x14ac:dyDescent="0.25">
      <c r="A28" s="165"/>
      <c r="B28" s="141"/>
      <c r="C28" s="262">
        <f>SUM(C25:C27)</f>
        <v>0.85886970172684463</v>
      </c>
      <c r="D28" s="138"/>
      <c r="E28" s="262">
        <f>SUM(E25:E27)</f>
        <v>0.92506887052341602</v>
      </c>
      <c r="F28" s="138"/>
      <c r="G28" s="262">
        <f>SUM(G25:G27)</f>
        <v>0.84983108108108107</v>
      </c>
      <c r="H28" s="138"/>
      <c r="I28" s="262">
        <f>SUM(I25:I27)</f>
        <v>0.92028368794326232</v>
      </c>
      <c r="J28" s="141"/>
      <c r="K28" s="262">
        <f>SUM(K25:K27)</f>
        <v>0.93094736842105263</v>
      </c>
      <c r="L28" s="141"/>
    </row>
    <row r="29" spans="1:12" x14ac:dyDescent="0.25">
      <c r="A29" s="229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1:12" x14ac:dyDescent="0.25">
      <c r="A30" s="165" t="s">
        <v>179</v>
      </c>
      <c r="B30" s="208">
        <v>2005</v>
      </c>
      <c r="C30" s="208" t="s">
        <v>272</v>
      </c>
      <c r="D30" s="208">
        <v>2006</v>
      </c>
      <c r="E30" s="208" t="s">
        <v>272</v>
      </c>
      <c r="F30" s="208">
        <v>2007</v>
      </c>
      <c r="G30" s="208" t="s">
        <v>272</v>
      </c>
      <c r="H30" s="208">
        <v>2008</v>
      </c>
      <c r="I30" s="208" t="s">
        <v>272</v>
      </c>
      <c r="J30" s="208">
        <v>2009</v>
      </c>
      <c r="K30" s="208" t="s">
        <v>272</v>
      </c>
      <c r="L30" s="208" t="s">
        <v>273</v>
      </c>
    </row>
    <row r="31" spans="1:12" x14ac:dyDescent="0.25">
      <c r="A31" s="228" t="s">
        <v>172</v>
      </c>
      <c r="B31" s="217">
        <v>2390</v>
      </c>
      <c r="C31" s="217"/>
      <c r="D31" s="217">
        <v>1960</v>
      </c>
      <c r="E31" s="217"/>
      <c r="F31" s="217">
        <v>2630</v>
      </c>
      <c r="G31" s="217"/>
      <c r="H31" s="217">
        <v>1090</v>
      </c>
      <c r="I31" s="217"/>
      <c r="J31" s="217">
        <v>820</v>
      </c>
      <c r="K31" s="141"/>
      <c r="L31" s="141"/>
    </row>
    <row r="32" spans="1:12" x14ac:dyDescent="0.25">
      <c r="A32" s="228" t="s">
        <v>121</v>
      </c>
      <c r="B32" s="224" t="s">
        <v>262</v>
      </c>
      <c r="C32" s="217"/>
      <c r="D32" s="224" t="s">
        <v>262</v>
      </c>
      <c r="E32" s="217"/>
      <c r="F32" s="224" t="s">
        <v>262</v>
      </c>
      <c r="G32" s="217"/>
      <c r="H32" s="224" t="s">
        <v>262</v>
      </c>
      <c r="I32" s="217"/>
      <c r="J32" s="224" t="s">
        <v>262</v>
      </c>
      <c r="K32" s="160"/>
      <c r="L32" s="141"/>
    </row>
    <row r="33" spans="1:12" x14ac:dyDescent="0.25">
      <c r="A33" s="228" t="s">
        <v>173</v>
      </c>
      <c r="B33" s="217">
        <v>142</v>
      </c>
      <c r="C33" s="217"/>
      <c r="D33" s="217">
        <v>311</v>
      </c>
      <c r="E33" s="217"/>
      <c r="F33" s="217">
        <v>421</v>
      </c>
      <c r="G33" s="217"/>
      <c r="H33" s="217">
        <v>375</v>
      </c>
      <c r="I33" s="217"/>
      <c r="J33" s="217">
        <v>397</v>
      </c>
      <c r="K33" s="141"/>
      <c r="L33" s="141"/>
    </row>
    <row r="34" spans="1:12" x14ac:dyDescent="0.25">
      <c r="A34" s="228" t="s">
        <v>174</v>
      </c>
      <c r="B34" s="217">
        <v>2530</v>
      </c>
      <c r="C34" s="217"/>
      <c r="D34" s="217">
        <v>2300</v>
      </c>
      <c r="E34" s="217"/>
      <c r="F34" s="217">
        <v>3070</v>
      </c>
      <c r="G34" s="217"/>
      <c r="H34" s="217">
        <v>1930</v>
      </c>
      <c r="I34" s="217"/>
      <c r="J34" s="217">
        <v>1250</v>
      </c>
      <c r="K34" s="160"/>
      <c r="L34" s="141"/>
    </row>
    <row r="35" spans="1:12" s="59" customFormat="1" x14ac:dyDescent="0.25">
      <c r="A35" s="231" t="s">
        <v>274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94"/>
    </row>
    <row r="36" spans="1:12" x14ac:dyDescent="0.25">
      <c r="A36" s="229"/>
      <c r="B36" s="138" t="s">
        <v>58</v>
      </c>
      <c r="C36" s="232">
        <f>1050/B34</f>
        <v>0.41501976284584979</v>
      </c>
      <c r="D36" s="138" t="s">
        <v>58</v>
      </c>
      <c r="E36" s="232">
        <f>876/D34</f>
        <v>0.38086956521739129</v>
      </c>
      <c r="F36" s="138" t="s">
        <v>178</v>
      </c>
      <c r="G36" s="232">
        <f>1110/F34</f>
        <v>0.36156351791530944</v>
      </c>
      <c r="H36" s="138" t="s">
        <v>22</v>
      </c>
      <c r="I36" s="232">
        <f>998/H34</f>
        <v>0.51709844559585494</v>
      </c>
      <c r="J36" s="138" t="s">
        <v>22</v>
      </c>
      <c r="K36" s="232">
        <f>554/J34</f>
        <v>0.44319999999999998</v>
      </c>
      <c r="L36" s="141"/>
    </row>
    <row r="37" spans="1:12" x14ac:dyDescent="0.25">
      <c r="A37" s="229"/>
      <c r="B37" s="138" t="s">
        <v>22</v>
      </c>
      <c r="C37" s="232">
        <f>667/B34</f>
        <v>0.26363636363636361</v>
      </c>
      <c r="D37" s="138" t="s">
        <v>73</v>
      </c>
      <c r="E37" s="232">
        <f>552/D34</f>
        <v>0.24</v>
      </c>
      <c r="F37" s="138" t="s">
        <v>58</v>
      </c>
      <c r="G37" s="232">
        <f>1020/3070</f>
        <v>0.33224755700325731</v>
      </c>
      <c r="H37" s="138" t="s">
        <v>58</v>
      </c>
      <c r="I37" s="232">
        <f>509/H34</f>
        <v>0.26373056994818656</v>
      </c>
      <c r="J37" s="138" t="s">
        <v>58</v>
      </c>
      <c r="K37" s="232">
        <f>450/J34</f>
        <v>0.36</v>
      </c>
      <c r="L37" s="141"/>
    </row>
    <row r="38" spans="1:12" x14ac:dyDescent="0.25">
      <c r="A38" s="229"/>
      <c r="B38" s="138" t="s">
        <v>73</v>
      </c>
      <c r="C38" s="232">
        <f>480/B34</f>
        <v>0.18972332015810275</v>
      </c>
      <c r="D38" s="138" t="s">
        <v>178</v>
      </c>
      <c r="E38" s="232">
        <f>406/D34</f>
        <v>0.17652173913043478</v>
      </c>
      <c r="F38" s="138" t="s">
        <v>22</v>
      </c>
      <c r="G38" s="232">
        <f>437/F34</f>
        <v>0.14234527687296417</v>
      </c>
      <c r="H38" s="138" t="s">
        <v>178</v>
      </c>
      <c r="I38" s="232">
        <f>186/H34</f>
        <v>9.6373056994818657E-2</v>
      </c>
      <c r="J38" s="138" t="s">
        <v>289</v>
      </c>
      <c r="K38" s="232">
        <f>75.1/J34</f>
        <v>6.0079999999999995E-2</v>
      </c>
      <c r="L38" s="141"/>
    </row>
    <row r="39" spans="1:12" x14ac:dyDescent="0.25">
      <c r="A39" s="165"/>
      <c r="B39" s="141"/>
      <c r="C39" s="262">
        <f>SUM(C36:C38)</f>
        <v>0.86837944664031619</v>
      </c>
      <c r="D39" s="141"/>
      <c r="E39" s="262">
        <f>SUM(E36:E38)</f>
        <v>0.79739130434782601</v>
      </c>
      <c r="F39" s="141"/>
      <c r="G39" s="262">
        <f>SUM(G36:G38)</f>
        <v>0.83615635179153092</v>
      </c>
      <c r="H39" s="141"/>
      <c r="I39" s="262">
        <f>SUM(I36:I38)</f>
        <v>0.87720207253886018</v>
      </c>
      <c r="J39" s="141"/>
      <c r="K39" s="262">
        <f>SUM(K36:K38)</f>
        <v>0.86327999999999994</v>
      </c>
      <c r="L39" s="141"/>
    </row>
    <row r="40" spans="1:12" x14ac:dyDescent="0.25">
      <c r="A40" s="165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</row>
    <row r="41" spans="1:12" x14ac:dyDescent="0.25">
      <c r="A41" s="165" t="s">
        <v>180</v>
      </c>
      <c r="B41" s="208">
        <v>2005</v>
      </c>
      <c r="C41" s="208" t="s">
        <v>272</v>
      </c>
      <c r="D41" s="208">
        <v>2006</v>
      </c>
      <c r="E41" s="208" t="s">
        <v>272</v>
      </c>
      <c r="F41" s="208">
        <v>2007</v>
      </c>
      <c r="G41" s="208" t="s">
        <v>272</v>
      </c>
      <c r="H41" s="208">
        <v>2008</v>
      </c>
      <c r="I41" s="208" t="s">
        <v>272</v>
      </c>
      <c r="J41" s="208">
        <v>2009</v>
      </c>
      <c r="K41" s="208" t="s">
        <v>272</v>
      </c>
      <c r="L41" s="208" t="s">
        <v>273</v>
      </c>
    </row>
    <row r="42" spans="1:12" x14ac:dyDescent="0.25">
      <c r="A42" s="228" t="s">
        <v>172</v>
      </c>
      <c r="B42" s="217" t="s">
        <v>165</v>
      </c>
      <c r="C42" s="217"/>
      <c r="D42" s="217" t="s">
        <v>165</v>
      </c>
      <c r="E42" s="217"/>
      <c r="F42" s="217" t="s">
        <v>165</v>
      </c>
      <c r="G42" s="217"/>
      <c r="H42" s="217" t="s">
        <v>165</v>
      </c>
      <c r="I42" s="217"/>
      <c r="J42" s="217" t="s">
        <v>165</v>
      </c>
      <c r="K42" s="141"/>
      <c r="L42" s="141"/>
    </row>
    <row r="43" spans="1:12" x14ac:dyDescent="0.25">
      <c r="A43" s="228" t="s">
        <v>121</v>
      </c>
      <c r="B43" s="217" t="s">
        <v>165</v>
      </c>
      <c r="C43" s="217"/>
      <c r="D43" s="217" t="s">
        <v>165</v>
      </c>
      <c r="E43" s="217"/>
      <c r="F43" s="217" t="s">
        <v>165</v>
      </c>
      <c r="G43" s="217"/>
      <c r="H43" s="217" t="s">
        <v>165</v>
      </c>
      <c r="I43" s="217"/>
      <c r="J43" s="217" t="s">
        <v>165</v>
      </c>
      <c r="K43" s="141"/>
      <c r="L43" s="141"/>
    </row>
    <row r="44" spans="1:12" x14ac:dyDescent="0.25">
      <c r="A44" s="228" t="s">
        <v>173</v>
      </c>
      <c r="B44" s="217">
        <v>183</v>
      </c>
      <c r="C44" s="217"/>
      <c r="D44" s="217">
        <v>221</v>
      </c>
      <c r="E44" s="217"/>
      <c r="F44" s="217">
        <v>248</v>
      </c>
      <c r="G44" s="217"/>
      <c r="H44" s="217">
        <v>303</v>
      </c>
      <c r="I44" s="217"/>
      <c r="J44" s="217">
        <v>171</v>
      </c>
      <c r="K44" s="141"/>
      <c r="L44" s="141" t="s">
        <v>523</v>
      </c>
    </row>
    <row r="45" spans="1:12" x14ac:dyDescent="0.25">
      <c r="A45" s="228" t="s">
        <v>174</v>
      </c>
      <c r="B45" s="217">
        <v>51.9</v>
      </c>
      <c r="C45" s="217"/>
      <c r="D45" s="217">
        <v>85.3</v>
      </c>
      <c r="E45" s="217"/>
      <c r="F45" s="217">
        <v>67</v>
      </c>
      <c r="G45" s="217"/>
      <c r="H45" s="217">
        <v>50.1</v>
      </c>
      <c r="I45" s="217"/>
      <c r="J45" s="217">
        <v>36.1</v>
      </c>
      <c r="K45" s="141"/>
      <c r="L45" s="141" t="s">
        <v>523</v>
      </c>
    </row>
    <row r="46" spans="1:12" s="59" customFormat="1" x14ac:dyDescent="0.25">
      <c r="A46" s="231" t="s">
        <v>274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94"/>
    </row>
    <row r="47" spans="1:12" x14ac:dyDescent="0.25">
      <c r="A47" s="229"/>
      <c r="B47" s="138" t="s">
        <v>71</v>
      </c>
      <c r="C47" s="232">
        <f>23.9/B45</f>
        <v>0.46050096339113678</v>
      </c>
      <c r="D47" s="138" t="s">
        <v>71</v>
      </c>
      <c r="E47" s="232">
        <f>47/D45</f>
        <v>0.55099648300117232</v>
      </c>
      <c r="F47" s="138" t="s">
        <v>71</v>
      </c>
      <c r="G47" s="232">
        <f>43/F45</f>
        <v>0.64179104477611937</v>
      </c>
      <c r="H47" s="138" t="s">
        <v>71</v>
      </c>
      <c r="I47" s="232">
        <f>35.9/H45</f>
        <v>0.71656686626746502</v>
      </c>
      <c r="J47" s="138" t="s">
        <v>71</v>
      </c>
      <c r="K47" s="232">
        <f>18.3/J45</f>
        <v>0.50692520775623273</v>
      </c>
      <c r="L47" s="141"/>
    </row>
    <row r="48" spans="1:12" x14ac:dyDescent="0.25">
      <c r="A48" s="229"/>
      <c r="B48" s="138" t="s">
        <v>78</v>
      </c>
      <c r="C48" s="232">
        <f>15.1/B45</f>
        <v>0.29094412331406549</v>
      </c>
      <c r="D48" s="138" t="s">
        <v>78</v>
      </c>
      <c r="E48" s="232">
        <f>20.6/D45</f>
        <v>0.2415005861664713</v>
      </c>
      <c r="F48" s="138" t="s">
        <v>78</v>
      </c>
      <c r="G48" s="232">
        <f>12.8/F45</f>
        <v>0.19104477611940299</v>
      </c>
      <c r="H48" s="138" t="s">
        <v>78</v>
      </c>
      <c r="I48" s="232">
        <f>6.65/H45</f>
        <v>0.13273453093812376</v>
      </c>
      <c r="J48" s="138" t="s">
        <v>78</v>
      </c>
      <c r="K48" s="232">
        <f>6.55/J45</f>
        <v>0.18144044321329639</v>
      </c>
      <c r="L48" s="141"/>
    </row>
    <row r="49" spans="1:12" x14ac:dyDescent="0.25">
      <c r="A49" s="229"/>
      <c r="B49" s="138" t="s">
        <v>44</v>
      </c>
      <c r="C49" s="232">
        <f>4.61/B45</f>
        <v>8.8824662813102126E-2</v>
      </c>
      <c r="D49" s="138" t="s">
        <v>23</v>
      </c>
      <c r="E49" s="232">
        <f>7.6/D45</f>
        <v>8.9097303634232114E-2</v>
      </c>
      <c r="F49" s="138" t="s">
        <v>23</v>
      </c>
      <c r="G49" s="232">
        <f>7.21/F45</f>
        <v>0.10761194029850746</v>
      </c>
      <c r="H49" s="138" t="s">
        <v>23</v>
      </c>
      <c r="I49" s="232">
        <f>2.48/H45</f>
        <v>4.9500998003992012E-2</v>
      </c>
      <c r="J49" s="138" t="s">
        <v>24</v>
      </c>
      <c r="K49" s="232">
        <f>4.38/J45</f>
        <v>0.12132963988919666</v>
      </c>
      <c r="L49" s="141"/>
    </row>
    <row r="50" spans="1:12" x14ac:dyDescent="0.25">
      <c r="A50" s="165"/>
      <c r="B50" s="141"/>
      <c r="C50" s="262">
        <f>SUM(C47:C49)</f>
        <v>0.84026974951830435</v>
      </c>
      <c r="D50" s="141"/>
      <c r="E50" s="262">
        <f>SUM(E47:E49)</f>
        <v>0.88159437280187569</v>
      </c>
      <c r="F50" s="141"/>
      <c r="G50" s="262">
        <f>SUM(G47:G49)</f>
        <v>0.94044776119402984</v>
      </c>
      <c r="H50" s="141"/>
      <c r="I50" s="262">
        <f>SUM(I47:I49)</f>
        <v>0.89880239520958072</v>
      </c>
      <c r="J50" s="141"/>
      <c r="K50" s="262">
        <f>SUM(K47:K49)</f>
        <v>0.80969529085872571</v>
      </c>
      <c r="L50" s="141"/>
    </row>
    <row r="51" spans="1:12" x14ac:dyDescent="0.25">
      <c r="A51" s="229"/>
      <c r="B51" s="141"/>
      <c r="C51" s="141"/>
      <c r="D51" s="141"/>
      <c r="E51" s="141"/>
      <c r="F51" s="141"/>
      <c r="G51" s="141"/>
      <c r="H51" s="141"/>
      <c r="I51" s="232"/>
      <c r="J51" s="141"/>
      <c r="K51" s="232"/>
      <c r="L51" s="141"/>
    </row>
    <row r="52" spans="1:12" x14ac:dyDescent="0.25">
      <c r="A52" s="165" t="s">
        <v>181</v>
      </c>
      <c r="B52" s="208">
        <v>2005</v>
      </c>
      <c r="C52" s="208" t="s">
        <v>272</v>
      </c>
      <c r="D52" s="208">
        <v>2006</v>
      </c>
      <c r="E52" s="208" t="s">
        <v>272</v>
      </c>
      <c r="F52" s="208">
        <v>2007</v>
      </c>
      <c r="G52" s="208" t="s">
        <v>272</v>
      </c>
      <c r="H52" s="208">
        <v>2008</v>
      </c>
      <c r="I52" s="208" t="s">
        <v>272</v>
      </c>
      <c r="J52" s="208">
        <v>2009</v>
      </c>
      <c r="K52" s="208" t="s">
        <v>272</v>
      </c>
      <c r="L52" s="208" t="s">
        <v>273</v>
      </c>
    </row>
    <row r="53" spans="1:12" x14ac:dyDescent="0.25">
      <c r="A53" s="228" t="s">
        <v>172</v>
      </c>
      <c r="B53" s="217">
        <v>2060</v>
      </c>
      <c r="C53" s="217"/>
      <c r="D53" s="217">
        <v>530</v>
      </c>
      <c r="E53" s="217"/>
      <c r="F53" s="217">
        <v>594</v>
      </c>
      <c r="G53" s="217"/>
      <c r="H53" s="217">
        <v>528</v>
      </c>
      <c r="I53" s="217"/>
      <c r="J53" s="217">
        <v>199</v>
      </c>
      <c r="K53" s="141"/>
      <c r="L53" s="141" t="s">
        <v>519</v>
      </c>
    </row>
    <row r="54" spans="1:12" x14ac:dyDescent="0.25">
      <c r="A54" s="228" t="s">
        <v>121</v>
      </c>
      <c r="B54" s="217">
        <v>1470</v>
      </c>
      <c r="C54" s="217"/>
      <c r="D54" s="217">
        <v>723</v>
      </c>
      <c r="E54" s="217"/>
      <c r="F54" s="217">
        <v>735</v>
      </c>
      <c r="G54" s="217"/>
      <c r="H54" s="217">
        <v>777</v>
      </c>
      <c r="I54" s="217"/>
      <c r="J54" s="217">
        <v>633</v>
      </c>
      <c r="K54" s="141"/>
      <c r="L54" s="141"/>
    </row>
    <row r="55" spans="1:12" x14ac:dyDescent="0.25">
      <c r="A55" s="228" t="s">
        <v>173</v>
      </c>
      <c r="B55" s="217">
        <v>686</v>
      </c>
      <c r="C55" s="217"/>
      <c r="D55" s="217">
        <v>483</v>
      </c>
      <c r="E55" s="217"/>
      <c r="F55" s="217">
        <v>424</v>
      </c>
      <c r="G55" s="217"/>
      <c r="H55" s="217">
        <v>421</v>
      </c>
      <c r="I55" s="217"/>
      <c r="J55" s="217">
        <v>661</v>
      </c>
      <c r="K55" s="141"/>
      <c r="L55" s="141"/>
    </row>
    <row r="56" spans="1:12" x14ac:dyDescent="0.25">
      <c r="A56" s="228" t="s">
        <v>174</v>
      </c>
      <c r="B56" s="217">
        <v>288</v>
      </c>
      <c r="C56" s="217"/>
      <c r="D56" s="217">
        <v>180</v>
      </c>
      <c r="E56" s="217"/>
      <c r="F56" s="217">
        <v>316</v>
      </c>
      <c r="G56" s="217"/>
      <c r="H56" s="217">
        <v>197</v>
      </c>
      <c r="I56" s="217"/>
      <c r="J56" s="217">
        <v>122</v>
      </c>
      <c r="K56" s="141"/>
      <c r="L56" s="141"/>
    </row>
    <row r="57" spans="1:12" s="59" customFormat="1" x14ac:dyDescent="0.25">
      <c r="A57" s="231" t="s">
        <v>274</v>
      </c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94"/>
    </row>
    <row r="58" spans="1:12" x14ac:dyDescent="0.25">
      <c r="A58" s="229"/>
      <c r="B58" s="138" t="s">
        <v>73</v>
      </c>
      <c r="C58" s="232">
        <f>97/B56</f>
        <v>0.33680555555555558</v>
      </c>
      <c r="D58" s="138" t="s">
        <v>27</v>
      </c>
      <c r="E58" s="232">
        <f>88/D56</f>
        <v>0.48888888888888887</v>
      </c>
      <c r="F58" s="138" t="s">
        <v>73</v>
      </c>
      <c r="G58" s="232">
        <f>193/F56</f>
        <v>0.61075949367088611</v>
      </c>
      <c r="H58" s="138" t="s">
        <v>38</v>
      </c>
      <c r="I58" s="232">
        <f>63.4/H56</f>
        <v>0.32182741116751268</v>
      </c>
      <c r="J58" s="138" t="s">
        <v>27</v>
      </c>
      <c r="K58" s="232">
        <f>38/J56</f>
        <v>0.31147540983606559</v>
      </c>
      <c r="L58" s="141"/>
    </row>
    <row r="59" spans="1:12" x14ac:dyDescent="0.25">
      <c r="A59" s="229"/>
      <c r="B59" s="138" t="s">
        <v>27</v>
      </c>
      <c r="C59" s="232">
        <f>53/B56</f>
        <v>0.18402777777777779</v>
      </c>
      <c r="D59" s="138" t="s">
        <v>38</v>
      </c>
      <c r="E59" s="232">
        <f>34.2/D56</f>
        <v>0.19</v>
      </c>
      <c r="F59" s="138" t="s">
        <v>27</v>
      </c>
      <c r="G59" s="232">
        <f>34/F56</f>
        <v>0.10759493670886076</v>
      </c>
      <c r="H59" s="138" t="s">
        <v>27</v>
      </c>
      <c r="I59" s="232">
        <f>51/H56</f>
        <v>0.25888324873096447</v>
      </c>
      <c r="J59" s="138" t="s">
        <v>44</v>
      </c>
      <c r="K59" s="232">
        <f>24/J56</f>
        <v>0.19672131147540983</v>
      </c>
      <c r="L59" s="141"/>
    </row>
    <row r="60" spans="1:12" x14ac:dyDescent="0.25">
      <c r="A60" s="229"/>
      <c r="B60" s="138" t="s">
        <v>38</v>
      </c>
      <c r="C60" s="232">
        <f>41.4/B56</f>
        <v>0.14374999999999999</v>
      </c>
      <c r="D60" s="138" t="s">
        <v>49</v>
      </c>
      <c r="E60" s="232">
        <f>23/D56</f>
        <v>0.12777777777777777</v>
      </c>
      <c r="F60" s="138" t="s">
        <v>38</v>
      </c>
      <c r="G60" s="232">
        <f>25.6/F56</f>
        <v>8.1012658227848103E-2</v>
      </c>
      <c r="H60" s="138" t="s">
        <v>73</v>
      </c>
      <c r="I60" s="232">
        <f>40/H56</f>
        <v>0.20304568527918782</v>
      </c>
      <c r="J60" s="138" t="s">
        <v>38</v>
      </c>
      <c r="K60" s="232">
        <f>21.7/J56</f>
        <v>0.17786885245901637</v>
      </c>
      <c r="L60" s="141"/>
    </row>
    <row r="61" spans="1:12" x14ac:dyDescent="0.25">
      <c r="A61" s="165"/>
      <c r="B61" s="141"/>
      <c r="C61" s="262">
        <f>SUM(C58:C60)</f>
        <v>0.6645833333333333</v>
      </c>
      <c r="D61" s="141"/>
      <c r="E61" s="262">
        <f>SUM(E58:E60)</f>
        <v>0.80666666666666664</v>
      </c>
      <c r="F61" s="141"/>
      <c r="G61" s="262">
        <f>SUM(G58:G60)</f>
        <v>0.79936708860759498</v>
      </c>
      <c r="H61" s="141"/>
      <c r="I61" s="262">
        <f>SUM(I58:I60)</f>
        <v>0.78375634517766501</v>
      </c>
      <c r="J61" s="141"/>
      <c r="K61" s="262">
        <f>SUM(K58:K60)</f>
        <v>0.68606557377049182</v>
      </c>
      <c r="L61" s="141"/>
    </row>
    <row r="62" spans="1:12" x14ac:dyDescent="0.25">
      <c r="A62" s="165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</row>
    <row r="63" spans="1:12" x14ac:dyDescent="0.25">
      <c r="A63" s="165" t="s">
        <v>251</v>
      </c>
      <c r="B63" s="208">
        <v>2005</v>
      </c>
      <c r="C63" s="208" t="s">
        <v>272</v>
      </c>
      <c r="D63" s="208">
        <v>2006</v>
      </c>
      <c r="E63" s="208" t="s">
        <v>272</v>
      </c>
      <c r="F63" s="208">
        <v>2007</v>
      </c>
      <c r="G63" s="208" t="s">
        <v>272</v>
      </c>
      <c r="H63" s="208">
        <v>2008</v>
      </c>
      <c r="I63" s="208" t="s">
        <v>272</v>
      </c>
      <c r="J63" s="208">
        <v>2009</v>
      </c>
      <c r="K63" s="208" t="s">
        <v>272</v>
      </c>
      <c r="L63" s="208" t="s">
        <v>273</v>
      </c>
    </row>
    <row r="64" spans="1:12" x14ac:dyDescent="0.25">
      <c r="A64" s="228" t="s">
        <v>249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</row>
    <row r="65" spans="1:12" x14ac:dyDescent="0.25">
      <c r="A65" s="229" t="s">
        <v>172</v>
      </c>
      <c r="B65" s="217">
        <v>548000</v>
      </c>
      <c r="C65" s="217"/>
      <c r="D65" s="217">
        <v>589000</v>
      </c>
      <c r="E65" s="217"/>
      <c r="F65" s="217">
        <v>493000</v>
      </c>
      <c r="G65" s="217"/>
      <c r="H65" s="217">
        <v>432000</v>
      </c>
      <c r="I65" s="217"/>
      <c r="J65" s="217">
        <v>160000</v>
      </c>
      <c r="K65" s="141"/>
      <c r="L65" s="141" t="s">
        <v>519</v>
      </c>
    </row>
    <row r="66" spans="1:12" x14ac:dyDescent="0.25">
      <c r="A66" s="229" t="s">
        <v>121</v>
      </c>
      <c r="B66" s="217" t="s">
        <v>165</v>
      </c>
      <c r="C66" s="217"/>
      <c r="D66" s="217" t="s">
        <v>165</v>
      </c>
      <c r="E66" s="217"/>
      <c r="F66" s="217" t="s">
        <v>165</v>
      </c>
      <c r="G66" s="217"/>
      <c r="H66" s="217" t="s">
        <v>165</v>
      </c>
      <c r="I66" s="217"/>
      <c r="J66" s="217" t="s">
        <v>165</v>
      </c>
      <c r="K66" s="141"/>
      <c r="L66" s="141"/>
    </row>
    <row r="67" spans="1:12" x14ac:dyDescent="0.25">
      <c r="A67" s="229" t="s">
        <v>173</v>
      </c>
      <c r="B67" s="217"/>
      <c r="C67" s="217"/>
      <c r="D67" s="217"/>
      <c r="E67" s="217"/>
      <c r="F67" s="217"/>
      <c r="G67" s="217"/>
      <c r="H67" s="217">
        <v>998000</v>
      </c>
      <c r="I67" s="217"/>
      <c r="J67" s="217">
        <v>411000</v>
      </c>
      <c r="K67" s="141"/>
      <c r="L67" s="141" t="s">
        <v>524</v>
      </c>
    </row>
    <row r="68" spans="1:12" x14ac:dyDescent="0.25">
      <c r="A68" s="229" t="s">
        <v>174</v>
      </c>
      <c r="B68" s="217">
        <v>264000</v>
      </c>
      <c r="C68" s="217"/>
      <c r="D68" s="217">
        <v>249000</v>
      </c>
      <c r="E68" s="217"/>
      <c r="F68" s="217">
        <v>242000</v>
      </c>
      <c r="G68" s="217"/>
      <c r="H68" s="217">
        <v>297000</v>
      </c>
      <c r="I68" s="217"/>
      <c r="J68" s="217">
        <v>137000</v>
      </c>
      <c r="K68" s="141"/>
      <c r="L68" s="141" t="s">
        <v>525</v>
      </c>
    </row>
    <row r="69" spans="1:12" s="59" customFormat="1" x14ac:dyDescent="0.25">
      <c r="A69" s="231" t="s">
        <v>274</v>
      </c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94"/>
    </row>
    <row r="70" spans="1:12" x14ac:dyDescent="0.25">
      <c r="A70" s="229"/>
      <c r="B70" s="138" t="s">
        <v>34</v>
      </c>
      <c r="C70" s="141">
        <f>95600/B68</f>
        <v>0.36212121212121212</v>
      </c>
      <c r="D70" s="138" t="s">
        <v>34</v>
      </c>
      <c r="E70" s="232">
        <f>98100/D68</f>
        <v>0.39397590361445783</v>
      </c>
      <c r="F70" s="138" t="s">
        <v>34</v>
      </c>
      <c r="G70" s="232">
        <f>119000/F68</f>
        <v>0.49173553719008267</v>
      </c>
      <c r="H70" s="138" t="s">
        <v>34</v>
      </c>
      <c r="I70" s="232">
        <f>108000/H68</f>
        <v>0.36363636363636365</v>
      </c>
      <c r="J70" s="138" t="s">
        <v>34</v>
      </c>
      <c r="K70" s="232">
        <f>69800/J68</f>
        <v>0.50948905109489051</v>
      </c>
      <c r="L70" s="141"/>
    </row>
    <row r="71" spans="1:12" x14ac:dyDescent="0.25">
      <c r="A71" s="229"/>
      <c r="B71" s="138" t="s">
        <v>79</v>
      </c>
      <c r="C71" s="141">
        <f>82700/B68</f>
        <v>0.31325757575757573</v>
      </c>
      <c r="D71" s="138" t="s">
        <v>79</v>
      </c>
      <c r="E71" s="232">
        <f>71100/D68</f>
        <v>0.28554216867469878</v>
      </c>
      <c r="F71" s="138" t="s">
        <v>79</v>
      </c>
      <c r="G71" s="232">
        <f>77700/F68</f>
        <v>0.32107438016528927</v>
      </c>
      <c r="H71" s="138" t="s">
        <v>79</v>
      </c>
      <c r="I71" s="232">
        <f>80700/H68</f>
        <v>0.27171717171717169</v>
      </c>
      <c r="J71" s="138" t="s">
        <v>79</v>
      </c>
      <c r="K71" s="232">
        <f>31300/J68</f>
        <v>0.22846715328467154</v>
      </c>
      <c r="L71" s="141"/>
    </row>
    <row r="72" spans="1:12" x14ac:dyDescent="0.25">
      <c r="A72" s="229"/>
      <c r="B72" s="138" t="s">
        <v>24</v>
      </c>
      <c r="C72" s="141">
        <f>43000/B68</f>
        <v>0.16287878787878787</v>
      </c>
      <c r="D72" s="138" t="s">
        <v>24</v>
      </c>
      <c r="E72" s="232">
        <f>37900/D68</f>
        <v>0.15220883534136545</v>
      </c>
      <c r="F72" s="138" t="s">
        <v>24</v>
      </c>
      <c r="G72" s="232">
        <f>21800/F68</f>
        <v>9.0082644628099173E-2</v>
      </c>
      <c r="H72" s="138" t="s">
        <v>24</v>
      </c>
      <c r="I72" s="232">
        <f>41500/H68</f>
        <v>0.13973063973063973</v>
      </c>
      <c r="J72" s="138" t="s">
        <v>24</v>
      </c>
      <c r="K72" s="232">
        <f>28400/J68</f>
        <v>0.2072992700729927</v>
      </c>
      <c r="L72" s="141"/>
    </row>
    <row r="73" spans="1:12" x14ac:dyDescent="0.25">
      <c r="A73" s="229"/>
      <c r="B73" s="247"/>
      <c r="C73" s="262">
        <f>SUM(C70:C72)</f>
        <v>0.83825757575757565</v>
      </c>
      <c r="D73" s="247"/>
      <c r="E73" s="262">
        <f>SUM(E70:E72)</f>
        <v>0.83172690763052204</v>
      </c>
      <c r="F73" s="247"/>
      <c r="G73" s="262">
        <f>SUM(G70:G72)</f>
        <v>0.90289256198347112</v>
      </c>
      <c r="H73" s="247"/>
      <c r="I73" s="262">
        <f>SUM(I70:I72)</f>
        <v>0.77508417508417504</v>
      </c>
      <c r="J73" s="247"/>
      <c r="K73" s="262">
        <f>SUM(K70:K72)</f>
        <v>0.94525547445255476</v>
      </c>
      <c r="L73" s="141"/>
    </row>
    <row r="74" spans="1:12" x14ac:dyDescent="0.25">
      <c r="A74" s="228" t="s">
        <v>250</v>
      </c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</row>
    <row r="75" spans="1:12" x14ac:dyDescent="0.25">
      <c r="A75" s="229" t="s">
        <v>172</v>
      </c>
      <c r="B75" s="217">
        <v>1480000</v>
      </c>
      <c r="C75" s="217"/>
      <c r="D75" s="217">
        <v>1500000</v>
      </c>
      <c r="E75" s="217"/>
      <c r="F75" s="217">
        <v>1430000</v>
      </c>
      <c r="G75" s="217"/>
      <c r="H75" s="217">
        <v>1330000</v>
      </c>
      <c r="I75" s="217"/>
      <c r="J75" s="217">
        <v>1260000</v>
      </c>
      <c r="K75" s="141"/>
      <c r="L75" s="141" t="s">
        <v>526</v>
      </c>
    </row>
    <row r="76" spans="1:12" x14ac:dyDescent="0.25">
      <c r="A76" s="229" t="s">
        <v>121</v>
      </c>
      <c r="B76" s="217">
        <v>373000</v>
      </c>
      <c r="C76" s="217"/>
      <c r="D76" s="217">
        <v>419000</v>
      </c>
      <c r="E76" s="217"/>
      <c r="F76" s="217">
        <v>360000</v>
      </c>
      <c r="G76" s="217"/>
      <c r="H76" s="217">
        <v>324000</v>
      </c>
      <c r="I76" s="217"/>
      <c r="J76" s="217">
        <v>276000</v>
      </c>
      <c r="K76" s="141"/>
      <c r="L76" s="141" t="s">
        <v>527</v>
      </c>
    </row>
    <row r="77" spans="1:12" x14ac:dyDescent="0.25">
      <c r="A77" s="229" t="s">
        <v>173</v>
      </c>
      <c r="B77" s="217">
        <v>371000</v>
      </c>
      <c r="C77" s="217"/>
      <c r="D77" s="217">
        <v>410000</v>
      </c>
      <c r="E77" s="217"/>
      <c r="F77" s="217">
        <v>476000</v>
      </c>
      <c r="G77" s="217"/>
      <c r="H77" s="217">
        <v>471000</v>
      </c>
      <c r="I77" s="217"/>
      <c r="J77" s="217">
        <v>414000</v>
      </c>
      <c r="K77" s="141"/>
      <c r="L77" s="141" t="s">
        <v>503</v>
      </c>
    </row>
    <row r="78" spans="1:12" x14ac:dyDescent="0.25">
      <c r="A78" s="229" t="s">
        <v>174</v>
      </c>
      <c r="B78" s="217">
        <v>770000</v>
      </c>
      <c r="C78" s="217"/>
      <c r="D78" s="217">
        <v>872000</v>
      </c>
      <c r="E78" s="217"/>
      <c r="F78" s="217">
        <v>809000</v>
      </c>
      <c r="G78" s="217"/>
      <c r="H78" s="217">
        <v>783000</v>
      </c>
      <c r="I78" s="217"/>
      <c r="J78" s="217">
        <v>416000</v>
      </c>
      <c r="K78" s="141"/>
      <c r="L78" s="141" t="s">
        <v>503</v>
      </c>
    </row>
    <row r="79" spans="1:12" s="59" customFormat="1" x14ac:dyDescent="0.25">
      <c r="A79" s="233" t="s">
        <v>274</v>
      </c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94"/>
    </row>
    <row r="80" spans="1:12" x14ac:dyDescent="0.25">
      <c r="A80" s="165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</row>
    <row r="81" spans="1:12" x14ac:dyDescent="0.25">
      <c r="A81" s="165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</row>
    <row r="82" spans="1:12" x14ac:dyDescent="0.25">
      <c r="A82" s="165" t="s">
        <v>183</v>
      </c>
      <c r="B82" s="208">
        <v>2005</v>
      </c>
      <c r="C82" s="208" t="s">
        <v>272</v>
      </c>
      <c r="D82" s="208">
        <v>2006</v>
      </c>
      <c r="E82" s="208" t="s">
        <v>272</v>
      </c>
      <c r="F82" s="208">
        <v>2007</v>
      </c>
      <c r="G82" s="208" t="s">
        <v>272</v>
      </c>
      <c r="H82" s="208">
        <v>2008</v>
      </c>
      <c r="I82" s="208" t="s">
        <v>272</v>
      </c>
      <c r="J82" s="208">
        <v>2009</v>
      </c>
      <c r="K82" s="208" t="s">
        <v>272</v>
      </c>
      <c r="L82" s="208" t="s">
        <v>273</v>
      </c>
    </row>
    <row r="83" spans="1:12" x14ac:dyDescent="0.25">
      <c r="A83" s="228" t="s">
        <v>172</v>
      </c>
      <c r="B83" s="224" t="s">
        <v>262</v>
      </c>
      <c r="C83" s="141"/>
      <c r="D83" s="224" t="s">
        <v>262</v>
      </c>
      <c r="E83" s="141"/>
      <c r="F83" s="224" t="s">
        <v>262</v>
      </c>
      <c r="G83" s="141"/>
      <c r="H83" s="224" t="s">
        <v>262</v>
      </c>
      <c r="I83" s="141"/>
      <c r="J83" s="224" t="s">
        <v>262</v>
      </c>
      <c r="K83" s="141"/>
      <c r="L83" s="141"/>
    </row>
    <row r="84" spans="1:12" x14ac:dyDescent="0.25">
      <c r="A84" s="229" t="s">
        <v>182</v>
      </c>
      <c r="B84" s="217">
        <v>9150</v>
      </c>
      <c r="C84" s="217"/>
      <c r="D84" s="217">
        <v>9280</v>
      </c>
      <c r="E84" s="217"/>
      <c r="F84" s="217">
        <v>9320</v>
      </c>
      <c r="G84" s="217"/>
      <c r="H84" s="217">
        <v>8810</v>
      </c>
      <c r="I84" s="217"/>
      <c r="J84" s="217">
        <v>7460</v>
      </c>
      <c r="K84" s="141"/>
      <c r="L84" s="141"/>
    </row>
    <row r="85" spans="1:12" x14ac:dyDescent="0.25">
      <c r="A85" s="229" t="s">
        <v>175</v>
      </c>
      <c r="B85" s="217">
        <v>11800</v>
      </c>
      <c r="C85" s="217"/>
      <c r="D85" s="217">
        <v>11000</v>
      </c>
      <c r="E85" s="217"/>
      <c r="F85" s="217">
        <v>9630</v>
      </c>
      <c r="G85" s="217"/>
      <c r="H85" s="217">
        <v>10100</v>
      </c>
      <c r="I85" s="217"/>
      <c r="J85" s="217">
        <v>7520</v>
      </c>
      <c r="K85" s="141"/>
      <c r="L85" s="141"/>
    </row>
    <row r="86" spans="1:12" x14ac:dyDescent="0.25">
      <c r="A86" s="228" t="s">
        <v>121</v>
      </c>
      <c r="B86" s="217"/>
      <c r="C86" s="217"/>
      <c r="D86" s="217"/>
      <c r="E86" s="217"/>
      <c r="F86" s="217"/>
      <c r="G86" s="217"/>
      <c r="H86" s="217"/>
      <c r="I86" s="217"/>
      <c r="J86" s="217"/>
      <c r="K86" s="141"/>
      <c r="L86" s="141"/>
    </row>
    <row r="87" spans="1:12" x14ac:dyDescent="0.25">
      <c r="A87" s="228" t="s">
        <v>173</v>
      </c>
      <c r="B87" s="217">
        <v>2440</v>
      </c>
      <c r="C87" s="217"/>
      <c r="D87" s="217">
        <v>2850</v>
      </c>
      <c r="E87" s="217"/>
      <c r="F87" s="217">
        <v>3100</v>
      </c>
      <c r="G87" s="217"/>
      <c r="H87" s="217">
        <v>2850</v>
      </c>
      <c r="I87" s="217"/>
      <c r="J87" s="217">
        <v>2440</v>
      </c>
      <c r="K87" s="141"/>
      <c r="L87" s="141"/>
    </row>
    <row r="88" spans="1:12" x14ac:dyDescent="0.25">
      <c r="A88" s="228" t="s">
        <v>174</v>
      </c>
      <c r="B88" s="217">
        <v>9350</v>
      </c>
      <c r="C88" s="217"/>
      <c r="D88" s="217">
        <v>9950</v>
      </c>
      <c r="E88" s="217"/>
      <c r="F88" s="217">
        <v>8960</v>
      </c>
      <c r="G88" s="217"/>
      <c r="H88" s="217">
        <v>8430</v>
      </c>
      <c r="I88" s="217"/>
      <c r="J88" s="217">
        <v>7680</v>
      </c>
      <c r="K88" s="141"/>
      <c r="L88" s="141" t="s">
        <v>184</v>
      </c>
    </row>
    <row r="89" spans="1:12" s="59" customFormat="1" x14ac:dyDescent="0.25">
      <c r="A89" s="231" t="s">
        <v>274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94"/>
    </row>
    <row r="90" spans="1:12" x14ac:dyDescent="0.25">
      <c r="A90" s="165"/>
      <c r="B90" s="138" t="s">
        <v>97</v>
      </c>
      <c r="C90" s="232">
        <f>2670/B88</f>
        <v>0.28556149732620323</v>
      </c>
      <c r="D90" s="138" t="s">
        <v>24</v>
      </c>
      <c r="E90" s="232">
        <f>2630/D88</f>
        <v>0.26432160804020099</v>
      </c>
      <c r="F90" s="138" t="s">
        <v>97</v>
      </c>
      <c r="G90" s="232">
        <f>1970/F88</f>
        <v>0.21986607142857142</v>
      </c>
      <c r="H90" s="138" t="s">
        <v>97</v>
      </c>
      <c r="I90" s="232">
        <f>1650/H88</f>
        <v>0.19572953736654805</v>
      </c>
      <c r="J90" s="138" t="s">
        <v>97</v>
      </c>
      <c r="K90" s="232">
        <f>1400/J88</f>
        <v>0.18229166666666666</v>
      </c>
      <c r="L90" s="141"/>
    </row>
    <row r="91" spans="1:12" x14ac:dyDescent="0.25">
      <c r="A91" s="165"/>
      <c r="B91" s="138" t="s">
        <v>24</v>
      </c>
      <c r="C91" s="232">
        <f>1700/B88</f>
        <v>0.18181818181818182</v>
      </c>
      <c r="D91" s="138" t="s">
        <v>97</v>
      </c>
      <c r="E91" s="232">
        <f>2230/D88</f>
        <v>0.22412060301507539</v>
      </c>
      <c r="F91" s="138" t="s">
        <v>24</v>
      </c>
      <c r="G91" s="232">
        <f>1550/F88</f>
        <v>0.17299107142857142</v>
      </c>
      <c r="H91" s="138" t="s">
        <v>22</v>
      </c>
      <c r="I91" s="232">
        <f>1360/H88</f>
        <v>0.16132858837485173</v>
      </c>
      <c r="J91" s="138" t="s">
        <v>24</v>
      </c>
      <c r="K91" s="232">
        <f>1390/J88</f>
        <v>0.18098958333333334</v>
      </c>
      <c r="L91" s="141"/>
    </row>
    <row r="92" spans="1:12" x14ac:dyDescent="0.25">
      <c r="A92" s="165"/>
      <c r="B92" s="138" t="s">
        <v>38</v>
      </c>
      <c r="C92" s="232">
        <f>818/B88</f>
        <v>8.7486631016042787E-2</v>
      </c>
      <c r="D92" s="138" t="s">
        <v>22</v>
      </c>
      <c r="E92" s="232">
        <f>1210/D88</f>
        <v>0.12160804020100502</v>
      </c>
      <c r="F92" s="138" t="s">
        <v>38</v>
      </c>
      <c r="G92" s="232">
        <f>1390/F88</f>
        <v>0.15513392857142858</v>
      </c>
      <c r="H92" s="138" t="s">
        <v>24</v>
      </c>
      <c r="I92" s="232">
        <f>851/H88</f>
        <v>0.10094899169632265</v>
      </c>
      <c r="J92" s="138" t="s">
        <v>38</v>
      </c>
      <c r="K92" s="232">
        <f>1360/J88</f>
        <v>0.17708333333333334</v>
      </c>
      <c r="L92" s="141"/>
    </row>
    <row r="93" spans="1:12" x14ac:dyDescent="0.25">
      <c r="A93" s="165"/>
      <c r="B93" s="141"/>
      <c r="C93" s="262">
        <f>SUM(C90:C92)</f>
        <v>0.55486631016042787</v>
      </c>
      <c r="D93" s="141"/>
      <c r="E93" s="262">
        <f>SUM(E90:E92)</f>
        <v>0.61005025125628143</v>
      </c>
      <c r="F93" s="141"/>
      <c r="G93" s="262">
        <f>SUM(G90:G92)</f>
        <v>0.5479910714285714</v>
      </c>
      <c r="H93" s="141"/>
      <c r="I93" s="262">
        <f>SUM(I90:I92)</f>
        <v>0.45800711743772243</v>
      </c>
      <c r="J93" s="141"/>
      <c r="K93" s="262">
        <f>SUM(K90:K92)</f>
        <v>0.54036458333333337</v>
      </c>
      <c r="L93" s="141"/>
    </row>
    <row r="94" spans="1:12" x14ac:dyDescent="0.25">
      <c r="A94" s="165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</row>
    <row r="95" spans="1:12" x14ac:dyDescent="0.25">
      <c r="A95" s="165" t="s">
        <v>252</v>
      </c>
      <c r="B95" s="208">
        <v>2005</v>
      </c>
      <c r="C95" s="208" t="s">
        <v>272</v>
      </c>
      <c r="D95" s="208">
        <v>2006</v>
      </c>
      <c r="E95" s="208" t="s">
        <v>272</v>
      </c>
      <c r="F95" s="208">
        <v>2007</v>
      </c>
      <c r="G95" s="208" t="s">
        <v>272</v>
      </c>
      <c r="H95" s="208">
        <v>2008</v>
      </c>
      <c r="I95" s="208" t="s">
        <v>272</v>
      </c>
      <c r="J95" s="208">
        <v>2009</v>
      </c>
      <c r="K95" s="208" t="s">
        <v>272</v>
      </c>
      <c r="L95" s="208" t="s">
        <v>273</v>
      </c>
    </row>
    <row r="96" spans="1:12" x14ac:dyDescent="0.25">
      <c r="A96" s="228" t="s">
        <v>172</v>
      </c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</row>
    <row r="97" spans="1:12" x14ac:dyDescent="0.25">
      <c r="A97" s="229" t="s">
        <v>182</v>
      </c>
      <c r="B97" s="217">
        <v>2270000</v>
      </c>
      <c r="C97" s="217"/>
      <c r="D97" s="217">
        <v>2110000</v>
      </c>
      <c r="E97" s="217"/>
      <c r="F97" s="217">
        <v>2140000</v>
      </c>
      <c r="G97" s="217"/>
      <c r="H97" s="217">
        <v>2020000</v>
      </c>
      <c r="I97" s="217"/>
      <c r="J97" s="217">
        <v>1650000</v>
      </c>
      <c r="K97" s="141"/>
      <c r="L97" s="141" t="s">
        <v>528</v>
      </c>
    </row>
    <row r="98" spans="1:12" x14ac:dyDescent="0.25">
      <c r="A98" s="229" t="s">
        <v>175</v>
      </c>
      <c r="B98" s="217">
        <v>2420000</v>
      </c>
      <c r="C98" s="217"/>
      <c r="D98" s="217">
        <v>2200000</v>
      </c>
      <c r="E98" s="217"/>
      <c r="F98" s="217">
        <v>2270000</v>
      </c>
      <c r="G98" s="217"/>
      <c r="H98" s="217">
        <v>1990000</v>
      </c>
      <c r="I98" s="217"/>
      <c r="J98" s="217">
        <v>1580000</v>
      </c>
      <c r="K98" s="141"/>
      <c r="L98" s="141" t="s">
        <v>529</v>
      </c>
    </row>
    <row r="99" spans="1:12" x14ac:dyDescent="0.25">
      <c r="A99" s="228" t="s">
        <v>121</v>
      </c>
      <c r="B99" s="217">
        <f>SUM(B100:B103)</f>
        <v>2762175</v>
      </c>
      <c r="C99" s="217"/>
      <c r="D99" s="217">
        <f>SUM(D100:D103)</f>
        <v>2740076</v>
      </c>
      <c r="E99" s="217"/>
      <c r="F99" s="217">
        <f>SUM(F100:F103)</f>
        <v>2875320</v>
      </c>
      <c r="G99" s="217"/>
      <c r="H99" s="217">
        <f>SUM(H100:H103)</f>
        <v>2718655</v>
      </c>
      <c r="I99" s="217"/>
      <c r="J99" s="217">
        <f>SUM(J100:J103)</f>
        <v>2554082</v>
      </c>
      <c r="K99" s="141"/>
      <c r="L99" s="141"/>
    </row>
    <row r="100" spans="1:12" x14ac:dyDescent="0.25">
      <c r="A100" s="229" t="s">
        <v>185</v>
      </c>
      <c r="B100" s="217">
        <v>523575</v>
      </c>
      <c r="C100" s="217"/>
      <c r="D100" s="217">
        <v>501576</v>
      </c>
      <c r="E100" s="217"/>
      <c r="F100" s="217">
        <v>617720</v>
      </c>
      <c r="G100" s="217"/>
      <c r="H100" s="217">
        <v>574655</v>
      </c>
      <c r="I100" s="217"/>
      <c r="J100" s="217">
        <v>597682</v>
      </c>
      <c r="K100" s="141"/>
      <c r="L100" s="141"/>
    </row>
    <row r="101" spans="1:12" x14ac:dyDescent="0.25">
      <c r="A101" s="229" t="s">
        <v>186</v>
      </c>
      <c r="B101" s="217">
        <v>1260000</v>
      </c>
      <c r="C101" s="217"/>
      <c r="D101" s="217">
        <v>1250000</v>
      </c>
      <c r="E101" s="217"/>
      <c r="F101" s="217">
        <v>1310000</v>
      </c>
      <c r="G101" s="217"/>
      <c r="H101" s="217">
        <v>1270000</v>
      </c>
      <c r="I101" s="217"/>
      <c r="J101" s="217">
        <v>1160000</v>
      </c>
      <c r="K101" s="141"/>
      <c r="L101" s="141"/>
    </row>
    <row r="102" spans="1:12" x14ac:dyDescent="0.25">
      <c r="A102" s="229" t="s">
        <v>187</v>
      </c>
      <c r="B102" s="217">
        <v>953000</v>
      </c>
      <c r="C102" s="217"/>
      <c r="D102" s="217">
        <v>969000</v>
      </c>
      <c r="E102" s="217"/>
      <c r="F102" s="217">
        <v>925000</v>
      </c>
      <c r="G102" s="217"/>
      <c r="H102" s="217">
        <v>852000</v>
      </c>
      <c r="I102" s="217"/>
      <c r="J102" s="217">
        <v>774000</v>
      </c>
      <c r="K102" s="141"/>
      <c r="L102" s="141"/>
    </row>
    <row r="103" spans="1:12" x14ac:dyDescent="0.25">
      <c r="A103" s="229" t="s">
        <v>188</v>
      </c>
      <c r="B103" s="217">
        <v>25600</v>
      </c>
      <c r="C103" s="217"/>
      <c r="D103" s="217">
        <v>19500</v>
      </c>
      <c r="E103" s="217"/>
      <c r="F103" s="217">
        <v>22600</v>
      </c>
      <c r="G103" s="217"/>
      <c r="H103" s="217">
        <v>22000</v>
      </c>
      <c r="I103" s="217"/>
      <c r="J103" s="217">
        <v>22400</v>
      </c>
      <c r="K103" s="141"/>
      <c r="L103" s="141"/>
    </row>
    <row r="104" spans="1:12" x14ac:dyDescent="0.25">
      <c r="A104" s="228" t="s">
        <v>173</v>
      </c>
      <c r="B104" s="217">
        <v>39500</v>
      </c>
      <c r="C104" s="217"/>
      <c r="D104" s="217">
        <v>106000</v>
      </c>
      <c r="E104" s="217"/>
      <c r="F104" s="217">
        <v>51100</v>
      </c>
      <c r="G104" s="217"/>
      <c r="H104" s="217">
        <v>36500</v>
      </c>
      <c r="I104" s="217"/>
      <c r="J104" s="217">
        <v>80800</v>
      </c>
      <c r="K104" s="141"/>
      <c r="L104" s="141" t="s">
        <v>528</v>
      </c>
    </row>
    <row r="105" spans="1:12" x14ac:dyDescent="0.25">
      <c r="A105" s="228" t="s">
        <v>174</v>
      </c>
      <c r="B105" s="217">
        <v>1000000</v>
      </c>
      <c r="C105" s="217"/>
      <c r="D105" s="217">
        <v>1070000</v>
      </c>
      <c r="E105" s="217"/>
      <c r="F105" s="217">
        <v>829000</v>
      </c>
      <c r="G105" s="217"/>
      <c r="H105" s="217">
        <v>724000</v>
      </c>
      <c r="I105" s="217"/>
      <c r="J105" s="217">
        <v>664000</v>
      </c>
      <c r="K105" s="141"/>
      <c r="L105" s="141" t="s">
        <v>528</v>
      </c>
    </row>
    <row r="106" spans="1:12" s="59" customFormat="1" x14ac:dyDescent="0.25">
      <c r="A106" s="231" t="s">
        <v>274</v>
      </c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94"/>
    </row>
    <row r="107" spans="1:12" x14ac:dyDescent="0.25">
      <c r="A107" s="228"/>
      <c r="B107" s="138" t="s">
        <v>78</v>
      </c>
      <c r="C107" s="232">
        <f>429000/B105</f>
        <v>0.42899999999999999</v>
      </c>
      <c r="D107" s="138" t="s">
        <v>78</v>
      </c>
      <c r="E107" s="232">
        <f>521000/D105</f>
        <v>0.4869158878504673</v>
      </c>
      <c r="F107" s="138" t="s">
        <v>78</v>
      </c>
      <c r="G107" s="232">
        <f>363000/F105</f>
        <v>0.43787696019300359</v>
      </c>
      <c r="H107" s="138" t="s">
        <v>78</v>
      </c>
      <c r="I107" s="232">
        <f>334000/H105</f>
        <v>0.46132596685082872</v>
      </c>
      <c r="J107" s="138" t="s">
        <v>78</v>
      </c>
      <c r="K107" s="232">
        <f>312000/J105</f>
        <v>0.46987951807228917</v>
      </c>
      <c r="L107" s="141"/>
    </row>
    <row r="108" spans="1:12" x14ac:dyDescent="0.25">
      <c r="A108" s="228"/>
      <c r="B108" s="138" t="s">
        <v>38</v>
      </c>
      <c r="C108" s="232">
        <f>296000/B105</f>
        <v>0.29599999999999999</v>
      </c>
      <c r="D108" s="138" t="s">
        <v>38</v>
      </c>
      <c r="E108" s="232">
        <f>256000/D105</f>
        <v>0.23925233644859814</v>
      </c>
      <c r="F108" s="138" t="s">
        <v>38</v>
      </c>
      <c r="G108" s="232">
        <f>242000/F105</f>
        <v>0.29191797346200243</v>
      </c>
      <c r="H108" s="138" t="s">
        <v>38</v>
      </c>
      <c r="I108" s="232">
        <f>242000/H105</f>
        <v>0.33425414364640882</v>
      </c>
      <c r="J108" s="138" t="s">
        <v>38</v>
      </c>
      <c r="K108" s="232">
        <f>189000/J105</f>
        <v>0.28463855421686746</v>
      </c>
      <c r="L108" s="141"/>
    </row>
    <row r="109" spans="1:12" x14ac:dyDescent="0.25">
      <c r="A109" s="228"/>
      <c r="B109" s="138" t="s">
        <v>44</v>
      </c>
      <c r="C109" s="232">
        <f>154000/B105</f>
        <v>0.154</v>
      </c>
      <c r="D109" s="138" t="s">
        <v>44</v>
      </c>
      <c r="E109" s="232">
        <f>158000/D105</f>
        <v>0.14766355140186915</v>
      </c>
      <c r="F109" s="138" t="s">
        <v>44</v>
      </c>
      <c r="G109" s="232">
        <f>140000/F105</f>
        <v>0.16887816646562123</v>
      </c>
      <c r="H109" s="138" t="s">
        <v>44</v>
      </c>
      <c r="I109" s="232">
        <f>117000/H105</f>
        <v>0.16160220994475138</v>
      </c>
      <c r="J109" s="138" t="s">
        <v>44</v>
      </c>
      <c r="K109" s="232">
        <f>124000/J105</f>
        <v>0.18674698795180722</v>
      </c>
      <c r="L109" s="141"/>
    </row>
    <row r="110" spans="1:12" x14ac:dyDescent="0.25">
      <c r="A110" s="165"/>
      <c r="B110" s="141"/>
      <c r="C110" s="262">
        <f>SUM(C107:C109)</f>
        <v>0.879</v>
      </c>
      <c r="D110" s="141"/>
      <c r="E110" s="262">
        <f>SUM(E107:E109)</f>
        <v>0.87383177570093462</v>
      </c>
      <c r="F110" s="141"/>
      <c r="G110" s="262">
        <f>SUM(G107:G109)</f>
        <v>0.89867310012062729</v>
      </c>
      <c r="H110" s="141"/>
      <c r="I110" s="262">
        <f>SUM(I107:I109)</f>
        <v>0.95718232044198892</v>
      </c>
      <c r="J110" s="141"/>
      <c r="K110" s="262">
        <f>SUM(K107:K109)</f>
        <v>0.9412650602409639</v>
      </c>
      <c r="L110" s="141"/>
    </row>
    <row r="111" spans="1:12" x14ac:dyDescent="0.25">
      <c r="A111" s="165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</row>
    <row r="112" spans="1:12" x14ac:dyDescent="0.25">
      <c r="A112" s="165" t="s">
        <v>190</v>
      </c>
      <c r="B112" s="208">
        <v>2005</v>
      </c>
      <c r="C112" s="208" t="s">
        <v>272</v>
      </c>
      <c r="D112" s="208">
        <v>2006</v>
      </c>
      <c r="E112" s="208" t="s">
        <v>272</v>
      </c>
      <c r="F112" s="208">
        <v>2007</v>
      </c>
      <c r="G112" s="208" t="s">
        <v>272</v>
      </c>
      <c r="H112" s="208">
        <v>2008</v>
      </c>
      <c r="I112" s="208" t="s">
        <v>272</v>
      </c>
      <c r="J112" s="208">
        <v>2009</v>
      </c>
      <c r="K112" s="208" t="s">
        <v>272</v>
      </c>
      <c r="L112" s="208" t="s">
        <v>273</v>
      </c>
    </row>
    <row r="113" spans="1:12" x14ac:dyDescent="0.25">
      <c r="A113" s="228" t="s">
        <v>172</v>
      </c>
      <c r="B113" s="217">
        <v>18700</v>
      </c>
      <c r="C113" s="217"/>
      <c r="D113" s="217">
        <v>20300</v>
      </c>
      <c r="E113" s="217"/>
      <c r="F113" s="217">
        <v>25100</v>
      </c>
      <c r="G113" s="217"/>
      <c r="H113" s="217">
        <v>28700</v>
      </c>
      <c r="I113" s="217"/>
      <c r="J113" s="217">
        <v>24900</v>
      </c>
      <c r="K113" s="141"/>
      <c r="L113" s="141"/>
    </row>
    <row r="114" spans="1:12" x14ac:dyDescent="0.25">
      <c r="A114" s="228" t="s">
        <v>121</v>
      </c>
      <c r="B114" s="217" t="s">
        <v>262</v>
      </c>
      <c r="C114" s="217"/>
      <c r="D114" s="217" t="s">
        <v>262</v>
      </c>
      <c r="E114" s="217"/>
      <c r="F114" s="217" t="s">
        <v>262</v>
      </c>
      <c r="G114" s="217"/>
      <c r="H114" s="217" t="s">
        <v>262</v>
      </c>
      <c r="I114" s="217"/>
      <c r="J114" s="217" t="s">
        <v>262</v>
      </c>
      <c r="K114" s="141"/>
      <c r="L114" s="141"/>
    </row>
    <row r="115" spans="1:12" x14ac:dyDescent="0.25">
      <c r="A115" s="228" t="s">
        <v>173</v>
      </c>
      <c r="B115" s="224" t="s">
        <v>262</v>
      </c>
      <c r="C115" s="217"/>
      <c r="D115" s="224" t="s">
        <v>262</v>
      </c>
      <c r="E115" s="217"/>
      <c r="F115" s="224" t="s">
        <v>262</v>
      </c>
      <c r="G115" s="217"/>
      <c r="H115" s="224" t="s">
        <v>262</v>
      </c>
      <c r="I115" s="217"/>
      <c r="J115" s="224" t="s">
        <v>262</v>
      </c>
      <c r="K115" s="141"/>
      <c r="L115" s="141"/>
    </row>
    <row r="116" spans="1:12" x14ac:dyDescent="0.25">
      <c r="A116" s="228" t="s">
        <v>174</v>
      </c>
      <c r="B116" s="217">
        <v>15800</v>
      </c>
      <c r="C116" s="217"/>
      <c r="D116" s="217">
        <v>26900</v>
      </c>
      <c r="E116" s="217"/>
      <c r="F116" s="217">
        <v>37100</v>
      </c>
      <c r="G116" s="217"/>
      <c r="H116" s="217">
        <v>41100</v>
      </c>
      <c r="I116" s="217"/>
      <c r="J116" s="217">
        <v>35900</v>
      </c>
      <c r="K116" s="141"/>
      <c r="L116" s="141"/>
    </row>
    <row r="117" spans="1:12" s="59" customFormat="1" x14ac:dyDescent="0.25">
      <c r="A117" s="231" t="s">
        <v>274</v>
      </c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94"/>
    </row>
    <row r="118" spans="1:12" x14ac:dyDescent="0.25">
      <c r="A118" s="165"/>
      <c r="B118" s="138" t="s">
        <v>29</v>
      </c>
      <c r="C118" s="232">
        <f>4290/B116</f>
        <v>0.27151898734177216</v>
      </c>
      <c r="D118" s="138" t="s">
        <v>22</v>
      </c>
      <c r="E118" s="232">
        <f>5780/D116</f>
        <v>0.21486988847583643</v>
      </c>
      <c r="F118" s="138" t="s">
        <v>57</v>
      </c>
      <c r="G118" s="232">
        <f>11000/F116</f>
        <v>0.29649595687331537</v>
      </c>
      <c r="H118" s="138" t="s">
        <v>57</v>
      </c>
      <c r="I118" s="232">
        <f>13500/H116</f>
        <v>0.32846715328467152</v>
      </c>
      <c r="J118" s="138" t="s">
        <v>38</v>
      </c>
      <c r="K118" s="232">
        <f>10500/J116</f>
        <v>0.29247910863509752</v>
      </c>
      <c r="L118" s="141"/>
    </row>
    <row r="119" spans="1:12" x14ac:dyDescent="0.25">
      <c r="A119" s="165"/>
      <c r="B119" s="138" t="s">
        <v>24</v>
      </c>
      <c r="C119" s="232">
        <f>2480/B116</f>
        <v>0.1569620253164557</v>
      </c>
      <c r="D119" s="138" t="s">
        <v>42</v>
      </c>
      <c r="E119" s="232">
        <f>5380/D116</f>
        <v>0.2</v>
      </c>
      <c r="F119" s="138" t="s">
        <v>38</v>
      </c>
      <c r="G119" s="232">
        <f>10000/F116</f>
        <v>0.26954177897574122</v>
      </c>
      <c r="H119" s="138" t="s">
        <v>38</v>
      </c>
      <c r="I119" s="232">
        <f>10200/H116</f>
        <v>0.24817518248175183</v>
      </c>
      <c r="J119" s="138" t="s">
        <v>57</v>
      </c>
      <c r="K119" s="232">
        <f>7110/J116</f>
        <v>0.19805013927576601</v>
      </c>
      <c r="L119" s="141"/>
    </row>
    <row r="120" spans="1:12" x14ac:dyDescent="0.25">
      <c r="A120" s="165"/>
      <c r="B120" s="138" t="s">
        <v>191</v>
      </c>
      <c r="C120" s="232">
        <f>2100/B116</f>
        <v>0.13291139240506328</v>
      </c>
      <c r="D120" s="138" t="s">
        <v>57</v>
      </c>
      <c r="E120" s="232">
        <f>4600/D116</f>
        <v>0.17100371747211895</v>
      </c>
      <c r="F120" s="138" t="s">
        <v>42</v>
      </c>
      <c r="G120" s="232">
        <f>6380/F116</f>
        <v>0.17196765498652292</v>
      </c>
      <c r="H120" s="138" t="s">
        <v>22</v>
      </c>
      <c r="I120" s="232">
        <f>6600/H116</f>
        <v>0.16058394160583941</v>
      </c>
      <c r="J120" s="200" t="s">
        <v>254</v>
      </c>
      <c r="K120" s="232">
        <f>6740/J116</f>
        <v>0.18774373259052926</v>
      </c>
      <c r="L120" s="141"/>
    </row>
    <row r="121" spans="1:12" x14ac:dyDescent="0.25">
      <c r="A121" s="165"/>
      <c r="B121" s="141"/>
      <c r="C121" s="262">
        <f>SUM(C118:C120)</f>
        <v>0.56139240506329113</v>
      </c>
      <c r="D121" s="141"/>
      <c r="E121" s="262">
        <f>SUM(E118:E120)</f>
        <v>0.58587360594795546</v>
      </c>
      <c r="F121" s="141"/>
      <c r="G121" s="262">
        <f>SUM(G118:G120)</f>
        <v>0.73800539083557948</v>
      </c>
      <c r="H121" s="141"/>
      <c r="I121" s="262">
        <f>SUM(I118:I120)</f>
        <v>0.73722627737226276</v>
      </c>
      <c r="J121" s="141"/>
      <c r="K121" s="262">
        <f>SUM(K118:K120)</f>
        <v>0.67827298050139273</v>
      </c>
      <c r="L121" s="141"/>
    </row>
    <row r="122" spans="1:12" x14ac:dyDescent="0.25">
      <c r="A122" s="165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</row>
    <row r="123" spans="1:12" x14ac:dyDescent="0.25">
      <c r="A123" s="165" t="s">
        <v>192</v>
      </c>
      <c r="B123" s="208">
        <v>2005</v>
      </c>
      <c r="C123" s="208" t="s">
        <v>272</v>
      </c>
      <c r="D123" s="208">
        <v>2006</v>
      </c>
      <c r="E123" s="208" t="s">
        <v>272</v>
      </c>
      <c r="F123" s="208">
        <v>2007</v>
      </c>
      <c r="G123" s="208" t="s">
        <v>272</v>
      </c>
      <c r="H123" s="208">
        <v>2008</v>
      </c>
      <c r="I123" s="208" t="s">
        <v>272</v>
      </c>
      <c r="J123" s="208">
        <v>2009</v>
      </c>
      <c r="K123" s="208" t="s">
        <v>272</v>
      </c>
      <c r="L123" s="208" t="s">
        <v>273</v>
      </c>
    </row>
    <row r="124" spans="1:12" x14ac:dyDescent="0.25">
      <c r="A124" s="228" t="s">
        <v>172</v>
      </c>
      <c r="B124" s="217">
        <v>27800</v>
      </c>
      <c r="C124" s="217"/>
      <c r="D124" s="217">
        <v>55000</v>
      </c>
      <c r="E124" s="217"/>
      <c r="F124" s="217">
        <v>52400</v>
      </c>
      <c r="G124" s="217"/>
      <c r="H124" s="217">
        <v>54500</v>
      </c>
      <c r="I124" s="217"/>
      <c r="J124" s="217">
        <v>38800</v>
      </c>
      <c r="K124" s="141"/>
      <c r="L124" s="141"/>
    </row>
    <row r="125" spans="1:12" x14ac:dyDescent="0.25">
      <c r="A125" s="228" t="s">
        <v>121</v>
      </c>
      <c r="B125" s="224" t="s">
        <v>262</v>
      </c>
      <c r="C125" s="217"/>
      <c r="D125" s="224" t="s">
        <v>262</v>
      </c>
      <c r="E125" s="217"/>
      <c r="F125" s="224" t="s">
        <v>262</v>
      </c>
      <c r="G125" s="217"/>
      <c r="H125" s="224" t="s">
        <v>262</v>
      </c>
      <c r="I125" s="217"/>
      <c r="J125" s="224" t="s">
        <v>262</v>
      </c>
      <c r="K125" s="141"/>
      <c r="L125" s="141"/>
    </row>
    <row r="126" spans="1:12" x14ac:dyDescent="0.25">
      <c r="A126" s="228" t="s">
        <v>173</v>
      </c>
      <c r="B126" s="224" t="s">
        <v>262</v>
      </c>
      <c r="C126" s="217"/>
      <c r="D126" s="224" t="s">
        <v>262</v>
      </c>
      <c r="E126" s="217"/>
      <c r="F126" s="224" t="s">
        <v>262</v>
      </c>
      <c r="G126" s="217"/>
      <c r="H126" s="224" t="s">
        <v>262</v>
      </c>
      <c r="I126" s="217"/>
      <c r="J126" s="224" t="s">
        <v>262</v>
      </c>
      <c r="K126" s="141"/>
      <c r="L126" s="141"/>
    </row>
    <row r="127" spans="1:12" x14ac:dyDescent="0.25">
      <c r="A127" s="228" t="s">
        <v>174</v>
      </c>
      <c r="B127" s="217">
        <v>16700</v>
      </c>
      <c r="C127" s="217"/>
      <c r="D127" s="217">
        <v>24100</v>
      </c>
      <c r="E127" s="217"/>
      <c r="F127" s="217">
        <v>25400</v>
      </c>
      <c r="G127" s="217"/>
      <c r="H127" s="217">
        <v>40200</v>
      </c>
      <c r="I127" s="217"/>
      <c r="J127" s="217">
        <v>29400</v>
      </c>
      <c r="K127" s="141"/>
      <c r="L127" s="141"/>
    </row>
    <row r="128" spans="1:12" s="59" customFormat="1" x14ac:dyDescent="0.25">
      <c r="A128" s="231" t="s">
        <v>274</v>
      </c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94"/>
    </row>
    <row r="129" spans="1:20" x14ac:dyDescent="0.25">
      <c r="A129" s="165"/>
      <c r="B129" s="138" t="s">
        <v>58</v>
      </c>
      <c r="C129" s="232">
        <f>9060/B127</f>
        <v>0.54251497005988025</v>
      </c>
      <c r="D129" s="138" t="s">
        <v>58</v>
      </c>
      <c r="E129" s="232">
        <f>11400/D127</f>
        <v>0.47302904564315351</v>
      </c>
      <c r="F129" s="138" t="s">
        <v>58</v>
      </c>
      <c r="G129" s="232">
        <f>10100/F127</f>
        <v>0.39763779527559057</v>
      </c>
      <c r="H129" s="138" t="s">
        <v>58</v>
      </c>
      <c r="I129" s="232">
        <f>18300/H127</f>
        <v>0.45522388059701491</v>
      </c>
      <c r="J129" s="138" t="s">
        <v>22</v>
      </c>
      <c r="K129" s="232">
        <f>14000/J127</f>
        <v>0.47619047619047616</v>
      </c>
      <c r="L129" s="141"/>
    </row>
    <row r="130" spans="1:20" x14ac:dyDescent="0.25">
      <c r="A130" s="165"/>
      <c r="B130" s="138" t="s">
        <v>22</v>
      </c>
      <c r="C130" s="232">
        <f>3110/B127</f>
        <v>0.18622754491017965</v>
      </c>
      <c r="D130" s="138" t="s">
        <v>57</v>
      </c>
      <c r="E130" s="232">
        <f>4810/D127</f>
        <v>0.19958506224066391</v>
      </c>
      <c r="F130" s="138" t="s">
        <v>57</v>
      </c>
      <c r="G130" s="232">
        <f>4990/F127</f>
        <v>0.19645669291338583</v>
      </c>
      <c r="H130" s="138" t="s">
        <v>22</v>
      </c>
      <c r="I130" s="232">
        <f>14000/H127</f>
        <v>0.34825870646766172</v>
      </c>
      <c r="J130" s="138" t="s">
        <v>24</v>
      </c>
      <c r="K130" s="232">
        <f>5980/J127</f>
        <v>0.20340136054421767</v>
      </c>
      <c r="L130" s="141"/>
    </row>
    <row r="131" spans="1:20" x14ac:dyDescent="0.25">
      <c r="A131" s="165"/>
      <c r="B131" s="138" t="s">
        <v>57</v>
      </c>
      <c r="C131" s="232">
        <f>2300/B127</f>
        <v>0.1377245508982036</v>
      </c>
      <c r="D131" s="138" t="s">
        <v>22</v>
      </c>
      <c r="E131" s="232">
        <f>3770/D127</f>
        <v>0.15643153526970954</v>
      </c>
      <c r="F131" s="138" t="s">
        <v>24</v>
      </c>
      <c r="G131" s="232">
        <f>4510/F127</f>
        <v>0.17755905511811024</v>
      </c>
      <c r="H131" s="138" t="s">
        <v>24</v>
      </c>
      <c r="I131" s="232">
        <f>5280/H127</f>
        <v>0.13134328358208955</v>
      </c>
      <c r="J131" s="138" t="s">
        <v>58</v>
      </c>
      <c r="K131" s="232">
        <f>5490/J127</f>
        <v>0.18673469387755101</v>
      </c>
      <c r="L131" s="141"/>
    </row>
    <row r="132" spans="1:20" x14ac:dyDescent="0.25">
      <c r="A132" s="165"/>
      <c r="B132" s="141"/>
      <c r="C132" s="262">
        <f>SUM(C129:C131)</f>
        <v>0.8664670658682635</v>
      </c>
      <c r="D132" s="141"/>
      <c r="E132" s="262">
        <f>SUM(E129:E131)</f>
        <v>0.82904564315352702</v>
      </c>
      <c r="F132" s="141"/>
      <c r="G132" s="262">
        <f>SUM(G129:G131)</f>
        <v>0.77165354330708658</v>
      </c>
      <c r="H132" s="141"/>
      <c r="I132" s="262">
        <f>SUM(I129:I131)</f>
        <v>0.93482587064676625</v>
      </c>
      <c r="J132" s="141"/>
      <c r="K132" s="262">
        <f>SUM(K129:K131)</f>
        <v>0.86632653061224485</v>
      </c>
      <c r="L132" s="141"/>
    </row>
    <row r="133" spans="1:20" x14ac:dyDescent="0.25">
      <c r="A133" s="165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</row>
    <row r="134" spans="1:20" x14ac:dyDescent="0.25">
      <c r="A134" s="165" t="s">
        <v>21</v>
      </c>
      <c r="B134" s="208">
        <v>2005</v>
      </c>
      <c r="C134" s="208" t="s">
        <v>272</v>
      </c>
      <c r="D134" s="208">
        <v>2006</v>
      </c>
      <c r="E134" s="208" t="s">
        <v>272</v>
      </c>
      <c r="F134" s="208">
        <v>2007</v>
      </c>
      <c r="G134" s="208" t="s">
        <v>272</v>
      </c>
      <c r="H134" s="208">
        <v>2008</v>
      </c>
      <c r="I134" s="208" t="s">
        <v>272</v>
      </c>
      <c r="J134" s="208">
        <v>2009</v>
      </c>
      <c r="K134" s="208" t="s">
        <v>272</v>
      </c>
      <c r="L134" s="208" t="s">
        <v>273</v>
      </c>
    </row>
    <row r="135" spans="1:20" x14ac:dyDescent="0.25">
      <c r="A135" s="228" t="s">
        <v>172</v>
      </c>
      <c r="B135" s="217">
        <v>196800</v>
      </c>
      <c r="C135" s="217"/>
      <c r="D135" s="217">
        <v>205270</v>
      </c>
      <c r="E135" s="217"/>
      <c r="F135" s="217">
        <v>197050</v>
      </c>
      <c r="G135" s="217"/>
      <c r="H135" s="217">
        <v>217490</v>
      </c>
      <c r="I135" s="217"/>
      <c r="J135" s="217">
        <v>200520</v>
      </c>
      <c r="K135" s="141"/>
      <c r="L135" s="141"/>
    </row>
    <row r="136" spans="1:20" x14ac:dyDescent="0.25">
      <c r="A136" s="228" t="s">
        <v>121</v>
      </c>
      <c r="B136" s="217">
        <v>256000</v>
      </c>
      <c r="C136" s="217"/>
      <c r="D136" s="217">
        <v>252000</v>
      </c>
      <c r="E136" s="217"/>
      <c r="F136" s="217">
        <v>238000</v>
      </c>
      <c r="G136" s="217"/>
      <c r="H136" s="217">
        <v>233000</v>
      </c>
      <c r="I136" s="217"/>
      <c r="J136" s="217">
        <v>223000</v>
      </c>
      <c r="K136" s="141"/>
      <c r="L136" s="141" t="s">
        <v>531</v>
      </c>
    </row>
    <row r="137" spans="1:20" x14ac:dyDescent="0.25">
      <c r="A137" s="228" t="s">
        <v>173</v>
      </c>
      <c r="B137" s="217">
        <v>182000</v>
      </c>
      <c r="C137" s="217"/>
      <c r="D137" s="217">
        <v>228000</v>
      </c>
      <c r="E137" s="217"/>
      <c r="F137" s="217">
        <v>392000</v>
      </c>
      <c r="G137" s="217"/>
      <c r="H137" s="217">
        <v>459000</v>
      </c>
      <c r="I137" s="217"/>
      <c r="J137" s="217">
        <v>281000</v>
      </c>
      <c r="K137" s="141"/>
      <c r="L137" s="141" t="s">
        <v>528</v>
      </c>
    </row>
    <row r="138" spans="1:20" x14ac:dyDescent="0.25">
      <c r="A138" s="228" t="s">
        <v>174</v>
      </c>
      <c r="B138" s="217">
        <v>105000</v>
      </c>
      <c r="C138" s="217"/>
      <c r="D138" s="217">
        <v>136000</v>
      </c>
      <c r="E138" s="217"/>
      <c r="F138" s="217">
        <v>113000</v>
      </c>
      <c r="G138" s="217"/>
      <c r="H138" s="217">
        <v>118000</v>
      </c>
      <c r="I138" s="217"/>
      <c r="J138" s="217">
        <v>127000</v>
      </c>
      <c r="K138" s="141"/>
      <c r="L138" s="141" t="s">
        <v>530</v>
      </c>
    </row>
    <row r="139" spans="1:20" s="59" customFormat="1" x14ac:dyDescent="0.25">
      <c r="A139" s="231" t="s">
        <v>274</v>
      </c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94"/>
    </row>
    <row r="140" spans="1:20" x14ac:dyDescent="0.25">
      <c r="A140" s="228"/>
      <c r="B140" s="200" t="s">
        <v>38</v>
      </c>
      <c r="C140" s="232">
        <f>62600/B138</f>
        <v>0.59619047619047616</v>
      </c>
      <c r="D140" s="200" t="s">
        <v>38</v>
      </c>
      <c r="E140" s="232">
        <f>69600/D138</f>
        <v>0.5117647058823529</v>
      </c>
      <c r="F140" s="200" t="s">
        <v>38</v>
      </c>
      <c r="G140" s="232">
        <f>76600/F138</f>
        <v>0.6778761061946903</v>
      </c>
      <c r="H140" s="200" t="s">
        <v>38</v>
      </c>
      <c r="I140" s="232">
        <f>83900/H138</f>
        <v>0.71101694915254232</v>
      </c>
      <c r="J140" s="138" t="s">
        <v>38</v>
      </c>
      <c r="K140" s="232">
        <f>66300/J138</f>
        <v>0.52204724409448822</v>
      </c>
      <c r="L140" s="141"/>
    </row>
    <row r="141" spans="1:20" x14ac:dyDescent="0.25">
      <c r="A141" s="228"/>
      <c r="B141" s="200" t="s">
        <v>253</v>
      </c>
      <c r="C141" s="232">
        <f>16800/B138</f>
        <v>0.16</v>
      </c>
      <c r="D141" s="200" t="s">
        <v>253</v>
      </c>
      <c r="E141" s="232">
        <f>44900/D138</f>
        <v>0.3301470588235294</v>
      </c>
      <c r="F141" s="200" t="s">
        <v>253</v>
      </c>
      <c r="G141" s="232">
        <f>17200/F138</f>
        <v>0.15221238938053097</v>
      </c>
      <c r="H141" s="200" t="s">
        <v>253</v>
      </c>
      <c r="I141" s="232">
        <f>11400/H138</f>
        <v>9.6610169491525427E-2</v>
      </c>
      <c r="J141" s="138" t="s">
        <v>253</v>
      </c>
      <c r="K141" s="232">
        <f>26300/J138</f>
        <v>0.20708661417322835</v>
      </c>
      <c r="L141" s="141"/>
    </row>
    <row r="142" spans="1:20" x14ac:dyDescent="0.25">
      <c r="A142" s="228"/>
      <c r="B142" s="200" t="s">
        <v>28</v>
      </c>
      <c r="C142" s="232">
        <f>10700/B138</f>
        <v>0.1019047619047619</v>
      </c>
      <c r="D142" s="200" t="s">
        <v>28</v>
      </c>
      <c r="E142" s="232">
        <f>6820/D138</f>
        <v>5.0147058823529413E-2</v>
      </c>
      <c r="F142" s="200" t="s">
        <v>78</v>
      </c>
      <c r="G142" s="232">
        <f>3980/F138</f>
        <v>3.5221238938053095E-2</v>
      </c>
      <c r="H142" s="200" t="s">
        <v>254</v>
      </c>
      <c r="I142" s="232">
        <f>5740/H138</f>
        <v>4.8644067796610173E-2</v>
      </c>
      <c r="J142" s="138" t="s">
        <v>98</v>
      </c>
      <c r="K142" s="232">
        <f>14300/J138</f>
        <v>0.1125984251968504</v>
      </c>
      <c r="L142" s="141"/>
    </row>
    <row r="143" spans="1:20" x14ac:dyDescent="0.25">
      <c r="A143" s="165"/>
      <c r="B143" s="141"/>
      <c r="C143" s="262">
        <f>SUM(C140:C142)</f>
        <v>0.85809523809523813</v>
      </c>
      <c r="D143" s="141"/>
      <c r="E143" s="262">
        <f>SUM(E140:E142)</f>
        <v>0.89205882352941168</v>
      </c>
      <c r="F143" s="141"/>
      <c r="G143" s="262">
        <f>SUM(G140:G142)</f>
        <v>0.86530973451327431</v>
      </c>
      <c r="H143" s="141"/>
      <c r="I143" s="262">
        <f>SUM(I140:I142)</f>
        <v>0.8562711864406779</v>
      </c>
      <c r="J143" s="141"/>
      <c r="K143" s="262">
        <f>SUM(K140:K142)</f>
        <v>0.84173228346456697</v>
      </c>
      <c r="L143" s="141"/>
    </row>
    <row r="144" spans="1:20" x14ac:dyDescent="0.25">
      <c r="A144" s="165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Q144" s="47"/>
      <c r="R144" s="47"/>
      <c r="S144" s="47"/>
      <c r="T144" s="47"/>
    </row>
    <row r="145" spans="1:20" x14ac:dyDescent="0.25">
      <c r="A145" s="165" t="s">
        <v>357</v>
      </c>
      <c r="B145" s="208">
        <v>2005</v>
      </c>
      <c r="C145" s="208" t="s">
        <v>272</v>
      </c>
      <c r="D145" s="208">
        <v>2006</v>
      </c>
      <c r="E145" s="208" t="s">
        <v>272</v>
      </c>
      <c r="F145" s="208">
        <v>2007</v>
      </c>
      <c r="G145" s="208" t="s">
        <v>272</v>
      </c>
      <c r="H145" s="208">
        <v>2008</v>
      </c>
      <c r="I145" s="208" t="s">
        <v>272</v>
      </c>
      <c r="J145" s="208">
        <v>2009</v>
      </c>
      <c r="K145" s="208" t="s">
        <v>272</v>
      </c>
      <c r="L145" s="208" t="s">
        <v>273</v>
      </c>
      <c r="P145" s="47"/>
      <c r="Q145" s="47"/>
      <c r="R145" s="47"/>
      <c r="S145" s="47"/>
      <c r="T145" s="47"/>
    </row>
    <row r="146" spans="1:20" x14ac:dyDescent="0.25">
      <c r="A146" s="228" t="s">
        <v>172</v>
      </c>
      <c r="B146" s="224" t="s">
        <v>262</v>
      </c>
      <c r="C146" s="141"/>
      <c r="D146" s="224" t="s">
        <v>262</v>
      </c>
      <c r="E146" s="141"/>
      <c r="F146" s="224" t="s">
        <v>262</v>
      </c>
      <c r="G146" s="141"/>
      <c r="H146" s="224" t="s">
        <v>262</v>
      </c>
      <c r="I146" s="141"/>
      <c r="J146" s="224" t="s">
        <v>262</v>
      </c>
      <c r="K146" s="141"/>
      <c r="L146" s="141"/>
      <c r="P146" s="47"/>
      <c r="Q146" s="47"/>
      <c r="R146" s="47"/>
      <c r="S146" s="47"/>
      <c r="T146" s="47"/>
    </row>
    <row r="147" spans="1:20" x14ac:dyDescent="0.25">
      <c r="A147" s="228" t="s">
        <v>121</v>
      </c>
      <c r="B147" s="224" t="s">
        <v>262</v>
      </c>
      <c r="C147" s="141"/>
      <c r="D147" s="224" t="s">
        <v>262</v>
      </c>
      <c r="E147" s="141"/>
      <c r="F147" s="224" t="s">
        <v>262</v>
      </c>
      <c r="G147" s="141"/>
      <c r="H147" s="224" t="s">
        <v>262</v>
      </c>
      <c r="I147" s="141"/>
      <c r="J147" s="224" t="s">
        <v>262</v>
      </c>
      <c r="K147" s="141"/>
      <c r="L147" s="141"/>
    </row>
    <row r="148" spans="1:20" x14ac:dyDescent="0.25">
      <c r="A148" s="228" t="s">
        <v>173</v>
      </c>
      <c r="B148" s="224" t="s">
        <v>262</v>
      </c>
      <c r="C148" s="141"/>
      <c r="D148" s="224" t="s">
        <v>262</v>
      </c>
      <c r="E148" s="141"/>
      <c r="F148" s="224" t="s">
        <v>262</v>
      </c>
      <c r="G148" s="141"/>
      <c r="H148" s="224" t="s">
        <v>262</v>
      </c>
      <c r="I148" s="141"/>
      <c r="J148" s="224" t="s">
        <v>262</v>
      </c>
      <c r="K148" s="141"/>
      <c r="L148" s="141"/>
    </row>
    <row r="149" spans="1:20" x14ac:dyDescent="0.25">
      <c r="A149" s="228" t="s">
        <v>174</v>
      </c>
      <c r="B149" s="217">
        <v>142</v>
      </c>
      <c r="C149" s="217"/>
      <c r="D149" s="217">
        <v>100</v>
      </c>
      <c r="E149" s="217"/>
      <c r="F149" s="217">
        <v>147</v>
      </c>
      <c r="G149" s="217"/>
      <c r="H149" s="217">
        <v>144</v>
      </c>
      <c r="I149" s="217"/>
      <c r="J149" s="217">
        <v>105</v>
      </c>
      <c r="K149" s="141"/>
      <c r="L149" s="141" t="s">
        <v>532</v>
      </c>
    </row>
    <row r="150" spans="1:20" s="59" customFormat="1" x14ac:dyDescent="0.25">
      <c r="A150" s="231" t="s">
        <v>274</v>
      </c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94"/>
    </row>
    <row r="151" spans="1:20" x14ac:dyDescent="0.25">
      <c r="A151" s="165"/>
      <c r="B151" s="138" t="s">
        <v>22</v>
      </c>
      <c r="C151" s="232">
        <f>60.4/B149</f>
        <v>0.42535211267605633</v>
      </c>
      <c r="D151" s="138" t="s">
        <v>22</v>
      </c>
      <c r="E151" s="232">
        <f>38.4/D149</f>
        <v>0.38400000000000001</v>
      </c>
      <c r="F151" s="138" t="s">
        <v>22</v>
      </c>
      <c r="G151" s="232">
        <f>64/F149</f>
        <v>0.43537414965986393</v>
      </c>
      <c r="H151" s="138" t="s">
        <v>22</v>
      </c>
      <c r="I151" s="232">
        <f>51.2/H149</f>
        <v>0.35555555555555557</v>
      </c>
      <c r="J151" s="138" t="s">
        <v>38</v>
      </c>
      <c r="K151" s="232">
        <f>44.6/J149</f>
        <v>0.42476190476190478</v>
      </c>
      <c r="L151" s="141"/>
    </row>
    <row r="152" spans="1:20" x14ac:dyDescent="0.25">
      <c r="A152" s="165"/>
      <c r="B152" s="138" t="s">
        <v>29</v>
      </c>
      <c r="C152" s="232">
        <f>31.9/B149</f>
        <v>0.22464788732394364</v>
      </c>
      <c r="D152" s="138" t="s">
        <v>38</v>
      </c>
      <c r="E152" s="232">
        <f>22.1/D149</f>
        <v>0.221</v>
      </c>
      <c r="F152" s="138" t="s">
        <v>38</v>
      </c>
      <c r="G152" s="232">
        <f>33.3/F149</f>
        <v>0.22653061224489793</v>
      </c>
      <c r="H152" s="138" t="s">
        <v>38</v>
      </c>
      <c r="I152" s="232">
        <f>27.9/H149</f>
        <v>0.19374999999999998</v>
      </c>
      <c r="J152" s="138" t="s">
        <v>22</v>
      </c>
      <c r="K152" s="232">
        <f>19/J149</f>
        <v>0.18095238095238095</v>
      </c>
      <c r="L152" s="141"/>
    </row>
    <row r="153" spans="1:20" x14ac:dyDescent="0.25">
      <c r="A153" s="165"/>
      <c r="B153" s="138" t="s">
        <v>38</v>
      </c>
      <c r="C153" s="232">
        <f>13.2/B149</f>
        <v>9.295774647887324E-2</v>
      </c>
      <c r="D153" s="138" t="s">
        <v>29</v>
      </c>
      <c r="E153" s="232">
        <f>18/D149</f>
        <v>0.18</v>
      </c>
      <c r="F153" s="138" t="s">
        <v>29</v>
      </c>
      <c r="G153" s="232">
        <f>24.7/F149</f>
        <v>0.16802721088435374</v>
      </c>
      <c r="H153" s="138" t="s">
        <v>29</v>
      </c>
      <c r="I153" s="232">
        <f>25.8/H149</f>
        <v>0.17916666666666667</v>
      </c>
      <c r="J153" s="138" t="s">
        <v>29</v>
      </c>
      <c r="K153" s="232">
        <f>12/J149</f>
        <v>0.11428571428571428</v>
      </c>
      <c r="L153" s="141"/>
    </row>
    <row r="154" spans="1:20" x14ac:dyDescent="0.25">
      <c r="A154" s="165"/>
      <c r="B154" s="141"/>
      <c r="C154" s="262">
        <f>SUM(C151:C153)</f>
        <v>0.74295774647887314</v>
      </c>
      <c r="D154" s="141"/>
      <c r="E154" s="262">
        <f>SUM(E151:E153)</f>
        <v>0.78499999999999992</v>
      </c>
      <c r="F154" s="141"/>
      <c r="G154" s="262">
        <f>SUM(G151:G153)</f>
        <v>0.82993197278911568</v>
      </c>
      <c r="H154" s="141"/>
      <c r="I154" s="262">
        <f>SUM(I151:I153)</f>
        <v>0.72847222222222219</v>
      </c>
      <c r="J154" s="141"/>
      <c r="K154" s="262">
        <f>SUM(K151:K153)</f>
        <v>0.72000000000000008</v>
      </c>
      <c r="L154" s="141"/>
    </row>
    <row r="155" spans="1:20" x14ac:dyDescent="0.25">
      <c r="A155" s="165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</row>
    <row r="156" spans="1:20" x14ac:dyDescent="0.25">
      <c r="A156" s="165" t="s">
        <v>193</v>
      </c>
      <c r="B156" s="208">
        <v>2005</v>
      </c>
      <c r="C156" s="208" t="s">
        <v>272</v>
      </c>
      <c r="D156" s="208">
        <v>2006</v>
      </c>
      <c r="E156" s="208" t="s">
        <v>272</v>
      </c>
      <c r="F156" s="208">
        <v>2007</v>
      </c>
      <c r="G156" s="208" t="s">
        <v>272</v>
      </c>
      <c r="H156" s="208">
        <v>2008</v>
      </c>
      <c r="I156" s="208" t="s">
        <v>272</v>
      </c>
      <c r="J156" s="208">
        <v>2009</v>
      </c>
      <c r="K156" s="208" t="s">
        <v>272</v>
      </c>
      <c r="L156" s="208" t="s">
        <v>273</v>
      </c>
    </row>
    <row r="157" spans="1:20" x14ac:dyDescent="0.25">
      <c r="A157" s="228" t="s">
        <v>172</v>
      </c>
      <c r="B157" s="217">
        <v>109</v>
      </c>
      <c r="C157" s="217"/>
      <c r="D157" s="217">
        <v>120</v>
      </c>
      <c r="E157" s="217"/>
      <c r="F157" s="217">
        <v>116</v>
      </c>
      <c r="G157" s="217"/>
      <c r="H157" s="217">
        <v>102</v>
      </c>
      <c r="I157" s="217"/>
      <c r="J157" s="217">
        <v>63</v>
      </c>
      <c r="K157" s="141"/>
      <c r="L157" s="141" t="s">
        <v>533</v>
      </c>
    </row>
    <row r="158" spans="1:20" x14ac:dyDescent="0.25">
      <c r="A158" s="228" t="s">
        <v>121</v>
      </c>
      <c r="B158" s="224"/>
      <c r="C158" s="217"/>
      <c r="D158" s="224"/>
      <c r="E158" s="217"/>
      <c r="F158" s="224"/>
      <c r="G158" s="217"/>
      <c r="H158" s="224"/>
      <c r="I158" s="217"/>
      <c r="J158" s="224"/>
      <c r="K158" s="141"/>
      <c r="L158" s="141"/>
    </row>
    <row r="159" spans="1:20" x14ac:dyDescent="0.25">
      <c r="A159" s="229" t="s">
        <v>196</v>
      </c>
      <c r="B159" s="217">
        <f>B160+B161</f>
        <v>37420</v>
      </c>
      <c r="C159" s="217"/>
      <c r="D159" s="217">
        <f>D160+D161</f>
        <v>38140</v>
      </c>
      <c r="E159" s="217"/>
      <c r="F159" s="217">
        <f>F160+F161</f>
        <v>36550</v>
      </c>
      <c r="G159" s="217"/>
      <c r="H159" s="217">
        <f>H160+H161</f>
        <v>33960</v>
      </c>
      <c r="I159" s="217"/>
      <c r="J159" s="217">
        <v>19000</v>
      </c>
      <c r="K159" s="141"/>
      <c r="L159" s="141"/>
    </row>
    <row r="160" spans="1:20" x14ac:dyDescent="0.25">
      <c r="A160" s="234" t="s">
        <v>194</v>
      </c>
      <c r="B160" s="217">
        <v>37200</v>
      </c>
      <c r="C160" s="217"/>
      <c r="D160" s="217">
        <v>37900</v>
      </c>
      <c r="E160" s="217"/>
      <c r="F160" s="217">
        <v>36300</v>
      </c>
      <c r="G160" s="217"/>
      <c r="H160" s="217">
        <v>33700</v>
      </c>
      <c r="I160" s="217"/>
      <c r="J160" s="217">
        <v>19000</v>
      </c>
      <c r="K160" s="141"/>
      <c r="L160" s="141"/>
    </row>
    <row r="161" spans="1:12" x14ac:dyDescent="0.25">
      <c r="A161" s="234" t="s">
        <v>195</v>
      </c>
      <c r="B161" s="217">
        <v>220</v>
      </c>
      <c r="C161" s="217"/>
      <c r="D161" s="217">
        <v>240</v>
      </c>
      <c r="E161" s="217"/>
      <c r="F161" s="217">
        <v>250</v>
      </c>
      <c r="G161" s="217"/>
      <c r="H161" s="217">
        <v>260</v>
      </c>
      <c r="I161" s="217"/>
      <c r="J161" s="217" t="s">
        <v>66</v>
      </c>
      <c r="K161" s="141"/>
      <c r="L161" s="141"/>
    </row>
    <row r="162" spans="1:12" x14ac:dyDescent="0.25">
      <c r="A162" s="229" t="s">
        <v>198</v>
      </c>
      <c r="B162" s="217">
        <v>94900</v>
      </c>
      <c r="C162" s="217"/>
      <c r="D162" s="217">
        <v>98200</v>
      </c>
      <c r="E162" s="217"/>
      <c r="F162" s="217">
        <v>98100</v>
      </c>
      <c r="G162" s="217"/>
      <c r="H162" s="217">
        <v>91800</v>
      </c>
      <c r="I162" s="217"/>
      <c r="J162" s="217">
        <v>59400</v>
      </c>
      <c r="K162" s="141"/>
      <c r="L162" s="141"/>
    </row>
    <row r="163" spans="1:12" x14ac:dyDescent="0.25">
      <c r="A163" s="228" t="s">
        <v>173</v>
      </c>
      <c r="B163" s="217"/>
      <c r="C163" s="217"/>
      <c r="D163" s="217"/>
      <c r="E163" s="217"/>
      <c r="F163" s="217"/>
      <c r="G163" s="217"/>
      <c r="H163" s="217"/>
      <c r="I163" s="217"/>
      <c r="J163" s="217"/>
      <c r="K163" s="141"/>
      <c r="L163" s="141"/>
    </row>
    <row r="164" spans="1:12" x14ac:dyDescent="0.25">
      <c r="A164" s="229" t="s">
        <v>196</v>
      </c>
      <c r="B164" s="217">
        <v>51</v>
      </c>
      <c r="C164" s="217"/>
      <c r="D164" s="217">
        <v>813</v>
      </c>
      <c r="E164" s="217"/>
      <c r="F164" s="217">
        <v>71</v>
      </c>
      <c r="G164" s="217"/>
      <c r="H164" s="217">
        <v>51</v>
      </c>
      <c r="I164" s="217"/>
      <c r="J164" s="217">
        <v>11</v>
      </c>
      <c r="K164" s="141"/>
      <c r="L164" s="141"/>
    </row>
    <row r="165" spans="1:12" x14ac:dyDescent="0.25">
      <c r="A165" s="234" t="s">
        <v>194</v>
      </c>
      <c r="B165" s="217">
        <v>51</v>
      </c>
      <c r="C165" s="217"/>
      <c r="D165" s="217">
        <v>813</v>
      </c>
      <c r="E165" s="217"/>
      <c r="F165" s="217">
        <v>71</v>
      </c>
      <c r="G165" s="217"/>
      <c r="H165" s="217">
        <v>51</v>
      </c>
      <c r="I165" s="217"/>
      <c r="J165" s="217">
        <v>11</v>
      </c>
      <c r="K165" s="141"/>
      <c r="L165" s="141"/>
    </row>
    <row r="166" spans="1:12" x14ac:dyDescent="0.25">
      <c r="A166" s="234" t="s">
        <v>195</v>
      </c>
      <c r="B166" s="217" t="s">
        <v>197</v>
      </c>
      <c r="C166" s="217"/>
      <c r="D166" s="217" t="s">
        <v>197</v>
      </c>
      <c r="E166" s="217"/>
      <c r="F166" s="217" t="s">
        <v>197</v>
      </c>
      <c r="G166" s="217"/>
      <c r="H166" s="217" t="s">
        <v>197</v>
      </c>
      <c r="I166" s="217"/>
      <c r="J166" s="217" t="s">
        <v>197</v>
      </c>
      <c r="K166" s="141"/>
      <c r="L166" s="141"/>
    </row>
    <row r="167" spans="1:12" x14ac:dyDescent="0.25">
      <c r="A167" s="229" t="s">
        <v>199</v>
      </c>
      <c r="B167" s="217">
        <v>8520</v>
      </c>
      <c r="C167" s="217"/>
      <c r="D167" s="217">
        <v>8830</v>
      </c>
      <c r="E167" s="217"/>
      <c r="F167" s="217">
        <v>10100</v>
      </c>
      <c r="G167" s="217"/>
      <c r="H167" s="217">
        <v>12200</v>
      </c>
      <c r="I167" s="217"/>
      <c r="J167" s="217">
        <v>8420</v>
      </c>
      <c r="K167" s="141"/>
      <c r="L167" s="141"/>
    </row>
    <row r="168" spans="1:12" x14ac:dyDescent="0.25">
      <c r="A168" s="228" t="s">
        <v>174</v>
      </c>
      <c r="B168" s="217">
        <v>16700</v>
      </c>
      <c r="C168" s="217"/>
      <c r="D168" s="217">
        <v>24100</v>
      </c>
      <c r="E168" s="217"/>
      <c r="F168" s="217">
        <v>25400</v>
      </c>
      <c r="G168" s="217"/>
      <c r="H168" s="217">
        <v>40200</v>
      </c>
      <c r="I168" s="217"/>
      <c r="J168" s="217">
        <v>29400</v>
      </c>
      <c r="K168" s="141"/>
      <c r="L168" s="141"/>
    </row>
    <row r="169" spans="1:12" x14ac:dyDescent="0.25">
      <c r="A169" s="229" t="s">
        <v>196</v>
      </c>
      <c r="B169" s="217">
        <f>B170+B171</f>
        <v>8200</v>
      </c>
      <c r="C169" s="217"/>
      <c r="D169" s="217">
        <f>D170+D171</f>
        <v>9340</v>
      </c>
      <c r="E169" s="217"/>
      <c r="F169" s="217">
        <f>F170+F171</f>
        <v>7550</v>
      </c>
      <c r="G169" s="217"/>
      <c r="H169" s="217">
        <f>H170+H171</f>
        <v>7320</v>
      </c>
      <c r="I169" s="217"/>
      <c r="J169" s="217">
        <f>J170+J171</f>
        <v>3440</v>
      </c>
      <c r="K169" s="141"/>
      <c r="L169" s="141"/>
    </row>
    <row r="170" spans="1:12" x14ac:dyDescent="0.25">
      <c r="A170" s="234" t="s">
        <v>194</v>
      </c>
      <c r="B170" s="217">
        <v>6030</v>
      </c>
      <c r="C170" s="217"/>
      <c r="D170" s="217">
        <v>6730</v>
      </c>
      <c r="E170" s="217"/>
      <c r="F170" s="217">
        <v>5220</v>
      </c>
      <c r="G170" s="217"/>
      <c r="H170" s="217">
        <v>4980</v>
      </c>
      <c r="I170" s="217"/>
      <c r="J170" s="217">
        <v>2420</v>
      </c>
      <c r="K170" s="141"/>
      <c r="L170" s="141"/>
    </row>
    <row r="171" spans="1:12" x14ac:dyDescent="0.25">
      <c r="A171" s="234" t="s">
        <v>195</v>
      </c>
      <c r="B171" s="217">
        <v>2170</v>
      </c>
      <c r="C171" s="217"/>
      <c r="D171" s="217">
        <v>2610</v>
      </c>
      <c r="E171" s="217"/>
      <c r="F171" s="217">
        <v>2330</v>
      </c>
      <c r="G171" s="217"/>
      <c r="H171" s="217">
        <v>2340</v>
      </c>
      <c r="I171" s="217"/>
      <c r="J171" s="217">
        <v>1020</v>
      </c>
      <c r="K171" s="141"/>
      <c r="L171" s="141"/>
    </row>
    <row r="172" spans="1:12" x14ac:dyDescent="0.25">
      <c r="A172" s="229" t="s">
        <v>199</v>
      </c>
      <c r="B172" s="217">
        <v>29100</v>
      </c>
      <c r="C172" s="217"/>
      <c r="D172" s="217">
        <v>41100</v>
      </c>
      <c r="E172" s="217"/>
      <c r="F172" s="217">
        <v>30200</v>
      </c>
      <c r="G172" s="217"/>
      <c r="H172" s="217">
        <v>29000</v>
      </c>
      <c r="I172" s="217"/>
      <c r="J172" s="217">
        <v>14700</v>
      </c>
      <c r="K172" s="141"/>
      <c r="L172" s="141"/>
    </row>
    <row r="173" spans="1:12" s="59" customFormat="1" x14ac:dyDescent="0.25">
      <c r="A173" s="233" t="s">
        <v>274</v>
      </c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94"/>
    </row>
    <row r="174" spans="1:12" x14ac:dyDescent="0.25">
      <c r="A174" s="165"/>
      <c r="B174" s="138" t="s">
        <v>38</v>
      </c>
      <c r="C174" s="232">
        <f>5350/B172</f>
        <v>0.18384879725085912</v>
      </c>
      <c r="D174" s="138" t="s">
        <v>38</v>
      </c>
      <c r="E174" s="232">
        <f>5400/D172</f>
        <v>0.13138686131386862</v>
      </c>
      <c r="F174" s="138" t="s">
        <v>38</v>
      </c>
      <c r="G174" s="232">
        <f>6110/F172</f>
        <v>0.20231788079470198</v>
      </c>
      <c r="H174" s="138" t="s">
        <v>38</v>
      </c>
      <c r="I174" s="232">
        <f>6430/H172</f>
        <v>0.22172413793103449</v>
      </c>
      <c r="J174" s="138" t="s">
        <v>38</v>
      </c>
      <c r="K174" s="232">
        <f>3830/J172</f>
        <v>0.26054421768707481</v>
      </c>
      <c r="L174" s="141"/>
    </row>
    <row r="175" spans="1:12" x14ac:dyDescent="0.25">
      <c r="A175" s="165"/>
      <c r="B175" s="138" t="s">
        <v>73</v>
      </c>
      <c r="C175" s="232">
        <f>3730/B172</f>
        <v>0.12817869415807559</v>
      </c>
      <c r="D175" s="138" t="s">
        <v>22</v>
      </c>
      <c r="E175" s="232">
        <f>4890/D172</f>
        <v>0.11897810218978103</v>
      </c>
      <c r="F175" s="138" t="s">
        <v>22</v>
      </c>
      <c r="G175" s="232">
        <f>4180/F172</f>
        <v>0.13841059602649006</v>
      </c>
      <c r="H175" s="138" t="s">
        <v>22</v>
      </c>
      <c r="I175" s="232">
        <f>4380/H172</f>
        <v>0.15103448275862069</v>
      </c>
      <c r="J175" s="138" t="s">
        <v>73</v>
      </c>
      <c r="K175" s="232">
        <f>1590/J172</f>
        <v>0.10816326530612246</v>
      </c>
      <c r="L175" s="141"/>
    </row>
    <row r="176" spans="1:12" x14ac:dyDescent="0.25">
      <c r="A176" s="165"/>
      <c r="B176" s="138" t="s">
        <v>28</v>
      </c>
      <c r="C176" s="232">
        <f>2340/B172</f>
        <v>8.0412371134020624E-2</v>
      </c>
      <c r="D176" s="138" t="s">
        <v>200</v>
      </c>
      <c r="E176" s="232">
        <f>3300/D172</f>
        <v>8.0291970802919707E-2</v>
      </c>
      <c r="F176" s="138" t="s">
        <v>73</v>
      </c>
      <c r="G176" s="232">
        <f>2860/F172</f>
        <v>9.4701986754966883E-2</v>
      </c>
      <c r="H176" s="138" t="s">
        <v>73</v>
      </c>
      <c r="I176" s="232">
        <f>2900/H172</f>
        <v>0.1</v>
      </c>
      <c r="J176" s="138" t="s">
        <v>22</v>
      </c>
      <c r="K176" s="232">
        <f>1330/J172</f>
        <v>9.0476190476190474E-2</v>
      </c>
      <c r="L176" s="141"/>
    </row>
    <row r="177" spans="1:12" x14ac:dyDescent="0.25">
      <c r="A177" s="165"/>
      <c r="B177" s="235" t="s">
        <v>534</v>
      </c>
      <c r="C177" s="236">
        <f>5270/B172</f>
        <v>0.18109965635738831</v>
      </c>
      <c r="D177" s="235" t="s">
        <v>534</v>
      </c>
      <c r="E177" s="236">
        <f>5690/D172</f>
        <v>0.13844282238442823</v>
      </c>
      <c r="F177" s="235" t="s">
        <v>534</v>
      </c>
      <c r="G177" s="232">
        <f>5140/F172</f>
        <v>0.17019867549668874</v>
      </c>
      <c r="H177" s="141"/>
      <c r="I177" s="262">
        <f>SUM(I174:I176)</f>
        <v>0.47275862068965513</v>
      </c>
      <c r="J177" s="235" t="s">
        <v>534</v>
      </c>
      <c r="K177" s="232">
        <f>1760/J172</f>
        <v>0.11972789115646258</v>
      </c>
      <c r="L177" s="141" t="s">
        <v>535</v>
      </c>
    </row>
    <row r="178" spans="1:12" x14ac:dyDescent="0.25">
      <c r="A178" s="165"/>
      <c r="B178" s="141"/>
      <c r="C178" s="262">
        <f>SUM(C174:C177)</f>
        <v>0.5735395189003436</v>
      </c>
      <c r="D178" s="141"/>
      <c r="E178" s="262">
        <f>SUM(E174:E177)</f>
        <v>0.46909975669099763</v>
      </c>
      <c r="F178" s="141"/>
      <c r="G178" s="262">
        <f>SUM(G174:G177)</f>
        <v>0.60562913907284766</v>
      </c>
      <c r="H178" s="141"/>
      <c r="J178" s="141"/>
      <c r="K178" s="262">
        <f>SUM(K174:K177)</f>
        <v>0.57891156462585036</v>
      </c>
      <c r="L178" s="141"/>
    </row>
    <row r="179" spans="1:12" x14ac:dyDescent="0.25">
      <c r="A179" s="165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</row>
    <row r="180" spans="1:12" x14ac:dyDescent="0.25">
      <c r="A180" s="165" t="s">
        <v>202</v>
      </c>
      <c r="B180" s="208">
        <v>2005</v>
      </c>
      <c r="C180" s="208" t="s">
        <v>272</v>
      </c>
      <c r="D180" s="208">
        <v>2006</v>
      </c>
      <c r="E180" s="208" t="s">
        <v>272</v>
      </c>
      <c r="F180" s="208">
        <v>2007</v>
      </c>
      <c r="G180" s="208" t="s">
        <v>272</v>
      </c>
      <c r="H180" s="208">
        <v>2008</v>
      </c>
      <c r="I180" s="208" t="s">
        <v>272</v>
      </c>
      <c r="J180" s="208">
        <v>2009</v>
      </c>
      <c r="K180" s="208" t="s">
        <v>272</v>
      </c>
      <c r="L180" s="208" t="s">
        <v>273</v>
      </c>
    </row>
    <row r="181" spans="1:12" x14ac:dyDescent="0.25">
      <c r="A181" s="228" t="s">
        <v>172</v>
      </c>
      <c r="B181" s="217">
        <v>1490000</v>
      </c>
      <c r="C181" s="217"/>
      <c r="D181" s="217">
        <v>1490000</v>
      </c>
      <c r="E181" s="217"/>
      <c r="F181" s="217">
        <v>1570000</v>
      </c>
      <c r="G181" s="217"/>
      <c r="H181" s="217">
        <v>1440000</v>
      </c>
      <c r="I181" s="217"/>
      <c r="J181" s="217">
        <v>1290000</v>
      </c>
      <c r="K181" s="141"/>
      <c r="L181" s="141"/>
    </row>
    <row r="182" spans="1:12" x14ac:dyDescent="0.25">
      <c r="A182" s="228" t="s">
        <v>121</v>
      </c>
      <c r="B182" s="217">
        <f>B183+B184</f>
        <v>1293000</v>
      </c>
      <c r="C182" s="217"/>
      <c r="D182" s="217">
        <f>D183+D184</f>
        <v>1313000</v>
      </c>
      <c r="E182" s="217"/>
      <c r="F182" s="217">
        <f>F183+F184</f>
        <v>1303000</v>
      </c>
      <c r="G182" s="217"/>
      <c r="H182" s="217">
        <f>H183+H184</f>
        <v>1275000</v>
      </c>
      <c r="I182" s="217"/>
      <c r="J182" s="217">
        <f>J183+J184</f>
        <v>1213000</v>
      </c>
      <c r="K182" s="141"/>
      <c r="L182" s="141"/>
    </row>
    <row r="183" spans="1:12" x14ac:dyDescent="0.25">
      <c r="A183" s="229" t="s">
        <v>201</v>
      </c>
      <c r="B183" s="217">
        <v>143000</v>
      </c>
      <c r="C183" s="217"/>
      <c r="D183" s="217">
        <v>153000</v>
      </c>
      <c r="E183" s="217"/>
      <c r="F183" s="217">
        <v>123000</v>
      </c>
      <c r="G183" s="217"/>
      <c r="H183" s="217">
        <v>135000</v>
      </c>
      <c r="I183" s="217"/>
      <c r="J183" s="217">
        <v>103000</v>
      </c>
      <c r="K183" s="141"/>
      <c r="L183" s="141"/>
    </row>
    <row r="184" spans="1:12" x14ac:dyDescent="0.25">
      <c r="A184" s="229" t="s">
        <v>187</v>
      </c>
      <c r="B184" s="217">
        <v>1150000</v>
      </c>
      <c r="C184" s="217"/>
      <c r="D184" s="217">
        <v>1160000</v>
      </c>
      <c r="E184" s="217"/>
      <c r="F184" s="217">
        <v>1180000</v>
      </c>
      <c r="G184" s="217"/>
      <c r="H184" s="217">
        <v>1140000</v>
      </c>
      <c r="I184" s="217"/>
      <c r="J184" s="217">
        <v>1110000</v>
      </c>
      <c r="K184" s="141"/>
      <c r="L184" s="141"/>
    </row>
    <row r="185" spans="1:12" x14ac:dyDescent="0.25">
      <c r="A185" s="228" t="s">
        <v>173</v>
      </c>
      <c r="B185" s="217">
        <v>454600</v>
      </c>
      <c r="C185" s="217"/>
      <c r="D185" s="217">
        <v>366500</v>
      </c>
      <c r="E185" s="217"/>
      <c r="F185" s="217">
        <v>356500</v>
      </c>
      <c r="G185" s="217"/>
      <c r="H185" s="217">
        <v>351800</v>
      </c>
      <c r="I185" s="217"/>
      <c r="J185" s="217">
        <v>369000</v>
      </c>
      <c r="K185" s="141"/>
      <c r="L185" s="141"/>
    </row>
    <row r="186" spans="1:12" x14ac:dyDescent="0.25">
      <c r="A186" s="228" t="s">
        <v>174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141"/>
      <c r="L186" s="141"/>
    </row>
    <row r="187" spans="1:12" x14ac:dyDescent="0.25">
      <c r="A187" s="229" t="s">
        <v>203</v>
      </c>
      <c r="B187" s="217" t="s">
        <v>262</v>
      </c>
      <c r="C187" s="217"/>
      <c r="D187" s="217">
        <v>539</v>
      </c>
      <c r="E187" s="217"/>
      <c r="F187" s="217">
        <v>1990</v>
      </c>
      <c r="G187" s="217"/>
      <c r="H187" s="217">
        <v>2740</v>
      </c>
      <c r="I187" s="217"/>
      <c r="J187" s="217">
        <v>844</v>
      </c>
      <c r="K187" s="141"/>
      <c r="L187" s="141"/>
    </row>
    <row r="188" spans="1:12" s="59" customFormat="1" x14ac:dyDescent="0.25">
      <c r="A188" s="233" t="s">
        <v>274</v>
      </c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94"/>
    </row>
    <row r="189" spans="1:12" x14ac:dyDescent="0.25">
      <c r="A189" s="229"/>
      <c r="B189" s="210" t="s">
        <v>310</v>
      </c>
      <c r="C189" s="260" t="s">
        <v>394</v>
      </c>
      <c r="D189" s="141" t="s">
        <v>38</v>
      </c>
      <c r="E189" s="232">
        <f>449/D187</f>
        <v>0.83302411873840443</v>
      </c>
      <c r="F189" s="138" t="s">
        <v>98</v>
      </c>
      <c r="G189" s="232">
        <f>1860/F187</f>
        <v>0.9346733668341709</v>
      </c>
      <c r="H189" s="138" t="s">
        <v>73</v>
      </c>
      <c r="I189" s="232">
        <f>2040/H187</f>
        <v>0.74452554744525545</v>
      </c>
      <c r="J189" s="138" t="s">
        <v>73</v>
      </c>
      <c r="K189" s="232">
        <f>810/J187</f>
        <v>0.95971563981042651</v>
      </c>
      <c r="L189" s="141"/>
    </row>
    <row r="190" spans="1:12" x14ac:dyDescent="0.25">
      <c r="A190" s="229"/>
      <c r="B190" s="210" t="s">
        <v>310</v>
      </c>
      <c r="C190" s="260" t="s">
        <v>394</v>
      </c>
      <c r="D190" s="141" t="s">
        <v>98</v>
      </c>
      <c r="E190" s="232">
        <f>90/D187</f>
        <v>0.16697588126159554</v>
      </c>
      <c r="F190" s="138" t="s">
        <v>205</v>
      </c>
      <c r="G190" s="232">
        <f>67/F187</f>
        <v>3.3668341708542715E-2</v>
      </c>
      <c r="H190" s="138" t="s">
        <v>98</v>
      </c>
      <c r="I190" s="232">
        <f>543/H187</f>
        <v>0.19817518248175184</v>
      </c>
      <c r="J190" s="138" t="s">
        <v>189</v>
      </c>
      <c r="K190" s="232">
        <f>34/J187</f>
        <v>4.0284360189573459E-2</v>
      </c>
      <c r="L190" s="141"/>
    </row>
    <row r="191" spans="1:12" x14ac:dyDescent="0.25">
      <c r="A191" s="229"/>
      <c r="B191" s="210" t="s">
        <v>310</v>
      </c>
      <c r="C191" s="260" t="s">
        <v>394</v>
      </c>
      <c r="D191" s="210" t="s">
        <v>310</v>
      </c>
      <c r="E191" s="260" t="s">
        <v>394</v>
      </c>
      <c r="F191" s="138" t="s">
        <v>206</v>
      </c>
      <c r="G191" s="232">
        <f>30/F187</f>
        <v>1.507537688442211E-2</v>
      </c>
      <c r="H191" s="138" t="s">
        <v>205</v>
      </c>
      <c r="I191" s="232">
        <f>20/H187</f>
        <v>7.2992700729927005E-3</v>
      </c>
      <c r="J191" s="210" t="s">
        <v>310</v>
      </c>
      <c r="K191" s="260" t="s">
        <v>394</v>
      </c>
      <c r="L191" s="141"/>
    </row>
    <row r="192" spans="1:12" x14ac:dyDescent="0.25">
      <c r="A192" s="229"/>
      <c r="B192" s="217"/>
      <c r="C192" s="260" t="s">
        <v>394</v>
      </c>
      <c r="D192" s="217"/>
      <c r="E192" s="262">
        <f>SUM(E189:E191)</f>
        <v>1</v>
      </c>
      <c r="F192" s="247"/>
      <c r="G192" s="262">
        <f>SUM(G189:G191)</f>
        <v>0.98341708542713568</v>
      </c>
      <c r="H192" s="247"/>
      <c r="I192" s="262">
        <f>SUM(I189:I191)</f>
        <v>0.95</v>
      </c>
      <c r="J192" s="141"/>
      <c r="K192" s="262">
        <f>SUM(K189:K191)</f>
        <v>1</v>
      </c>
      <c r="L192" s="141"/>
    </row>
    <row r="193" spans="1:12" x14ac:dyDescent="0.25">
      <c r="A193" s="229"/>
      <c r="B193" s="217"/>
      <c r="C193" s="141"/>
      <c r="D193" s="217"/>
      <c r="E193" s="141"/>
      <c r="F193" s="247"/>
      <c r="G193" s="232"/>
      <c r="H193" s="247"/>
      <c r="I193" s="232"/>
      <c r="J193" s="141"/>
      <c r="K193" s="141"/>
      <c r="L193" s="141"/>
    </row>
    <row r="194" spans="1:12" x14ac:dyDescent="0.25">
      <c r="A194" s="229" t="s">
        <v>204</v>
      </c>
      <c r="B194" s="217">
        <v>298000</v>
      </c>
      <c r="C194" s="141"/>
      <c r="D194" s="217">
        <v>331000</v>
      </c>
      <c r="E194" s="217"/>
      <c r="F194" s="217">
        <v>263000</v>
      </c>
      <c r="G194" s="217"/>
      <c r="H194" s="217">
        <v>309000</v>
      </c>
      <c r="I194" s="217"/>
      <c r="J194" s="217">
        <v>251000</v>
      </c>
      <c r="K194" s="141"/>
      <c r="L194" s="141"/>
    </row>
    <row r="195" spans="1:12" s="59" customFormat="1" x14ac:dyDescent="0.25">
      <c r="A195" s="233" t="s">
        <v>274</v>
      </c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94"/>
    </row>
    <row r="196" spans="1:12" x14ac:dyDescent="0.25">
      <c r="A196" s="165"/>
      <c r="B196" s="138" t="s">
        <v>38</v>
      </c>
      <c r="C196" s="232">
        <f>190000/B194</f>
        <v>0.63758389261744963</v>
      </c>
      <c r="D196" s="138" t="s">
        <v>38</v>
      </c>
      <c r="E196" s="232">
        <f>222000/D194</f>
        <v>0.67069486404833834</v>
      </c>
      <c r="F196" s="138" t="s">
        <v>38</v>
      </c>
      <c r="G196" s="232">
        <f>208000/F194</f>
        <v>0.79087452471482889</v>
      </c>
      <c r="H196" s="138" t="s">
        <v>38</v>
      </c>
      <c r="I196" s="232">
        <f>219000/H194</f>
        <v>0.70873786407766992</v>
      </c>
      <c r="J196" s="138" t="s">
        <v>38</v>
      </c>
      <c r="K196" s="232">
        <f>205000/J194</f>
        <v>0.81673306772908372</v>
      </c>
      <c r="L196" s="141"/>
    </row>
    <row r="197" spans="1:12" x14ac:dyDescent="0.25">
      <c r="A197" s="165"/>
      <c r="B197" s="138" t="s">
        <v>27</v>
      </c>
      <c r="C197" s="232">
        <f>39600/B194</f>
        <v>0.13288590604026845</v>
      </c>
      <c r="D197" s="200" t="s">
        <v>22</v>
      </c>
      <c r="E197" s="232">
        <f>41700/D194</f>
        <v>0.12598187311178247</v>
      </c>
      <c r="F197" s="200" t="s">
        <v>73</v>
      </c>
      <c r="G197" s="232">
        <f>35600/F194</f>
        <v>0.13536121673003804</v>
      </c>
      <c r="H197" s="138" t="s">
        <v>73</v>
      </c>
      <c r="I197" s="232">
        <f>58000/H194</f>
        <v>0.18770226537216828</v>
      </c>
      <c r="J197" s="138" t="s">
        <v>73</v>
      </c>
      <c r="K197" s="232">
        <f>41100/J194</f>
        <v>0.16374501992031873</v>
      </c>
      <c r="L197" s="141"/>
    </row>
    <row r="198" spans="1:12" x14ac:dyDescent="0.25">
      <c r="A198" s="165"/>
      <c r="B198" s="138" t="s">
        <v>44</v>
      </c>
      <c r="C198" s="232">
        <f>23900/B194</f>
        <v>8.0201342281879195E-2</v>
      </c>
      <c r="D198" s="200" t="s">
        <v>44</v>
      </c>
      <c r="E198" s="232">
        <f>34600/D194</f>
        <v>0.10453172205438066</v>
      </c>
      <c r="F198" s="200" t="s">
        <v>44</v>
      </c>
      <c r="G198" s="232">
        <f>16500/F194</f>
        <v>6.2737642585551326E-2</v>
      </c>
      <c r="H198" s="138" t="s">
        <v>44</v>
      </c>
      <c r="I198" s="232">
        <f>10600/H194</f>
        <v>3.4304207119741102E-2</v>
      </c>
      <c r="J198" s="138" t="s">
        <v>79</v>
      </c>
      <c r="K198" s="232">
        <f>3500/J194</f>
        <v>1.3944223107569721E-2</v>
      </c>
      <c r="L198" s="141"/>
    </row>
    <row r="199" spans="1:12" x14ac:dyDescent="0.25">
      <c r="A199" s="165"/>
      <c r="B199" s="141"/>
      <c r="C199" s="262">
        <f>SUM(C196:C198)</f>
        <v>0.85067114093959728</v>
      </c>
      <c r="D199" s="160"/>
      <c r="E199" s="262">
        <f>SUM(E196:E198)</f>
        <v>0.90120845921450143</v>
      </c>
      <c r="F199" s="160"/>
      <c r="G199" s="262">
        <f>SUM(G196:G198)</f>
        <v>0.98897338403041835</v>
      </c>
      <c r="H199" s="141"/>
      <c r="I199" s="262">
        <f>SUM(I196:I198)</f>
        <v>0.93074433656957933</v>
      </c>
      <c r="J199" s="141"/>
      <c r="K199" s="262">
        <f>SUM(K196:K198)</f>
        <v>0.99442231075697218</v>
      </c>
      <c r="L199" s="141"/>
    </row>
    <row r="200" spans="1:12" x14ac:dyDescent="0.25">
      <c r="A200" s="165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</row>
    <row r="201" spans="1:12" x14ac:dyDescent="0.25">
      <c r="A201" s="165" t="s">
        <v>207</v>
      </c>
      <c r="B201" s="208">
        <v>2005</v>
      </c>
      <c r="C201" s="208" t="s">
        <v>272</v>
      </c>
      <c r="D201" s="208">
        <v>2006</v>
      </c>
      <c r="E201" s="208" t="s">
        <v>272</v>
      </c>
      <c r="F201" s="208">
        <v>2007</v>
      </c>
      <c r="G201" s="208" t="s">
        <v>272</v>
      </c>
      <c r="H201" s="208">
        <v>2008</v>
      </c>
      <c r="I201" s="208" t="s">
        <v>272</v>
      </c>
      <c r="J201" s="208">
        <v>2009</v>
      </c>
      <c r="K201" s="208" t="s">
        <v>272</v>
      </c>
      <c r="L201" s="208" t="s">
        <v>273</v>
      </c>
    </row>
    <row r="202" spans="1:12" x14ac:dyDescent="0.25">
      <c r="A202" s="228" t="s">
        <v>172</v>
      </c>
      <c r="B202" s="260" t="s">
        <v>394</v>
      </c>
      <c r="C202" s="141"/>
      <c r="D202" s="260" t="s">
        <v>394</v>
      </c>
      <c r="E202" s="141"/>
      <c r="F202" s="260" t="s">
        <v>394</v>
      </c>
      <c r="G202" s="141"/>
      <c r="H202" s="260" t="s">
        <v>394</v>
      </c>
      <c r="I202" s="141"/>
      <c r="J202" s="260" t="s">
        <v>394</v>
      </c>
      <c r="K202" s="141"/>
      <c r="L202" s="141"/>
    </row>
    <row r="203" spans="1:12" x14ac:dyDescent="0.25">
      <c r="A203" s="228" t="s">
        <v>121</v>
      </c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</row>
    <row r="204" spans="1:12" x14ac:dyDescent="0.25">
      <c r="A204" s="229" t="s">
        <v>208</v>
      </c>
      <c r="B204" s="217">
        <v>137</v>
      </c>
      <c r="C204" s="217"/>
      <c r="D204" s="217">
        <v>133</v>
      </c>
      <c r="E204" s="217"/>
      <c r="F204" s="217">
        <v>125</v>
      </c>
      <c r="G204" s="217"/>
      <c r="H204" s="217">
        <v>170</v>
      </c>
      <c r="I204" s="217"/>
      <c r="J204" s="217">
        <v>147</v>
      </c>
      <c r="K204" s="141"/>
      <c r="L204" s="141" t="s">
        <v>536</v>
      </c>
    </row>
    <row r="205" spans="1:12" x14ac:dyDescent="0.25">
      <c r="A205" s="229" t="s">
        <v>209</v>
      </c>
      <c r="B205" s="217" t="s">
        <v>165</v>
      </c>
      <c r="C205" s="217"/>
      <c r="D205" s="217" t="s">
        <v>165</v>
      </c>
      <c r="E205" s="217"/>
      <c r="F205" s="217" t="s">
        <v>165</v>
      </c>
      <c r="G205" s="217"/>
      <c r="H205" s="217" t="s">
        <v>165</v>
      </c>
      <c r="I205" s="217"/>
      <c r="J205" s="217" t="s">
        <v>165</v>
      </c>
      <c r="K205" s="141"/>
      <c r="L205" s="141"/>
    </row>
    <row r="206" spans="1:12" x14ac:dyDescent="0.25">
      <c r="A206" s="228" t="s">
        <v>173</v>
      </c>
      <c r="B206" s="217"/>
      <c r="C206" s="217"/>
      <c r="D206" s="217"/>
      <c r="E206" s="217"/>
      <c r="F206" s="217"/>
      <c r="G206" s="217"/>
      <c r="H206" s="217"/>
      <c r="I206" s="217"/>
      <c r="J206" s="217"/>
      <c r="K206" s="141"/>
      <c r="L206" s="141"/>
    </row>
    <row r="207" spans="1:12" x14ac:dyDescent="0.25">
      <c r="A207" s="229" t="s">
        <v>208</v>
      </c>
      <c r="B207" s="217">
        <v>5</v>
      </c>
      <c r="C207" s="217"/>
      <c r="D207" s="217">
        <v>6</v>
      </c>
      <c r="E207" s="217"/>
      <c r="F207" s="217">
        <v>4</v>
      </c>
      <c r="G207" s="217"/>
      <c r="H207" s="217">
        <v>1</v>
      </c>
      <c r="I207" s="217"/>
      <c r="J207" s="217">
        <v>1</v>
      </c>
      <c r="K207" s="141"/>
      <c r="L207" s="141"/>
    </row>
    <row r="208" spans="1:12" x14ac:dyDescent="0.25">
      <c r="A208" s="229" t="s">
        <v>209</v>
      </c>
      <c r="B208" s="217">
        <v>25</v>
      </c>
      <c r="C208" s="217"/>
      <c r="D208" s="217">
        <v>20</v>
      </c>
      <c r="E208" s="217"/>
      <c r="F208" s="217">
        <v>22</v>
      </c>
      <c r="G208" s="217"/>
      <c r="H208" s="217">
        <v>22</v>
      </c>
      <c r="I208" s="217"/>
      <c r="J208" s="217">
        <v>8</v>
      </c>
      <c r="K208" s="141"/>
      <c r="L208" s="141"/>
    </row>
    <row r="209" spans="1:12" x14ac:dyDescent="0.25">
      <c r="A209" s="228" t="s">
        <v>174</v>
      </c>
      <c r="B209" s="217"/>
      <c r="C209" s="217"/>
      <c r="D209" s="217"/>
      <c r="E209" s="217"/>
      <c r="F209" s="217"/>
      <c r="G209" s="217"/>
      <c r="H209" s="217"/>
      <c r="I209" s="217"/>
      <c r="J209" s="217"/>
      <c r="K209" s="141"/>
      <c r="L209" s="141"/>
    </row>
    <row r="210" spans="1:12" x14ac:dyDescent="0.25">
      <c r="A210" s="229" t="s">
        <v>208</v>
      </c>
      <c r="B210" s="217">
        <v>152</v>
      </c>
      <c r="C210" s="217"/>
      <c r="D210" s="217">
        <v>163</v>
      </c>
      <c r="E210" s="217"/>
      <c r="F210" s="217">
        <v>134</v>
      </c>
      <c r="G210" s="217"/>
      <c r="H210" s="217">
        <v>167</v>
      </c>
      <c r="I210" s="217"/>
      <c r="J210" s="217">
        <v>126</v>
      </c>
      <c r="K210" s="141"/>
      <c r="L210" s="141"/>
    </row>
    <row r="211" spans="1:12" s="59" customFormat="1" x14ac:dyDescent="0.25">
      <c r="A211" s="233" t="s">
        <v>274</v>
      </c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94"/>
    </row>
    <row r="212" spans="1:12" x14ac:dyDescent="0.25">
      <c r="A212" s="229"/>
      <c r="B212" s="200" t="s">
        <v>22</v>
      </c>
      <c r="C212" s="232">
        <f>96.3/B210</f>
        <v>0.63355263157894737</v>
      </c>
      <c r="D212" s="200" t="s">
        <v>22</v>
      </c>
      <c r="E212" s="232">
        <f>127/D210</f>
        <v>0.77914110429447858</v>
      </c>
      <c r="F212" s="138" t="s">
        <v>22</v>
      </c>
      <c r="G212" s="232">
        <f>117/F210</f>
        <v>0.87313432835820892</v>
      </c>
      <c r="H212" s="200" t="s">
        <v>22</v>
      </c>
      <c r="I212" s="232">
        <f>126/H210</f>
        <v>0.75449101796407181</v>
      </c>
      <c r="J212" s="138" t="s">
        <v>22</v>
      </c>
      <c r="K212" s="232">
        <f>79/J210</f>
        <v>0.62698412698412698</v>
      </c>
      <c r="L212" s="141"/>
    </row>
    <row r="213" spans="1:12" x14ac:dyDescent="0.25">
      <c r="A213" s="234"/>
      <c r="B213" s="200" t="s">
        <v>38</v>
      </c>
      <c r="C213" s="232">
        <f>40.9/B210</f>
        <v>0.26907894736842103</v>
      </c>
      <c r="D213" s="200" t="s">
        <v>38</v>
      </c>
      <c r="E213" s="232">
        <f>18.7/D210</f>
        <v>0.11472392638036809</v>
      </c>
      <c r="F213" s="200" t="s">
        <v>38</v>
      </c>
      <c r="G213" s="232">
        <f>15.7/F210</f>
        <v>0.1171641791044776</v>
      </c>
      <c r="H213" s="200" t="s">
        <v>38</v>
      </c>
      <c r="I213" s="232">
        <f>21.5/H210</f>
        <v>0.12874251497005987</v>
      </c>
      <c r="J213" s="200" t="s">
        <v>38</v>
      </c>
      <c r="K213" s="232">
        <f>26.3/J210</f>
        <v>0.20873015873015874</v>
      </c>
      <c r="L213" s="141"/>
    </row>
    <row r="214" spans="1:12" x14ac:dyDescent="0.25">
      <c r="A214" s="234"/>
      <c r="B214" s="200" t="s">
        <v>28</v>
      </c>
      <c r="C214" s="232">
        <f>5.8/B210</f>
        <v>3.8157894736842106E-2</v>
      </c>
      <c r="D214" s="200" t="s">
        <v>211</v>
      </c>
      <c r="E214" s="232">
        <f>12.6/D210</f>
        <v>7.7300613496932513E-2</v>
      </c>
      <c r="F214" s="200" t="s">
        <v>71</v>
      </c>
      <c r="G214" s="232">
        <f>1.22/F210</f>
        <v>9.1044776119402985E-3</v>
      </c>
      <c r="H214" s="200" t="s">
        <v>28</v>
      </c>
      <c r="I214" s="232">
        <f>15.6/H210</f>
        <v>9.3413173652694609E-2</v>
      </c>
      <c r="J214" s="200" t="s">
        <v>28</v>
      </c>
      <c r="K214" s="232">
        <f>15.4/J210</f>
        <v>0.12222222222222222</v>
      </c>
      <c r="L214" s="141"/>
    </row>
    <row r="215" spans="1:12" x14ac:dyDescent="0.25">
      <c r="A215" s="234"/>
      <c r="B215" s="200"/>
      <c r="C215" s="262">
        <f>SUM(C212:C214)</f>
        <v>0.94078947368421051</v>
      </c>
      <c r="D215" s="200"/>
      <c r="E215" s="262">
        <f>SUM(E212:E214)</f>
        <v>0.9711656441717792</v>
      </c>
      <c r="F215" s="200"/>
      <c r="G215" s="262">
        <f>SUM(G212:G214)</f>
        <v>0.99940298507462688</v>
      </c>
      <c r="H215" s="200"/>
      <c r="I215" s="262">
        <f>SUM(I212:I214)</f>
        <v>0.97664670658682629</v>
      </c>
      <c r="J215" s="200"/>
      <c r="K215" s="262">
        <f>SUM(K212:K214)</f>
        <v>0.95793650793650797</v>
      </c>
      <c r="L215" s="141"/>
    </row>
    <row r="216" spans="1:12" x14ac:dyDescent="0.25">
      <c r="A216" s="234"/>
      <c r="B216" s="200"/>
      <c r="C216" s="232"/>
      <c r="D216" s="200"/>
      <c r="E216" s="232"/>
      <c r="F216" s="200"/>
      <c r="G216" s="232"/>
      <c r="H216" s="200"/>
      <c r="I216" s="232"/>
      <c r="J216" s="200"/>
      <c r="K216" s="232"/>
      <c r="L216" s="141"/>
    </row>
    <row r="217" spans="1:12" x14ac:dyDescent="0.25">
      <c r="A217" s="229" t="s">
        <v>209</v>
      </c>
      <c r="B217" s="217">
        <v>478</v>
      </c>
      <c r="C217" s="217"/>
      <c r="D217" s="217">
        <v>433</v>
      </c>
      <c r="E217" s="217"/>
      <c r="F217" s="217">
        <v>437</v>
      </c>
      <c r="G217" s="217"/>
      <c r="H217" s="217">
        <v>386</v>
      </c>
      <c r="I217" s="217"/>
      <c r="J217" s="217">
        <v>151</v>
      </c>
      <c r="K217" s="141"/>
      <c r="L217" s="141"/>
    </row>
    <row r="218" spans="1:12" s="59" customFormat="1" x14ac:dyDescent="0.25">
      <c r="A218" s="233" t="s">
        <v>274</v>
      </c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94"/>
    </row>
    <row r="219" spans="1:12" x14ac:dyDescent="0.25">
      <c r="A219" s="165"/>
      <c r="B219" s="138" t="s">
        <v>22</v>
      </c>
      <c r="C219" s="232">
        <f>390/B217</f>
        <v>0.81589958158995812</v>
      </c>
      <c r="D219" s="138" t="s">
        <v>22</v>
      </c>
      <c r="E219" s="232">
        <f>360/D217</f>
        <v>0.8314087759815243</v>
      </c>
      <c r="F219" s="138" t="s">
        <v>22</v>
      </c>
      <c r="G219" s="232">
        <f>364/F217</f>
        <v>0.83295194508009152</v>
      </c>
      <c r="H219" s="138" t="s">
        <v>22</v>
      </c>
      <c r="I219" s="232">
        <f>319/H217</f>
        <v>0.82642487046632129</v>
      </c>
      <c r="J219" s="138" t="s">
        <v>22</v>
      </c>
      <c r="K219" s="232">
        <f>96.9/J217</f>
        <v>0.6417218543046358</v>
      </c>
      <c r="L219" s="141"/>
    </row>
    <row r="220" spans="1:12" x14ac:dyDescent="0.25">
      <c r="A220" s="165"/>
      <c r="B220" s="138" t="s">
        <v>28</v>
      </c>
      <c r="C220" s="232">
        <f>28/B217</f>
        <v>5.8577405857740586E-2</v>
      </c>
      <c r="D220" s="138" t="s">
        <v>48</v>
      </c>
      <c r="E220" s="232">
        <f>30.5/D217</f>
        <v>7.0438799076212477E-2</v>
      </c>
      <c r="F220" s="138" t="s">
        <v>48</v>
      </c>
      <c r="G220" s="232">
        <f>32.7/F217</f>
        <v>7.4828375286041193E-2</v>
      </c>
      <c r="H220" s="138" t="s">
        <v>48</v>
      </c>
      <c r="I220" s="232">
        <f>31.2/H217</f>
        <v>8.0829015544041455E-2</v>
      </c>
      <c r="J220" s="138" t="s">
        <v>28</v>
      </c>
      <c r="K220" s="232">
        <f>22.2/J217</f>
        <v>0.14701986754966886</v>
      </c>
      <c r="L220" s="141"/>
    </row>
    <row r="221" spans="1:12" x14ac:dyDescent="0.25">
      <c r="A221" s="165"/>
      <c r="B221" s="138" t="s">
        <v>211</v>
      </c>
      <c r="C221" s="232">
        <f>20.9/B217</f>
        <v>4.3723849372384938E-2</v>
      </c>
      <c r="D221" s="138" t="s">
        <v>212</v>
      </c>
      <c r="E221" s="232">
        <f>20/D217</f>
        <v>4.6189376443418015E-2</v>
      </c>
      <c r="F221" s="138" t="s">
        <v>27</v>
      </c>
      <c r="G221" s="232">
        <f>16.8/F217</f>
        <v>3.8443935926773455E-2</v>
      </c>
      <c r="H221" s="138" t="s">
        <v>210</v>
      </c>
      <c r="I221" s="232">
        <f>11.2/H217</f>
        <v>2.9015544041450774E-2</v>
      </c>
      <c r="J221" s="138" t="s">
        <v>48</v>
      </c>
      <c r="K221" s="232">
        <f>21.2/J217</f>
        <v>0.14039735099337747</v>
      </c>
      <c r="L221" s="141"/>
    </row>
    <row r="222" spans="1:12" x14ac:dyDescent="0.25">
      <c r="A222" s="165"/>
      <c r="B222" s="141"/>
      <c r="C222" s="262">
        <f>SUM(C219:C221)</f>
        <v>0.91820083682008369</v>
      </c>
      <c r="D222" s="141"/>
      <c r="E222" s="262">
        <f>SUM(E219:E221)</f>
        <v>0.94803695150115486</v>
      </c>
      <c r="F222" s="141"/>
      <c r="G222" s="262">
        <f>SUM(G219:G221)</f>
        <v>0.94622425629290619</v>
      </c>
      <c r="H222" s="141"/>
      <c r="I222" s="262">
        <f>SUM(I219:I221)</f>
        <v>0.93626943005181351</v>
      </c>
      <c r="J222" s="141"/>
      <c r="K222" s="262">
        <f>SUM(K219:K221)</f>
        <v>0.92913907284768216</v>
      </c>
      <c r="L222" s="141"/>
    </row>
    <row r="223" spans="1:12" x14ac:dyDescent="0.25">
      <c r="A223" s="165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</row>
    <row r="224" spans="1:12" x14ac:dyDescent="0.25">
      <c r="A224" s="165" t="s">
        <v>255</v>
      </c>
      <c r="B224" s="208">
        <v>2005</v>
      </c>
      <c r="C224" s="208" t="s">
        <v>272</v>
      </c>
      <c r="D224" s="208">
        <v>2006</v>
      </c>
      <c r="E224" s="208" t="s">
        <v>272</v>
      </c>
      <c r="F224" s="208">
        <v>2007</v>
      </c>
      <c r="G224" s="208" t="s">
        <v>272</v>
      </c>
      <c r="H224" s="208">
        <v>2008</v>
      </c>
      <c r="I224" s="208" t="s">
        <v>272</v>
      </c>
      <c r="J224" s="208">
        <v>2009</v>
      </c>
      <c r="K224" s="208" t="s">
        <v>272</v>
      </c>
      <c r="L224" s="208" t="s">
        <v>273</v>
      </c>
    </row>
    <row r="225" spans="1:12" x14ac:dyDescent="0.25">
      <c r="A225" s="228" t="s">
        <v>172</v>
      </c>
      <c r="B225" s="217">
        <v>82100</v>
      </c>
      <c r="C225" s="217"/>
      <c r="D225" s="217">
        <v>77600</v>
      </c>
      <c r="E225" s="217"/>
      <c r="F225" s="217">
        <v>72200</v>
      </c>
      <c r="G225" s="217"/>
      <c r="H225" s="217">
        <v>64500</v>
      </c>
      <c r="I225" s="217"/>
      <c r="J225" s="217">
        <v>50900</v>
      </c>
      <c r="K225" s="141"/>
      <c r="L225" s="141" t="s">
        <v>537</v>
      </c>
    </row>
    <row r="226" spans="1:12" x14ac:dyDescent="0.25">
      <c r="A226" s="228" t="s">
        <v>121</v>
      </c>
      <c r="B226" s="217">
        <v>73300</v>
      </c>
      <c r="C226" s="217"/>
      <c r="D226" s="217">
        <v>94900</v>
      </c>
      <c r="E226" s="217"/>
      <c r="F226" s="217">
        <v>89300</v>
      </c>
      <c r="G226" s="217"/>
      <c r="H226" s="217">
        <v>88400</v>
      </c>
      <c r="I226" s="217"/>
      <c r="J226" s="217">
        <v>68600</v>
      </c>
      <c r="K226" s="141"/>
      <c r="L226" s="141" t="s">
        <v>538</v>
      </c>
    </row>
    <row r="227" spans="1:12" x14ac:dyDescent="0.25">
      <c r="A227" s="228" t="s">
        <v>173</v>
      </c>
      <c r="B227" s="217">
        <v>9650</v>
      </c>
      <c r="C227" s="217"/>
      <c r="D227" s="217">
        <v>12300</v>
      </c>
      <c r="E227" s="217"/>
      <c r="F227" s="217">
        <v>14800</v>
      </c>
      <c r="G227" s="217"/>
      <c r="H227" s="217">
        <v>14400</v>
      </c>
      <c r="I227" s="217"/>
      <c r="J227" s="217">
        <v>19600</v>
      </c>
      <c r="K227" s="141"/>
      <c r="L227" s="141"/>
    </row>
    <row r="228" spans="1:12" x14ac:dyDescent="0.25">
      <c r="A228" s="228" t="s">
        <v>174</v>
      </c>
      <c r="B228" s="217">
        <v>84700</v>
      </c>
      <c r="C228" s="217"/>
      <c r="D228" s="217">
        <v>75300</v>
      </c>
      <c r="E228" s="217"/>
      <c r="F228" s="217">
        <v>71800</v>
      </c>
      <c r="G228" s="217"/>
      <c r="H228" s="217">
        <v>83300</v>
      </c>
      <c r="I228" s="217"/>
      <c r="J228" s="217">
        <v>47300</v>
      </c>
      <c r="K228" s="141"/>
      <c r="L228" s="141" t="s">
        <v>539</v>
      </c>
    </row>
    <row r="229" spans="1:12" s="59" customFormat="1" x14ac:dyDescent="0.25">
      <c r="A229" s="231" t="s">
        <v>274</v>
      </c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94"/>
    </row>
    <row r="230" spans="1:12" x14ac:dyDescent="0.25">
      <c r="A230" s="165"/>
      <c r="B230" s="138" t="s">
        <v>38</v>
      </c>
      <c r="C230" s="232">
        <f>39053/B228</f>
        <v>0.46107438016528923</v>
      </c>
      <c r="D230" s="138" t="s">
        <v>38</v>
      </c>
      <c r="E230" s="232">
        <f>39660/D228</f>
        <v>0.52669322709163346</v>
      </c>
      <c r="F230" s="138" t="s">
        <v>38</v>
      </c>
      <c r="G230" s="232">
        <f>26075/F228</f>
        <v>0.3631615598885794</v>
      </c>
      <c r="H230" s="138" t="s">
        <v>141</v>
      </c>
      <c r="I230" s="232">
        <f>25740/H228</f>
        <v>0.3090036014405762</v>
      </c>
      <c r="J230" s="138" t="s">
        <v>141</v>
      </c>
      <c r="K230" s="232">
        <f>16340/J228</f>
        <v>0.34545454545454546</v>
      </c>
      <c r="L230" s="141"/>
    </row>
    <row r="231" spans="1:12" x14ac:dyDescent="0.25">
      <c r="A231" s="165"/>
      <c r="B231" s="138" t="s">
        <v>141</v>
      </c>
      <c r="C231" s="232">
        <f>14600/B228</f>
        <v>0.17237308146399055</v>
      </c>
      <c r="D231" s="138" t="s">
        <v>24</v>
      </c>
      <c r="E231" s="232">
        <f>13009/D228</f>
        <v>0.17276228419654716</v>
      </c>
      <c r="F231" s="138" t="s">
        <v>141</v>
      </c>
      <c r="G231" s="232">
        <f>16650/F228</f>
        <v>0.23189415041782729</v>
      </c>
      <c r="H231" s="138" t="s">
        <v>22</v>
      </c>
      <c r="I231" s="232">
        <f>19913/H228</f>
        <v>0.2390516206482593</v>
      </c>
      <c r="J231" s="138" t="s">
        <v>38</v>
      </c>
      <c r="K231" s="232">
        <f>15511/J228</f>
        <v>0.32792811839323466</v>
      </c>
      <c r="L231" s="141"/>
    </row>
    <row r="232" spans="1:12" x14ac:dyDescent="0.25">
      <c r="A232" s="165"/>
      <c r="B232" s="138" t="s">
        <v>24</v>
      </c>
      <c r="C232" s="232">
        <f>12711/B228</f>
        <v>0.15007083825265644</v>
      </c>
      <c r="D232" s="138" t="s">
        <v>141</v>
      </c>
      <c r="E232" s="232">
        <f>10530/D228</f>
        <v>0.1398406374501992</v>
      </c>
      <c r="F232" s="138" t="s">
        <v>24</v>
      </c>
      <c r="G232" s="232">
        <f>6130/F228</f>
        <v>8.537604456824513E-2</v>
      </c>
      <c r="H232" s="138" t="s">
        <v>38</v>
      </c>
      <c r="I232" s="232">
        <f>19796/H228</f>
        <v>0.23764705882352941</v>
      </c>
      <c r="J232" s="138" t="s">
        <v>22</v>
      </c>
      <c r="K232" s="232">
        <f>5275/J228</f>
        <v>0.11152219873150106</v>
      </c>
      <c r="L232" s="141"/>
    </row>
    <row r="233" spans="1:12" x14ac:dyDescent="0.25">
      <c r="A233" s="165"/>
      <c r="B233" s="141"/>
      <c r="C233" s="262">
        <f>SUM(C230:C232)</f>
        <v>0.78351829988193622</v>
      </c>
      <c r="D233" s="141"/>
      <c r="E233" s="262">
        <f>SUM(E230:E232)</f>
        <v>0.83929614873837988</v>
      </c>
      <c r="F233" s="141"/>
      <c r="G233" s="262">
        <f>SUM(G230:G232)</f>
        <v>0.6804317548746518</v>
      </c>
      <c r="H233" s="141"/>
      <c r="I233" s="262">
        <f>SUM(I230:I232)</f>
        <v>0.78570228091236494</v>
      </c>
      <c r="J233" s="141"/>
      <c r="K233" s="262">
        <f>SUM(K230:K232)</f>
        <v>0.78490486257928116</v>
      </c>
      <c r="L233" s="141"/>
    </row>
    <row r="234" spans="1:12" x14ac:dyDescent="0.25">
      <c r="A234" s="165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</row>
    <row r="235" spans="1:12" x14ac:dyDescent="0.25">
      <c r="A235" s="165" t="s">
        <v>213</v>
      </c>
      <c r="B235" s="208">
        <v>2005</v>
      </c>
      <c r="C235" s="208" t="s">
        <v>272</v>
      </c>
      <c r="D235" s="208">
        <v>2006</v>
      </c>
      <c r="E235" s="208" t="s">
        <v>272</v>
      </c>
      <c r="F235" s="208">
        <v>2007</v>
      </c>
      <c r="G235" s="208" t="s">
        <v>272</v>
      </c>
      <c r="H235" s="208">
        <v>2008</v>
      </c>
      <c r="I235" s="208" t="s">
        <v>272</v>
      </c>
      <c r="J235" s="208">
        <v>2009</v>
      </c>
      <c r="K235" s="208" t="s">
        <v>272</v>
      </c>
      <c r="L235" s="208" t="s">
        <v>273</v>
      </c>
    </row>
    <row r="236" spans="1:12" x14ac:dyDescent="0.25">
      <c r="A236" s="228" t="s">
        <v>172</v>
      </c>
      <c r="B236" s="217">
        <v>773</v>
      </c>
      <c r="C236" s="217"/>
      <c r="D236" s="217">
        <v>1060</v>
      </c>
      <c r="E236" s="217"/>
      <c r="F236" s="217">
        <v>979</v>
      </c>
      <c r="G236" s="217"/>
      <c r="H236" s="217">
        <v>844</v>
      </c>
      <c r="I236" s="217"/>
      <c r="J236" s="217">
        <v>445</v>
      </c>
      <c r="K236" s="141"/>
      <c r="L236" s="141" t="s">
        <v>519</v>
      </c>
    </row>
    <row r="237" spans="1:12" x14ac:dyDescent="0.25">
      <c r="A237" s="228" t="s">
        <v>121</v>
      </c>
      <c r="B237" s="217" t="s">
        <v>165</v>
      </c>
      <c r="C237" s="217"/>
      <c r="D237" s="217" t="s">
        <v>165</v>
      </c>
      <c r="E237" s="217"/>
      <c r="F237" s="217" t="s">
        <v>165</v>
      </c>
      <c r="G237" s="217"/>
      <c r="H237" s="217" t="s">
        <v>165</v>
      </c>
      <c r="I237" s="217"/>
      <c r="J237" s="217" t="s">
        <v>165</v>
      </c>
      <c r="K237" s="141"/>
      <c r="L237" s="141"/>
    </row>
    <row r="238" spans="1:12" x14ac:dyDescent="0.25">
      <c r="A238" s="228" t="s">
        <v>173</v>
      </c>
      <c r="B238" s="217">
        <v>2670</v>
      </c>
      <c r="C238" s="217"/>
      <c r="D238" s="217">
        <v>3900</v>
      </c>
      <c r="E238" s="217"/>
      <c r="F238" s="217">
        <v>3280</v>
      </c>
      <c r="G238" s="217"/>
      <c r="H238" s="217">
        <v>4580</v>
      </c>
      <c r="I238" s="217"/>
      <c r="J238" s="217">
        <v>3470</v>
      </c>
      <c r="K238" s="141"/>
      <c r="L238" s="141" t="s">
        <v>540</v>
      </c>
    </row>
    <row r="239" spans="1:12" x14ac:dyDescent="0.25">
      <c r="A239" s="228" t="s">
        <v>174</v>
      </c>
      <c r="B239" s="217">
        <v>32390</v>
      </c>
      <c r="C239" s="217"/>
      <c r="D239" s="217">
        <v>32900</v>
      </c>
      <c r="E239" s="217"/>
      <c r="F239" s="217">
        <v>37998</v>
      </c>
      <c r="G239" s="217"/>
      <c r="H239" s="217">
        <v>31692</v>
      </c>
      <c r="I239" s="217"/>
      <c r="J239" s="217">
        <v>23000</v>
      </c>
      <c r="K239" s="141"/>
      <c r="L239" s="141" t="s">
        <v>540</v>
      </c>
    </row>
    <row r="240" spans="1:12" s="59" customFormat="1" x14ac:dyDescent="0.25">
      <c r="A240" s="231" t="s">
        <v>274</v>
      </c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94"/>
    </row>
    <row r="241" spans="1:12" x14ac:dyDescent="0.25">
      <c r="A241" s="165"/>
      <c r="B241" s="138" t="s">
        <v>22</v>
      </c>
      <c r="C241" s="232">
        <f>15220/B239</f>
        <v>0.469898116702686</v>
      </c>
      <c r="D241" s="138" t="s">
        <v>22</v>
      </c>
      <c r="E241" s="232">
        <f>21910/D239</f>
        <v>0.66595744680851066</v>
      </c>
      <c r="F241" s="138" t="s">
        <v>22</v>
      </c>
      <c r="G241" s="232">
        <f>28272/F239</f>
        <v>0.74403915995578718</v>
      </c>
      <c r="H241" s="138" t="s">
        <v>22</v>
      </c>
      <c r="I241" s="232">
        <f>22349/H239</f>
        <v>0.70519373974504607</v>
      </c>
      <c r="J241" s="138" t="s">
        <v>22</v>
      </c>
      <c r="K241" s="232">
        <f>15763/J239</f>
        <v>0.68534782608695655</v>
      </c>
      <c r="L241" s="141"/>
    </row>
    <row r="242" spans="1:12" x14ac:dyDescent="0.25">
      <c r="A242" s="165"/>
      <c r="B242" s="138" t="s">
        <v>34</v>
      </c>
      <c r="C242" s="232">
        <f>11000/B239</f>
        <v>0.33961099104661935</v>
      </c>
      <c r="D242" s="138" t="s">
        <v>34</v>
      </c>
      <c r="E242" s="232">
        <f>7800/D239</f>
        <v>0.23708206686930092</v>
      </c>
      <c r="F242" s="138" t="s">
        <v>34</v>
      </c>
      <c r="G242" s="232">
        <f>5950/F239</f>
        <v>0.1565871887994105</v>
      </c>
      <c r="H242" s="138" t="s">
        <v>34</v>
      </c>
      <c r="I242" s="232">
        <f>5570/H239</f>
        <v>0.17575413353527705</v>
      </c>
      <c r="J242" s="138" t="s">
        <v>34</v>
      </c>
      <c r="K242" s="232">
        <f>4980/J239</f>
        <v>0.21652173913043479</v>
      </c>
      <c r="L242" s="141"/>
    </row>
    <row r="243" spans="1:12" x14ac:dyDescent="0.25">
      <c r="A243" s="165"/>
      <c r="B243" s="138" t="s">
        <v>72</v>
      </c>
      <c r="C243" s="232">
        <f>2780/B239</f>
        <v>8.5828959555418333E-2</v>
      </c>
      <c r="D243" s="138" t="s">
        <v>38</v>
      </c>
      <c r="E243" s="232">
        <f>1010/D239</f>
        <v>3.0699088145896655E-2</v>
      </c>
      <c r="F243" s="138" t="s">
        <v>57</v>
      </c>
      <c r="G243" s="232">
        <f>1420/F239</f>
        <v>3.737038791515343E-2</v>
      </c>
      <c r="H243" s="138" t="s">
        <v>57</v>
      </c>
      <c r="I243" s="232">
        <f>1420/H239</f>
        <v>4.4806260254953933E-2</v>
      </c>
      <c r="J243" s="138" t="s">
        <v>38</v>
      </c>
      <c r="K243" s="232">
        <f>701/J239</f>
        <v>3.0478260869565219E-2</v>
      </c>
      <c r="L243" s="141"/>
    </row>
    <row r="244" spans="1:12" x14ac:dyDescent="0.25">
      <c r="A244" s="165"/>
      <c r="B244" s="141"/>
      <c r="C244" s="262">
        <f>SUM(C241:C243)</f>
        <v>0.89533806730472365</v>
      </c>
      <c r="D244" s="141"/>
      <c r="E244" s="262">
        <f>SUM(E241:E243)</f>
        <v>0.93373860182370816</v>
      </c>
      <c r="F244" s="141"/>
      <c r="G244" s="262">
        <f>SUM(G241:G243)</f>
        <v>0.93799673667035111</v>
      </c>
      <c r="H244" s="141"/>
      <c r="I244" s="262">
        <f>SUM(I241:I243)</f>
        <v>0.92575413353527702</v>
      </c>
      <c r="J244" s="141"/>
      <c r="K244" s="262">
        <f>SUM(K241:K243)</f>
        <v>0.93234782608695654</v>
      </c>
      <c r="L244" s="141"/>
    </row>
    <row r="245" spans="1:12" x14ac:dyDescent="0.25">
      <c r="A245" s="165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</row>
    <row r="246" spans="1:12" x14ac:dyDescent="0.25">
      <c r="A246" s="165" t="s">
        <v>215</v>
      </c>
      <c r="B246" s="208">
        <v>2005</v>
      </c>
      <c r="C246" s="208" t="s">
        <v>272</v>
      </c>
      <c r="D246" s="208">
        <v>2006</v>
      </c>
      <c r="E246" s="208" t="s">
        <v>272</v>
      </c>
      <c r="F246" s="208">
        <v>2007</v>
      </c>
      <c r="G246" s="208" t="s">
        <v>272</v>
      </c>
      <c r="H246" s="208">
        <v>2008</v>
      </c>
      <c r="I246" s="208" t="s">
        <v>272</v>
      </c>
      <c r="J246" s="208">
        <v>2009</v>
      </c>
      <c r="K246" s="208" t="s">
        <v>272</v>
      </c>
      <c r="L246" s="208" t="s">
        <v>273</v>
      </c>
    </row>
    <row r="247" spans="1:12" x14ac:dyDescent="0.25">
      <c r="A247" s="228" t="s">
        <v>172</v>
      </c>
      <c r="B247" s="217">
        <v>18900</v>
      </c>
      <c r="C247" s="217"/>
      <c r="D247" s="217">
        <v>19000</v>
      </c>
      <c r="E247" s="217"/>
      <c r="F247" s="217">
        <v>21000</v>
      </c>
      <c r="G247" s="217"/>
      <c r="H247" s="217">
        <v>21100</v>
      </c>
      <c r="I247" s="217"/>
      <c r="J247" s="217">
        <v>18100</v>
      </c>
      <c r="K247" s="141"/>
      <c r="L247" s="141" t="s">
        <v>541</v>
      </c>
    </row>
    <row r="248" spans="1:12" x14ac:dyDescent="0.25">
      <c r="A248" s="228" t="s">
        <v>121</v>
      </c>
      <c r="B248" s="217">
        <v>78500</v>
      </c>
      <c r="C248" s="217"/>
      <c r="D248" s="217">
        <v>78000</v>
      </c>
      <c r="E248" s="217"/>
      <c r="F248" s="217">
        <v>72800</v>
      </c>
      <c r="G248" s="217"/>
      <c r="H248" s="217">
        <v>72900</v>
      </c>
      <c r="I248" s="217"/>
      <c r="J248" s="217">
        <v>59900</v>
      </c>
      <c r="K248" s="141"/>
      <c r="L248" s="141"/>
    </row>
    <row r="249" spans="1:12" x14ac:dyDescent="0.25">
      <c r="A249" s="228" t="s">
        <v>173</v>
      </c>
      <c r="B249" s="217">
        <v>2090</v>
      </c>
      <c r="C249" s="217"/>
      <c r="D249" s="217">
        <v>2010</v>
      </c>
      <c r="E249" s="217"/>
      <c r="F249" s="217">
        <v>1220</v>
      </c>
      <c r="G249" s="217"/>
      <c r="H249" s="217">
        <v>1290</v>
      </c>
      <c r="I249" s="217"/>
      <c r="J249" s="217">
        <v>827</v>
      </c>
      <c r="K249" s="141"/>
      <c r="L249" s="141" t="s">
        <v>542</v>
      </c>
    </row>
    <row r="250" spans="1:12" x14ac:dyDescent="0.25">
      <c r="A250" s="228" t="s">
        <v>174</v>
      </c>
      <c r="B250" s="217">
        <v>4050</v>
      </c>
      <c r="C250" s="217"/>
      <c r="D250" s="217">
        <v>3060</v>
      </c>
      <c r="E250" s="217"/>
      <c r="F250" s="217">
        <v>4100</v>
      </c>
      <c r="G250" s="217"/>
      <c r="H250" s="217">
        <v>2320</v>
      </c>
      <c r="I250" s="217"/>
      <c r="J250" s="217">
        <v>2030</v>
      </c>
      <c r="K250" s="141"/>
      <c r="L250" s="141" t="s">
        <v>542</v>
      </c>
    </row>
    <row r="251" spans="1:12" s="59" customFormat="1" x14ac:dyDescent="0.25">
      <c r="A251" s="231" t="s">
        <v>274</v>
      </c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94"/>
    </row>
    <row r="252" spans="1:12" x14ac:dyDescent="0.25">
      <c r="A252" s="228"/>
      <c r="B252" s="138" t="s">
        <v>22</v>
      </c>
      <c r="C252" s="232">
        <f>3030/B250</f>
        <v>0.74814814814814812</v>
      </c>
      <c r="D252" s="138" t="s">
        <v>22</v>
      </c>
      <c r="E252" s="232">
        <f>1790/D250</f>
        <v>0.58496732026143794</v>
      </c>
      <c r="F252" s="138" t="s">
        <v>22</v>
      </c>
      <c r="G252" s="232">
        <f>1910/F250</f>
        <v>0.46585365853658539</v>
      </c>
      <c r="H252" s="138" t="s">
        <v>78</v>
      </c>
      <c r="I252" s="232">
        <f>1650/H250</f>
        <v>0.71120689655172409</v>
      </c>
      <c r="J252" s="138" t="s">
        <v>78</v>
      </c>
      <c r="K252" s="232">
        <f>1730/J250</f>
        <v>0.85221674876847286</v>
      </c>
      <c r="L252" s="141"/>
    </row>
    <row r="253" spans="1:12" x14ac:dyDescent="0.25">
      <c r="A253" s="228"/>
      <c r="B253" s="138" t="s">
        <v>38</v>
      </c>
      <c r="C253" s="232">
        <f>382/B250</f>
        <v>9.4320987654320981E-2</v>
      </c>
      <c r="D253" s="138" t="s">
        <v>78</v>
      </c>
      <c r="E253" s="232">
        <f>764/D250</f>
        <v>0.24967320261437909</v>
      </c>
      <c r="F253" s="138" t="s">
        <v>78</v>
      </c>
      <c r="G253" s="232">
        <f>1380/F250</f>
        <v>0.33658536585365856</v>
      </c>
      <c r="H253" s="138" t="s">
        <v>22</v>
      </c>
      <c r="I253" s="232">
        <f>318/H250</f>
        <v>0.13706896551724138</v>
      </c>
      <c r="J253" s="138" t="s">
        <v>38</v>
      </c>
      <c r="K253" s="232">
        <f>87/J250</f>
        <v>4.2857142857142858E-2</v>
      </c>
      <c r="L253" s="141"/>
    </row>
    <row r="254" spans="1:12" x14ac:dyDescent="0.25">
      <c r="A254" s="228"/>
      <c r="B254" s="138" t="s">
        <v>78</v>
      </c>
      <c r="C254" s="232">
        <f>313/B250</f>
        <v>7.728395061728395E-2</v>
      </c>
      <c r="D254" s="138" t="s">
        <v>38</v>
      </c>
      <c r="E254" s="232">
        <f>238/D250</f>
        <v>7.7777777777777779E-2</v>
      </c>
      <c r="F254" s="138" t="s">
        <v>38</v>
      </c>
      <c r="G254" s="232">
        <f>491/F250</f>
        <v>0.11975609756097561</v>
      </c>
      <c r="H254" s="138" t="s">
        <v>38</v>
      </c>
      <c r="I254" s="232">
        <f>267/H250</f>
        <v>0.11508620689655172</v>
      </c>
      <c r="J254" s="138" t="s">
        <v>178</v>
      </c>
      <c r="K254" s="232">
        <f>72/J250</f>
        <v>3.5467980295566505E-2</v>
      </c>
      <c r="L254" s="141"/>
    </row>
    <row r="255" spans="1:12" x14ac:dyDescent="0.25">
      <c r="A255" s="228"/>
      <c r="B255" s="141"/>
      <c r="C255" s="262">
        <f>SUM(C252:C254)</f>
        <v>0.91975308641975306</v>
      </c>
      <c r="D255" s="141"/>
      <c r="E255" s="262">
        <f>SUM(E252:E254)</f>
        <v>0.91241830065359486</v>
      </c>
      <c r="F255" s="141"/>
      <c r="G255" s="262">
        <f>SUM(G252:G254)</f>
        <v>0.92219512195121955</v>
      </c>
      <c r="H255" s="141"/>
      <c r="I255" s="262">
        <f>SUM(I252:I254)</f>
        <v>0.96336206896551713</v>
      </c>
      <c r="J255" s="141"/>
      <c r="K255" s="262">
        <f>SUM(K252:K254)</f>
        <v>0.93054187192118221</v>
      </c>
      <c r="L255" s="141"/>
    </row>
    <row r="256" spans="1:12" x14ac:dyDescent="0.25">
      <c r="A256" s="165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</row>
    <row r="257" spans="1:12" x14ac:dyDescent="0.25">
      <c r="A257" s="165" t="s">
        <v>214</v>
      </c>
      <c r="B257" s="208">
        <v>2005</v>
      </c>
      <c r="C257" s="208" t="s">
        <v>272</v>
      </c>
      <c r="D257" s="208">
        <v>2006</v>
      </c>
      <c r="E257" s="208" t="s">
        <v>272</v>
      </c>
      <c r="F257" s="208">
        <v>2007</v>
      </c>
      <c r="G257" s="208" t="s">
        <v>272</v>
      </c>
      <c r="H257" s="208">
        <v>2008</v>
      </c>
      <c r="I257" s="208" t="s">
        <v>272</v>
      </c>
      <c r="J257" s="208">
        <v>2009</v>
      </c>
      <c r="K257" s="208" t="s">
        <v>272</v>
      </c>
      <c r="L257" s="208" t="s">
        <v>273</v>
      </c>
    </row>
    <row r="258" spans="1:12" x14ac:dyDescent="0.25">
      <c r="A258" s="228" t="s">
        <v>172</v>
      </c>
      <c r="B258" s="217">
        <v>199000</v>
      </c>
      <c r="C258" s="217"/>
      <c r="D258" s="217">
        <v>205000</v>
      </c>
      <c r="E258" s="217"/>
      <c r="F258" s="217">
        <v>200000</v>
      </c>
      <c r="G258" s="217"/>
      <c r="H258" s="217">
        <v>187000</v>
      </c>
      <c r="I258" s="217"/>
      <c r="J258" s="217">
        <v>163000</v>
      </c>
      <c r="K258" s="141"/>
      <c r="L258" s="141" t="s">
        <v>541</v>
      </c>
    </row>
    <row r="259" spans="1:12" x14ac:dyDescent="0.25">
      <c r="A259" s="228" t="s">
        <v>121</v>
      </c>
      <c r="B259" s="217">
        <v>237520</v>
      </c>
      <c r="C259" s="217"/>
      <c r="D259" s="217">
        <v>245360</v>
      </c>
      <c r="E259" s="217"/>
      <c r="F259" s="217">
        <v>284920</v>
      </c>
      <c r="G259" s="217"/>
      <c r="H259" s="217">
        <v>245240</v>
      </c>
      <c r="I259" s="217"/>
      <c r="J259" s="217">
        <v>231720</v>
      </c>
      <c r="K259" s="141"/>
      <c r="L259" s="141" t="s">
        <v>543</v>
      </c>
    </row>
    <row r="260" spans="1:12" x14ac:dyDescent="0.25">
      <c r="A260" s="228" t="s">
        <v>173</v>
      </c>
      <c r="B260" s="217">
        <v>63230</v>
      </c>
      <c r="C260" s="217"/>
      <c r="D260" s="217">
        <v>67350</v>
      </c>
      <c r="E260" s="217"/>
      <c r="F260" s="217">
        <v>116100</v>
      </c>
      <c r="G260" s="217"/>
      <c r="H260" s="217">
        <v>106200</v>
      </c>
      <c r="I260" s="217"/>
      <c r="J260" s="217">
        <v>97030</v>
      </c>
      <c r="K260" s="141"/>
      <c r="L260" s="141" t="s">
        <v>544</v>
      </c>
    </row>
    <row r="261" spans="1:12" x14ac:dyDescent="0.25">
      <c r="A261" s="228" t="s">
        <v>174</v>
      </c>
      <c r="B261" s="217">
        <v>159000</v>
      </c>
      <c r="C261" s="217"/>
      <c r="D261" s="217">
        <v>173000</v>
      </c>
      <c r="E261" s="217"/>
      <c r="F261" s="217">
        <v>141000</v>
      </c>
      <c r="G261" s="217"/>
      <c r="H261" s="217">
        <v>149000</v>
      </c>
      <c r="I261" s="217"/>
      <c r="J261" s="217">
        <v>118000</v>
      </c>
      <c r="K261" s="141"/>
      <c r="L261" s="141"/>
    </row>
    <row r="262" spans="1:12" s="59" customFormat="1" x14ac:dyDescent="0.25">
      <c r="A262" s="231" t="s">
        <v>274</v>
      </c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94"/>
    </row>
    <row r="263" spans="1:12" x14ac:dyDescent="0.25">
      <c r="A263" s="165"/>
      <c r="B263" s="138" t="s">
        <v>38</v>
      </c>
      <c r="C263" s="232">
        <f>65400/B261</f>
        <v>0.41132075471698115</v>
      </c>
      <c r="D263" s="138" t="s">
        <v>38</v>
      </c>
      <c r="E263" s="232">
        <f>72800/D261</f>
        <v>0.42080924855491331</v>
      </c>
      <c r="F263" s="138" t="s">
        <v>38</v>
      </c>
      <c r="G263" s="232">
        <f>63200/F261</f>
        <v>0.44822695035460991</v>
      </c>
      <c r="H263" s="138" t="s">
        <v>38</v>
      </c>
      <c r="I263" s="232">
        <f>70200/H261</f>
        <v>0.47114093959731546</v>
      </c>
      <c r="J263" s="138" t="s">
        <v>38</v>
      </c>
      <c r="K263" s="232">
        <f>46700/J261</f>
        <v>0.39576271186440676</v>
      </c>
      <c r="L263" s="141"/>
    </row>
    <row r="264" spans="1:12" x14ac:dyDescent="0.25">
      <c r="A264" s="165"/>
      <c r="B264" s="138" t="s">
        <v>24</v>
      </c>
      <c r="C264" s="232">
        <f>22200/B261</f>
        <v>0.13962264150943396</v>
      </c>
      <c r="D264" s="138" t="s">
        <v>24</v>
      </c>
      <c r="E264" s="232">
        <f>29200/D261</f>
        <v>0.16878612716763006</v>
      </c>
      <c r="F264" s="138" t="s">
        <v>24</v>
      </c>
      <c r="G264" s="232">
        <f>21200/F261</f>
        <v>0.15035460992907801</v>
      </c>
      <c r="H264" s="138" t="s">
        <v>24</v>
      </c>
      <c r="I264" s="232">
        <f>21200/H261</f>
        <v>0.14228187919463087</v>
      </c>
      <c r="J264" s="138" t="s">
        <v>24</v>
      </c>
      <c r="K264" s="232">
        <f>20700/J261</f>
        <v>0.17542372881355933</v>
      </c>
      <c r="L264" s="141"/>
    </row>
    <row r="265" spans="1:12" x14ac:dyDescent="0.25">
      <c r="A265" s="165"/>
      <c r="B265" s="138" t="s">
        <v>97</v>
      </c>
      <c r="C265" s="232">
        <f>19400/B261</f>
        <v>0.1220125786163522</v>
      </c>
      <c r="D265" s="138" t="s">
        <v>27</v>
      </c>
      <c r="E265" s="232">
        <f>15500/D261</f>
        <v>8.9595375722543349E-2</v>
      </c>
      <c r="F265" s="138" t="s">
        <v>27</v>
      </c>
      <c r="G265" s="232">
        <f>12400/F261</f>
        <v>8.794326241134752E-2</v>
      </c>
      <c r="H265" s="138" t="s">
        <v>27</v>
      </c>
      <c r="I265" s="232">
        <f>16600/H261</f>
        <v>0.11140939597315436</v>
      </c>
      <c r="J265" s="138" t="s">
        <v>97</v>
      </c>
      <c r="K265" s="232">
        <f>11300/J261</f>
        <v>9.5762711864406783E-2</v>
      </c>
      <c r="L265" s="141"/>
    </row>
    <row r="266" spans="1:12" x14ac:dyDescent="0.25">
      <c r="A266" s="165"/>
      <c r="B266" s="160"/>
      <c r="C266" s="262">
        <f>SUM(C263:C265)</f>
        <v>0.67295597484276726</v>
      </c>
      <c r="D266" s="160"/>
      <c r="E266" s="262">
        <f>SUM(E263:E265)</f>
        <v>0.67919075144508678</v>
      </c>
      <c r="F266" s="160"/>
      <c r="G266" s="262">
        <f>SUM(G263:G265)</f>
        <v>0.68652482269503545</v>
      </c>
      <c r="H266" s="141"/>
      <c r="I266" s="262">
        <f>SUM(I263:I265)</f>
        <v>0.72483221476510074</v>
      </c>
      <c r="J266" s="141"/>
      <c r="K266" s="262">
        <f>SUM(K263:K265)</f>
        <v>0.66694915254237286</v>
      </c>
      <c r="L266" s="141"/>
    </row>
    <row r="267" spans="1:12" x14ac:dyDescent="0.25">
      <c r="A267" s="165"/>
      <c r="B267" s="160"/>
      <c r="C267" s="160"/>
      <c r="D267" s="160"/>
      <c r="E267" s="262"/>
      <c r="F267" s="160"/>
      <c r="G267" s="141"/>
      <c r="H267" s="141"/>
      <c r="I267" s="141"/>
      <c r="J267" s="141"/>
      <c r="K267" s="141"/>
      <c r="L267" s="141"/>
    </row>
    <row r="268" spans="1:12" x14ac:dyDescent="0.25">
      <c r="A268" s="165" t="s">
        <v>216</v>
      </c>
      <c r="B268" s="208">
        <v>2005</v>
      </c>
      <c r="C268" s="208" t="s">
        <v>272</v>
      </c>
      <c r="D268" s="208">
        <v>2006</v>
      </c>
      <c r="E268" s="208" t="s">
        <v>272</v>
      </c>
      <c r="F268" s="208">
        <v>2007</v>
      </c>
      <c r="G268" s="208" t="s">
        <v>272</v>
      </c>
      <c r="H268" s="208">
        <v>2008</v>
      </c>
      <c r="I268" s="208" t="s">
        <v>272</v>
      </c>
      <c r="J268" s="208">
        <v>2009</v>
      </c>
      <c r="K268" s="208" t="s">
        <v>272</v>
      </c>
      <c r="L268" s="208" t="s">
        <v>273</v>
      </c>
    </row>
    <row r="269" spans="1:12" x14ac:dyDescent="0.25">
      <c r="A269" s="228" t="s">
        <v>172</v>
      </c>
      <c r="B269" s="217">
        <v>7430</v>
      </c>
      <c r="C269" s="217"/>
      <c r="D269" s="217">
        <v>10100</v>
      </c>
      <c r="E269" s="217"/>
      <c r="F269" s="217">
        <v>9020</v>
      </c>
      <c r="G269" s="217"/>
      <c r="H269" s="217">
        <v>8450</v>
      </c>
      <c r="I269" s="217"/>
      <c r="J269" s="217">
        <v>4210</v>
      </c>
      <c r="K269" s="141"/>
      <c r="L269" s="141" t="s">
        <v>519</v>
      </c>
    </row>
    <row r="270" spans="1:12" x14ac:dyDescent="0.25">
      <c r="A270" s="228" t="s">
        <v>121</v>
      </c>
      <c r="B270" s="260" t="s">
        <v>394</v>
      </c>
      <c r="C270" s="217"/>
      <c r="D270" s="260" t="s">
        <v>394</v>
      </c>
      <c r="E270" s="217"/>
      <c r="F270" s="260" t="s">
        <v>394</v>
      </c>
      <c r="G270" s="217"/>
      <c r="H270" s="260" t="s">
        <v>394</v>
      </c>
      <c r="I270" s="217"/>
      <c r="J270" s="260" t="s">
        <v>394</v>
      </c>
      <c r="K270" s="141"/>
      <c r="L270" s="141"/>
    </row>
    <row r="271" spans="1:12" x14ac:dyDescent="0.25">
      <c r="A271" s="228" t="s">
        <v>173</v>
      </c>
      <c r="B271" s="217">
        <v>337</v>
      </c>
      <c r="C271" s="217"/>
      <c r="D271" s="217">
        <v>561</v>
      </c>
      <c r="E271" s="217"/>
      <c r="F271" s="217">
        <v>1100</v>
      </c>
      <c r="G271" s="217"/>
      <c r="H271" s="217">
        <v>781</v>
      </c>
      <c r="I271" s="217"/>
      <c r="J271" s="217">
        <v>195</v>
      </c>
      <c r="K271" s="141"/>
      <c r="L271" s="141" t="s">
        <v>545</v>
      </c>
    </row>
    <row r="272" spans="1:12" x14ac:dyDescent="0.25">
      <c r="A272" s="228" t="s">
        <v>174</v>
      </c>
      <c r="B272" s="217">
        <v>8360</v>
      </c>
      <c r="C272" s="217"/>
      <c r="D272" s="217">
        <v>12840</v>
      </c>
      <c r="E272" s="217"/>
      <c r="F272" s="217">
        <v>12900</v>
      </c>
      <c r="G272" s="217"/>
      <c r="H272" s="217">
        <v>11000</v>
      </c>
      <c r="I272" s="217"/>
      <c r="J272" s="217">
        <v>4490</v>
      </c>
      <c r="K272" s="141"/>
      <c r="L272" s="141" t="s">
        <v>546</v>
      </c>
    </row>
    <row r="273" spans="1:12" s="59" customFormat="1" x14ac:dyDescent="0.25">
      <c r="A273" s="231" t="s">
        <v>274</v>
      </c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94"/>
    </row>
    <row r="274" spans="1:12" x14ac:dyDescent="0.25">
      <c r="A274" s="228"/>
      <c r="B274" s="200" t="s">
        <v>28</v>
      </c>
      <c r="C274" s="232">
        <f>7400/B272</f>
        <v>0.88516746411483249</v>
      </c>
      <c r="D274" s="200" t="s">
        <v>28</v>
      </c>
      <c r="E274" s="232">
        <f>11746/D272</f>
        <v>0.91479750778816205</v>
      </c>
      <c r="F274" s="200" t="s">
        <v>28</v>
      </c>
      <c r="G274" s="232">
        <f>11706/F272</f>
        <v>0.90744186046511632</v>
      </c>
      <c r="H274" s="200" t="s">
        <v>28</v>
      </c>
      <c r="I274" s="232">
        <f>9990/H272</f>
        <v>0.9081818181818182</v>
      </c>
      <c r="J274" s="200" t="s">
        <v>28</v>
      </c>
      <c r="K274" s="232">
        <f>3087/J272</f>
        <v>0.68752783964365261</v>
      </c>
      <c r="L274" s="141"/>
    </row>
    <row r="275" spans="1:12" x14ac:dyDescent="0.25">
      <c r="A275" s="228"/>
      <c r="B275" s="200" t="s">
        <v>38</v>
      </c>
      <c r="C275" s="232">
        <f>851/B272</f>
        <v>0.10179425837320574</v>
      </c>
      <c r="D275" s="200" t="s">
        <v>38</v>
      </c>
      <c r="E275" s="232">
        <f>980/D272</f>
        <v>7.6323987538940805E-2</v>
      </c>
      <c r="F275" s="200" t="s">
        <v>38</v>
      </c>
      <c r="G275" s="232">
        <f>1143/F272</f>
        <v>8.8604651162790704E-2</v>
      </c>
      <c r="H275" s="200" t="s">
        <v>38</v>
      </c>
      <c r="I275" s="232">
        <f>878.6/H272</f>
        <v>7.9872727272727276E-2</v>
      </c>
      <c r="J275" s="200" t="s">
        <v>38</v>
      </c>
      <c r="K275" s="232">
        <f>1380/J272</f>
        <v>0.30734966592427615</v>
      </c>
      <c r="L275" s="141"/>
    </row>
    <row r="276" spans="1:12" x14ac:dyDescent="0.25">
      <c r="A276" s="228"/>
      <c r="B276" s="200" t="s">
        <v>57</v>
      </c>
      <c r="C276" s="232">
        <f>106/B272</f>
        <v>1.2679425837320573E-2</v>
      </c>
      <c r="D276" s="200" t="s">
        <v>57</v>
      </c>
      <c r="E276" s="232">
        <f>61.2/D272</f>
        <v>4.7663551401869158E-3</v>
      </c>
      <c r="F276" s="200" t="s">
        <v>57</v>
      </c>
      <c r="G276" s="232">
        <f>74.9/F272</f>
        <v>5.806201550387597E-3</v>
      </c>
      <c r="H276" s="200" t="s">
        <v>57</v>
      </c>
      <c r="I276" s="232">
        <f>52.2/H272</f>
        <v>4.7454545454545458E-3</v>
      </c>
      <c r="J276" s="200" t="s">
        <v>57</v>
      </c>
      <c r="K276" s="232">
        <f>13.6/J272</f>
        <v>3.0289532293986637E-3</v>
      </c>
      <c r="L276" s="141"/>
    </row>
    <row r="277" spans="1:12" x14ac:dyDescent="0.25">
      <c r="A277" s="165"/>
      <c r="B277" s="141"/>
      <c r="C277" s="262">
        <f>SUM(C274:C276)</f>
        <v>0.99964114832535889</v>
      </c>
      <c r="D277" s="141"/>
      <c r="E277" s="262">
        <f>SUM(E274:E276)</f>
        <v>0.99588785046728967</v>
      </c>
      <c r="F277" s="141"/>
      <c r="G277" s="262">
        <f>SUM(G274:G276)</f>
        <v>1.0018527131782946</v>
      </c>
      <c r="H277" s="141"/>
      <c r="I277" s="262">
        <f>SUM(I274:I276)</f>
        <v>0.99280000000000002</v>
      </c>
      <c r="J277" s="141"/>
      <c r="K277" s="262">
        <f>SUM(K274:K276)</f>
        <v>0.99790645879732742</v>
      </c>
      <c r="L277" s="141"/>
    </row>
    <row r="278" spans="1:12" x14ac:dyDescent="0.25">
      <c r="A278" s="165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</row>
    <row r="279" spans="1:12" x14ac:dyDescent="0.25">
      <c r="A279" s="165" t="s">
        <v>217</v>
      </c>
      <c r="B279" s="208">
        <v>2005</v>
      </c>
      <c r="C279" s="208" t="s">
        <v>272</v>
      </c>
      <c r="D279" s="208">
        <v>2006</v>
      </c>
      <c r="E279" s="208" t="s">
        <v>272</v>
      </c>
      <c r="F279" s="208">
        <v>2007</v>
      </c>
      <c r="G279" s="208" t="s">
        <v>272</v>
      </c>
      <c r="H279" s="208">
        <v>2008</v>
      </c>
      <c r="I279" s="208" t="s">
        <v>272</v>
      </c>
      <c r="J279" s="208">
        <v>2009</v>
      </c>
      <c r="K279" s="208" t="s">
        <v>272</v>
      </c>
      <c r="L279" s="208" t="s">
        <v>273</v>
      </c>
    </row>
    <row r="280" spans="1:12" x14ac:dyDescent="0.25">
      <c r="A280" s="228" t="s">
        <v>172</v>
      </c>
      <c r="B280" s="160"/>
      <c r="C280" s="141"/>
      <c r="D280" s="160"/>
      <c r="E280" s="141"/>
      <c r="F280" s="160"/>
      <c r="G280" s="141"/>
      <c r="H280" s="160"/>
      <c r="I280" s="141"/>
      <c r="J280" s="160"/>
      <c r="K280" s="141"/>
      <c r="L280" s="141"/>
    </row>
    <row r="281" spans="1:12" x14ac:dyDescent="0.25">
      <c r="A281" s="229" t="s">
        <v>218</v>
      </c>
      <c r="B281" s="217">
        <v>126000</v>
      </c>
      <c r="C281" s="217"/>
      <c r="D281" s="217">
        <v>80500</v>
      </c>
      <c r="E281" s="217"/>
      <c r="F281" s="217">
        <v>84100</v>
      </c>
      <c r="G281" s="217"/>
      <c r="H281" s="217">
        <v>106000</v>
      </c>
      <c r="I281" s="217"/>
      <c r="J281" s="217">
        <v>52100</v>
      </c>
      <c r="K281" s="141"/>
      <c r="L281" s="141" t="s">
        <v>519</v>
      </c>
    </row>
    <row r="282" spans="1:12" x14ac:dyDescent="0.25">
      <c r="A282" s="229" t="s">
        <v>219</v>
      </c>
      <c r="B282" s="217">
        <v>89600</v>
      </c>
      <c r="C282" s="217"/>
      <c r="D282" s="217">
        <v>72700</v>
      </c>
      <c r="E282" s="217"/>
      <c r="F282" s="217">
        <v>156000</v>
      </c>
      <c r="G282" s="217"/>
      <c r="H282" s="217">
        <v>138000</v>
      </c>
      <c r="I282" s="217"/>
      <c r="J282" s="217">
        <v>171000</v>
      </c>
      <c r="K282" s="141"/>
      <c r="L282" s="141" t="s">
        <v>519</v>
      </c>
    </row>
    <row r="283" spans="1:12" x14ac:dyDescent="0.25">
      <c r="A283" s="228" t="s">
        <v>121</v>
      </c>
      <c r="B283" s="217"/>
      <c r="C283" s="217"/>
      <c r="D283" s="217"/>
      <c r="E283" s="217"/>
      <c r="F283" s="217"/>
      <c r="G283" s="217"/>
      <c r="H283" s="217"/>
      <c r="I283" s="217"/>
      <c r="J283" s="217"/>
      <c r="K283" s="141"/>
      <c r="L283" s="141"/>
    </row>
    <row r="284" spans="1:12" x14ac:dyDescent="0.25">
      <c r="A284" s="229" t="s">
        <v>218</v>
      </c>
      <c r="B284" s="217">
        <v>5220</v>
      </c>
      <c r="C284" s="217"/>
      <c r="D284" s="217">
        <v>5660</v>
      </c>
      <c r="E284" s="217"/>
      <c r="F284" s="217">
        <v>7410</v>
      </c>
      <c r="G284" s="217"/>
      <c r="H284" s="217">
        <v>7650</v>
      </c>
      <c r="I284" s="217"/>
      <c r="J284" s="217">
        <v>7820</v>
      </c>
      <c r="K284" s="141"/>
      <c r="L284" s="141"/>
    </row>
    <row r="285" spans="1:12" x14ac:dyDescent="0.25">
      <c r="A285" s="229" t="s">
        <v>219</v>
      </c>
      <c r="B285" s="217">
        <v>6360</v>
      </c>
      <c r="C285" s="217"/>
      <c r="D285" s="217">
        <v>6870</v>
      </c>
      <c r="E285" s="217"/>
      <c r="F285" s="217">
        <v>8930</v>
      </c>
      <c r="G285" s="217"/>
      <c r="H285" s="217">
        <v>7400</v>
      </c>
      <c r="I285" s="217"/>
      <c r="J285" s="217">
        <v>7210</v>
      </c>
      <c r="K285" s="141"/>
      <c r="L285" s="141"/>
    </row>
    <row r="286" spans="1:12" x14ac:dyDescent="0.25">
      <c r="A286" s="228" t="s">
        <v>173</v>
      </c>
      <c r="B286" s="217"/>
      <c r="C286" s="217"/>
      <c r="D286" s="217"/>
      <c r="E286" s="217"/>
      <c r="F286" s="217"/>
      <c r="G286" s="217"/>
      <c r="H286" s="217"/>
      <c r="I286" s="217"/>
      <c r="J286" s="217"/>
      <c r="K286" s="141"/>
      <c r="L286" s="141"/>
    </row>
    <row r="287" spans="1:12" x14ac:dyDescent="0.25">
      <c r="A287" s="229" t="s">
        <v>222</v>
      </c>
      <c r="B287" s="217">
        <v>1070</v>
      </c>
      <c r="C287" s="217"/>
      <c r="D287" s="217">
        <v>3390</v>
      </c>
      <c r="E287" s="217"/>
      <c r="F287" s="217">
        <v>8190</v>
      </c>
      <c r="G287" s="217"/>
      <c r="H287" s="217">
        <v>6450</v>
      </c>
      <c r="I287" s="217"/>
      <c r="J287" s="217">
        <v>4020</v>
      </c>
      <c r="K287" s="141"/>
      <c r="L287" s="141" t="s">
        <v>503</v>
      </c>
    </row>
    <row r="288" spans="1:12" x14ac:dyDescent="0.25">
      <c r="A288" s="229" t="s">
        <v>218</v>
      </c>
      <c r="B288" s="217">
        <v>27000</v>
      </c>
      <c r="C288" s="217"/>
      <c r="D288" s="217">
        <v>53100</v>
      </c>
      <c r="E288" s="217"/>
      <c r="F288" s="217">
        <v>41800</v>
      </c>
      <c r="G288" s="217"/>
      <c r="H288" s="217">
        <v>26400</v>
      </c>
      <c r="I288" s="217"/>
      <c r="J288" s="217">
        <v>30300</v>
      </c>
      <c r="K288" s="141"/>
      <c r="L288" s="141" t="s">
        <v>547</v>
      </c>
    </row>
    <row r="289" spans="1:12" x14ac:dyDescent="0.25">
      <c r="A289" s="229" t="s">
        <v>219</v>
      </c>
      <c r="B289" s="217">
        <v>20700</v>
      </c>
      <c r="C289" s="217"/>
      <c r="D289" s="217">
        <v>45500</v>
      </c>
      <c r="E289" s="217"/>
      <c r="F289" s="217">
        <v>28900</v>
      </c>
      <c r="G289" s="217"/>
      <c r="H289" s="217">
        <v>15600</v>
      </c>
      <c r="I289" s="217"/>
      <c r="J289" s="217">
        <v>15600</v>
      </c>
      <c r="K289" s="141"/>
      <c r="L289" s="141" t="s">
        <v>548</v>
      </c>
    </row>
    <row r="290" spans="1:12" x14ac:dyDescent="0.25">
      <c r="A290" s="229" t="s">
        <v>221</v>
      </c>
      <c r="B290" s="217">
        <v>615</v>
      </c>
      <c r="C290" s="217"/>
      <c r="D290" s="217">
        <v>1600</v>
      </c>
      <c r="E290" s="217"/>
      <c r="F290" s="217">
        <v>2210</v>
      </c>
      <c r="G290" s="217"/>
      <c r="H290" s="217">
        <v>1980</v>
      </c>
      <c r="I290" s="217"/>
      <c r="J290" s="217">
        <v>1220</v>
      </c>
      <c r="K290" s="141"/>
      <c r="L290" s="141" t="s">
        <v>549</v>
      </c>
    </row>
    <row r="291" spans="1:12" x14ac:dyDescent="0.25">
      <c r="A291" s="228" t="s">
        <v>174</v>
      </c>
      <c r="B291" s="217"/>
      <c r="C291" s="217"/>
      <c r="D291" s="217"/>
      <c r="E291" s="217"/>
      <c r="F291" s="217"/>
      <c r="G291" s="217"/>
      <c r="H291" s="217"/>
      <c r="I291" s="217"/>
      <c r="J291" s="217"/>
      <c r="K291" s="141"/>
      <c r="L291" s="141"/>
    </row>
    <row r="292" spans="1:12" x14ac:dyDescent="0.25">
      <c r="A292" s="229" t="s">
        <v>220</v>
      </c>
      <c r="B292" s="217">
        <v>3010</v>
      </c>
      <c r="C292" s="217"/>
      <c r="D292" s="217">
        <v>2800</v>
      </c>
      <c r="E292" s="217"/>
      <c r="F292" s="217">
        <v>3410</v>
      </c>
      <c r="G292" s="217"/>
      <c r="H292" s="217">
        <v>2550</v>
      </c>
      <c r="I292" s="217"/>
      <c r="J292" s="217">
        <v>1520</v>
      </c>
      <c r="K292" s="141"/>
      <c r="L292" s="141" t="s">
        <v>550</v>
      </c>
    </row>
    <row r="293" spans="1:12" s="59" customFormat="1" x14ac:dyDescent="0.25">
      <c r="A293" s="233" t="s">
        <v>274</v>
      </c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94"/>
    </row>
    <row r="294" spans="1:12" x14ac:dyDescent="0.25">
      <c r="A294" s="228"/>
      <c r="B294" s="138" t="s">
        <v>178</v>
      </c>
      <c r="C294" s="232">
        <f>1450/B292</f>
        <v>0.48172757475083056</v>
      </c>
      <c r="D294" s="138" t="s">
        <v>178</v>
      </c>
      <c r="E294" s="232">
        <f>1320/D292</f>
        <v>0.47142857142857142</v>
      </c>
      <c r="F294" s="138" t="s">
        <v>178</v>
      </c>
      <c r="G294" s="232">
        <f>1350/F292</f>
        <v>0.39589442815249265</v>
      </c>
      <c r="H294" s="138" t="s">
        <v>34</v>
      </c>
      <c r="I294" s="232">
        <f>1410/H292</f>
        <v>0.55294117647058827</v>
      </c>
      <c r="J294" s="138" t="s">
        <v>34</v>
      </c>
      <c r="K294" s="232">
        <f>1040/J292</f>
        <v>0.68421052631578949</v>
      </c>
      <c r="L294" s="141"/>
    </row>
    <row r="295" spans="1:12" x14ac:dyDescent="0.25">
      <c r="A295" s="228"/>
      <c r="B295" s="138" t="s">
        <v>34</v>
      </c>
      <c r="C295" s="232">
        <f>1150/B292</f>
        <v>0.38205980066445183</v>
      </c>
      <c r="D295" s="138" t="s">
        <v>34</v>
      </c>
      <c r="E295" s="232">
        <f>903/D292</f>
        <v>0.32250000000000001</v>
      </c>
      <c r="F295" s="138" t="s">
        <v>34</v>
      </c>
      <c r="G295" s="232">
        <f>1330/F292</f>
        <v>0.39002932551319647</v>
      </c>
      <c r="H295" s="138" t="s">
        <v>178</v>
      </c>
      <c r="I295" s="232">
        <f>765/H292</f>
        <v>0.3</v>
      </c>
      <c r="J295" s="138" t="s">
        <v>178</v>
      </c>
      <c r="K295" s="232">
        <f>190/J292</f>
        <v>0.125</v>
      </c>
      <c r="L295" s="141"/>
    </row>
    <row r="296" spans="1:12" x14ac:dyDescent="0.25">
      <c r="A296" s="228"/>
      <c r="B296" s="138" t="s">
        <v>57</v>
      </c>
      <c r="C296" s="232">
        <f>403/B292</f>
        <v>0.13388704318936878</v>
      </c>
      <c r="D296" s="138" t="s">
        <v>57</v>
      </c>
      <c r="E296" s="232">
        <f>381/D292</f>
        <v>0.13607142857142857</v>
      </c>
      <c r="F296" s="138" t="s">
        <v>57</v>
      </c>
      <c r="G296" s="232">
        <f>629/F292</f>
        <v>0.18445747800586509</v>
      </c>
      <c r="H296" s="200" t="s">
        <v>57</v>
      </c>
      <c r="I296" s="232">
        <f>330/H292</f>
        <v>0.12941176470588237</v>
      </c>
      <c r="J296" s="138" t="s">
        <v>57</v>
      </c>
      <c r="K296" s="232">
        <f>85/J292</f>
        <v>5.5921052631578948E-2</v>
      </c>
      <c r="L296" s="141"/>
    </row>
    <row r="297" spans="1:12" x14ac:dyDescent="0.25">
      <c r="A297" s="228"/>
      <c r="B297" s="247"/>
      <c r="C297" s="262">
        <f>SUM(C294:C296)</f>
        <v>0.99767441860465111</v>
      </c>
      <c r="D297" s="247"/>
      <c r="E297" s="262">
        <f>SUM(E294:E296)</f>
        <v>0.92999999999999994</v>
      </c>
      <c r="F297" s="247"/>
      <c r="G297" s="262">
        <f>SUM(G294:G296)</f>
        <v>0.97038123167155421</v>
      </c>
      <c r="H297" s="200"/>
      <c r="I297" s="262">
        <f>SUM(I294:I296)</f>
        <v>0.98235294117647065</v>
      </c>
      <c r="J297" s="247"/>
      <c r="K297" s="262">
        <f>SUM(K294:K296)</f>
        <v>0.86513157894736847</v>
      </c>
      <c r="L297" s="141"/>
    </row>
    <row r="298" spans="1:12" x14ac:dyDescent="0.25">
      <c r="A298" s="228"/>
      <c r="B298" s="247"/>
      <c r="C298" s="232"/>
      <c r="D298" s="247"/>
      <c r="E298" s="232"/>
      <c r="F298" s="247"/>
      <c r="G298" s="232"/>
      <c r="H298" s="200"/>
      <c r="I298" s="232"/>
      <c r="J298" s="247"/>
      <c r="K298" s="232"/>
      <c r="L298" s="141"/>
    </row>
    <row r="299" spans="1:12" x14ac:dyDescent="0.25">
      <c r="A299" s="229" t="s">
        <v>223</v>
      </c>
      <c r="B299" s="217">
        <v>39</v>
      </c>
      <c r="C299" s="141"/>
      <c r="D299" s="217">
        <v>56</v>
      </c>
      <c r="E299" s="141"/>
      <c r="F299" s="217">
        <v>23</v>
      </c>
      <c r="G299" s="141"/>
      <c r="H299" s="217">
        <v>11</v>
      </c>
      <c r="I299" s="141"/>
      <c r="J299" s="217">
        <v>68</v>
      </c>
      <c r="K299" s="141"/>
      <c r="L299" s="141" t="s">
        <v>551</v>
      </c>
    </row>
    <row r="300" spans="1:12" s="59" customFormat="1" x14ac:dyDescent="0.25">
      <c r="A300" s="233" t="s">
        <v>274</v>
      </c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94"/>
    </row>
    <row r="301" spans="1:12" x14ac:dyDescent="0.25">
      <c r="A301" s="228"/>
      <c r="B301" s="200" t="s">
        <v>24</v>
      </c>
      <c r="C301" s="232">
        <f>21/B299</f>
        <v>0.53846153846153844</v>
      </c>
      <c r="D301" s="138" t="s">
        <v>34</v>
      </c>
      <c r="E301" s="232">
        <f>40/D299</f>
        <v>0.7142857142857143</v>
      </c>
      <c r="F301" s="138" t="s">
        <v>57</v>
      </c>
      <c r="G301" s="232">
        <f>10/F299</f>
        <v>0.43478260869565216</v>
      </c>
      <c r="H301" s="200" t="s">
        <v>22</v>
      </c>
      <c r="I301" s="232">
        <f>8/H299</f>
        <v>0.72727272727272729</v>
      </c>
      <c r="J301" s="138" t="s">
        <v>34</v>
      </c>
      <c r="K301" s="232">
        <f>60/J299</f>
        <v>0.88235294117647056</v>
      </c>
      <c r="L301" s="141"/>
    </row>
    <row r="302" spans="1:12" x14ac:dyDescent="0.25">
      <c r="A302" s="228"/>
      <c r="B302" s="138" t="s">
        <v>34</v>
      </c>
      <c r="C302" s="232">
        <f>10/B299</f>
        <v>0.25641025641025639</v>
      </c>
      <c r="D302" s="200" t="s">
        <v>22</v>
      </c>
      <c r="E302" s="232">
        <f>9/D299</f>
        <v>0.16071428571428573</v>
      </c>
      <c r="F302" s="138" t="s">
        <v>22</v>
      </c>
      <c r="G302" s="232">
        <f>8/F299</f>
        <v>0.34782608695652173</v>
      </c>
      <c r="H302" s="200" t="s">
        <v>57</v>
      </c>
      <c r="I302" s="232">
        <f>4/H299</f>
        <v>0.36363636363636365</v>
      </c>
      <c r="J302" s="138" t="s">
        <v>22</v>
      </c>
      <c r="K302" s="232">
        <f>8/J299</f>
        <v>0.11764705882352941</v>
      </c>
      <c r="L302" s="141"/>
    </row>
    <row r="303" spans="1:12" x14ac:dyDescent="0.25">
      <c r="A303" s="228"/>
      <c r="B303" s="200" t="s">
        <v>225</v>
      </c>
      <c r="C303" s="232">
        <f>4/B299</f>
        <v>0.10256410256410256</v>
      </c>
      <c r="D303" s="200" t="s">
        <v>57</v>
      </c>
      <c r="E303" s="232">
        <f>7/D299</f>
        <v>0.125</v>
      </c>
      <c r="F303" s="138" t="s">
        <v>34</v>
      </c>
      <c r="G303" s="232">
        <f>5/F299</f>
        <v>0.21739130434782608</v>
      </c>
      <c r="H303" s="210" t="s">
        <v>310</v>
      </c>
      <c r="I303" s="260" t="s">
        <v>394</v>
      </c>
      <c r="J303" s="210" t="s">
        <v>310</v>
      </c>
      <c r="K303" s="260" t="s">
        <v>394</v>
      </c>
      <c r="L303" s="141"/>
    </row>
    <row r="304" spans="1:12" x14ac:dyDescent="0.25">
      <c r="A304" s="228"/>
      <c r="B304" s="200"/>
      <c r="C304" s="262">
        <f>SUM(C301:C303)</f>
        <v>0.89743589743589736</v>
      </c>
      <c r="D304" s="200"/>
      <c r="E304" s="262">
        <f>SUM(E301:E303)</f>
        <v>1</v>
      </c>
      <c r="F304" s="247"/>
      <c r="G304" s="262">
        <f>SUM(G301:G303)</f>
        <v>0.99999999999999989</v>
      </c>
      <c r="H304" s="160"/>
      <c r="I304" s="262">
        <f>SUM(I301:I303)</f>
        <v>1.0909090909090908</v>
      </c>
      <c r="J304" s="217"/>
      <c r="K304" s="262">
        <f>SUM(K301:K303)</f>
        <v>1</v>
      </c>
      <c r="L304" s="141"/>
    </row>
    <row r="305" spans="1:12" x14ac:dyDescent="0.25">
      <c r="A305" s="228"/>
      <c r="B305" s="200"/>
      <c r="C305" s="232"/>
      <c r="D305" s="200"/>
      <c r="E305" s="232"/>
      <c r="F305" s="247"/>
      <c r="G305" s="232"/>
      <c r="H305" s="160"/>
      <c r="I305" s="141"/>
      <c r="J305" s="217"/>
      <c r="K305" s="217"/>
      <c r="L305" s="141"/>
    </row>
    <row r="306" spans="1:12" x14ac:dyDescent="0.25">
      <c r="A306" s="229" t="s">
        <v>218</v>
      </c>
      <c r="B306" s="217">
        <v>139000</v>
      </c>
      <c r="C306" s="141"/>
      <c r="D306" s="217">
        <v>119000</v>
      </c>
      <c r="E306" s="217"/>
      <c r="F306" s="217">
        <v>113000</v>
      </c>
      <c r="G306" s="217"/>
      <c r="H306" s="217">
        <v>120000</v>
      </c>
      <c r="I306" s="217"/>
      <c r="J306" s="217">
        <v>69700</v>
      </c>
      <c r="K306" s="141"/>
      <c r="L306" s="141" t="s">
        <v>547</v>
      </c>
    </row>
    <row r="307" spans="1:12" s="59" customFormat="1" x14ac:dyDescent="0.25">
      <c r="A307" s="233" t="s">
        <v>274</v>
      </c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94"/>
    </row>
    <row r="308" spans="1:12" x14ac:dyDescent="0.25">
      <c r="A308" s="228"/>
      <c r="B308" s="200" t="s">
        <v>24</v>
      </c>
      <c r="C308" s="232">
        <f>64280/B306</f>
        <v>0.46244604316546761</v>
      </c>
      <c r="D308" s="200" t="s">
        <v>24</v>
      </c>
      <c r="E308" s="232">
        <f>43800/D306</f>
        <v>0.36806722689075633</v>
      </c>
      <c r="F308" s="200" t="s">
        <v>24</v>
      </c>
      <c r="G308" s="232">
        <f>48850/F306</f>
        <v>0.4323008849557522</v>
      </c>
      <c r="H308" s="200" t="s">
        <v>24</v>
      </c>
      <c r="I308" s="232">
        <f>68440/H306</f>
        <v>0.57033333333333336</v>
      </c>
      <c r="J308" s="200" t="s">
        <v>24</v>
      </c>
      <c r="K308" s="232">
        <f>23110/J306</f>
        <v>0.33156384505021519</v>
      </c>
      <c r="L308" s="141"/>
    </row>
    <row r="309" spans="1:12" x14ac:dyDescent="0.25">
      <c r="A309" s="228"/>
      <c r="B309" s="138" t="s">
        <v>34</v>
      </c>
      <c r="C309" s="232">
        <f>32400/B306</f>
        <v>0.23309352517985613</v>
      </c>
      <c r="D309" s="138" t="s">
        <v>178</v>
      </c>
      <c r="E309" s="232">
        <f>26305/D306</f>
        <v>0.22105042016806722</v>
      </c>
      <c r="F309" s="138" t="s">
        <v>34</v>
      </c>
      <c r="G309" s="232">
        <f>23809/F306</f>
        <v>0.21069911504424779</v>
      </c>
      <c r="H309" s="138" t="s">
        <v>34</v>
      </c>
      <c r="I309" s="232">
        <f>20827/H306</f>
        <v>0.17355833333333334</v>
      </c>
      <c r="J309" s="138" t="s">
        <v>34</v>
      </c>
      <c r="K309" s="232">
        <f>20304/J306</f>
        <v>0.29130559540889528</v>
      </c>
      <c r="L309" s="141"/>
    </row>
    <row r="310" spans="1:12" x14ac:dyDescent="0.25">
      <c r="A310" s="228"/>
      <c r="B310" s="138" t="s">
        <v>178</v>
      </c>
      <c r="C310" s="232">
        <f>21145/B306</f>
        <v>0.15212230215827338</v>
      </c>
      <c r="D310" s="138" t="s">
        <v>34</v>
      </c>
      <c r="E310" s="232">
        <f>24668/D306</f>
        <v>0.20729411764705882</v>
      </c>
      <c r="F310" s="138" t="s">
        <v>178</v>
      </c>
      <c r="G310" s="232">
        <f>21448/F306</f>
        <v>0.18980530973451326</v>
      </c>
      <c r="H310" s="138" t="s">
        <v>178</v>
      </c>
      <c r="I310" s="232">
        <f>13847/H306</f>
        <v>0.11539166666666667</v>
      </c>
      <c r="J310" s="138" t="s">
        <v>178</v>
      </c>
      <c r="K310" s="232">
        <f>10907/J306</f>
        <v>0.15648493543758968</v>
      </c>
      <c r="L310" s="141"/>
    </row>
    <row r="311" spans="1:12" x14ac:dyDescent="0.25">
      <c r="A311" s="228"/>
      <c r="B311" s="247"/>
      <c r="C311" s="262">
        <f>SUM(C308:C310)</f>
        <v>0.84766187050359709</v>
      </c>
      <c r="D311" s="247"/>
      <c r="E311" s="262">
        <f>SUM(E308:E310)</f>
        <v>0.79641176470588237</v>
      </c>
      <c r="F311" s="247"/>
      <c r="G311" s="262">
        <f>SUM(G308:G310)</f>
        <v>0.83280530973451328</v>
      </c>
      <c r="H311" s="247"/>
      <c r="I311" s="262">
        <f>SUM(I308:I310)</f>
        <v>0.8592833333333334</v>
      </c>
      <c r="J311" s="247"/>
      <c r="K311" s="262">
        <f>SUM(K308:K310)</f>
        <v>0.77935437589670009</v>
      </c>
      <c r="L311" s="141"/>
    </row>
    <row r="312" spans="1:12" x14ac:dyDescent="0.25">
      <c r="A312" s="228"/>
      <c r="B312" s="247"/>
      <c r="C312" s="232"/>
      <c r="D312" s="247"/>
      <c r="E312" s="232"/>
      <c r="F312" s="247"/>
      <c r="G312" s="232"/>
      <c r="H312" s="247"/>
      <c r="I312" s="232"/>
      <c r="J312" s="247"/>
      <c r="K312" s="232"/>
      <c r="L312" s="141"/>
    </row>
    <row r="313" spans="1:12" x14ac:dyDescent="0.25">
      <c r="A313" s="229" t="s">
        <v>219</v>
      </c>
      <c r="B313" s="217">
        <v>106000</v>
      </c>
      <c r="C313" s="141"/>
      <c r="D313" s="217">
        <v>114000</v>
      </c>
      <c r="E313" s="217"/>
      <c r="F313" s="217">
        <v>181000</v>
      </c>
      <c r="G313" s="217"/>
      <c r="H313" s="217">
        <v>150000</v>
      </c>
      <c r="I313" s="217"/>
      <c r="J313" s="217">
        <v>183000</v>
      </c>
      <c r="K313" s="141"/>
      <c r="L313" s="141" t="s">
        <v>548</v>
      </c>
    </row>
    <row r="314" spans="1:12" s="59" customFormat="1" x14ac:dyDescent="0.25">
      <c r="A314" s="233" t="s">
        <v>274</v>
      </c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94"/>
    </row>
    <row r="315" spans="1:12" x14ac:dyDescent="0.25">
      <c r="A315" s="165"/>
      <c r="B315" s="138" t="s">
        <v>34</v>
      </c>
      <c r="C315" s="232">
        <f>40206/B313</f>
        <v>0.3793018867924528</v>
      </c>
      <c r="D315" s="138" t="s">
        <v>34</v>
      </c>
      <c r="E315" s="232">
        <f>37958/D313</f>
        <v>0.33296491228070174</v>
      </c>
      <c r="F315" s="138" t="s">
        <v>57</v>
      </c>
      <c r="G315" s="232">
        <f>46467/F313</f>
        <v>0.25672375690607735</v>
      </c>
      <c r="H315" s="138" t="s">
        <v>34</v>
      </c>
      <c r="I315" s="232">
        <f>26957/H313</f>
        <v>0.17971333333333334</v>
      </c>
      <c r="J315" s="138" t="s">
        <v>29</v>
      </c>
      <c r="K315" s="232">
        <f>31958/J313</f>
        <v>0.17463387978142075</v>
      </c>
      <c r="L315" s="141"/>
    </row>
    <row r="316" spans="1:12" x14ac:dyDescent="0.25">
      <c r="A316" s="165"/>
      <c r="B316" s="138" t="s">
        <v>178</v>
      </c>
      <c r="C316" s="232">
        <f>17960/B313</f>
        <v>0.16943396226415094</v>
      </c>
      <c r="D316" s="138" t="s">
        <v>57</v>
      </c>
      <c r="E316" s="232">
        <f>23510/D313</f>
        <v>0.20622807017543859</v>
      </c>
      <c r="F316" s="138" t="s">
        <v>34</v>
      </c>
      <c r="G316" s="232">
        <f>44688/F313</f>
        <v>0.2468950276243094</v>
      </c>
      <c r="H316" s="138" t="s">
        <v>28</v>
      </c>
      <c r="I316" s="232">
        <f>24726/H313</f>
        <v>0.16483999999999999</v>
      </c>
      <c r="J316" s="138" t="s">
        <v>57</v>
      </c>
      <c r="K316" s="232">
        <f>25102/J313</f>
        <v>0.13716939890710383</v>
      </c>
      <c r="L316" s="141"/>
    </row>
    <row r="317" spans="1:12" x14ac:dyDescent="0.25">
      <c r="A317" s="228"/>
      <c r="B317" s="200" t="s">
        <v>38</v>
      </c>
      <c r="C317" s="232">
        <f>10848/B313</f>
        <v>0.10233962264150943</v>
      </c>
      <c r="D317" s="138" t="s">
        <v>178</v>
      </c>
      <c r="E317" s="232">
        <f>14648/D313</f>
        <v>0.12849122807017543</v>
      </c>
      <c r="F317" s="200" t="s">
        <v>289</v>
      </c>
      <c r="G317" s="232">
        <f>27105/F313</f>
        <v>0.1497513812154696</v>
      </c>
      <c r="H317" s="200" t="s">
        <v>78</v>
      </c>
      <c r="I317" s="232">
        <f>20100/H313</f>
        <v>0.13400000000000001</v>
      </c>
      <c r="J317" s="138" t="s">
        <v>34</v>
      </c>
      <c r="K317" s="232">
        <f>20266/J313</f>
        <v>0.1107431693989071</v>
      </c>
      <c r="L317" s="141"/>
    </row>
    <row r="318" spans="1:12" x14ac:dyDescent="0.25">
      <c r="A318" s="228"/>
      <c r="B318" s="200"/>
      <c r="C318" s="262">
        <f>SUM(C315:C317)</f>
        <v>0.6510754716981132</v>
      </c>
      <c r="D318" s="247"/>
      <c r="E318" s="262">
        <f>SUM(E315:E317)</f>
        <v>0.66768421052631577</v>
      </c>
      <c r="F318" s="200"/>
      <c r="G318" s="262">
        <f>SUM(G315:G317)</f>
        <v>0.65337016574585638</v>
      </c>
      <c r="H318" s="200"/>
      <c r="I318" s="262">
        <f>SUM(I315:I317)</f>
        <v>0.47855333333333333</v>
      </c>
      <c r="J318" s="247"/>
      <c r="K318" s="262">
        <f>SUM(K315:K317)</f>
        <v>0.42254644808743169</v>
      </c>
      <c r="L318" s="141"/>
    </row>
    <row r="319" spans="1:12" x14ac:dyDescent="0.25">
      <c r="A319" s="228"/>
      <c r="B319" s="200"/>
      <c r="C319" s="232"/>
      <c r="D319" s="247"/>
      <c r="E319" s="232"/>
      <c r="F319" s="200"/>
      <c r="G319" s="232"/>
      <c r="H319" s="200"/>
      <c r="I319" s="232"/>
      <c r="J319" s="247"/>
      <c r="K319" s="232"/>
      <c r="L319" s="141"/>
    </row>
    <row r="320" spans="1:12" x14ac:dyDescent="0.25">
      <c r="A320" s="229" t="s">
        <v>221</v>
      </c>
      <c r="B320" s="217">
        <v>13600</v>
      </c>
      <c r="C320" s="141"/>
      <c r="D320" s="217">
        <v>15900</v>
      </c>
      <c r="E320" s="217"/>
      <c r="F320" s="217">
        <v>16600</v>
      </c>
      <c r="G320" s="217"/>
      <c r="H320" s="217">
        <v>12600</v>
      </c>
      <c r="I320" s="217"/>
      <c r="J320" s="217">
        <v>11200</v>
      </c>
      <c r="K320" s="141"/>
      <c r="L320" s="141" t="s">
        <v>549</v>
      </c>
    </row>
    <row r="321" spans="1:12" s="59" customFormat="1" x14ac:dyDescent="0.25">
      <c r="A321" s="233" t="s">
        <v>274</v>
      </c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94"/>
    </row>
    <row r="322" spans="1:12" x14ac:dyDescent="0.25">
      <c r="A322" s="228"/>
      <c r="B322" s="138" t="s">
        <v>34</v>
      </c>
      <c r="C322" s="232">
        <f>7800/B320</f>
        <v>0.57352941176470584</v>
      </c>
      <c r="D322" s="138" t="s">
        <v>34</v>
      </c>
      <c r="E322" s="232">
        <f>8430/D320</f>
        <v>0.53018867924528301</v>
      </c>
      <c r="F322" s="138" t="s">
        <v>34</v>
      </c>
      <c r="G322" s="232">
        <f>9280/F320</f>
        <v>0.5590361445783133</v>
      </c>
      <c r="H322" s="138" t="s">
        <v>34</v>
      </c>
      <c r="I322" s="232">
        <f>6740/H320</f>
        <v>0.53492063492063491</v>
      </c>
      <c r="J322" s="138" t="s">
        <v>34</v>
      </c>
      <c r="K322" s="232">
        <f>7540/J320</f>
        <v>0.67321428571428577</v>
      </c>
      <c r="L322" s="141"/>
    </row>
    <row r="323" spans="1:12" x14ac:dyDescent="0.25">
      <c r="A323" s="228"/>
      <c r="B323" s="138" t="s">
        <v>178</v>
      </c>
      <c r="C323" s="232">
        <f>3110/B320</f>
        <v>0.22867647058823529</v>
      </c>
      <c r="D323" s="138" t="s">
        <v>178</v>
      </c>
      <c r="E323" s="232">
        <f>3380/D320</f>
        <v>0.21257861635220127</v>
      </c>
      <c r="F323" s="138" t="s">
        <v>178</v>
      </c>
      <c r="G323" s="232">
        <f>2470/F320</f>
        <v>0.14879518072289158</v>
      </c>
      <c r="H323" s="138" t="s">
        <v>178</v>
      </c>
      <c r="I323" s="232">
        <f>1550/H320</f>
        <v>0.12301587301587301</v>
      </c>
      <c r="J323" s="200" t="s">
        <v>24</v>
      </c>
      <c r="K323" s="232">
        <f>1200/J320</f>
        <v>0.10714285714285714</v>
      </c>
      <c r="L323" s="141"/>
    </row>
    <row r="324" spans="1:12" x14ac:dyDescent="0.25">
      <c r="A324" s="165"/>
      <c r="B324" s="200" t="s">
        <v>24</v>
      </c>
      <c r="C324" s="232">
        <f>915/B320</f>
        <v>6.7279411764705879E-2</v>
      </c>
      <c r="D324" s="200" t="s">
        <v>58</v>
      </c>
      <c r="E324" s="232">
        <f>1260/D320</f>
        <v>7.9245283018867921E-2</v>
      </c>
      <c r="F324" s="200" t="s">
        <v>58</v>
      </c>
      <c r="G324" s="232">
        <f>2130/F320</f>
        <v>0.12831325301204818</v>
      </c>
      <c r="H324" s="200" t="s">
        <v>24</v>
      </c>
      <c r="I324" s="232">
        <f>1490/H320</f>
        <v>0.11825396825396825</v>
      </c>
      <c r="J324" s="200" t="s">
        <v>58</v>
      </c>
      <c r="K324" s="232">
        <f>779/J320</f>
        <v>6.9553571428571423E-2</v>
      </c>
      <c r="L324" s="141"/>
    </row>
    <row r="325" spans="1:12" x14ac:dyDescent="0.25">
      <c r="A325" s="165"/>
      <c r="B325" s="200"/>
      <c r="C325" s="262">
        <f>SUM(C322:C324)</f>
        <v>0.86948529411764697</v>
      </c>
      <c r="D325" s="200"/>
      <c r="E325" s="262">
        <f>SUM(E322:E324)</f>
        <v>0.82201257861635213</v>
      </c>
      <c r="F325" s="200"/>
      <c r="G325" s="262">
        <f>SUM(G322:G324)</f>
        <v>0.83614457831325306</v>
      </c>
      <c r="H325" s="200"/>
      <c r="I325" s="262">
        <f>SUM(I322:I324)</f>
        <v>0.77619047619047621</v>
      </c>
      <c r="J325" s="200"/>
      <c r="K325" s="262">
        <f>SUM(K322:K324)</f>
        <v>0.8499107142857143</v>
      </c>
      <c r="L325" s="141"/>
    </row>
    <row r="326" spans="1:12" x14ac:dyDescent="0.25">
      <c r="A326" s="165"/>
      <c r="B326" s="200"/>
      <c r="C326" s="232"/>
      <c r="D326" s="200"/>
      <c r="E326" s="232"/>
      <c r="F326" s="200"/>
      <c r="G326" s="232"/>
      <c r="H326" s="200"/>
      <c r="I326" s="232"/>
      <c r="J326" s="200"/>
      <c r="K326" s="232"/>
      <c r="L326" s="141"/>
    </row>
    <row r="327" spans="1:12" x14ac:dyDescent="0.25">
      <c r="A327" s="229" t="s">
        <v>224</v>
      </c>
      <c r="B327" s="217">
        <v>23200</v>
      </c>
      <c r="C327" s="141"/>
      <c r="D327" s="217">
        <v>36000</v>
      </c>
      <c r="E327" s="217"/>
      <c r="F327" s="217">
        <v>48700</v>
      </c>
      <c r="G327" s="217"/>
      <c r="H327" s="217">
        <v>49800</v>
      </c>
      <c r="I327" s="217"/>
      <c r="J327" s="217">
        <v>21200</v>
      </c>
      <c r="K327" s="141"/>
      <c r="L327" s="141" t="s">
        <v>552</v>
      </c>
    </row>
    <row r="328" spans="1:12" s="76" customFormat="1" x14ac:dyDescent="0.25">
      <c r="A328" s="233" t="s">
        <v>274</v>
      </c>
      <c r="B328" s="237"/>
      <c r="C328" s="237"/>
      <c r="D328" s="237"/>
      <c r="E328" s="237"/>
      <c r="F328" s="237"/>
      <c r="G328" s="237"/>
      <c r="H328" s="237"/>
      <c r="I328" s="237"/>
      <c r="J328" s="237"/>
      <c r="K328" s="237"/>
      <c r="L328" s="238"/>
    </row>
    <row r="329" spans="1:12" x14ac:dyDescent="0.25">
      <c r="A329" s="165"/>
      <c r="B329" s="138" t="s">
        <v>34</v>
      </c>
      <c r="C329" s="232">
        <f>14700/B327</f>
        <v>0.63362068965517238</v>
      </c>
      <c r="D329" s="138" t="s">
        <v>34</v>
      </c>
      <c r="E329" s="232">
        <f>23500/D327</f>
        <v>0.65277777777777779</v>
      </c>
      <c r="F329" s="138" t="s">
        <v>34</v>
      </c>
      <c r="G329" s="232">
        <f>23100/F327</f>
        <v>0.47433264887063653</v>
      </c>
      <c r="H329" s="138" t="s">
        <v>57</v>
      </c>
      <c r="I329" s="232">
        <f>22700/H327</f>
        <v>0.45582329317269077</v>
      </c>
      <c r="J329" s="138" t="s">
        <v>34</v>
      </c>
      <c r="K329" s="232">
        <f>10100/J327</f>
        <v>0.47641509433962265</v>
      </c>
      <c r="L329" s="141"/>
    </row>
    <row r="330" spans="1:12" x14ac:dyDescent="0.25">
      <c r="A330" s="165"/>
      <c r="B330" s="138" t="s">
        <v>57</v>
      </c>
      <c r="C330" s="232">
        <f>6360/B327</f>
        <v>0.27413793103448275</v>
      </c>
      <c r="D330" s="138" t="s">
        <v>57</v>
      </c>
      <c r="E330" s="232">
        <f>10200/D327</f>
        <v>0.28333333333333333</v>
      </c>
      <c r="F330" s="138" t="s">
        <v>57</v>
      </c>
      <c r="G330" s="232">
        <f>15400/F327</f>
        <v>0.31622176591375772</v>
      </c>
      <c r="H330" s="138" t="s">
        <v>34</v>
      </c>
      <c r="I330" s="232">
        <f>11700/H327</f>
        <v>0.23493975903614459</v>
      </c>
      <c r="J330" s="200" t="s">
        <v>57</v>
      </c>
      <c r="K330" s="232">
        <f>7480/J327</f>
        <v>0.35283018867924526</v>
      </c>
      <c r="L330" s="141"/>
    </row>
    <row r="331" spans="1:12" x14ac:dyDescent="0.25">
      <c r="A331" s="165"/>
      <c r="B331" s="138" t="s">
        <v>178</v>
      </c>
      <c r="C331" s="232">
        <f>1610/B327</f>
        <v>6.9396551724137931E-2</v>
      </c>
      <c r="D331" s="138" t="s">
        <v>24</v>
      </c>
      <c r="E331" s="232">
        <f>865/D327</f>
        <v>2.4027777777777776E-2</v>
      </c>
      <c r="F331" s="138" t="s">
        <v>178</v>
      </c>
      <c r="G331" s="232">
        <f>6730/F327</f>
        <v>0.13819301848049281</v>
      </c>
      <c r="H331" s="138" t="s">
        <v>24</v>
      </c>
      <c r="I331" s="232">
        <f>8410/H327</f>
        <v>0.16887550200803214</v>
      </c>
      <c r="J331" s="138" t="s">
        <v>178</v>
      </c>
      <c r="K331" s="232">
        <f>2950/J327</f>
        <v>0.13915094339622641</v>
      </c>
      <c r="L331" s="141"/>
    </row>
    <row r="332" spans="1:12" x14ac:dyDescent="0.25">
      <c r="A332" s="165"/>
      <c r="B332" s="141"/>
      <c r="C332" s="262">
        <f>SUM(C329:C331)</f>
        <v>0.97715517241379302</v>
      </c>
      <c r="D332" s="141"/>
      <c r="E332" s="262">
        <f>SUM(E329:E331)</f>
        <v>0.96013888888888888</v>
      </c>
      <c r="F332" s="141"/>
      <c r="G332" s="262">
        <f>SUM(G329:G331)</f>
        <v>0.92874743326488707</v>
      </c>
      <c r="H332" s="141"/>
      <c r="I332" s="262">
        <f>SUM(I329:I331)</f>
        <v>0.85963855421686752</v>
      </c>
      <c r="J332" s="141"/>
      <c r="K332" s="262">
        <f>SUM(K329:K331)</f>
        <v>0.96839622641509426</v>
      </c>
      <c r="L332" s="141"/>
    </row>
    <row r="333" spans="1:12" x14ac:dyDescent="0.25">
      <c r="A333" s="165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</row>
    <row r="334" spans="1:12" x14ac:dyDescent="0.25">
      <c r="A334" s="165" t="s">
        <v>226</v>
      </c>
      <c r="B334" s="208">
        <v>2005</v>
      </c>
      <c r="C334" s="208" t="s">
        <v>272</v>
      </c>
      <c r="D334" s="208">
        <v>2006</v>
      </c>
      <c r="E334" s="208" t="s">
        <v>272</v>
      </c>
      <c r="F334" s="208">
        <v>2007</v>
      </c>
      <c r="G334" s="208" t="s">
        <v>272</v>
      </c>
      <c r="H334" s="208">
        <v>2008</v>
      </c>
      <c r="I334" s="208" t="s">
        <v>272</v>
      </c>
      <c r="J334" s="208">
        <v>2009</v>
      </c>
      <c r="K334" s="208" t="s">
        <v>272</v>
      </c>
      <c r="L334" s="208" t="s">
        <v>273</v>
      </c>
    </row>
    <row r="335" spans="1:12" x14ac:dyDescent="0.25">
      <c r="A335" s="228" t="s">
        <v>172</v>
      </c>
      <c r="B335" s="141">
        <v>582</v>
      </c>
      <c r="C335" s="141"/>
      <c r="D335" s="141">
        <v>742</v>
      </c>
      <c r="E335" s="141"/>
      <c r="F335" s="141">
        <v>676</v>
      </c>
      <c r="G335" s="141"/>
      <c r="H335" s="141">
        <v>616</v>
      </c>
      <c r="I335" s="141"/>
      <c r="J335" s="141">
        <v>448</v>
      </c>
      <c r="K335" s="141"/>
      <c r="L335" s="141" t="s">
        <v>553</v>
      </c>
    </row>
    <row r="336" spans="1:12" x14ac:dyDescent="0.25">
      <c r="A336" s="228" t="s">
        <v>121</v>
      </c>
      <c r="B336" s="260" t="s">
        <v>394</v>
      </c>
      <c r="D336" s="260" t="s">
        <v>394</v>
      </c>
      <c r="E336" s="141"/>
      <c r="F336" s="260" t="s">
        <v>394</v>
      </c>
      <c r="G336" s="141"/>
      <c r="H336" s="260" t="s">
        <v>394</v>
      </c>
      <c r="I336" s="141"/>
      <c r="J336" s="260" t="s">
        <v>394</v>
      </c>
      <c r="K336" s="141"/>
      <c r="L336" s="141"/>
    </row>
    <row r="337" spans="1:12" x14ac:dyDescent="0.25">
      <c r="A337" s="228" t="s">
        <v>173</v>
      </c>
      <c r="B337" s="141">
        <v>636</v>
      </c>
      <c r="C337" s="141"/>
      <c r="D337" s="141">
        <v>611</v>
      </c>
      <c r="E337" s="141"/>
      <c r="F337" s="160">
        <v>1470</v>
      </c>
      <c r="G337" s="141"/>
      <c r="H337" s="160">
        <v>1390</v>
      </c>
      <c r="I337" s="141"/>
      <c r="J337" s="141">
        <v>4930</v>
      </c>
      <c r="K337" s="141"/>
      <c r="L337" s="141" t="s">
        <v>554</v>
      </c>
    </row>
    <row r="338" spans="1:12" x14ac:dyDescent="0.25">
      <c r="A338" s="228" t="s">
        <v>174</v>
      </c>
      <c r="B338" s="160">
        <v>733000</v>
      </c>
      <c r="C338" s="141"/>
      <c r="D338" s="160">
        <v>723000</v>
      </c>
      <c r="E338" s="141"/>
      <c r="F338" s="160">
        <v>653000</v>
      </c>
      <c r="G338" s="141"/>
      <c r="H338" s="160">
        <v>566000</v>
      </c>
      <c r="I338" s="141"/>
      <c r="J338" s="141">
        <v>188000</v>
      </c>
      <c r="K338" s="141"/>
      <c r="L338" s="141" t="s">
        <v>555</v>
      </c>
    </row>
    <row r="339" spans="1:12" s="59" customFormat="1" x14ac:dyDescent="0.25">
      <c r="A339" s="231" t="s">
        <v>274</v>
      </c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94"/>
    </row>
    <row r="340" spans="1:12" x14ac:dyDescent="0.25">
      <c r="A340" s="239"/>
      <c r="B340" s="221" t="s">
        <v>256</v>
      </c>
      <c r="C340" s="232">
        <f>664000/B338</f>
        <v>0.90586630286493863</v>
      </c>
      <c r="D340" s="138" t="s">
        <v>256</v>
      </c>
      <c r="E340" s="232">
        <f>672000/D338</f>
        <v>0.9294605809128631</v>
      </c>
      <c r="F340" s="138" t="s">
        <v>256</v>
      </c>
      <c r="G340" s="232">
        <f>636000/F338</f>
        <v>0.97396630934150075</v>
      </c>
      <c r="H340" s="138" t="s">
        <v>256</v>
      </c>
      <c r="I340" s="232">
        <f>540000/H338</f>
        <v>0.95406360424028269</v>
      </c>
      <c r="J340" s="138" t="s">
        <v>256</v>
      </c>
      <c r="K340" s="232">
        <f>167000/J338</f>
        <v>0.88829787234042556</v>
      </c>
      <c r="L340" s="141"/>
    </row>
    <row r="341" spans="1:12" x14ac:dyDescent="0.25">
      <c r="A341" s="240"/>
      <c r="B341" s="221" t="s">
        <v>257</v>
      </c>
      <c r="C341" s="232">
        <f>31100/B338</f>
        <v>4.2428376534788544E-2</v>
      </c>
      <c r="D341" s="138" t="s">
        <v>257</v>
      </c>
      <c r="E341" s="232">
        <f>30900/D338</f>
        <v>4.2738589211618258E-2</v>
      </c>
      <c r="F341" s="138" t="s">
        <v>257</v>
      </c>
      <c r="G341" s="232">
        <f>8470/F338</f>
        <v>1.2970903522205207E-2</v>
      </c>
      <c r="H341" s="138" t="s">
        <v>257</v>
      </c>
      <c r="I341" s="232">
        <f>12600/H338</f>
        <v>2.2261484098939931E-2</v>
      </c>
      <c r="J341" s="138" t="s">
        <v>257</v>
      </c>
      <c r="K341" s="232">
        <f>10800/J338</f>
        <v>5.7446808510638298E-2</v>
      </c>
      <c r="L341" s="141"/>
    </row>
    <row r="342" spans="1:12" x14ac:dyDescent="0.25">
      <c r="A342" s="240"/>
      <c r="B342" s="221" t="s">
        <v>259</v>
      </c>
      <c r="C342" s="232">
        <f>28500/B338</f>
        <v>3.8881309686221006E-2</v>
      </c>
      <c r="D342" s="138" t="s">
        <v>258</v>
      </c>
      <c r="E342" s="232">
        <f>19100/D338</f>
        <v>2.6417704011065007E-2</v>
      </c>
      <c r="F342" s="138" t="s">
        <v>258</v>
      </c>
      <c r="G342" s="232">
        <f>8100/F338</f>
        <v>1.2404287901990812E-2</v>
      </c>
      <c r="H342" s="138" t="s">
        <v>258</v>
      </c>
      <c r="I342" s="232">
        <f>9010/H338</f>
        <v>1.5918727915194348E-2</v>
      </c>
      <c r="J342" s="138" t="s">
        <v>258</v>
      </c>
      <c r="K342" s="232">
        <f>7870/J338</f>
        <v>4.1861702127659571E-2</v>
      </c>
      <c r="L342" s="141"/>
    </row>
    <row r="343" spans="1:12" x14ac:dyDescent="0.25">
      <c r="A343" s="240"/>
      <c r="B343" s="241"/>
      <c r="C343" s="262">
        <f>SUM(C340:C342)</f>
        <v>0.98717598908594828</v>
      </c>
      <c r="D343" s="141"/>
      <c r="E343" s="262">
        <f>SUM(E340:E342)</f>
        <v>0.99861687413554634</v>
      </c>
      <c r="F343" s="141"/>
      <c r="G343" s="262">
        <f>SUM(G340:G342)</f>
        <v>0.99934150076569672</v>
      </c>
      <c r="H343" s="141"/>
      <c r="I343" s="262">
        <f>SUM(I340:I342)</f>
        <v>0.99224381625441693</v>
      </c>
      <c r="J343" s="141"/>
      <c r="K343" s="262">
        <f>SUM(K340:K342)</f>
        <v>0.9876063829787235</v>
      </c>
      <c r="L343" s="141"/>
    </row>
    <row r="344" spans="1:12" x14ac:dyDescent="0.25">
      <c r="A344" s="165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</row>
    <row r="345" spans="1:12" x14ac:dyDescent="0.25">
      <c r="A345" s="165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</row>
    <row r="346" spans="1:12" x14ac:dyDescent="0.25">
      <c r="A346" s="165" t="s">
        <v>227</v>
      </c>
      <c r="B346" s="208">
        <v>2005</v>
      </c>
      <c r="C346" s="208" t="s">
        <v>272</v>
      </c>
      <c r="D346" s="208">
        <v>2006</v>
      </c>
      <c r="E346" s="208" t="s">
        <v>272</v>
      </c>
      <c r="F346" s="208">
        <v>2007</v>
      </c>
      <c r="G346" s="208" t="s">
        <v>272</v>
      </c>
      <c r="H346" s="208">
        <v>2008</v>
      </c>
      <c r="I346" s="208" t="s">
        <v>272</v>
      </c>
      <c r="J346" s="208">
        <v>2009</v>
      </c>
      <c r="K346" s="208" t="s">
        <v>272</v>
      </c>
      <c r="L346" s="208" t="s">
        <v>273</v>
      </c>
    </row>
    <row r="347" spans="1:12" x14ac:dyDescent="0.25">
      <c r="A347" s="228" t="s">
        <v>172</v>
      </c>
      <c r="B347" s="166">
        <v>30200</v>
      </c>
      <c r="C347" s="166"/>
      <c r="D347" s="166">
        <v>40200</v>
      </c>
      <c r="E347" s="166"/>
      <c r="F347" s="166">
        <v>38800</v>
      </c>
      <c r="G347" s="166"/>
      <c r="H347" s="166">
        <v>40600</v>
      </c>
      <c r="I347" s="166"/>
      <c r="J347" s="166">
        <v>30500</v>
      </c>
      <c r="K347" s="141"/>
      <c r="L347" s="141"/>
    </row>
    <row r="348" spans="1:12" x14ac:dyDescent="0.25">
      <c r="A348" s="228" t="s">
        <v>121</v>
      </c>
      <c r="B348" s="166">
        <v>7900</v>
      </c>
      <c r="C348" s="166"/>
      <c r="D348" s="166">
        <v>8100</v>
      </c>
      <c r="E348" s="166"/>
      <c r="F348" s="166">
        <v>7100</v>
      </c>
      <c r="G348" s="166"/>
      <c r="H348" s="166">
        <v>7900</v>
      </c>
      <c r="I348" s="166"/>
      <c r="J348" s="166">
        <v>5600</v>
      </c>
      <c r="K348" s="141"/>
      <c r="L348" s="141"/>
    </row>
    <row r="349" spans="1:12" x14ac:dyDescent="0.25">
      <c r="A349" s="228" t="s">
        <v>173</v>
      </c>
      <c r="B349" s="217" t="s">
        <v>262</v>
      </c>
      <c r="C349" s="166"/>
      <c r="D349" s="217" t="s">
        <v>262</v>
      </c>
      <c r="E349" s="166"/>
      <c r="F349" s="217" t="s">
        <v>262</v>
      </c>
      <c r="G349" s="166"/>
      <c r="H349" s="217" t="s">
        <v>262</v>
      </c>
      <c r="I349" s="166"/>
      <c r="J349" s="217" t="s">
        <v>262</v>
      </c>
      <c r="K349" s="141"/>
      <c r="L349" s="141"/>
    </row>
    <row r="350" spans="1:12" x14ac:dyDescent="0.25">
      <c r="A350" s="228" t="s">
        <v>174</v>
      </c>
      <c r="B350" s="160">
        <v>21800</v>
      </c>
      <c r="C350" s="141"/>
      <c r="D350" s="160">
        <v>22000</v>
      </c>
      <c r="E350" s="141"/>
      <c r="F350" s="160">
        <v>30500</v>
      </c>
      <c r="G350" s="141"/>
      <c r="H350" s="160">
        <v>35900</v>
      </c>
      <c r="I350" s="141"/>
      <c r="J350" s="160">
        <v>21500</v>
      </c>
      <c r="K350" s="141"/>
      <c r="L350" s="141"/>
    </row>
    <row r="351" spans="1:12" s="59" customFormat="1" x14ac:dyDescent="0.25">
      <c r="A351" s="231" t="s">
        <v>274</v>
      </c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94"/>
    </row>
    <row r="352" spans="1:12" x14ac:dyDescent="0.25">
      <c r="A352" s="165"/>
      <c r="B352" s="138" t="s">
        <v>78</v>
      </c>
      <c r="C352" s="232">
        <f>19600/B350</f>
        <v>0.8990825688073395</v>
      </c>
      <c r="D352" s="138" t="s">
        <v>78</v>
      </c>
      <c r="E352" s="232">
        <f>19700/D350</f>
        <v>0.8954545454545455</v>
      </c>
      <c r="F352" s="138" t="s">
        <v>78</v>
      </c>
      <c r="G352" s="232">
        <f>22700/F350</f>
        <v>0.74426229508196717</v>
      </c>
      <c r="H352" s="138" t="s">
        <v>78</v>
      </c>
      <c r="I352" s="232">
        <f>28500/H350</f>
        <v>0.79387186629526463</v>
      </c>
      <c r="J352" s="138" t="s">
        <v>78</v>
      </c>
      <c r="K352" s="232">
        <f>20100/J350</f>
        <v>0.93488372093023253</v>
      </c>
      <c r="L352" s="141"/>
    </row>
    <row r="353" spans="1:12" x14ac:dyDescent="0.25">
      <c r="A353" s="165"/>
      <c r="B353" s="138" t="s">
        <v>57</v>
      </c>
      <c r="C353" s="232">
        <f>1340/B350</f>
        <v>6.1467889908256884E-2</v>
      </c>
      <c r="D353" s="138" t="s">
        <v>57</v>
      </c>
      <c r="E353" s="232">
        <f>1100/D350</f>
        <v>0.05</v>
      </c>
      <c r="F353" s="138" t="s">
        <v>206</v>
      </c>
      <c r="G353" s="232">
        <f>3480/F350</f>
        <v>0.11409836065573771</v>
      </c>
      <c r="H353" s="138" t="s">
        <v>206</v>
      </c>
      <c r="I353" s="232">
        <f>5060/H350</f>
        <v>0.14094707520891364</v>
      </c>
      <c r="J353" s="138" t="s">
        <v>57</v>
      </c>
      <c r="K353" s="232">
        <f>1030/J350</f>
        <v>4.7906976744186043E-2</v>
      </c>
      <c r="L353" s="141"/>
    </row>
    <row r="354" spans="1:12" x14ac:dyDescent="0.25">
      <c r="A354" s="165"/>
      <c r="B354" s="138" t="s">
        <v>178</v>
      </c>
      <c r="C354" s="232">
        <f>544/B350</f>
        <v>2.4954128440366971E-2</v>
      </c>
      <c r="D354" s="138" t="s">
        <v>178</v>
      </c>
      <c r="E354" s="232">
        <f>759/D350</f>
        <v>3.4500000000000003E-2</v>
      </c>
      <c r="F354" s="138" t="s">
        <v>57</v>
      </c>
      <c r="G354" s="232">
        <f>2650/F350</f>
        <v>8.6885245901639346E-2</v>
      </c>
      <c r="H354" s="138" t="s">
        <v>57</v>
      </c>
      <c r="I354" s="232">
        <f>1640/H350</f>
        <v>4.5682451253481894E-2</v>
      </c>
      <c r="J354" s="138" t="s">
        <v>206</v>
      </c>
      <c r="K354" s="232">
        <f>219/J350</f>
        <v>1.0186046511627907E-2</v>
      </c>
      <c r="L354" s="141"/>
    </row>
    <row r="355" spans="1:12" x14ac:dyDescent="0.25">
      <c r="A355" s="165"/>
      <c r="B355" s="141"/>
      <c r="C355" s="262">
        <f>SUM(C352:C354)</f>
        <v>0.98550458715596334</v>
      </c>
      <c r="D355" s="141"/>
      <c r="E355" s="262">
        <f>SUM(E352:E354)</f>
        <v>0.97995454545454552</v>
      </c>
      <c r="F355" s="141"/>
      <c r="G355" s="262">
        <f>SUM(G352:G354)</f>
        <v>0.9452459016393443</v>
      </c>
      <c r="H355" s="141"/>
      <c r="I355" s="262">
        <f>SUM(I352:I354)</f>
        <v>0.98050139275766024</v>
      </c>
      <c r="J355" s="141"/>
      <c r="K355" s="262">
        <f>SUM(K352:K354)</f>
        <v>0.99297674418604653</v>
      </c>
      <c r="L355" s="141"/>
    </row>
    <row r="356" spans="1:12" x14ac:dyDescent="0.25">
      <c r="A356" s="165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</row>
    <row r="357" spans="1:12" x14ac:dyDescent="0.25">
      <c r="A357" s="165" t="s">
        <v>229</v>
      </c>
      <c r="B357" s="208">
        <v>2005</v>
      </c>
      <c r="C357" s="208" t="s">
        <v>272</v>
      </c>
      <c r="D357" s="208">
        <v>2006</v>
      </c>
      <c r="E357" s="208" t="s">
        <v>272</v>
      </c>
      <c r="F357" s="208">
        <v>2007</v>
      </c>
      <c r="G357" s="208" t="s">
        <v>272</v>
      </c>
      <c r="H357" s="208">
        <v>2008</v>
      </c>
      <c r="I357" s="208" t="s">
        <v>272</v>
      </c>
      <c r="J357" s="208">
        <v>2009</v>
      </c>
      <c r="K357" s="208" t="s">
        <v>272</v>
      </c>
      <c r="L357" s="208" t="s">
        <v>273</v>
      </c>
    </row>
    <row r="358" spans="1:12" x14ac:dyDescent="0.25">
      <c r="A358" s="228" t="s">
        <v>172</v>
      </c>
      <c r="B358" s="260" t="s">
        <v>394</v>
      </c>
      <c r="C358" s="166"/>
      <c r="D358" s="260" t="s">
        <v>394</v>
      </c>
      <c r="E358" s="166"/>
      <c r="F358" s="260" t="s">
        <v>394</v>
      </c>
      <c r="G358" s="166"/>
      <c r="H358" s="260" t="s">
        <v>394</v>
      </c>
      <c r="I358" s="166"/>
      <c r="J358" s="260" t="s">
        <v>394</v>
      </c>
      <c r="K358" s="141"/>
      <c r="L358" s="141"/>
    </row>
    <row r="359" spans="1:12" x14ac:dyDescent="0.25">
      <c r="A359" s="228" t="s">
        <v>121</v>
      </c>
      <c r="B359" s="217" t="s">
        <v>165</v>
      </c>
      <c r="C359" s="217"/>
      <c r="D359" s="217" t="s">
        <v>165</v>
      </c>
      <c r="E359" s="217"/>
      <c r="F359" s="217" t="s">
        <v>165</v>
      </c>
      <c r="G359" s="217"/>
      <c r="H359" s="217" t="s">
        <v>165</v>
      </c>
      <c r="I359" s="217"/>
      <c r="J359" s="217" t="s">
        <v>165</v>
      </c>
      <c r="K359" s="141"/>
      <c r="L359" s="141"/>
    </row>
    <row r="360" spans="1:12" x14ac:dyDescent="0.25">
      <c r="A360" s="228" t="s">
        <v>173</v>
      </c>
      <c r="B360" s="166">
        <v>254000</v>
      </c>
      <c r="C360" s="166"/>
      <c r="D360" s="166">
        <v>204000</v>
      </c>
      <c r="E360" s="166"/>
      <c r="F360" s="166">
        <v>592000</v>
      </c>
      <c r="G360" s="166"/>
      <c r="H360" s="166">
        <v>562000</v>
      </c>
      <c r="I360" s="166"/>
      <c r="J360" s="166">
        <v>618000</v>
      </c>
      <c r="K360" s="141"/>
      <c r="L360" s="141"/>
    </row>
    <row r="361" spans="1:12" x14ac:dyDescent="0.25">
      <c r="A361" s="228" t="s">
        <v>174</v>
      </c>
      <c r="B361" s="166">
        <v>575000</v>
      </c>
      <c r="C361" s="166"/>
      <c r="D361" s="166">
        <v>398000</v>
      </c>
      <c r="E361" s="166"/>
      <c r="F361" s="166">
        <v>536000</v>
      </c>
      <c r="G361" s="166"/>
      <c r="H361" s="166">
        <v>508000</v>
      </c>
      <c r="I361" s="166"/>
      <c r="J361" s="166">
        <v>260000</v>
      </c>
      <c r="K361" s="141"/>
      <c r="L361" s="141"/>
    </row>
    <row r="362" spans="1:12" s="59" customFormat="1" x14ac:dyDescent="0.25">
      <c r="A362" s="231" t="s">
        <v>274</v>
      </c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94"/>
    </row>
    <row r="363" spans="1:12" x14ac:dyDescent="0.25">
      <c r="A363" s="165"/>
      <c r="B363" s="138" t="s">
        <v>58</v>
      </c>
      <c r="C363" s="232">
        <f>304000/B361</f>
        <v>0.52869565217391301</v>
      </c>
      <c r="D363" s="138" t="s">
        <v>58</v>
      </c>
      <c r="E363" s="232">
        <f>149000/D361</f>
        <v>0.37437185929648242</v>
      </c>
      <c r="F363" s="138" t="s">
        <v>58</v>
      </c>
      <c r="G363" s="232">
        <f>260000/F361</f>
        <v>0.48507462686567165</v>
      </c>
      <c r="H363" s="138" t="s">
        <v>58</v>
      </c>
      <c r="I363" s="232">
        <f>234000/H361</f>
        <v>0.46062992125984253</v>
      </c>
      <c r="J363" s="138" t="s">
        <v>57</v>
      </c>
      <c r="K363" s="232">
        <f>43900/J361</f>
        <v>0.16884615384615384</v>
      </c>
      <c r="L363" s="141"/>
    </row>
    <row r="364" spans="1:12" x14ac:dyDescent="0.25">
      <c r="A364" s="165"/>
      <c r="B364" s="138" t="s">
        <v>38</v>
      </c>
      <c r="C364" s="232">
        <f>103000/B361</f>
        <v>0.17913043478260871</v>
      </c>
      <c r="D364" s="138" t="s">
        <v>29</v>
      </c>
      <c r="E364" s="232">
        <f>57100/D361</f>
        <v>0.14346733668341707</v>
      </c>
      <c r="F364" s="138" t="s">
        <v>57</v>
      </c>
      <c r="G364" s="232">
        <f>78900/F361</f>
        <v>0.14720149253731343</v>
      </c>
      <c r="H364" s="138" t="s">
        <v>57</v>
      </c>
      <c r="I364" s="232">
        <f>82000/H361</f>
        <v>0.16141732283464566</v>
      </c>
      <c r="J364" s="138" t="s">
        <v>38</v>
      </c>
      <c r="K364" s="232">
        <f>43000/J361</f>
        <v>0.16538461538461538</v>
      </c>
      <c r="L364" s="141"/>
    </row>
    <row r="365" spans="1:12" x14ac:dyDescent="0.25">
      <c r="A365" s="165"/>
      <c r="B365" s="138" t="s">
        <v>228</v>
      </c>
      <c r="C365" s="232">
        <f>41500/B361</f>
        <v>7.2173913043478255E-2</v>
      </c>
      <c r="D365" s="138" t="s">
        <v>38</v>
      </c>
      <c r="E365" s="232">
        <f>56500/D361</f>
        <v>0.14195979899497488</v>
      </c>
      <c r="F365" s="138" t="s">
        <v>29</v>
      </c>
      <c r="G365" s="232">
        <f>54200/F361</f>
        <v>0.10111940298507463</v>
      </c>
      <c r="H365" s="138" t="s">
        <v>38</v>
      </c>
      <c r="I365" s="232">
        <f>68600/H361</f>
        <v>0.13503937007874015</v>
      </c>
      <c r="J365" s="138" t="s">
        <v>73</v>
      </c>
      <c r="K365" s="232">
        <f>42000/J361</f>
        <v>0.16153846153846155</v>
      </c>
      <c r="L365" s="141"/>
    </row>
    <row r="366" spans="1:12" x14ac:dyDescent="0.25">
      <c r="A366" s="165"/>
      <c r="B366" s="141"/>
      <c r="C366" s="262">
        <f>SUM(C363:C365)</f>
        <v>0.78</v>
      </c>
      <c r="D366" s="141"/>
      <c r="E366" s="262">
        <f>SUM(E363:E365)</f>
        <v>0.65979899497487438</v>
      </c>
      <c r="F366" s="141"/>
      <c r="G366" s="262">
        <f>SUM(G363:G365)</f>
        <v>0.73339552238805972</v>
      </c>
      <c r="H366" s="141"/>
      <c r="I366" s="262">
        <f>SUM(I363:I365)</f>
        <v>0.75708661417322831</v>
      </c>
      <c r="J366" s="141"/>
      <c r="K366" s="262">
        <f>SUM(K363:K365)</f>
        <v>0.49576923076923074</v>
      </c>
      <c r="L366" s="141"/>
    </row>
    <row r="367" spans="1:12" x14ac:dyDescent="0.25">
      <c r="A367" s="165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</row>
    <row r="368" spans="1:12" x14ac:dyDescent="0.25">
      <c r="A368" s="165" t="s">
        <v>230</v>
      </c>
      <c r="B368" s="208">
        <v>2005</v>
      </c>
      <c r="C368" s="208" t="s">
        <v>272</v>
      </c>
      <c r="D368" s="208">
        <v>2006</v>
      </c>
      <c r="E368" s="208" t="s">
        <v>272</v>
      </c>
      <c r="F368" s="208">
        <v>2007</v>
      </c>
      <c r="G368" s="208" t="s">
        <v>272</v>
      </c>
      <c r="H368" s="208">
        <v>2008</v>
      </c>
      <c r="I368" s="208" t="s">
        <v>272</v>
      </c>
      <c r="J368" s="208">
        <v>2009</v>
      </c>
      <c r="K368" s="208" t="s">
        <v>272</v>
      </c>
      <c r="L368" s="208" t="s">
        <v>273</v>
      </c>
    </row>
    <row r="369" spans="1:12" x14ac:dyDescent="0.25">
      <c r="A369" s="228" t="s">
        <v>172</v>
      </c>
      <c r="B369" s="166">
        <v>275</v>
      </c>
      <c r="C369" s="141"/>
      <c r="D369" s="217" t="s">
        <v>165</v>
      </c>
      <c r="E369" s="242"/>
      <c r="F369" s="217" t="s">
        <v>165</v>
      </c>
      <c r="G369" s="242"/>
      <c r="H369" s="217" t="s">
        <v>165</v>
      </c>
      <c r="I369" s="242"/>
      <c r="J369" s="217" t="s">
        <v>165</v>
      </c>
      <c r="K369" s="141"/>
      <c r="L369" s="141" t="s">
        <v>519</v>
      </c>
    </row>
    <row r="370" spans="1:12" x14ac:dyDescent="0.25">
      <c r="A370" s="228" t="s">
        <v>121</v>
      </c>
      <c r="B370" s="166">
        <v>144.99</v>
      </c>
      <c r="C370" s="141"/>
      <c r="D370" s="217" t="s">
        <v>165</v>
      </c>
      <c r="E370" s="242"/>
      <c r="F370" s="217" t="s">
        <v>165</v>
      </c>
      <c r="G370" s="242"/>
      <c r="H370" s="217" t="s">
        <v>165</v>
      </c>
      <c r="I370" s="242"/>
      <c r="J370" s="217" t="s">
        <v>165</v>
      </c>
      <c r="K370" s="141"/>
      <c r="L370" s="141"/>
    </row>
    <row r="371" spans="1:12" x14ac:dyDescent="0.25">
      <c r="A371" s="228" t="s">
        <v>173</v>
      </c>
      <c r="B371" s="166">
        <v>23.15</v>
      </c>
      <c r="C371" s="141"/>
      <c r="D371" s="166">
        <v>26.84</v>
      </c>
      <c r="E371" s="166"/>
      <c r="F371" s="166">
        <v>28</v>
      </c>
      <c r="G371" s="166"/>
      <c r="H371" s="166">
        <v>35</v>
      </c>
      <c r="I371" s="166"/>
      <c r="J371" s="166">
        <v>38</v>
      </c>
      <c r="K371" s="141"/>
      <c r="L371" s="141"/>
    </row>
    <row r="372" spans="1:12" x14ac:dyDescent="0.25">
      <c r="A372" s="228" t="s">
        <v>174</v>
      </c>
      <c r="B372" s="166">
        <v>152.03</v>
      </c>
      <c r="C372" s="141"/>
      <c r="D372" s="166">
        <v>146.05000000000001</v>
      </c>
      <c r="E372" s="166"/>
      <c r="F372" s="166">
        <v>147</v>
      </c>
      <c r="G372" s="166"/>
      <c r="H372" s="166">
        <v>168</v>
      </c>
      <c r="I372" s="166"/>
      <c r="J372" s="166">
        <v>113</v>
      </c>
      <c r="K372" s="141"/>
      <c r="L372" s="141" t="s">
        <v>556</v>
      </c>
    </row>
    <row r="373" spans="1:12" s="59" customFormat="1" x14ac:dyDescent="0.25">
      <c r="A373" s="231" t="s">
        <v>274</v>
      </c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94"/>
    </row>
    <row r="374" spans="1:12" x14ac:dyDescent="0.25">
      <c r="A374" s="165"/>
      <c r="B374" s="138" t="s">
        <v>231</v>
      </c>
      <c r="C374" s="232">
        <f>62.4/B372</f>
        <v>0.41044530684733277</v>
      </c>
      <c r="D374" s="138" t="s">
        <v>231</v>
      </c>
      <c r="E374" s="232">
        <f>53.8/D372</f>
        <v>0.3683669976035604</v>
      </c>
      <c r="F374" s="138" t="s">
        <v>231</v>
      </c>
      <c r="G374" s="232">
        <f>49.53/F372</f>
        <v>0.33693877551020407</v>
      </c>
      <c r="H374" s="138" t="s">
        <v>231</v>
      </c>
      <c r="I374" s="232">
        <f>67.83/H372</f>
        <v>0.40375</v>
      </c>
      <c r="J374" s="138" t="s">
        <v>231</v>
      </c>
      <c r="K374" s="232">
        <f>40.33/J372</f>
        <v>0.35690265486725664</v>
      </c>
      <c r="L374" s="141"/>
    </row>
    <row r="375" spans="1:12" x14ac:dyDescent="0.25">
      <c r="A375" s="165"/>
      <c r="B375" s="138" t="s">
        <v>34</v>
      </c>
      <c r="C375" s="232">
        <f>34.724/B372</f>
        <v>0.22840228902190354</v>
      </c>
      <c r="D375" s="138" t="s">
        <v>34</v>
      </c>
      <c r="E375" s="232">
        <f>38.1/D372</f>
        <v>0.2608695652173913</v>
      </c>
      <c r="F375" s="138" t="s">
        <v>34</v>
      </c>
      <c r="G375" s="232">
        <f>37.739/F372</f>
        <v>0.25672789115646255</v>
      </c>
      <c r="H375" s="138" t="s">
        <v>34</v>
      </c>
      <c r="I375" s="232">
        <f>35.4/H372</f>
        <v>0.21071428571428572</v>
      </c>
      <c r="J375" s="138" t="s">
        <v>34</v>
      </c>
      <c r="K375" s="232">
        <f>23.396/J372</f>
        <v>0.20704424778761063</v>
      </c>
      <c r="L375" s="141"/>
    </row>
    <row r="376" spans="1:12" x14ac:dyDescent="0.25">
      <c r="A376" s="165"/>
      <c r="B376" s="138" t="s">
        <v>232</v>
      </c>
      <c r="C376" s="232">
        <f>26.8/B372</f>
        <v>0.17628099717161086</v>
      </c>
      <c r="D376" s="138" t="s">
        <v>232</v>
      </c>
      <c r="E376" s="232">
        <f>26.919062/D372</f>
        <v>0.1843140157480315</v>
      </c>
      <c r="F376" s="138" t="s">
        <v>232</v>
      </c>
      <c r="G376" s="232">
        <f>26.992/F372</f>
        <v>0.18361904761904763</v>
      </c>
      <c r="H376" s="138" t="s">
        <v>232</v>
      </c>
      <c r="I376" s="232">
        <f>19.387/H372</f>
        <v>0.11539880952380953</v>
      </c>
      <c r="J376" s="138" t="s">
        <v>27</v>
      </c>
      <c r="K376" s="232">
        <f>16.451/J372</f>
        <v>0.14558407079646019</v>
      </c>
      <c r="L376" s="141"/>
    </row>
    <row r="377" spans="1:12" x14ac:dyDescent="0.25">
      <c r="A377" s="165"/>
      <c r="B377" s="141"/>
      <c r="C377" s="262">
        <f>SUM(C374:C376)</f>
        <v>0.81512859304084717</v>
      </c>
      <c r="D377" s="141"/>
      <c r="E377" s="262">
        <f>SUM(E374:E376)</f>
        <v>0.81355057856898327</v>
      </c>
      <c r="F377" s="141"/>
      <c r="G377" s="262">
        <f>SUM(G374:G376)</f>
        <v>0.77728571428571414</v>
      </c>
      <c r="H377" s="141"/>
      <c r="I377" s="262">
        <f>SUM(I374:I376)</f>
        <v>0.72986309523809523</v>
      </c>
      <c r="J377" s="141"/>
      <c r="K377" s="262">
        <f>SUM(K374:K376)</f>
        <v>0.70953097345132743</v>
      </c>
      <c r="L377" s="141"/>
    </row>
    <row r="378" spans="1:12" x14ac:dyDescent="0.25">
      <c r="A378" s="165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</row>
    <row r="379" spans="1:12" x14ac:dyDescent="0.25">
      <c r="A379" s="165" t="s">
        <v>233</v>
      </c>
      <c r="B379" s="208">
        <v>2005</v>
      </c>
      <c r="C379" s="208" t="s">
        <v>272</v>
      </c>
      <c r="D379" s="208">
        <v>2006</v>
      </c>
      <c r="E379" s="208" t="s">
        <v>272</v>
      </c>
      <c r="F379" s="208">
        <v>2007</v>
      </c>
      <c r="G379" s="208" t="s">
        <v>272</v>
      </c>
      <c r="H379" s="208">
        <v>2008</v>
      </c>
      <c r="I379" s="208" t="s">
        <v>272</v>
      </c>
      <c r="J379" s="208">
        <v>2009</v>
      </c>
      <c r="K379" s="208" t="s">
        <v>272</v>
      </c>
      <c r="L379" s="208" t="s">
        <v>273</v>
      </c>
    </row>
    <row r="380" spans="1:12" x14ac:dyDescent="0.25">
      <c r="A380" s="228" t="s">
        <v>172</v>
      </c>
      <c r="B380" s="260" t="s">
        <v>394</v>
      </c>
      <c r="C380" s="141"/>
      <c r="D380" s="260" t="s">
        <v>394</v>
      </c>
      <c r="E380" s="141"/>
      <c r="F380" s="260" t="s">
        <v>394</v>
      </c>
      <c r="G380" s="141"/>
      <c r="H380" s="260" t="s">
        <v>394</v>
      </c>
      <c r="I380" s="141"/>
      <c r="J380" s="260" t="s">
        <v>394</v>
      </c>
      <c r="K380" s="141"/>
      <c r="L380" s="141"/>
    </row>
    <row r="381" spans="1:12" x14ac:dyDescent="0.25">
      <c r="A381" s="228" t="s">
        <v>234</v>
      </c>
      <c r="B381" s="166">
        <v>2530</v>
      </c>
      <c r="C381" s="166"/>
      <c r="D381" s="166">
        <v>2210</v>
      </c>
      <c r="E381" s="166"/>
      <c r="F381" s="166">
        <v>791</v>
      </c>
      <c r="G381" s="166"/>
      <c r="H381" s="166">
        <v>779</v>
      </c>
      <c r="I381" s="141"/>
      <c r="J381" s="193">
        <v>796</v>
      </c>
      <c r="K381" s="141"/>
      <c r="L381" s="141" t="s">
        <v>557</v>
      </c>
    </row>
    <row r="382" spans="1:12" x14ac:dyDescent="0.25">
      <c r="A382" s="228" t="s">
        <v>235</v>
      </c>
      <c r="B382" s="166">
        <v>338000</v>
      </c>
      <c r="C382" s="166"/>
      <c r="D382" s="166">
        <v>1670000</v>
      </c>
      <c r="E382" s="166"/>
      <c r="F382" s="166">
        <v>781000</v>
      </c>
      <c r="G382" s="166"/>
      <c r="H382" s="166">
        <v>555000</v>
      </c>
      <c r="I382" s="141"/>
      <c r="J382" s="193">
        <v>356000</v>
      </c>
      <c r="K382" s="141"/>
      <c r="L382" s="141" t="s">
        <v>528</v>
      </c>
    </row>
    <row r="383" spans="1:12" x14ac:dyDescent="0.25">
      <c r="A383" s="228" t="s">
        <v>236</v>
      </c>
      <c r="B383" s="166">
        <v>3880000</v>
      </c>
      <c r="C383" s="166"/>
      <c r="D383" s="166">
        <v>4280000</v>
      </c>
      <c r="E383" s="166"/>
      <c r="F383" s="166">
        <v>4210000</v>
      </c>
      <c r="G383" s="166"/>
      <c r="H383" s="166">
        <v>3860000</v>
      </c>
      <c r="I383" s="141"/>
      <c r="J383" s="193">
        <v>2800000</v>
      </c>
      <c r="K383" s="141"/>
      <c r="L383" s="141" t="s">
        <v>558</v>
      </c>
    </row>
    <row r="384" spans="1:12" s="59" customFormat="1" x14ac:dyDescent="0.25">
      <c r="A384" s="231" t="s">
        <v>274</v>
      </c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94"/>
    </row>
    <row r="385" spans="1:12" x14ac:dyDescent="0.25">
      <c r="A385" s="228"/>
      <c r="B385" s="138" t="s">
        <v>73</v>
      </c>
      <c r="C385" s="232">
        <f>1910000/B383</f>
        <v>0.49226804123711343</v>
      </c>
      <c r="D385" s="138" t="s">
        <v>73</v>
      </c>
      <c r="E385" s="232">
        <f>2300000/D383</f>
        <v>0.53738317757009346</v>
      </c>
      <c r="F385" s="138" t="s">
        <v>73</v>
      </c>
      <c r="G385" s="232">
        <f>2430000/F383</f>
        <v>0.5771971496437055</v>
      </c>
      <c r="H385" s="138" t="s">
        <v>73</v>
      </c>
      <c r="I385" s="232">
        <f>2370000/H383</f>
        <v>0.61398963730569944</v>
      </c>
      <c r="J385" s="138" t="s">
        <v>73</v>
      </c>
      <c r="K385" s="232">
        <f>1630000/J383</f>
        <v>0.58214285714285718</v>
      </c>
      <c r="L385" s="141"/>
    </row>
    <row r="386" spans="1:12" x14ac:dyDescent="0.25">
      <c r="A386" s="228"/>
      <c r="B386" s="138" t="s">
        <v>38</v>
      </c>
      <c r="C386" s="232">
        <f>1290000/B383</f>
        <v>0.3324742268041237</v>
      </c>
      <c r="D386" s="138" t="s">
        <v>38</v>
      </c>
      <c r="E386" s="232">
        <f>1470000/D383</f>
        <v>0.34345794392523366</v>
      </c>
      <c r="F386" s="138" t="s">
        <v>38</v>
      </c>
      <c r="G386" s="232">
        <f>1080000/F383</f>
        <v>0.25653206650831356</v>
      </c>
      <c r="H386" s="138" t="s">
        <v>38</v>
      </c>
      <c r="I386" s="232">
        <f>781000/H383</f>
        <v>0.20233160621761659</v>
      </c>
      <c r="J386" s="138" t="s">
        <v>38</v>
      </c>
      <c r="K386" s="232">
        <f>747000/J383</f>
        <v>0.26678571428571429</v>
      </c>
      <c r="L386" s="141"/>
    </row>
    <row r="387" spans="1:12" x14ac:dyDescent="0.25">
      <c r="A387" s="228"/>
      <c r="B387" s="138" t="s">
        <v>44</v>
      </c>
      <c r="C387" s="232">
        <f>514000/B383</f>
        <v>0.13247422680412371</v>
      </c>
      <c r="D387" s="138" t="s">
        <v>44</v>
      </c>
      <c r="E387" s="232">
        <f>411000/D383</f>
        <v>9.602803738317757E-2</v>
      </c>
      <c r="F387" s="138" t="s">
        <v>44</v>
      </c>
      <c r="G387" s="232">
        <f>571000/F383</f>
        <v>0.13562945368171023</v>
      </c>
      <c r="H387" s="138" t="s">
        <v>44</v>
      </c>
      <c r="I387" s="232">
        <f>500000/H383</f>
        <v>0.12953367875647667</v>
      </c>
      <c r="J387" s="138" t="s">
        <v>44</v>
      </c>
      <c r="K387" s="232">
        <f>204000/J383</f>
        <v>7.2857142857142856E-2</v>
      </c>
      <c r="L387" s="141"/>
    </row>
    <row r="388" spans="1:12" x14ac:dyDescent="0.25">
      <c r="A388" s="165"/>
      <c r="B388" s="141"/>
      <c r="C388" s="262">
        <f>SUM(C385:C387)</f>
        <v>0.95721649484536075</v>
      </c>
      <c r="D388" s="141"/>
      <c r="E388" s="262">
        <f>SUM(E385:E387)</f>
        <v>0.97686915887850467</v>
      </c>
      <c r="F388" s="141"/>
      <c r="G388" s="262">
        <f>SUM(G385:G387)</f>
        <v>0.96935866983372931</v>
      </c>
      <c r="H388" s="141"/>
      <c r="I388" s="262">
        <f>SUM(I385:I387)</f>
        <v>0.94585492227979273</v>
      </c>
      <c r="J388" s="141"/>
      <c r="K388" s="262">
        <f>SUM(K385:K387)</f>
        <v>0.92178571428571432</v>
      </c>
      <c r="L388" s="141"/>
    </row>
    <row r="389" spans="1:12" x14ac:dyDescent="0.25">
      <c r="A389" s="165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</row>
    <row r="390" spans="1:12" x14ac:dyDescent="0.25">
      <c r="A390" s="165" t="s">
        <v>238</v>
      </c>
      <c r="B390" s="208">
        <v>2005</v>
      </c>
      <c r="C390" s="208" t="s">
        <v>272</v>
      </c>
      <c r="D390" s="208">
        <v>2006</v>
      </c>
      <c r="E390" s="208" t="s">
        <v>272</v>
      </c>
      <c r="F390" s="208">
        <v>2007</v>
      </c>
      <c r="G390" s="208" t="s">
        <v>272</v>
      </c>
      <c r="H390" s="208">
        <v>2008</v>
      </c>
      <c r="I390" s="208" t="s">
        <v>272</v>
      </c>
      <c r="J390" s="208">
        <v>2009</v>
      </c>
      <c r="K390" s="208" t="s">
        <v>272</v>
      </c>
      <c r="L390" s="208" t="s">
        <v>273</v>
      </c>
    </row>
    <row r="391" spans="1:12" x14ac:dyDescent="0.25">
      <c r="A391" s="228" t="s">
        <v>172</v>
      </c>
      <c r="B391" s="260" t="s">
        <v>394</v>
      </c>
      <c r="C391" s="141"/>
      <c r="D391" s="193">
        <v>8830</v>
      </c>
      <c r="E391" s="193"/>
      <c r="F391" s="193">
        <v>8400</v>
      </c>
      <c r="G391" s="193"/>
      <c r="H391" s="193">
        <v>10900</v>
      </c>
      <c r="I391" s="193"/>
      <c r="J391" s="193">
        <v>11800</v>
      </c>
      <c r="K391" s="141"/>
      <c r="L391" s="141" t="s">
        <v>519</v>
      </c>
    </row>
    <row r="392" spans="1:12" x14ac:dyDescent="0.25">
      <c r="A392" s="228" t="s">
        <v>237</v>
      </c>
      <c r="B392" s="260" t="s">
        <v>394</v>
      </c>
      <c r="C392" s="141"/>
      <c r="D392" s="260" t="s">
        <v>394</v>
      </c>
      <c r="E392" s="141"/>
      <c r="F392" s="260" t="s">
        <v>394</v>
      </c>
      <c r="G392" s="141"/>
      <c r="H392" s="260" t="s">
        <v>394</v>
      </c>
      <c r="I392" s="141"/>
      <c r="J392" s="260" t="s">
        <v>394</v>
      </c>
      <c r="K392" s="141"/>
      <c r="L392" s="141"/>
    </row>
    <row r="393" spans="1:12" x14ac:dyDescent="0.25">
      <c r="A393" s="228" t="s">
        <v>173</v>
      </c>
      <c r="B393" s="260" t="s">
        <v>394</v>
      </c>
      <c r="C393" s="141"/>
      <c r="D393" s="141">
        <v>699</v>
      </c>
      <c r="E393" s="141"/>
      <c r="F393" s="141">
        <v>688</v>
      </c>
      <c r="G393" s="141"/>
      <c r="H393" s="141">
        <v>594</v>
      </c>
      <c r="I393" s="141"/>
      <c r="J393" s="141">
        <v>532</v>
      </c>
      <c r="K393" s="141"/>
      <c r="L393" s="141" t="s">
        <v>559</v>
      </c>
    </row>
    <row r="394" spans="1:12" x14ac:dyDescent="0.25">
      <c r="A394" s="228" t="s">
        <v>174</v>
      </c>
      <c r="B394" s="141">
        <v>770</v>
      </c>
      <c r="C394" s="141"/>
      <c r="D394" s="141">
        <v>617</v>
      </c>
      <c r="E394" s="141"/>
      <c r="F394" s="141">
        <v>454</v>
      </c>
      <c r="G394" s="141"/>
      <c r="H394" s="141">
        <v>170</v>
      </c>
      <c r="I394" s="141"/>
      <c r="J394" s="141">
        <v>70.099999999999994</v>
      </c>
      <c r="K394" s="141"/>
      <c r="L394" s="141" t="s">
        <v>560</v>
      </c>
    </row>
    <row r="395" spans="1:12" s="59" customFormat="1" x14ac:dyDescent="0.25">
      <c r="A395" s="231" t="s">
        <v>274</v>
      </c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94"/>
    </row>
    <row r="396" spans="1:12" x14ac:dyDescent="0.25">
      <c r="A396" s="165"/>
      <c r="B396" s="138" t="s">
        <v>29</v>
      </c>
      <c r="C396" s="232">
        <f>484/B394</f>
        <v>0.62857142857142856</v>
      </c>
      <c r="D396" s="138" t="s">
        <v>29</v>
      </c>
      <c r="E396" s="232">
        <f>400/D394</f>
        <v>0.64829821717990277</v>
      </c>
      <c r="F396" s="138" t="s">
        <v>29</v>
      </c>
      <c r="G396" s="232">
        <f>309/F394</f>
        <v>0.68061674008810569</v>
      </c>
      <c r="H396" s="138" t="s">
        <v>29</v>
      </c>
      <c r="I396" s="232">
        <f>103/H394</f>
        <v>0.60588235294117643</v>
      </c>
      <c r="J396" s="138" t="s">
        <v>29</v>
      </c>
      <c r="K396" s="232">
        <f>30.4/J394</f>
        <v>0.43366619115549215</v>
      </c>
      <c r="L396" s="141"/>
    </row>
    <row r="397" spans="1:12" x14ac:dyDescent="0.25">
      <c r="A397" s="165"/>
      <c r="B397" s="138" t="s">
        <v>22</v>
      </c>
      <c r="C397" s="232">
        <f>181/B394</f>
        <v>0.23506493506493506</v>
      </c>
      <c r="D397" s="138" t="s">
        <v>22</v>
      </c>
      <c r="E397" s="232">
        <f>131/D394</f>
        <v>0.21231766612641814</v>
      </c>
      <c r="F397" s="138" t="s">
        <v>22</v>
      </c>
      <c r="G397" s="232">
        <f>94.3/F394</f>
        <v>0.20770925110132157</v>
      </c>
      <c r="H397" s="138" t="s">
        <v>22</v>
      </c>
      <c r="I397" s="232">
        <f>60.7/H394</f>
        <v>0.35705882352941176</v>
      </c>
      <c r="J397" s="138" t="s">
        <v>22</v>
      </c>
      <c r="K397" s="232">
        <f>20.2/J394</f>
        <v>0.28815977175463625</v>
      </c>
      <c r="L397" s="141"/>
    </row>
    <row r="398" spans="1:12" x14ac:dyDescent="0.25">
      <c r="A398" s="165"/>
      <c r="B398" s="200" t="s">
        <v>289</v>
      </c>
      <c r="C398" s="232">
        <f>101/B394</f>
        <v>0.13116883116883116</v>
      </c>
      <c r="D398" s="200" t="s">
        <v>289</v>
      </c>
      <c r="E398" s="232">
        <f>77.3/D394</f>
        <v>0.1252836304700162</v>
      </c>
      <c r="F398" s="200" t="s">
        <v>289</v>
      </c>
      <c r="G398" s="232">
        <f>28.2/F394</f>
        <v>6.211453744493392E-2</v>
      </c>
      <c r="H398" s="138" t="s">
        <v>28</v>
      </c>
      <c r="I398" s="232">
        <f>4.09/H394</f>
        <v>2.4058823529411764E-2</v>
      </c>
      <c r="J398" s="138" t="s">
        <v>176</v>
      </c>
      <c r="K398" s="232">
        <f>19.5/J394</f>
        <v>0.27817403708987165</v>
      </c>
      <c r="L398" s="141"/>
    </row>
    <row r="399" spans="1:12" x14ac:dyDescent="0.25">
      <c r="A399" s="165"/>
      <c r="B399" s="141"/>
      <c r="C399" s="262">
        <f>SUM(C396:C398)</f>
        <v>0.9948051948051948</v>
      </c>
      <c r="D399" s="141"/>
      <c r="E399" s="262">
        <f>SUM(E396:E398)</f>
        <v>0.98589951377633711</v>
      </c>
      <c r="F399" s="141"/>
      <c r="G399" s="262">
        <f>SUM(G396:G398)</f>
        <v>0.95044052863436113</v>
      </c>
      <c r="H399" s="141"/>
      <c r="I399" s="262">
        <f>SUM(I396:I398)</f>
        <v>0.98699999999999999</v>
      </c>
      <c r="J399" s="141"/>
      <c r="K399" s="262">
        <f>SUM(K396:K398)</f>
        <v>1</v>
      </c>
      <c r="L399" s="141"/>
    </row>
    <row r="400" spans="1:12" x14ac:dyDescent="0.25">
      <c r="A400" s="165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</row>
    <row r="401" spans="1:12" x14ac:dyDescent="0.25">
      <c r="A401" s="165" t="s">
        <v>239</v>
      </c>
      <c r="B401" s="208">
        <v>2005</v>
      </c>
      <c r="C401" s="208" t="s">
        <v>272</v>
      </c>
      <c r="D401" s="208">
        <v>2006</v>
      </c>
      <c r="E401" s="208" t="s">
        <v>272</v>
      </c>
      <c r="F401" s="208">
        <v>2007</v>
      </c>
      <c r="G401" s="208" t="s">
        <v>272</v>
      </c>
      <c r="H401" s="208">
        <v>2008</v>
      </c>
      <c r="I401" s="208" t="s">
        <v>272</v>
      </c>
      <c r="J401" s="208">
        <v>2009</v>
      </c>
      <c r="K401" s="208" t="s">
        <v>272</v>
      </c>
      <c r="L401" s="208" t="s">
        <v>273</v>
      </c>
    </row>
    <row r="402" spans="1:12" x14ac:dyDescent="0.25">
      <c r="A402" s="228" t="s">
        <v>172</v>
      </c>
      <c r="B402" s="160">
        <v>852</v>
      </c>
      <c r="C402" s="141"/>
      <c r="D402" s="160">
        <v>498</v>
      </c>
      <c r="E402" s="141"/>
      <c r="F402" s="160">
        <v>644</v>
      </c>
      <c r="G402" s="141"/>
      <c r="H402" s="160">
        <v>629</v>
      </c>
      <c r="I402" s="141"/>
      <c r="J402" s="160">
        <v>473</v>
      </c>
      <c r="K402" s="141"/>
      <c r="L402" s="141" t="s">
        <v>561</v>
      </c>
    </row>
    <row r="403" spans="1:12" x14ac:dyDescent="0.25">
      <c r="A403" s="228" t="s">
        <v>121</v>
      </c>
      <c r="B403" s="260" t="s">
        <v>394</v>
      </c>
      <c r="C403" s="141"/>
      <c r="D403" s="260" t="s">
        <v>394</v>
      </c>
      <c r="E403" s="141"/>
      <c r="F403" s="260" t="s">
        <v>394</v>
      </c>
      <c r="G403" s="141"/>
      <c r="H403" s="260" t="s">
        <v>394</v>
      </c>
      <c r="I403" s="141"/>
      <c r="J403" s="260" t="s">
        <v>394</v>
      </c>
      <c r="K403" s="141"/>
      <c r="L403" s="141"/>
    </row>
    <row r="404" spans="1:12" x14ac:dyDescent="0.25">
      <c r="A404" s="228" t="s">
        <v>173</v>
      </c>
      <c r="B404" s="141">
        <v>809</v>
      </c>
      <c r="C404" s="141"/>
      <c r="D404" s="141">
        <v>702</v>
      </c>
      <c r="E404" s="141"/>
      <c r="F404" s="160">
        <v>365</v>
      </c>
      <c r="G404" s="141"/>
      <c r="H404" s="141">
        <v>566</v>
      </c>
      <c r="I404" s="141"/>
      <c r="J404" s="141">
        <v>232</v>
      </c>
      <c r="K404" s="141"/>
      <c r="L404" s="141" t="s">
        <v>562</v>
      </c>
    </row>
    <row r="405" spans="1:12" x14ac:dyDescent="0.25">
      <c r="A405" s="228" t="s">
        <v>174</v>
      </c>
      <c r="B405" s="160">
        <v>1242</v>
      </c>
      <c r="C405" s="141"/>
      <c r="D405" s="160">
        <v>835.43</v>
      </c>
      <c r="E405" s="141"/>
      <c r="F405" s="141">
        <v>864.13</v>
      </c>
      <c r="G405" s="141"/>
      <c r="H405" s="160">
        <v>938.62</v>
      </c>
      <c r="I405" s="141"/>
      <c r="J405" s="141">
        <v>688.15</v>
      </c>
      <c r="K405" s="141"/>
      <c r="L405" s="141" t="s">
        <v>563</v>
      </c>
    </row>
    <row r="406" spans="1:12" s="59" customFormat="1" x14ac:dyDescent="0.25">
      <c r="A406" s="231" t="s">
        <v>274</v>
      </c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94"/>
    </row>
    <row r="407" spans="1:12" x14ac:dyDescent="0.25">
      <c r="A407" s="228"/>
      <c r="B407" s="138" t="s">
        <v>22</v>
      </c>
      <c r="C407" s="232">
        <f>467/B405</f>
        <v>0.37600644122383253</v>
      </c>
      <c r="D407" s="138" t="s">
        <v>57</v>
      </c>
      <c r="E407" s="232">
        <f>144.55/D405</f>
        <v>0.17302466993045501</v>
      </c>
      <c r="F407" s="138" t="s">
        <v>22</v>
      </c>
      <c r="G407" s="232">
        <f>156.53/F405</f>
        <v>0.18114172636061704</v>
      </c>
      <c r="H407" s="138" t="s">
        <v>22</v>
      </c>
      <c r="I407" s="232">
        <f>192.62/H405</f>
        <v>0.20521616841746393</v>
      </c>
      <c r="J407" s="138" t="s">
        <v>22</v>
      </c>
      <c r="K407" s="232">
        <f>260.346/J405</f>
        <v>0.37832739954951683</v>
      </c>
      <c r="L407" s="141"/>
    </row>
    <row r="408" spans="1:12" x14ac:dyDescent="0.25">
      <c r="A408" s="165"/>
      <c r="B408" s="138" t="s">
        <v>29</v>
      </c>
      <c r="C408" s="232">
        <f>157/B405</f>
        <v>0.12640901771336555</v>
      </c>
      <c r="D408" s="138" t="s">
        <v>79</v>
      </c>
      <c r="E408" s="232">
        <f>120.9/D405</f>
        <v>0.14471589480866143</v>
      </c>
      <c r="F408" s="138" t="s">
        <v>134</v>
      </c>
      <c r="G408" s="232">
        <f>122/F405</f>
        <v>0.14118246097230741</v>
      </c>
      <c r="H408" s="138" t="s">
        <v>57</v>
      </c>
      <c r="I408" s="232">
        <f>152.37/H405</f>
        <v>0.16233406490379493</v>
      </c>
      <c r="J408" s="138" t="s">
        <v>79</v>
      </c>
      <c r="K408" s="232">
        <f>95.93/J405</f>
        <v>0.13940274649422366</v>
      </c>
      <c r="L408" s="141"/>
    </row>
    <row r="409" spans="1:12" x14ac:dyDescent="0.25">
      <c r="A409" s="165"/>
      <c r="B409" s="138" t="s">
        <v>79</v>
      </c>
      <c r="C409" s="232">
        <f>136/B405</f>
        <v>0.10950080515297907</v>
      </c>
      <c r="D409" s="138" t="s">
        <v>29</v>
      </c>
      <c r="E409" s="232">
        <f>113.6/D405</f>
        <v>0.13597787965478855</v>
      </c>
      <c r="F409" s="138" t="s">
        <v>79</v>
      </c>
      <c r="G409" s="232">
        <f>121/F405</f>
        <v>0.14002522768564915</v>
      </c>
      <c r="H409" s="138" t="s">
        <v>79</v>
      </c>
      <c r="I409" s="232">
        <f>138.8/H405</f>
        <v>0.14787667000490082</v>
      </c>
      <c r="J409" s="138" t="s">
        <v>57</v>
      </c>
      <c r="K409" s="232">
        <f>53.68/J405</f>
        <v>7.8006248637651682E-2</v>
      </c>
      <c r="L409" s="141"/>
    </row>
    <row r="410" spans="1:12" x14ac:dyDescent="0.25">
      <c r="A410" s="165"/>
      <c r="B410" s="141"/>
      <c r="C410" s="262">
        <f>SUM(C407:C409)</f>
        <v>0.61191626409017719</v>
      </c>
      <c r="D410" s="141"/>
      <c r="E410" s="262">
        <f>SUM(E407:E409)</f>
        <v>0.45371844439390496</v>
      </c>
      <c r="F410" s="141"/>
      <c r="G410" s="262">
        <f>SUM(G407:G409)</f>
        <v>0.46234941501857363</v>
      </c>
      <c r="H410" s="141"/>
      <c r="I410" s="262">
        <f>SUM(I407:I409)</f>
        <v>0.5154269033261597</v>
      </c>
      <c r="J410" s="141"/>
      <c r="K410" s="262">
        <f>SUM(K407:K409)</f>
        <v>0.59573639468139217</v>
      </c>
      <c r="L410" s="141"/>
    </row>
    <row r="411" spans="1:12" x14ac:dyDescent="0.25">
      <c r="A411" s="165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</row>
    <row r="412" spans="1:12" x14ac:dyDescent="0.25">
      <c r="A412" s="165" t="s">
        <v>240</v>
      </c>
      <c r="B412" s="208">
        <v>2005</v>
      </c>
      <c r="C412" s="208" t="s">
        <v>272</v>
      </c>
      <c r="D412" s="208">
        <v>2006</v>
      </c>
      <c r="E412" s="208" t="s">
        <v>272</v>
      </c>
      <c r="F412" s="208">
        <v>2007</v>
      </c>
      <c r="G412" s="208" t="s">
        <v>272</v>
      </c>
      <c r="H412" s="208">
        <v>2008</v>
      </c>
      <c r="I412" s="208" t="s">
        <v>272</v>
      </c>
      <c r="J412" s="208">
        <v>2009</v>
      </c>
      <c r="K412" s="208" t="s">
        <v>272</v>
      </c>
      <c r="L412" s="208" t="s">
        <v>273</v>
      </c>
    </row>
    <row r="413" spans="1:12" x14ac:dyDescent="0.25">
      <c r="A413" s="228" t="s">
        <v>172</v>
      </c>
      <c r="B413" s="260" t="s">
        <v>394</v>
      </c>
      <c r="C413" s="166"/>
      <c r="D413" s="260" t="s">
        <v>394</v>
      </c>
      <c r="E413" s="166"/>
      <c r="F413" s="260" t="s">
        <v>394</v>
      </c>
      <c r="G413" s="166"/>
      <c r="H413" s="260" t="s">
        <v>394</v>
      </c>
      <c r="I413" s="166"/>
      <c r="J413" s="260" t="s">
        <v>394</v>
      </c>
      <c r="K413" s="141"/>
      <c r="L413" s="141"/>
    </row>
    <row r="414" spans="1:12" x14ac:dyDescent="0.25">
      <c r="A414" s="228" t="s">
        <v>121</v>
      </c>
      <c r="B414" s="217" t="s">
        <v>165</v>
      </c>
      <c r="C414" s="166"/>
      <c r="D414" s="217" t="s">
        <v>165</v>
      </c>
      <c r="E414" s="166"/>
      <c r="F414" s="217" t="s">
        <v>165</v>
      </c>
      <c r="G414" s="166"/>
      <c r="H414" s="217" t="s">
        <v>165</v>
      </c>
      <c r="I414" s="166"/>
      <c r="J414" s="217" t="s">
        <v>165</v>
      </c>
      <c r="K414" s="141"/>
      <c r="L414" s="141"/>
    </row>
    <row r="415" spans="1:12" x14ac:dyDescent="0.25">
      <c r="A415" s="228" t="s">
        <v>173</v>
      </c>
      <c r="B415" s="160">
        <v>51000</v>
      </c>
      <c r="C415" s="141"/>
      <c r="D415" s="210">
        <v>3550</v>
      </c>
      <c r="E415" s="166"/>
      <c r="F415" s="210">
        <v>15100</v>
      </c>
      <c r="G415" s="166"/>
      <c r="H415" s="210">
        <v>50000</v>
      </c>
      <c r="I415" s="166"/>
      <c r="J415" s="210">
        <v>8130</v>
      </c>
      <c r="K415" s="166"/>
      <c r="L415" s="210"/>
    </row>
    <row r="416" spans="1:12" x14ac:dyDescent="0.25">
      <c r="A416" s="228" t="s">
        <v>276</v>
      </c>
      <c r="B416" s="160">
        <v>42200</v>
      </c>
      <c r="C416" s="141"/>
      <c r="D416" s="160">
        <v>31100</v>
      </c>
      <c r="E416" s="141"/>
      <c r="F416" s="160">
        <v>43700</v>
      </c>
      <c r="G416" s="141"/>
      <c r="H416" s="160">
        <v>102000</v>
      </c>
      <c r="I416" s="141"/>
      <c r="J416" s="160">
        <v>84000</v>
      </c>
      <c r="K416" s="141"/>
      <c r="L416" s="160"/>
    </row>
    <row r="417" spans="1:12" s="59" customFormat="1" x14ac:dyDescent="0.25">
      <c r="A417" s="231" t="s">
        <v>274</v>
      </c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94"/>
    </row>
    <row r="418" spans="1:12" x14ac:dyDescent="0.25">
      <c r="A418" s="228"/>
      <c r="B418" s="138" t="s">
        <v>58</v>
      </c>
      <c r="C418" s="232">
        <f>23500/B416</f>
        <v>0.55687203791469198</v>
      </c>
      <c r="D418" s="200" t="s">
        <v>58</v>
      </c>
      <c r="E418" s="232">
        <f>18200/D416</f>
        <v>0.58520900321543412</v>
      </c>
      <c r="F418" s="138" t="s">
        <v>22</v>
      </c>
      <c r="G418" s="232">
        <f>15000/F416</f>
        <v>0.34324942791762014</v>
      </c>
      <c r="H418" s="138" t="s">
        <v>22</v>
      </c>
      <c r="I418" s="232">
        <f>70100/H416</f>
        <v>0.68725490196078431</v>
      </c>
      <c r="J418" s="138" t="s">
        <v>22</v>
      </c>
      <c r="K418" s="232">
        <f>39400/J416</f>
        <v>0.46904761904761905</v>
      </c>
      <c r="L418" s="160"/>
    </row>
    <row r="419" spans="1:12" x14ac:dyDescent="0.25">
      <c r="A419" s="228"/>
      <c r="B419" s="138" t="s">
        <v>38</v>
      </c>
      <c r="C419" s="232">
        <f>11500/B416</f>
        <v>0.27251184834123221</v>
      </c>
      <c r="D419" s="138" t="s">
        <v>38</v>
      </c>
      <c r="E419" s="232">
        <f>7410/D416</f>
        <v>0.23826366559485532</v>
      </c>
      <c r="F419" s="138" t="s">
        <v>228</v>
      </c>
      <c r="G419" s="232">
        <f>10700/F416</f>
        <v>0.24485125858123569</v>
      </c>
      <c r="H419" s="138" t="s">
        <v>38</v>
      </c>
      <c r="I419" s="232">
        <f>10100/H416</f>
        <v>9.901960784313725E-2</v>
      </c>
      <c r="J419" s="200" t="s">
        <v>38</v>
      </c>
      <c r="K419" s="232">
        <f>18300/J416</f>
        <v>0.21785714285714286</v>
      </c>
      <c r="L419" s="141"/>
    </row>
    <row r="420" spans="1:12" x14ac:dyDescent="0.25">
      <c r="A420" s="165"/>
      <c r="B420" s="138" t="s">
        <v>22</v>
      </c>
      <c r="C420" s="232">
        <f>5250/B416</f>
        <v>0.12440758293838862</v>
      </c>
      <c r="D420" s="138" t="s">
        <v>22</v>
      </c>
      <c r="E420" s="232">
        <f>3490/D416</f>
        <v>0.11221864951768488</v>
      </c>
      <c r="F420" s="200" t="s">
        <v>38</v>
      </c>
      <c r="G420" s="232">
        <f>9320/F416</f>
        <v>0.21327231121281465</v>
      </c>
      <c r="H420" s="200" t="s">
        <v>58</v>
      </c>
      <c r="I420" s="232">
        <f>6570/H416</f>
        <v>6.4411764705882349E-2</v>
      </c>
      <c r="J420" s="138" t="s">
        <v>228</v>
      </c>
      <c r="K420" s="232">
        <f>10200/J416</f>
        <v>0.12142857142857143</v>
      </c>
      <c r="L420" s="141"/>
    </row>
    <row r="421" spans="1:12" x14ac:dyDescent="0.25">
      <c r="A421" s="165"/>
      <c r="B421" s="141"/>
      <c r="C421" s="262">
        <f>SUM(C418:C420)</f>
        <v>0.95379146919431279</v>
      </c>
      <c r="D421" s="141"/>
      <c r="E421" s="262">
        <f>SUM(E418:E420)</f>
        <v>0.93569131832797436</v>
      </c>
      <c r="F421" s="141"/>
      <c r="G421" s="262">
        <f>SUM(G418:G420)</f>
        <v>0.80137299771167048</v>
      </c>
      <c r="H421" s="141"/>
      <c r="I421" s="262">
        <f>SUM(I418:I420)</f>
        <v>0.85068627450980394</v>
      </c>
      <c r="J421" s="141"/>
      <c r="K421" s="262">
        <f>SUM(K418:K420)</f>
        <v>0.80833333333333335</v>
      </c>
      <c r="L421" s="141"/>
    </row>
    <row r="422" spans="1:12" x14ac:dyDescent="0.25">
      <c r="A422" s="165"/>
      <c r="B422" s="141"/>
      <c r="C422" s="262"/>
      <c r="D422" s="141"/>
      <c r="E422" s="262"/>
      <c r="F422" s="141"/>
      <c r="G422" s="262"/>
      <c r="H422" s="141"/>
      <c r="I422" s="262"/>
      <c r="J422" s="141"/>
      <c r="K422" s="262"/>
      <c r="L422" s="141"/>
    </row>
    <row r="423" spans="1:12" x14ac:dyDescent="0.25">
      <c r="A423" s="165" t="s">
        <v>241</v>
      </c>
      <c r="B423" s="208">
        <v>2005</v>
      </c>
      <c r="C423" s="208" t="s">
        <v>272</v>
      </c>
      <c r="D423" s="208">
        <v>2006</v>
      </c>
      <c r="E423" s="208" t="s">
        <v>272</v>
      </c>
      <c r="F423" s="208">
        <v>2007</v>
      </c>
      <c r="G423" s="208" t="s">
        <v>272</v>
      </c>
      <c r="H423" s="208">
        <v>2008</v>
      </c>
      <c r="I423" s="208" t="s">
        <v>272</v>
      </c>
      <c r="J423" s="208">
        <v>2009</v>
      </c>
      <c r="K423" s="208" t="s">
        <v>272</v>
      </c>
      <c r="L423" s="208" t="s">
        <v>273</v>
      </c>
    </row>
    <row r="424" spans="1:12" x14ac:dyDescent="0.25">
      <c r="A424" s="228" t="s">
        <v>172</v>
      </c>
      <c r="B424" s="166">
        <v>40570</v>
      </c>
      <c r="C424" s="166"/>
      <c r="D424" s="166">
        <v>37680</v>
      </c>
      <c r="E424" s="166"/>
      <c r="F424" s="166">
        <v>31190</v>
      </c>
      <c r="G424" s="166"/>
      <c r="H424" s="166">
        <v>29350</v>
      </c>
      <c r="I424" s="166"/>
      <c r="J424" s="166">
        <v>32650</v>
      </c>
      <c r="K424" s="141"/>
      <c r="L424" s="141" t="s">
        <v>564</v>
      </c>
    </row>
    <row r="425" spans="1:12" x14ac:dyDescent="0.25">
      <c r="A425" s="228" t="s">
        <v>121</v>
      </c>
      <c r="B425" s="166">
        <v>11700</v>
      </c>
      <c r="C425" s="166"/>
      <c r="D425" s="166">
        <v>11600</v>
      </c>
      <c r="E425" s="166"/>
      <c r="F425" s="166">
        <v>12200</v>
      </c>
      <c r="G425" s="166"/>
      <c r="H425" s="166">
        <v>11700</v>
      </c>
      <c r="I425" s="166"/>
      <c r="J425" s="166">
        <v>11100</v>
      </c>
      <c r="K425" s="141"/>
      <c r="L425" s="141" t="s">
        <v>565</v>
      </c>
    </row>
    <row r="426" spans="1:12" x14ac:dyDescent="0.25">
      <c r="A426" s="228" t="s">
        <v>173</v>
      </c>
      <c r="B426" s="166">
        <v>4330</v>
      </c>
      <c r="C426" s="166"/>
      <c r="D426" s="166">
        <v>5490</v>
      </c>
      <c r="E426" s="166"/>
      <c r="F426" s="166">
        <v>6410</v>
      </c>
      <c r="G426" s="166"/>
      <c r="H426" s="166">
        <v>9800</v>
      </c>
      <c r="I426" s="166"/>
      <c r="J426" s="166">
        <v>3170</v>
      </c>
      <c r="K426" s="141"/>
      <c r="L426" s="141" t="s">
        <v>528</v>
      </c>
    </row>
    <row r="427" spans="1:12" x14ac:dyDescent="0.25">
      <c r="A427" s="228" t="s">
        <v>174</v>
      </c>
      <c r="B427" s="166">
        <v>37500</v>
      </c>
      <c r="C427" s="166"/>
      <c r="D427" s="166">
        <v>43300</v>
      </c>
      <c r="E427" s="166"/>
      <c r="F427" s="166">
        <v>34600</v>
      </c>
      <c r="G427" s="166"/>
      <c r="H427" s="166">
        <v>36300</v>
      </c>
      <c r="I427" s="166"/>
      <c r="J427" s="166">
        <v>33000</v>
      </c>
      <c r="K427" s="141"/>
      <c r="L427" s="141" t="s">
        <v>528</v>
      </c>
    </row>
    <row r="428" spans="1:12" s="59" customFormat="1" x14ac:dyDescent="0.25">
      <c r="A428" s="231" t="s">
        <v>274</v>
      </c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94"/>
    </row>
    <row r="429" spans="1:12" x14ac:dyDescent="0.25">
      <c r="A429" s="165"/>
      <c r="B429" s="138" t="s">
        <v>44</v>
      </c>
      <c r="C429" s="232">
        <f>18300/B427</f>
        <v>0.48799999999999999</v>
      </c>
      <c r="D429" s="138" t="s">
        <v>44</v>
      </c>
      <c r="E429" s="232">
        <f>21600/D427</f>
        <v>0.49884526558891457</v>
      </c>
      <c r="F429" s="138" t="s">
        <v>44</v>
      </c>
      <c r="G429" s="232">
        <f>18700/F427</f>
        <v>0.54046242774566478</v>
      </c>
      <c r="H429" s="138" t="s">
        <v>44</v>
      </c>
      <c r="I429" s="232">
        <f>20900/H427</f>
        <v>0.5757575757575758</v>
      </c>
      <c r="J429" s="138" t="s">
        <v>44</v>
      </c>
      <c r="K429" s="232">
        <f>20300/J427</f>
        <v>0.61515151515151512</v>
      </c>
      <c r="L429" s="141"/>
    </row>
    <row r="430" spans="1:12" x14ac:dyDescent="0.25">
      <c r="A430" s="165"/>
      <c r="B430" s="138" t="s">
        <v>23</v>
      </c>
      <c r="C430" s="232">
        <f>5400/B427</f>
        <v>0.14399999999999999</v>
      </c>
      <c r="D430" s="138" t="s">
        <v>23</v>
      </c>
      <c r="E430" s="232">
        <f>8160/D427</f>
        <v>0.1884526558891455</v>
      </c>
      <c r="F430" s="138" t="s">
        <v>23</v>
      </c>
      <c r="G430" s="232">
        <f>4340/F427</f>
        <v>0.12543352601156069</v>
      </c>
      <c r="H430" s="138" t="s">
        <v>23</v>
      </c>
      <c r="I430" s="232">
        <f>4980/H427</f>
        <v>0.13719008264462809</v>
      </c>
      <c r="J430" s="138" t="s">
        <v>23</v>
      </c>
      <c r="K430" s="232">
        <f>6300/J427</f>
        <v>0.19090909090909092</v>
      </c>
      <c r="L430" s="141"/>
    </row>
    <row r="431" spans="1:12" x14ac:dyDescent="0.25">
      <c r="A431" s="165"/>
      <c r="B431" s="138" t="s">
        <v>55</v>
      </c>
      <c r="C431" s="232">
        <f>5220/B427</f>
        <v>0.13919999999999999</v>
      </c>
      <c r="D431" s="138" t="s">
        <v>55</v>
      </c>
      <c r="E431" s="232">
        <f>4600/D427</f>
        <v>0.10623556581986143</v>
      </c>
      <c r="F431" s="138" t="s">
        <v>22</v>
      </c>
      <c r="G431" s="232">
        <f>4230/F427</f>
        <v>0.1222543352601156</v>
      </c>
      <c r="H431" s="138" t="s">
        <v>22</v>
      </c>
      <c r="I431" s="232">
        <f>2380/H427</f>
        <v>6.5564738292011024E-2</v>
      </c>
      <c r="J431" s="138" t="s">
        <v>55</v>
      </c>
      <c r="K431" s="232">
        <f>3220/J427</f>
        <v>9.757575757575758E-2</v>
      </c>
      <c r="L431" s="141"/>
    </row>
    <row r="432" spans="1:12" x14ac:dyDescent="0.25">
      <c r="A432" s="165"/>
      <c r="B432" s="141"/>
      <c r="C432" s="262">
        <f>SUM(C429:C431)</f>
        <v>0.7712</v>
      </c>
      <c r="D432" s="141"/>
      <c r="E432" s="262">
        <f>SUM(E429:E431)</f>
        <v>0.79353348729792161</v>
      </c>
      <c r="F432" s="141"/>
      <c r="G432" s="262">
        <f>SUM(G429:G431)</f>
        <v>0.78815028901734108</v>
      </c>
      <c r="H432" s="141"/>
      <c r="I432" s="262">
        <f>SUM(I429:I431)</f>
        <v>0.7785123966942149</v>
      </c>
      <c r="J432" s="141"/>
      <c r="K432" s="262">
        <f>SUM(K429:K431)</f>
        <v>0.90363636363636357</v>
      </c>
      <c r="L432" s="141"/>
    </row>
    <row r="433" spans="1:12" x14ac:dyDescent="0.25">
      <c r="A433" s="165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</row>
    <row r="434" spans="1:12" x14ac:dyDescent="0.25">
      <c r="A434" s="165" t="s">
        <v>242</v>
      </c>
      <c r="B434" s="208">
        <v>2005</v>
      </c>
      <c r="C434" s="208" t="s">
        <v>272</v>
      </c>
      <c r="D434" s="208">
        <v>2006</v>
      </c>
      <c r="E434" s="208" t="s">
        <v>272</v>
      </c>
      <c r="F434" s="208">
        <v>2007</v>
      </c>
      <c r="G434" s="208" t="s">
        <v>272</v>
      </c>
      <c r="H434" s="208">
        <v>2008</v>
      </c>
      <c r="I434" s="208" t="s">
        <v>272</v>
      </c>
      <c r="J434" s="208">
        <v>2009</v>
      </c>
      <c r="K434" s="208" t="s">
        <v>272</v>
      </c>
      <c r="L434" s="208" t="s">
        <v>273</v>
      </c>
    </row>
    <row r="435" spans="1:12" x14ac:dyDescent="0.25">
      <c r="A435" s="228" t="s">
        <v>172</v>
      </c>
      <c r="B435" s="166">
        <v>26100</v>
      </c>
      <c r="C435" s="166"/>
      <c r="D435" s="166">
        <v>28400</v>
      </c>
      <c r="E435" s="166"/>
      <c r="F435" s="166">
        <v>33700</v>
      </c>
      <c r="G435" s="166"/>
      <c r="H435" s="217" t="s">
        <v>165</v>
      </c>
      <c r="I435" s="166"/>
      <c r="J435" s="217" t="s">
        <v>165</v>
      </c>
      <c r="K435" s="141"/>
      <c r="L435" s="141"/>
    </row>
    <row r="436" spans="1:12" x14ac:dyDescent="0.25">
      <c r="A436" s="228" t="s">
        <v>121</v>
      </c>
      <c r="B436" s="260" t="s">
        <v>394</v>
      </c>
      <c r="C436" s="166"/>
      <c r="D436" s="260" t="s">
        <v>394</v>
      </c>
      <c r="E436" s="166"/>
      <c r="F436" s="260" t="s">
        <v>394</v>
      </c>
      <c r="G436" s="166"/>
      <c r="H436" s="260" t="s">
        <v>394</v>
      </c>
      <c r="I436" s="166"/>
      <c r="J436" s="260" t="s">
        <v>394</v>
      </c>
      <c r="K436" s="141"/>
      <c r="L436" s="141"/>
    </row>
    <row r="437" spans="1:12" x14ac:dyDescent="0.25">
      <c r="A437" s="228" t="s">
        <v>173</v>
      </c>
      <c r="B437" s="166">
        <v>1910</v>
      </c>
      <c r="C437" s="166"/>
      <c r="D437" s="166">
        <v>1380</v>
      </c>
      <c r="E437" s="166"/>
      <c r="F437" s="166">
        <v>2000</v>
      </c>
      <c r="G437" s="166"/>
      <c r="H437" s="166">
        <v>2370</v>
      </c>
      <c r="I437" s="166"/>
      <c r="J437" s="166">
        <v>820</v>
      </c>
      <c r="K437" s="141"/>
      <c r="L437" s="141"/>
    </row>
    <row r="438" spans="1:12" x14ac:dyDescent="0.25">
      <c r="A438" s="228" t="s">
        <v>174</v>
      </c>
      <c r="B438" s="166">
        <v>15800</v>
      </c>
      <c r="C438" s="166"/>
      <c r="D438" s="166">
        <v>24400</v>
      </c>
      <c r="E438" s="166"/>
      <c r="F438" s="166">
        <v>25900</v>
      </c>
      <c r="G438" s="166"/>
      <c r="H438" s="166">
        <v>23900</v>
      </c>
      <c r="I438" s="166"/>
      <c r="J438" s="166">
        <v>16600</v>
      </c>
      <c r="K438" s="141"/>
      <c r="L438" s="141" t="s">
        <v>566</v>
      </c>
    </row>
    <row r="439" spans="1:12" s="59" customFormat="1" x14ac:dyDescent="0.25">
      <c r="A439" s="231" t="s">
        <v>274</v>
      </c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94"/>
    </row>
    <row r="440" spans="1:12" x14ac:dyDescent="0.25">
      <c r="A440" s="165"/>
      <c r="B440" s="138" t="s">
        <v>79</v>
      </c>
      <c r="C440" s="232">
        <f>8390/B438</f>
        <v>0.53101265822784816</v>
      </c>
      <c r="D440" s="138" t="s">
        <v>79</v>
      </c>
      <c r="E440" s="232">
        <f>12400/D438</f>
        <v>0.50819672131147542</v>
      </c>
      <c r="F440" s="138" t="s">
        <v>79</v>
      </c>
      <c r="G440" s="232">
        <f>13800/F438</f>
        <v>0.53281853281853286</v>
      </c>
      <c r="H440" s="138" t="s">
        <v>79</v>
      </c>
      <c r="I440" s="232">
        <f>12000/H438</f>
        <v>0.502092050209205</v>
      </c>
      <c r="J440" s="138" t="s">
        <v>79</v>
      </c>
      <c r="K440" s="232">
        <f>9930/J438</f>
        <v>0.59819277108433733</v>
      </c>
      <c r="L440" s="141"/>
    </row>
    <row r="441" spans="1:12" x14ac:dyDescent="0.25">
      <c r="A441" s="165"/>
      <c r="B441" s="138" t="s">
        <v>29</v>
      </c>
      <c r="C441" s="232">
        <f>6200/B438</f>
        <v>0.39240506329113922</v>
      </c>
      <c r="D441" s="138" t="s">
        <v>29</v>
      </c>
      <c r="E441" s="232">
        <f>8070/D438</f>
        <v>0.33073770491803278</v>
      </c>
      <c r="F441" s="138" t="s">
        <v>29</v>
      </c>
      <c r="G441" s="232">
        <f>8250/F438</f>
        <v>0.31853281853281851</v>
      </c>
      <c r="H441" s="138" t="s">
        <v>29</v>
      </c>
      <c r="I441" s="232">
        <f>7860/H438</f>
        <v>0.32887029288702929</v>
      </c>
      <c r="J441" s="138" t="s">
        <v>29</v>
      </c>
      <c r="K441" s="232">
        <f>5870/J438</f>
        <v>0.35361445783132528</v>
      </c>
      <c r="L441" s="141"/>
    </row>
    <row r="442" spans="1:12" x14ac:dyDescent="0.25">
      <c r="A442" s="165"/>
      <c r="B442" s="138" t="s">
        <v>24</v>
      </c>
      <c r="C442" s="232">
        <f>977/B438</f>
        <v>6.1835443037974683E-2</v>
      </c>
      <c r="D442" s="138" t="s">
        <v>42</v>
      </c>
      <c r="E442" s="232">
        <f>1650/D438</f>
        <v>6.7622950819672137E-2</v>
      </c>
      <c r="F442" s="138" t="s">
        <v>22</v>
      </c>
      <c r="G442" s="232">
        <f>2220/F438</f>
        <v>8.5714285714285715E-2</v>
      </c>
      <c r="H442" s="138" t="s">
        <v>42</v>
      </c>
      <c r="I442" s="232">
        <f>1540/H438</f>
        <v>6.443514644351464E-2</v>
      </c>
      <c r="J442" s="138" t="s">
        <v>22</v>
      </c>
      <c r="K442" s="232">
        <f>81/J438</f>
        <v>4.8795180722891567E-3</v>
      </c>
      <c r="L442" s="141"/>
    </row>
    <row r="443" spans="1:12" x14ac:dyDescent="0.25">
      <c r="A443" s="165"/>
      <c r="B443" s="141"/>
      <c r="C443" s="262">
        <f>SUM(C440:C442)</f>
        <v>0.9852531645569621</v>
      </c>
      <c r="D443" s="141"/>
      <c r="E443" s="262">
        <f>SUM(E440:E442)</f>
        <v>0.90655737704918038</v>
      </c>
      <c r="F443" s="141"/>
      <c r="G443" s="262">
        <f>SUM(G440:G442)</f>
        <v>0.93706563706563706</v>
      </c>
      <c r="H443" s="141"/>
      <c r="I443" s="262">
        <f>SUM(I440:I442)</f>
        <v>0.89539748953974896</v>
      </c>
      <c r="J443" s="141"/>
      <c r="K443" s="262">
        <f>SUM(K440:K442)</f>
        <v>0.95668674698795175</v>
      </c>
      <c r="L443" s="141"/>
    </row>
    <row r="444" spans="1:12" x14ac:dyDescent="0.25">
      <c r="A444" s="165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</row>
    <row r="445" spans="1:12" x14ac:dyDescent="0.25">
      <c r="A445" s="165" t="s">
        <v>243</v>
      </c>
      <c r="B445" s="208">
        <v>2005</v>
      </c>
      <c r="C445" s="208" t="s">
        <v>272</v>
      </c>
      <c r="D445" s="208">
        <v>2006</v>
      </c>
      <c r="E445" s="208" t="s">
        <v>272</v>
      </c>
      <c r="F445" s="208">
        <v>2007</v>
      </c>
      <c r="G445" s="208" t="s">
        <v>272</v>
      </c>
      <c r="H445" s="208">
        <v>2008</v>
      </c>
      <c r="I445" s="208" t="s">
        <v>272</v>
      </c>
      <c r="J445" s="208">
        <v>2009</v>
      </c>
      <c r="K445" s="208" t="s">
        <v>272</v>
      </c>
      <c r="L445" s="208" t="s">
        <v>273</v>
      </c>
    </row>
    <row r="446" spans="1:12" x14ac:dyDescent="0.25">
      <c r="A446" s="228" t="s">
        <v>260</v>
      </c>
      <c r="B446" s="260" t="s">
        <v>394</v>
      </c>
      <c r="C446" s="166"/>
      <c r="D446" s="260" t="s">
        <v>394</v>
      </c>
      <c r="E446" s="166"/>
      <c r="F446" s="260" t="s">
        <v>394</v>
      </c>
      <c r="G446" s="166"/>
      <c r="H446" s="260" t="s">
        <v>394</v>
      </c>
      <c r="I446" s="166"/>
      <c r="J446" s="260" t="s">
        <v>394</v>
      </c>
      <c r="K446" s="141"/>
      <c r="L446" s="141"/>
    </row>
    <row r="447" spans="1:12" x14ac:dyDescent="0.25">
      <c r="A447" s="229" t="s">
        <v>172</v>
      </c>
      <c r="B447" s="217" t="s">
        <v>165</v>
      </c>
      <c r="C447" s="242"/>
      <c r="D447" s="217" t="s">
        <v>165</v>
      </c>
      <c r="E447" s="217"/>
      <c r="F447" s="217" t="s">
        <v>165</v>
      </c>
      <c r="G447" s="217"/>
      <c r="H447" s="217" t="s">
        <v>165</v>
      </c>
      <c r="I447" s="217"/>
      <c r="J447" s="217" t="s">
        <v>165</v>
      </c>
      <c r="K447" s="166"/>
      <c r="L447" s="166"/>
    </row>
    <row r="448" spans="1:12" x14ac:dyDescent="0.25">
      <c r="A448" s="229" t="s">
        <v>121</v>
      </c>
      <c r="B448" s="217" t="s">
        <v>262</v>
      </c>
      <c r="C448" s="242"/>
      <c r="D448" s="217" t="s">
        <v>262</v>
      </c>
      <c r="E448" s="217"/>
      <c r="F448" s="217" t="s">
        <v>165</v>
      </c>
      <c r="G448" s="217"/>
      <c r="H448" s="217" t="s">
        <v>165</v>
      </c>
      <c r="I448" s="217"/>
      <c r="J448" s="217" t="s">
        <v>165</v>
      </c>
      <c r="K448" s="166"/>
      <c r="L448" s="166"/>
    </row>
    <row r="449" spans="1:12" x14ac:dyDescent="0.25">
      <c r="A449" s="229" t="s">
        <v>173</v>
      </c>
      <c r="B449" s="166">
        <v>52</v>
      </c>
      <c r="C449" s="166"/>
      <c r="D449" s="166">
        <v>130</v>
      </c>
      <c r="E449" s="166"/>
      <c r="F449" s="166">
        <v>109</v>
      </c>
      <c r="G449" s="166"/>
      <c r="H449" s="166">
        <v>496</v>
      </c>
      <c r="I449" s="166"/>
      <c r="J449" s="166">
        <v>38</v>
      </c>
      <c r="K449" s="141"/>
      <c r="L449" s="141"/>
    </row>
    <row r="450" spans="1:12" x14ac:dyDescent="0.25">
      <c r="A450" s="229" t="s">
        <v>174</v>
      </c>
      <c r="B450" s="166">
        <v>2080</v>
      </c>
      <c r="C450" s="166"/>
      <c r="D450" s="166">
        <v>2290</v>
      </c>
      <c r="E450" s="166"/>
      <c r="F450" s="166">
        <v>3880</v>
      </c>
      <c r="G450" s="166"/>
      <c r="H450" s="166">
        <v>3990</v>
      </c>
      <c r="I450" s="166"/>
      <c r="J450" s="166">
        <v>3590</v>
      </c>
      <c r="K450" s="141"/>
      <c r="L450" s="141"/>
    </row>
    <row r="451" spans="1:12" s="59" customFormat="1" x14ac:dyDescent="0.25">
      <c r="A451" s="231" t="s">
        <v>274</v>
      </c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94"/>
    </row>
    <row r="452" spans="1:12" x14ac:dyDescent="0.25">
      <c r="A452" s="229"/>
      <c r="B452" s="210" t="s">
        <v>134</v>
      </c>
      <c r="C452" s="232">
        <f>764/B450</f>
        <v>0.36730769230769234</v>
      </c>
      <c r="D452" s="210" t="s">
        <v>23</v>
      </c>
      <c r="E452" s="232">
        <f>845/D450</f>
        <v>0.36899563318777295</v>
      </c>
      <c r="F452" s="210" t="s">
        <v>23</v>
      </c>
      <c r="G452" s="232">
        <f>1150/F450</f>
        <v>0.29639175257731959</v>
      </c>
      <c r="H452" s="210" t="s">
        <v>23</v>
      </c>
      <c r="I452" s="232">
        <f>1100/H450</f>
        <v>0.27568922305764409</v>
      </c>
      <c r="J452" s="210" t="s">
        <v>23</v>
      </c>
      <c r="K452" s="232">
        <f>890.514614063266/J450</f>
        <v>0.24805421004547798</v>
      </c>
      <c r="L452" s="141"/>
    </row>
    <row r="453" spans="1:12" x14ac:dyDescent="0.25">
      <c r="A453" s="229"/>
      <c r="B453" s="210" t="s">
        <v>23</v>
      </c>
      <c r="C453" s="232">
        <f>547/B450</f>
        <v>0.26298076923076924</v>
      </c>
      <c r="D453" s="210" t="s">
        <v>134</v>
      </c>
      <c r="E453" s="232">
        <f>713/D450</f>
        <v>0.31135371179039301</v>
      </c>
      <c r="F453" s="210" t="s">
        <v>38</v>
      </c>
      <c r="G453" s="232">
        <f>797/F450</f>
        <v>0.20541237113402061</v>
      </c>
      <c r="H453" s="210" t="s">
        <v>38</v>
      </c>
      <c r="I453" s="232">
        <f>963/H450</f>
        <v>0.24135338345864663</v>
      </c>
      <c r="J453" s="210" t="s">
        <v>38</v>
      </c>
      <c r="K453" s="232">
        <f>855.558977657404/J450</f>
        <v>0.23831726397142172</v>
      </c>
      <c r="L453" s="141"/>
    </row>
    <row r="454" spans="1:12" x14ac:dyDescent="0.25">
      <c r="A454" s="229"/>
      <c r="B454" s="210" t="s">
        <v>38</v>
      </c>
      <c r="C454" s="232">
        <f>270/B450</f>
        <v>0.12980769230769232</v>
      </c>
      <c r="D454" s="210" t="s">
        <v>63</v>
      </c>
      <c r="E454" s="232">
        <f>228/D450</f>
        <v>9.9563318777292575E-2</v>
      </c>
      <c r="F454" s="210" t="s">
        <v>134</v>
      </c>
      <c r="G454" s="232">
        <f>733/F450</f>
        <v>0.18891752577319587</v>
      </c>
      <c r="H454" s="210" t="s">
        <v>134</v>
      </c>
      <c r="I454" s="232">
        <f>836/H450</f>
        <v>0.20952380952380953</v>
      </c>
      <c r="J454" s="210" t="s">
        <v>134</v>
      </c>
      <c r="K454" s="232">
        <f>756.225894404621/J450</f>
        <v>0.21064788144975516</v>
      </c>
      <c r="L454" s="141"/>
    </row>
    <row r="455" spans="1:12" x14ac:dyDescent="0.25">
      <c r="A455" s="229"/>
      <c r="B455" s="210"/>
      <c r="C455" s="232"/>
      <c r="D455" s="210"/>
      <c r="E455" s="232"/>
      <c r="F455" s="210"/>
      <c r="G455" s="232"/>
      <c r="H455" s="210"/>
      <c r="I455" s="232"/>
      <c r="J455" s="210"/>
      <c r="K455" s="232"/>
      <c r="L455" s="141"/>
    </row>
    <row r="456" spans="1:12" x14ac:dyDescent="0.25">
      <c r="A456" s="228" t="s">
        <v>261</v>
      </c>
      <c r="B456" s="166"/>
      <c r="C456" s="262">
        <f>SUM(C452:C454)</f>
        <v>0.76009615384615392</v>
      </c>
      <c r="D456" s="166"/>
      <c r="E456" s="262">
        <f>SUM(E452:E454)</f>
        <v>0.77991266375545854</v>
      </c>
      <c r="F456" s="166"/>
      <c r="G456" s="262">
        <f>SUM(G452:G454)</f>
        <v>0.69072164948453607</v>
      </c>
      <c r="H456" s="166"/>
      <c r="I456" s="262">
        <f>SUM(I452:I454)</f>
        <v>0.7265664160401003</v>
      </c>
      <c r="J456" s="166"/>
      <c r="K456" s="262">
        <f>SUM(K452:K454)</f>
        <v>0.69701935546665483</v>
      </c>
      <c r="L456" s="141"/>
    </row>
    <row r="457" spans="1:12" x14ac:dyDescent="0.25">
      <c r="A457" s="229" t="s">
        <v>172</v>
      </c>
      <c r="B457" s="166">
        <v>9530</v>
      </c>
      <c r="C457" s="166"/>
      <c r="D457" s="166">
        <v>11300</v>
      </c>
      <c r="E457" s="166"/>
      <c r="F457" s="166">
        <v>12000</v>
      </c>
      <c r="G457" s="166"/>
      <c r="H457" s="166">
        <v>9700</v>
      </c>
      <c r="I457" s="166"/>
      <c r="J457" s="166">
        <v>6860</v>
      </c>
      <c r="K457" s="141"/>
      <c r="L457" s="141"/>
    </row>
    <row r="458" spans="1:12" x14ac:dyDescent="0.25">
      <c r="A458" s="229" t="s">
        <v>121</v>
      </c>
      <c r="B458" s="217" t="s">
        <v>165</v>
      </c>
      <c r="C458" s="217"/>
      <c r="D458" s="217" t="s">
        <v>165</v>
      </c>
      <c r="E458" s="217"/>
      <c r="F458" s="217" t="s">
        <v>165</v>
      </c>
      <c r="G458" s="217"/>
      <c r="H458" s="217" t="s">
        <v>165</v>
      </c>
      <c r="I458" s="217"/>
      <c r="J458" s="217" t="s">
        <v>165</v>
      </c>
      <c r="K458" s="141"/>
      <c r="L458" s="141"/>
    </row>
    <row r="459" spans="1:12" x14ac:dyDescent="0.25">
      <c r="A459" s="229" t="s">
        <v>173</v>
      </c>
      <c r="B459" s="166">
        <v>774</v>
      </c>
      <c r="C459" s="166"/>
      <c r="D459" s="166">
        <v>350</v>
      </c>
      <c r="E459" s="166"/>
      <c r="F459" s="166">
        <v>731</v>
      </c>
      <c r="G459" s="166"/>
      <c r="H459" s="166">
        <v>621</v>
      </c>
      <c r="I459" s="166"/>
      <c r="J459" s="141">
        <v>375</v>
      </c>
      <c r="K459" s="141"/>
      <c r="L459" s="141" t="s">
        <v>567</v>
      </c>
    </row>
    <row r="460" spans="1:12" x14ac:dyDescent="0.25">
      <c r="A460" s="229" t="s">
        <v>174</v>
      </c>
      <c r="B460" s="166">
        <v>1920</v>
      </c>
      <c r="C460" s="166"/>
      <c r="D460" s="166">
        <v>2900</v>
      </c>
      <c r="E460" s="166"/>
      <c r="F460" s="166">
        <v>2700</v>
      </c>
      <c r="G460" s="166"/>
      <c r="H460" s="166">
        <v>2511</v>
      </c>
      <c r="I460" s="166"/>
      <c r="J460" s="166">
        <v>2540</v>
      </c>
      <c r="K460" s="141"/>
      <c r="L460" s="141"/>
    </row>
    <row r="461" spans="1:12" s="59" customFormat="1" x14ac:dyDescent="0.25">
      <c r="A461" s="231" t="s">
        <v>274</v>
      </c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94"/>
    </row>
    <row r="462" spans="1:12" x14ac:dyDescent="0.25">
      <c r="A462" s="229"/>
      <c r="B462" s="210" t="s">
        <v>22</v>
      </c>
      <c r="C462" s="232">
        <f>1790/B460</f>
        <v>0.93229166666666663</v>
      </c>
      <c r="D462" s="210" t="s">
        <v>22</v>
      </c>
      <c r="E462" s="232">
        <f>2670/D460</f>
        <v>0.92068965517241375</v>
      </c>
      <c r="F462" s="210" t="s">
        <v>22</v>
      </c>
      <c r="G462" s="232">
        <f>2570/F460</f>
        <v>0.95185185185185184</v>
      </c>
      <c r="H462" s="210" t="s">
        <v>22</v>
      </c>
      <c r="I462" s="232">
        <f>2430/H460</f>
        <v>0.967741935483871</v>
      </c>
      <c r="J462" s="210" t="s">
        <v>22</v>
      </c>
      <c r="K462" s="232">
        <f>2470/J460</f>
        <v>0.97244094488188981</v>
      </c>
      <c r="L462" s="141"/>
    </row>
    <row r="463" spans="1:12" x14ac:dyDescent="0.25">
      <c r="A463" s="229"/>
      <c r="B463" s="210" t="s">
        <v>57</v>
      </c>
      <c r="C463" s="232">
        <f>69/B460</f>
        <v>3.5937499999999997E-2</v>
      </c>
      <c r="D463" s="210" t="s">
        <v>57</v>
      </c>
      <c r="E463" s="232">
        <f>188/D460</f>
        <v>6.4827586206896548E-2</v>
      </c>
      <c r="F463" s="210" t="s">
        <v>57</v>
      </c>
      <c r="G463" s="232">
        <f>121/F460</f>
        <v>4.4814814814814814E-2</v>
      </c>
      <c r="H463" s="210" t="s">
        <v>57</v>
      </c>
      <c r="I463" s="232">
        <f>81/H460</f>
        <v>3.2258064516129031E-2</v>
      </c>
      <c r="J463" s="210" t="s">
        <v>57</v>
      </c>
      <c r="K463" s="232">
        <f>46.6179478305361/J460</f>
        <v>1.8353522767927601E-2</v>
      </c>
      <c r="L463" s="141"/>
    </row>
    <row r="464" spans="1:12" x14ac:dyDescent="0.25">
      <c r="A464" s="229"/>
      <c r="B464" s="210" t="s">
        <v>211</v>
      </c>
      <c r="C464" s="232">
        <f>60/B460</f>
        <v>3.125E-2</v>
      </c>
      <c r="D464" s="210" t="s">
        <v>24</v>
      </c>
      <c r="E464" s="232">
        <f>27/D460</f>
        <v>9.3103448275862061E-3</v>
      </c>
      <c r="F464" s="166"/>
      <c r="G464" s="232"/>
      <c r="H464" s="166"/>
      <c r="I464" s="166"/>
      <c r="J464" s="210" t="s">
        <v>263</v>
      </c>
      <c r="K464" s="232">
        <f>25.3340367037811/J460</f>
        <v>9.9740301983390154E-3</v>
      </c>
      <c r="L464" s="141"/>
    </row>
    <row r="465" spans="1:12" x14ac:dyDescent="0.25">
      <c r="A465" s="165"/>
      <c r="B465" s="141"/>
      <c r="C465" s="262">
        <f>SUM(C462:C464)</f>
        <v>0.99947916666666659</v>
      </c>
      <c r="D465" s="141"/>
      <c r="E465" s="262">
        <f>SUM(E462:E464)</f>
        <v>0.99482758620689649</v>
      </c>
      <c r="F465" s="141"/>
      <c r="G465" s="262">
        <f>SUM(G462:G464)</f>
        <v>0.9966666666666667</v>
      </c>
      <c r="H465" s="141"/>
      <c r="I465" s="262">
        <f>SUM(I462:I464)</f>
        <v>1</v>
      </c>
      <c r="J465" s="141"/>
      <c r="K465" s="262">
        <f>SUM(K462:K464)</f>
        <v>1.0007684978481564</v>
      </c>
      <c r="L465" s="141"/>
    </row>
    <row r="466" spans="1:12" x14ac:dyDescent="0.25">
      <c r="A466" s="165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</row>
    <row r="467" spans="1:12" x14ac:dyDescent="0.25">
      <c r="A467" s="165" t="s">
        <v>244</v>
      </c>
      <c r="B467" s="208">
        <v>2005</v>
      </c>
      <c r="C467" s="208" t="s">
        <v>272</v>
      </c>
      <c r="D467" s="208">
        <v>2006</v>
      </c>
      <c r="E467" s="208" t="s">
        <v>272</v>
      </c>
      <c r="F467" s="208">
        <v>2007</v>
      </c>
      <c r="G467" s="208" t="s">
        <v>272</v>
      </c>
      <c r="H467" s="208">
        <v>2008</v>
      </c>
      <c r="I467" s="208" t="s">
        <v>272</v>
      </c>
      <c r="J467" s="208">
        <v>2009</v>
      </c>
      <c r="K467" s="208" t="s">
        <v>272</v>
      </c>
      <c r="L467" s="208" t="s">
        <v>273</v>
      </c>
    </row>
    <row r="468" spans="1:12" x14ac:dyDescent="0.25">
      <c r="A468" s="228" t="s">
        <v>172</v>
      </c>
      <c r="B468" s="193">
        <v>3910</v>
      </c>
      <c r="C468" s="193"/>
      <c r="D468" s="193">
        <v>4030</v>
      </c>
      <c r="E468" s="193"/>
      <c r="F468" s="193">
        <v>4970</v>
      </c>
      <c r="G468" s="193"/>
      <c r="H468" s="193">
        <v>5170</v>
      </c>
      <c r="I468" s="141"/>
      <c r="J468" s="193">
        <v>4690</v>
      </c>
      <c r="K468" s="141"/>
      <c r="L468" s="141"/>
    </row>
    <row r="469" spans="1:12" x14ac:dyDescent="0.25">
      <c r="A469" s="228" t="s">
        <v>121</v>
      </c>
      <c r="B469" s="260" t="s">
        <v>394</v>
      </c>
      <c r="C469" s="242"/>
      <c r="D469" s="260" t="s">
        <v>394</v>
      </c>
      <c r="E469" s="242"/>
      <c r="F469" s="217" t="s">
        <v>165</v>
      </c>
      <c r="G469" s="242"/>
      <c r="H469" s="217" t="s">
        <v>165</v>
      </c>
      <c r="I469" s="242"/>
      <c r="J469" s="217" t="s">
        <v>165</v>
      </c>
      <c r="K469" s="141"/>
      <c r="L469" s="141"/>
    </row>
    <row r="470" spans="1:12" x14ac:dyDescent="0.25">
      <c r="A470" s="228" t="s">
        <v>173</v>
      </c>
      <c r="B470" s="141">
        <v>500</v>
      </c>
      <c r="C470" s="141"/>
      <c r="D470" s="141">
        <v>515</v>
      </c>
      <c r="E470" s="141"/>
      <c r="F470" s="141">
        <v>206</v>
      </c>
      <c r="G470" s="141"/>
      <c r="H470" s="141">
        <v>452</v>
      </c>
      <c r="I470" s="141"/>
      <c r="J470" s="141">
        <v>672</v>
      </c>
      <c r="K470" s="141"/>
      <c r="L470" s="141" t="s">
        <v>568</v>
      </c>
    </row>
    <row r="471" spans="1:12" x14ac:dyDescent="0.25">
      <c r="A471" s="228" t="s">
        <v>174</v>
      </c>
      <c r="B471" s="193">
        <v>11900</v>
      </c>
      <c r="C471" s="193"/>
      <c r="D471" s="193">
        <v>2140</v>
      </c>
      <c r="E471" s="193"/>
      <c r="F471" s="193">
        <v>2220</v>
      </c>
      <c r="G471" s="193"/>
      <c r="H471" s="193">
        <v>2800</v>
      </c>
      <c r="I471" s="141"/>
      <c r="J471" s="141">
        <v>353</v>
      </c>
      <c r="K471" s="141"/>
      <c r="L471" s="141" t="s">
        <v>568</v>
      </c>
    </row>
    <row r="472" spans="1:12" s="59" customFormat="1" x14ac:dyDescent="0.25">
      <c r="A472" s="231" t="s">
        <v>274</v>
      </c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94"/>
    </row>
    <row r="473" spans="1:12" x14ac:dyDescent="0.25">
      <c r="A473" s="165"/>
      <c r="B473" s="138" t="s">
        <v>245</v>
      </c>
      <c r="C473" s="232">
        <f>11000/B471</f>
        <v>0.92436974789915971</v>
      </c>
      <c r="D473" s="138" t="s">
        <v>245</v>
      </c>
      <c r="E473" s="232">
        <f>1460/D471</f>
        <v>0.68224299065420557</v>
      </c>
      <c r="F473" s="200" t="s">
        <v>289</v>
      </c>
      <c r="G473" s="232">
        <f>806/F471</f>
        <v>0.36306306306306307</v>
      </c>
      <c r="H473" s="200" t="s">
        <v>289</v>
      </c>
      <c r="I473" s="232">
        <f>1710/H471</f>
        <v>0.61071428571428577</v>
      </c>
      <c r="J473" s="138" t="s">
        <v>38</v>
      </c>
      <c r="K473" s="232">
        <f>197/J471</f>
        <v>0.55807365439093481</v>
      </c>
      <c r="L473" s="141"/>
    </row>
    <row r="474" spans="1:12" x14ac:dyDescent="0.25">
      <c r="A474" s="165"/>
      <c r="B474" s="138" t="s">
        <v>246</v>
      </c>
      <c r="C474" s="232">
        <f>356/B471</f>
        <v>2.991596638655462E-2</v>
      </c>
      <c r="D474" s="138" t="s">
        <v>38</v>
      </c>
      <c r="E474" s="232">
        <f>254/D471</f>
        <v>0.11869158878504672</v>
      </c>
      <c r="F474" s="138" t="s">
        <v>245</v>
      </c>
      <c r="G474" s="232">
        <f>729/F471</f>
        <v>0.32837837837837835</v>
      </c>
      <c r="H474" s="138" t="s">
        <v>38</v>
      </c>
      <c r="I474" s="232">
        <f>647/H471</f>
        <v>0.23107142857142857</v>
      </c>
      <c r="J474" s="200" t="s">
        <v>289</v>
      </c>
      <c r="K474" s="232">
        <f>101/J471</f>
        <v>0.28611898016997167</v>
      </c>
      <c r="L474" s="141"/>
    </row>
    <row r="475" spans="1:12" x14ac:dyDescent="0.25">
      <c r="A475" s="165"/>
      <c r="B475" s="138" t="s">
        <v>38</v>
      </c>
      <c r="C475" s="232">
        <f>194/B471</f>
        <v>1.6302521008403362E-2</v>
      </c>
      <c r="D475" s="200" t="s">
        <v>289</v>
      </c>
      <c r="E475" s="232">
        <f>239/D471</f>
        <v>0.11168224299065421</v>
      </c>
      <c r="F475" s="138" t="s">
        <v>38</v>
      </c>
      <c r="G475" s="232">
        <f>442/F471</f>
        <v>0.19909909909909909</v>
      </c>
      <c r="H475" s="138" t="s">
        <v>48</v>
      </c>
      <c r="I475" s="232">
        <f>322/H471</f>
        <v>0.115</v>
      </c>
      <c r="J475" s="138" t="s">
        <v>48</v>
      </c>
      <c r="K475" s="232">
        <f>48.8/J471</f>
        <v>0.13824362606232293</v>
      </c>
      <c r="L475" s="141"/>
    </row>
    <row r="476" spans="1:12" x14ac:dyDescent="0.25">
      <c r="A476" s="165"/>
      <c r="B476" s="141"/>
      <c r="C476" s="262">
        <f>SUM(C473:C475)</f>
        <v>0.97058823529411764</v>
      </c>
      <c r="D476" s="141"/>
      <c r="E476" s="262">
        <f>SUM(E473:E475)</f>
        <v>0.91261682242990649</v>
      </c>
      <c r="F476" s="141"/>
      <c r="G476" s="262">
        <f>SUM(G473:G475)</f>
        <v>0.89054054054054044</v>
      </c>
      <c r="H476" s="141"/>
      <c r="I476" s="262">
        <f>SUM(I473:I475)</f>
        <v>0.95678571428571435</v>
      </c>
      <c r="J476" s="141"/>
      <c r="K476" s="262">
        <f>SUM(K473:K475)</f>
        <v>0.98243626062322953</v>
      </c>
      <c r="L476" s="141"/>
    </row>
    <row r="477" spans="1:12" x14ac:dyDescent="0.25">
      <c r="A477" s="165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</row>
    <row r="478" spans="1:12" x14ac:dyDescent="0.25">
      <c r="A478" s="165" t="s">
        <v>247</v>
      </c>
      <c r="B478" s="208">
        <v>2005</v>
      </c>
      <c r="C478" s="208" t="s">
        <v>272</v>
      </c>
      <c r="D478" s="208">
        <v>2006</v>
      </c>
      <c r="E478" s="208" t="s">
        <v>272</v>
      </c>
      <c r="F478" s="208">
        <v>2007</v>
      </c>
      <c r="G478" s="208" t="s">
        <v>272</v>
      </c>
      <c r="H478" s="208">
        <v>2008</v>
      </c>
      <c r="I478" s="208" t="s">
        <v>272</v>
      </c>
      <c r="J478" s="208">
        <v>2009</v>
      </c>
      <c r="K478" s="208" t="s">
        <v>272</v>
      </c>
      <c r="L478" s="208" t="s">
        <v>273</v>
      </c>
    </row>
    <row r="479" spans="1:12" x14ac:dyDescent="0.25">
      <c r="A479" s="228" t="s">
        <v>172</v>
      </c>
      <c r="B479" s="166">
        <v>466000</v>
      </c>
      <c r="C479" s="166"/>
      <c r="D479" s="166">
        <v>501000</v>
      </c>
      <c r="E479" s="166"/>
      <c r="F479" s="166">
        <v>436000</v>
      </c>
      <c r="G479" s="166"/>
      <c r="H479" s="166">
        <v>370000</v>
      </c>
      <c r="I479" s="166"/>
      <c r="J479" s="166">
        <v>306000</v>
      </c>
      <c r="K479" s="141"/>
      <c r="L479" s="141" t="s">
        <v>541</v>
      </c>
    </row>
    <row r="480" spans="1:12" x14ac:dyDescent="0.25">
      <c r="A480" s="228" t="s">
        <v>121</v>
      </c>
      <c r="B480" s="166">
        <v>351000</v>
      </c>
      <c r="C480" s="166"/>
      <c r="D480" s="166">
        <v>269000</v>
      </c>
      <c r="E480" s="166"/>
      <c r="F480" s="166">
        <v>278000</v>
      </c>
      <c r="G480" s="166"/>
      <c r="H480" s="166">
        <v>286000</v>
      </c>
      <c r="I480" s="166"/>
      <c r="J480" s="166">
        <v>203000</v>
      </c>
      <c r="K480" s="141"/>
      <c r="L480" s="141" t="s">
        <v>528</v>
      </c>
    </row>
    <row r="481" spans="1:12" x14ac:dyDescent="0.25">
      <c r="A481" s="228" t="s">
        <v>173</v>
      </c>
      <c r="B481" s="141">
        <v>784</v>
      </c>
      <c r="C481" s="141"/>
      <c r="D481" s="166">
        <v>2530</v>
      </c>
      <c r="E481" s="141"/>
      <c r="F481" s="166">
        <v>8070</v>
      </c>
      <c r="G481" s="141"/>
      <c r="H481" s="166">
        <v>3250</v>
      </c>
      <c r="I481" s="141"/>
      <c r="J481" s="166">
        <v>2960</v>
      </c>
      <c r="K481" s="141"/>
      <c r="L481" s="141" t="s">
        <v>528</v>
      </c>
    </row>
    <row r="482" spans="1:12" x14ac:dyDescent="0.25">
      <c r="A482" s="228" t="s">
        <v>174</v>
      </c>
      <c r="B482" s="193">
        <v>700000</v>
      </c>
      <c r="C482" s="193"/>
      <c r="D482" s="193">
        <v>895000</v>
      </c>
      <c r="E482" s="193"/>
      <c r="F482" s="193">
        <v>758000</v>
      </c>
      <c r="G482" s="193"/>
      <c r="H482" s="193">
        <v>725000</v>
      </c>
      <c r="I482" s="193"/>
      <c r="J482" s="193">
        <v>686000</v>
      </c>
      <c r="K482" s="141"/>
      <c r="L482" s="141"/>
    </row>
  </sheetData>
  <pageMargins left="0.7" right="0.7" top="0.75" bottom="0.75" header="0.3" footer="0.3"/>
  <pageSetup scale="44" orientation="landscape" r:id="rId1"/>
  <rowBreaks count="6" manualBreakCount="6">
    <brk id="73" max="11" man="1"/>
    <brk id="144" max="11" man="1"/>
    <brk id="200" max="11" man="1"/>
    <brk id="278" max="11" man="1"/>
    <brk id="356" max="11" man="1"/>
    <brk id="422" max="11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zoomScaleNormal="100" workbookViewId="0">
      <selection activeCell="A90" sqref="A90"/>
    </sheetView>
  </sheetViews>
  <sheetFormatPr defaultRowHeight="15" x14ac:dyDescent="0.25"/>
  <cols>
    <col min="1" max="1" width="29.42578125" customWidth="1"/>
    <col min="5" max="5" width="10.140625" customWidth="1"/>
    <col min="6" max="6" width="3" customWidth="1"/>
    <col min="7" max="7" width="20.28515625" customWidth="1"/>
    <col min="11" max="11" width="14" customWidth="1"/>
    <col min="12" max="12" width="3.42578125" customWidth="1"/>
    <col min="13" max="13" width="17.5703125" customWidth="1"/>
    <col min="18" max="18" width="3.85546875" customWidth="1"/>
    <col min="19" max="19" width="20.42578125" customWidth="1"/>
  </cols>
  <sheetData>
    <row r="1" spans="1:23" ht="15" customHeight="1" x14ac:dyDescent="0.25">
      <c r="A1" s="107" t="s">
        <v>570</v>
      </c>
      <c r="B1" s="126"/>
      <c r="C1" s="124"/>
      <c r="D1" s="124"/>
      <c r="E1" s="124"/>
      <c r="G1" s="294" t="s">
        <v>571</v>
      </c>
      <c r="H1" s="294"/>
      <c r="I1" s="294"/>
      <c r="J1" s="294"/>
      <c r="K1" s="294"/>
      <c r="M1" s="294" t="s">
        <v>572</v>
      </c>
      <c r="N1" s="294"/>
      <c r="O1" s="294"/>
      <c r="P1" s="294"/>
      <c r="Q1" s="294"/>
      <c r="S1" s="294" t="s">
        <v>573</v>
      </c>
      <c r="T1" s="294"/>
      <c r="U1" s="294"/>
      <c r="V1" s="294"/>
      <c r="W1" s="294"/>
    </row>
    <row r="2" spans="1:23" ht="15" customHeight="1" x14ac:dyDescent="0.25">
      <c r="A2" s="125"/>
      <c r="B2" s="125"/>
      <c r="C2" s="125"/>
      <c r="D2" s="125"/>
      <c r="E2" s="125"/>
      <c r="G2" s="295"/>
      <c r="H2" s="295"/>
      <c r="I2" s="295"/>
      <c r="J2" s="295"/>
      <c r="K2" s="295"/>
      <c r="M2" s="295"/>
      <c r="N2" s="295"/>
      <c r="O2" s="295"/>
      <c r="P2" s="295"/>
      <c r="Q2" s="295"/>
      <c r="S2" s="295"/>
      <c r="T2" s="295"/>
      <c r="U2" s="295"/>
      <c r="V2" s="295"/>
      <c r="W2" s="295"/>
    </row>
    <row r="3" spans="1:23" ht="15.75" thickBot="1" x14ac:dyDescent="0.3">
      <c r="A3" s="243"/>
      <c r="B3" s="244" t="s">
        <v>292</v>
      </c>
      <c r="C3" s="244" t="s">
        <v>293</v>
      </c>
      <c r="D3" s="244" t="s">
        <v>294</v>
      </c>
      <c r="E3" s="244" t="s">
        <v>291</v>
      </c>
      <c r="F3" s="141"/>
      <c r="G3" s="243"/>
      <c r="H3" s="244" t="s">
        <v>292</v>
      </c>
      <c r="I3" s="244" t="s">
        <v>293</v>
      </c>
      <c r="J3" s="244" t="s">
        <v>294</v>
      </c>
      <c r="K3" s="244" t="s">
        <v>291</v>
      </c>
      <c r="L3" s="141"/>
      <c r="M3" s="243"/>
      <c r="N3" s="244" t="s">
        <v>292</v>
      </c>
      <c r="O3" s="244" t="s">
        <v>293</v>
      </c>
      <c r="P3" s="244" t="s">
        <v>294</v>
      </c>
      <c r="Q3" s="244" t="s">
        <v>291</v>
      </c>
      <c r="R3" s="141"/>
      <c r="S3" s="243"/>
      <c r="T3" s="244" t="s">
        <v>292</v>
      </c>
      <c r="U3" s="244" t="s">
        <v>293</v>
      </c>
      <c r="V3" s="244" t="s">
        <v>294</v>
      </c>
      <c r="W3" s="244" t="s">
        <v>291</v>
      </c>
    </row>
    <row r="4" spans="1:23" ht="15.75" thickTop="1" x14ac:dyDescent="0.25">
      <c r="A4" s="141" t="s">
        <v>128</v>
      </c>
      <c r="B4" s="138"/>
      <c r="C4" s="138">
        <v>1</v>
      </c>
      <c r="D4" s="138"/>
      <c r="E4" s="138">
        <v>1</v>
      </c>
      <c r="F4" s="141"/>
      <c r="G4" s="141" t="s">
        <v>128</v>
      </c>
      <c r="H4" s="138"/>
      <c r="I4" s="138"/>
      <c r="J4" s="138">
        <v>1</v>
      </c>
      <c r="K4" s="138">
        <v>1</v>
      </c>
      <c r="L4" s="141"/>
      <c r="M4" s="141" t="s">
        <v>128</v>
      </c>
      <c r="N4" s="138"/>
      <c r="O4" s="138">
        <v>1</v>
      </c>
      <c r="P4" s="138"/>
      <c r="Q4" s="138">
        <v>1</v>
      </c>
      <c r="R4" s="141"/>
      <c r="S4" s="141" t="s">
        <v>27</v>
      </c>
      <c r="T4" s="138"/>
      <c r="U4" s="138">
        <v>1</v>
      </c>
      <c r="V4" s="138">
        <v>2</v>
      </c>
      <c r="W4" s="138">
        <v>3</v>
      </c>
    </row>
    <row r="5" spans="1:23" x14ac:dyDescent="0.25">
      <c r="A5" s="141" t="s">
        <v>27</v>
      </c>
      <c r="B5" s="138">
        <v>3</v>
      </c>
      <c r="C5" s="138">
        <v>5</v>
      </c>
      <c r="D5" s="138">
        <v>1</v>
      </c>
      <c r="E5" s="138">
        <v>9</v>
      </c>
      <c r="F5" s="141"/>
      <c r="G5" s="141" t="s">
        <v>27</v>
      </c>
      <c r="H5" s="138"/>
      <c r="I5" s="138">
        <v>1</v>
      </c>
      <c r="J5" s="138">
        <v>2</v>
      </c>
      <c r="K5" s="138">
        <v>3</v>
      </c>
      <c r="L5" s="141"/>
      <c r="M5" s="141" t="s">
        <v>27</v>
      </c>
      <c r="N5" s="138">
        <v>4</v>
      </c>
      <c r="O5" s="138">
        <v>1</v>
      </c>
      <c r="P5" s="138">
        <v>1</v>
      </c>
      <c r="Q5" s="138">
        <v>6</v>
      </c>
      <c r="R5" s="141"/>
      <c r="S5" s="141" t="s">
        <v>48</v>
      </c>
      <c r="T5" s="138"/>
      <c r="U5" s="138">
        <v>1</v>
      </c>
      <c r="V5" s="138"/>
      <c r="W5" s="138">
        <v>1</v>
      </c>
    </row>
    <row r="6" spans="1:23" x14ac:dyDescent="0.25">
      <c r="A6" s="141" t="s">
        <v>85</v>
      </c>
      <c r="B6" s="138"/>
      <c r="C6" s="138"/>
      <c r="D6" s="138">
        <v>1</v>
      </c>
      <c r="E6" s="138">
        <v>1</v>
      </c>
      <c r="F6" s="141"/>
      <c r="G6" s="141" t="s">
        <v>85</v>
      </c>
      <c r="H6" s="138"/>
      <c r="I6" s="138"/>
      <c r="J6" s="138">
        <v>1</v>
      </c>
      <c r="K6" s="138">
        <v>1</v>
      </c>
      <c r="L6" s="141"/>
      <c r="M6" s="141" t="s">
        <v>85</v>
      </c>
      <c r="N6" s="138"/>
      <c r="O6" s="138">
        <v>1</v>
      </c>
      <c r="P6" s="138"/>
      <c r="Q6" s="138">
        <v>1</v>
      </c>
      <c r="R6" s="141"/>
      <c r="S6" s="141" t="s">
        <v>58</v>
      </c>
      <c r="T6" s="138">
        <v>2</v>
      </c>
      <c r="U6" s="138">
        <v>1</v>
      </c>
      <c r="V6" s="138">
        <v>2</v>
      </c>
      <c r="W6" s="138">
        <v>5</v>
      </c>
    </row>
    <row r="7" spans="1:23" x14ac:dyDescent="0.25">
      <c r="A7" s="141" t="s">
        <v>58</v>
      </c>
      <c r="B7" s="138"/>
      <c r="C7" s="138"/>
      <c r="D7" s="138">
        <v>1</v>
      </c>
      <c r="E7" s="138">
        <v>1</v>
      </c>
      <c r="F7" s="141"/>
      <c r="G7" s="141" t="s">
        <v>58</v>
      </c>
      <c r="H7" s="138"/>
      <c r="I7" s="138">
        <v>1</v>
      </c>
      <c r="J7" s="138">
        <v>2</v>
      </c>
      <c r="K7" s="138">
        <v>3</v>
      </c>
      <c r="L7" s="141"/>
      <c r="M7" s="141" t="s">
        <v>23</v>
      </c>
      <c r="N7" s="138">
        <v>2</v>
      </c>
      <c r="O7" s="138"/>
      <c r="P7" s="138"/>
      <c r="Q7" s="138">
        <v>2</v>
      </c>
      <c r="R7" s="141"/>
      <c r="S7" s="141" t="s">
        <v>23</v>
      </c>
      <c r="T7" s="138">
        <v>1</v>
      </c>
      <c r="U7" s="138">
        <v>1</v>
      </c>
      <c r="V7" s="138">
        <v>1</v>
      </c>
      <c r="W7" s="138">
        <v>3</v>
      </c>
    </row>
    <row r="8" spans="1:23" x14ac:dyDescent="0.25">
      <c r="A8" s="141" t="s">
        <v>23</v>
      </c>
      <c r="B8" s="138"/>
      <c r="C8" s="138">
        <v>1</v>
      </c>
      <c r="D8" s="138"/>
      <c r="E8" s="138">
        <v>1</v>
      </c>
      <c r="F8" s="141"/>
      <c r="G8" s="141" t="s">
        <v>23</v>
      </c>
      <c r="H8" s="138"/>
      <c r="I8" s="138">
        <v>1</v>
      </c>
      <c r="J8" s="138"/>
      <c r="K8" s="138">
        <v>1</v>
      </c>
      <c r="L8" s="141"/>
      <c r="M8" s="141" t="s">
        <v>28</v>
      </c>
      <c r="N8" s="138">
        <v>1</v>
      </c>
      <c r="O8" s="138"/>
      <c r="P8" s="138">
        <v>2</v>
      </c>
      <c r="Q8" s="138">
        <v>3</v>
      </c>
      <c r="R8" s="141"/>
      <c r="S8" s="141" t="s">
        <v>28</v>
      </c>
      <c r="T8" s="138">
        <v>2</v>
      </c>
      <c r="U8" s="138"/>
      <c r="V8" s="138"/>
      <c r="W8" s="138">
        <v>2</v>
      </c>
    </row>
    <row r="9" spans="1:23" x14ac:dyDescent="0.25">
      <c r="A9" s="141" t="s">
        <v>28</v>
      </c>
      <c r="B9" s="138">
        <v>2</v>
      </c>
      <c r="C9" s="138">
        <v>2</v>
      </c>
      <c r="D9" s="138">
        <v>5</v>
      </c>
      <c r="E9" s="138">
        <v>9</v>
      </c>
      <c r="F9" s="141"/>
      <c r="G9" s="141" t="s">
        <v>38</v>
      </c>
      <c r="H9" s="138">
        <v>3</v>
      </c>
      <c r="I9" s="138">
        <v>2</v>
      </c>
      <c r="J9" s="138">
        <v>3</v>
      </c>
      <c r="K9" s="138">
        <v>8</v>
      </c>
      <c r="L9" s="141"/>
      <c r="M9" s="141" t="s">
        <v>38</v>
      </c>
      <c r="N9" s="138">
        <v>3</v>
      </c>
      <c r="O9" s="138">
        <v>9</v>
      </c>
      <c r="P9" s="138"/>
      <c r="Q9" s="138">
        <v>12</v>
      </c>
      <c r="R9" s="141"/>
      <c r="S9" s="141" t="s">
        <v>38</v>
      </c>
      <c r="T9" s="138">
        <v>6</v>
      </c>
      <c r="U9" s="138">
        <v>7</v>
      </c>
      <c r="V9" s="138">
        <v>6</v>
      </c>
      <c r="W9" s="138">
        <v>19</v>
      </c>
    </row>
    <row r="10" spans="1:23" x14ac:dyDescent="0.25">
      <c r="A10" s="141" t="s">
        <v>38</v>
      </c>
      <c r="B10" s="138">
        <v>2</v>
      </c>
      <c r="C10" s="138">
        <v>3</v>
      </c>
      <c r="D10" s="138">
        <v>4</v>
      </c>
      <c r="E10" s="138">
        <v>9</v>
      </c>
      <c r="F10" s="141"/>
      <c r="G10" s="141" t="s">
        <v>78</v>
      </c>
      <c r="H10" s="138"/>
      <c r="I10" s="138">
        <v>2</v>
      </c>
      <c r="J10" s="138"/>
      <c r="K10" s="138">
        <v>2</v>
      </c>
      <c r="L10" s="141"/>
      <c r="M10" s="141" t="s">
        <v>78</v>
      </c>
      <c r="N10" s="138">
        <v>2</v>
      </c>
      <c r="O10" s="138"/>
      <c r="P10" s="138">
        <v>1</v>
      </c>
      <c r="Q10" s="138">
        <v>3</v>
      </c>
      <c r="R10" s="141"/>
      <c r="S10" s="141" t="s">
        <v>78</v>
      </c>
      <c r="T10" s="138">
        <v>2</v>
      </c>
      <c r="U10" s="138">
        <v>2</v>
      </c>
      <c r="V10" s="138">
        <v>1</v>
      </c>
      <c r="W10" s="138">
        <v>5</v>
      </c>
    </row>
    <row r="11" spans="1:23" x14ac:dyDescent="0.25">
      <c r="A11" s="141" t="s">
        <v>78</v>
      </c>
      <c r="B11" s="138">
        <v>4</v>
      </c>
      <c r="C11" s="138">
        <v>1</v>
      </c>
      <c r="D11" s="138">
        <v>1</v>
      </c>
      <c r="E11" s="138">
        <v>6</v>
      </c>
      <c r="F11" s="141"/>
      <c r="G11" s="141" t="s">
        <v>22</v>
      </c>
      <c r="H11" s="138">
        <v>22</v>
      </c>
      <c r="I11" s="138">
        <v>3</v>
      </c>
      <c r="J11" s="138">
        <v>2</v>
      </c>
      <c r="K11" s="138">
        <v>27</v>
      </c>
      <c r="L11" s="141"/>
      <c r="M11" s="141" t="s">
        <v>22</v>
      </c>
      <c r="N11" s="138">
        <v>4</v>
      </c>
      <c r="O11" s="138">
        <v>1</v>
      </c>
      <c r="P11" s="138">
        <v>1</v>
      </c>
      <c r="Q11" s="138">
        <v>6</v>
      </c>
      <c r="R11" s="141"/>
      <c r="S11" s="141" t="s">
        <v>22</v>
      </c>
      <c r="T11" s="138">
        <v>10</v>
      </c>
      <c r="U11" s="138">
        <v>3</v>
      </c>
      <c r="V11" s="138">
        <v>4</v>
      </c>
      <c r="W11" s="138">
        <v>17</v>
      </c>
    </row>
    <row r="12" spans="1:23" x14ac:dyDescent="0.25">
      <c r="A12" s="141" t="s">
        <v>22</v>
      </c>
      <c r="B12" s="138">
        <v>22</v>
      </c>
      <c r="C12" s="138">
        <v>4</v>
      </c>
      <c r="D12" s="138">
        <v>7</v>
      </c>
      <c r="E12" s="138">
        <v>33</v>
      </c>
      <c r="F12" s="141"/>
      <c r="G12" s="141" t="s">
        <v>98</v>
      </c>
      <c r="H12" s="138"/>
      <c r="I12" s="138">
        <v>1</v>
      </c>
      <c r="J12" s="138"/>
      <c r="K12" s="138">
        <v>1</v>
      </c>
      <c r="L12" s="141"/>
      <c r="M12" s="141" t="s">
        <v>94</v>
      </c>
      <c r="N12" s="138"/>
      <c r="O12" s="138"/>
      <c r="P12" s="138">
        <v>1</v>
      </c>
      <c r="Q12" s="138">
        <v>1</v>
      </c>
      <c r="R12" s="141"/>
      <c r="S12" s="141" t="s">
        <v>98</v>
      </c>
      <c r="T12" s="138">
        <v>1</v>
      </c>
      <c r="U12" s="138"/>
      <c r="V12" s="138"/>
      <c r="W12" s="138">
        <v>1</v>
      </c>
    </row>
    <row r="13" spans="1:23" x14ac:dyDescent="0.25">
      <c r="A13" s="141" t="s">
        <v>39</v>
      </c>
      <c r="B13" s="138"/>
      <c r="C13" s="138"/>
      <c r="D13" s="138">
        <v>1</v>
      </c>
      <c r="E13" s="138">
        <v>1</v>
      </c>
      <c r="F13" s="141"/>
      <c r="G13" s="141" t="s">
        <v>103</v>
      </c>
      <c r="H13" s="138"/>
      <c r="I13" s="138">
        <v>1</v>
      </c>
      <c r="J13" s="138"/>
      <c r="K13" s="138">
        <v>1</v>
      </c>
      <c r="L13" s="141"/>
      <c r="M13" s="141" t="s">
        <v>167</v>
      </c>
      <c r="N13" s="138">
        <v>1</v>
      </c>
      <c r="O13" s="138"/>
      <c r="P13" s="138"/>
      <c r="Q13" s="138">
        <v>1</v>
      </c>
      <c r="R13" s="141"/>
      <c r="S13" s="141" t="s">
        <v>245</v>
      </c>
      <c r="T13" s="138"/>
      <c r="U13" s="138">
        <v>1</v>
      </c>
      <c r="V13" s="138"/>
      <c r="W13" s="138">
        <v>1</v>
      </c>
    </row>
    <row r="14" spans="1:23" x14ac:dyDescent="0.25">
      <c r="A14" s="141" t="s">
        <v>57</v>
      </c>
      <c r="B14" s="138"/>
      <c r="C14" s="138">
        <v>1</v>
      </c>
      <c r="D14" s="138"/>
      <c r="E14" s="138">
        <v>1</v>
      </c>
      <c r="F14" s="141"/>
      <c r="G14" s="141" t="s">
        <v>39</v>
      </c>
      <c r="H14" s="138"/>
      <c r="I14" s="138">
        <v>1</v>
      </c>
      <c r="J14" s="138">
        <v>1</v>
      </c>
      <c r="K14" s="138">
        <v>2</v>
      </c>
      <c r="L14" s="141"/>
      <c r="M14" s="141" t="s">
        <v>57</v>
      </c>
      <c r="N14" s="138"/>
      <c r="O14" s="138"/>
      <c r="P14" s="138">
        <v>3</v>
      </c>
      <c r="Q14" s="138">
        <v>3</v>
      </c>
      <c r="R14" s="141"/>
      <c r="S14" s="141" t="s">
        <v>57</v>
      </c>
      <c r="T14" s="138">
        <v>3</v>
      </c>
      <c r="U14" s="138">
        <v>4</v>
      </c>
      <c r="V14" s="138">
        <v>4</v>
      </c>
      <c r="W14" s="138">
        <v>11</v>
      </c>
    </row>
    <row r="15" spans="1:23" x14ac:dyDescent="0.25">
      <c r="A15" s="141" t="s">
        <v>49</v>
      </c>
      <c r="B15" s="138">
        <v>1</v>
      </c>
      <c r="C15" s="138">
        <v>4</v>
      </c>
      <c r="D15" s="138">
        <v>1</v>
      </c>
      <c r="E15" s="138">
        <v>6</v>
      </c>
      <c r="F15" s="141"/>
      <c r="G15" s="141" t="s">
        <v>57</v>
      </c>
      <c r="H15" s="138"/>
      <c r="I15" s="138">
        <v>3</v>
      </c>
      <c r="J15" s="138"/>
      <c r="K15" s="138">
        <v>3</v>
      </c>
      <c r="L15" s="141"/>
      <c r="M15" s="141" t="s">
        <v>210</v>
      </c>
      <c r="N15" s="138">
        <v>1</v>
      </c>
      <c r="O15" s="138"/>
      <c r="P15" s="138"/>
      <c r="Q15" s="138">
        <v>1</v>
      </c>
      <c r="R15" s="141"/>
      <c r="S15" s="141" t="s">
        <v>141</v>
      </c>
      <c r="T15" s="138"/>
      <c r="U15" s="138">
        <v>1</v>
      </c>
      <c r="V15" s="138"/>
      <c r="W15" s="138">
        <v>1</v>
      </c>
    </row>
    <row r="16" spans="1:23" x14ac:dyDescent="0.25">
      <c r="A16" s="141" t="s">
        <v>55</v>
      </c>
      <c r="B16" s="138"/>
      <c r="C16" s="138">
        <v>1</v>
      </c>
      <c r="D16" s="138">
        <v>1</v>
      </c>
      <c r="E16" s="138">
        <v>2</v>
      </c>
      <c r="F16" s="141"/>
      <c r="G16" s="141" t="s">
        <v>55</v>
      </c>
      <c r="H16" s="138"/>
      <c r="I16" s="138">
        <v>1</v>
      </c>
      <c r="J16" s="138"/>
      <c r="K16" s="138">
        <v>1</v>
      </c>
      <c r="L16" s="141"/>
      <c r="M16" s="141" t="s">
        <v>295</v>
      </c>
      <c r="N16" s="138"/>
      <c r="O16" s="138">
        <v>2</v>
      </c>
      <c r="P16" s="138"/>
      <c r="Q16" s="138">
        <v>2</v>
      </c>
      <c r="R16" s="141"/>
      <c r="S16" s="141" t="s">
        <v>29</v>
      </c>
      <c r="T16" s="138">
        <v>1</v>
      </c>
      <c r="U16" s="138">
        <v>2</v>
      </c>
      <c r="V16" s="138">
        <v>2</v>
      </c>
      <c r="W16" s="138">
        <v>5</v>
      </c>
    </row>
    <row r="17" spans="1:23" x14ac:dyDescent="0.25">
      <c r="A17" s="141" t="s">
        <v>140</v>
      </c>
      <c r="B17" s="138"/>
      <c r="C17" s="138">
        <v>1</v>
      </c>
      <c r="D17" s="138"/>
      <c r="E17" s="138">
        <v>1</v>
      </c>
      <c r="F17" s="141"/>
      <c r="G17" s="141" t="s">
        <v>141</v>
      </c>
      <c r="H17" s="138">
        <v>1</v>
      </c>
      <c r="I17" s="138">
        <v>1</v>
      </c>
      <c r="J17" s="138"/>
      <c r="K17" s="138">
        <v>2</v>
      </c>
      <c r="L17" s="141"/>
      <c r="M17" s="141" t="s">
        <v>138</v>
      </c>
      <c r="N17" s="138"/>
      <c r="O17" s="138">
        <v>1</v>
      </c>
      <c r="P17" s="138"/>
      <c r="Q17" s="138">
        <v>1</v>
      </c>
      <c r="R17" s="141"/>
      <c r="S17" s="141" t="s">
        <v>79</v>
      </c>
      <c r="T17" s="138">
        <v>1</v>
      </c>
      <c r="U17" s="138">
        <v>1</v>
      </c>
      <c r="V17" s="138">
        <v>1</v>
      </c>
      <c r="W17" s="138">
        <v>3</v>
      </c>
    </row>
    <row r="18" spans="1:23" x14ac:dyDescent="0.25">
      <c r="A18" s="141" t="s">
        <v>29</v>
      </c>
      <c r="B18" s="138">
        <v>2</v>
      </c>
      <c r="C18" s="138">
        <v>1</v>
      </c>
      <c r="D18" s="138">
        <v>1</v>
      </c>
      <c r="E18" s="138">
        <v>4</v>
      </c>
      <c r="F18" s="141"/>
      <c r="G18" s="141" t="s">
        <v>29</v>
      </c>
      <c r="H18" s="138">
        <v>4</v>
      </c>
      <c r="I18" s="138">
        <v>2</v>
      </c>
      <c r="J18" s="138">
        <v>4</v>
      </c>
      <c r="K18" s="138">
        <v>10</v>
      </c>
      <c r="L18" s="141"/>
      <c r="M18" s="141" t="s">
        <v>49</v>
      </c>
      <c r="N18" s="138"/>
      <c r="O18" s="138">
        <v>1</v>
      </c>
      <c r="P18" s="138"/>
      <c r="Q18" s="138">
        <v>1</v>
      </c>
      <c r="R18" s="141"/>
      <c r="S18" s="141" t="s">
        <v>73</v>
      </c>
      <c r="T18" s="138">
        <v>2</v>
      </c>
      <c r="U18" s="138">
        <v>3</v>
      </c>
      <c r="V18" s="138">
        <v>1</v>
      </c>
      <c r="W18" s="138">
        <v>6</v>
      </c>
    </row>
    <row r="19" spans="1:23" x14ac:dyDescent="0.25">
      <c r="A19" s="141" t="s">
        <v>79</v>
      </c>
      <c r="B19" s="138"/>
      <c r="C19" s="138">
        <v>2</v>
      </c>
      <c r="D19" s="138"/>
      <c r="E19" s="138">
        <v>2</v>
      </c>
      <c r="F19" s="141"/>
      <c r="G19" s="141" t="s">
        <v>142</v>
      </c>
      <c r="H19" s="138"/>
      <c r="I19" s="138"/>
      <c r="J19" s="138">
        <v>1</v>
      </c>
      <c r="K19" s="138">
        <v>1</v>
      </c>
      <c r="L19" s="141"/>
      <c r="M19" s="141" t="s">
        <v>297</v>
      </c>
      <c r="N19" s="138"/>
      <c r="O19" s="138"/>
      <c r="P19" s="138">
        <v>1</v>
      </c>
      <c r="Q19" s="138">
        <v>1</v>
      </c>
      <c r="R19" s="141"/>
      <c r="S19" s="141" t="s">
        <v>206</v>
      </c>
      <c r="T19" s="138"/>
      <c r="U19" s="138">
        <v>1</v>
      </c>
      <c r="V19" s="138">
        <v>1</v>
      </c>
      <c r="W19" s="138">
        <v>2</v>
      </c>
    </row>
    <row r="20" spans="1:23" x14ac:dyDescent="0.25">
      <c r="A20" s="141" t="s">
        <v>81</v>
      </c>
      <c r="B20" s="138"/>
      <c r="C20" s="138">
        <v>1</v>
      </c>
      <c r="D20" s="138"/>
      <c r="E20" s="138">
        <v>1</v>
      </c>
      <c r="F20" s="141"/>
      <c r="G20" s="141" t="s">
        <v>79</v>
      </c>
      <c r="H20" s="138"/>
      <c r="I20" s="138">
        <v>2</v>
      </c>
      <c r="J20" s="138">
        <v>1</v>
      </c>
      <c r="K20" s="138">
        <v>3</v>
      </c>
      <c r="L20" s="141"/>
      <c r="M20" s="141" t="s">
        <v>141</v>
      </c>
      <c r="N20" s="138">
        <v>2</v>
      </c>
      <c r="O20" s="138">
        <v>1</v>
      </c>
      <c r="P20" s="138"/>
      <c r="Q20" s="138">
        <v>3</v>
      </c>
      <c r="R20" s="141"/>
      <c r="S20" s="141" t="s">
        <v>97</v>
      </c>
      <c r="T20" s="138">
        <v>1</v>
      </c>
      <c r="U20" s="138"/>
      <c r="V20" s="138"/>
      <c r="W20" s="138">
        <v>1</v>
      </c>
    </row>
    <row r="21" spans="1:23" x14ac:dyDescent="0.25">
      <c r="A21" s="141" t="s">
        <v>133</v>
      </c>
      <c r="B21" s="138"/>
      <c r="C21" s="138"/>
      <c r="D21" s="138">
        <v>1</v>
      </c>
      <c r="E21" s="138">
        <v>1</v>
      </c>
      <c r="F21" s="141"/>
      <c r="G21" s="141" t="s">
        <v>73</v>
      </c>
      <c r="H21" s="138"/>
      <c r="I21" s="138">
        <v>1</v>
      </c>
      <c r="J21" s="138"/>
      <c r="K21" s="138">
        <v>1</v>
      </c>
      <c r="L21" s="141"/>
      <c r="M21" s="141" t="s">
        <v>140</v>
      </c>
      <c r="N21" s="138"/>
      <c r="O21" s="138"/>
      <c r="P21" s="138">
        <v>1</v>
      </c>
      <c r="Q21" s="138">
        <v>1</v>
      </c>
      <c r="R21" s="141"/>
      <c r="S21" s="141" t="s">
        <v>44</v>
      </c>
      <c r="T21" s="138">
        <v>1</v>
      </c>
      <c r="U21" s="138"/>
      <c r="V21" s="138">
        <v>3</v>
      </c>
      <c r="W21" s="138">
        <v>4</v>
      </c>
    </row>
    <row r="22" spans="1:23" x14ac:dyDescent="0.25">
      <c r="A22" s="141" t="s">
        <v>50</v>
      </c>
      <c r="B22" s="138"/>
      <c r="C22" s="138"/>
      <c r="D22" s="138">
        <v>1</v>
      </c>
      <c r="E22" s="138">
        <v>1</v>
      </c>
      <c r="F22" s="141"/>
      <c r="G22" s="141" t="s">
        <v>290</v>
      </c>
      <c r="H22" s="138"/>
      <c r="I22" s="138"/>
      <c r="J22" s="138">
        <v>1</v>
      </c>
      <c r="K22" s="138">
        <v>1</v>
      </c>
      <c r="L22" s="141"/>
      <c r="M22" s="141" t="s">
        <v>139</v>
      </c>
      <c r="N22" s="138">
        <v>1</v>
      </c>
      <c r="O22" s="138">
        <v>1</v>
      </c>
      <c r="P22" s="138"/>
      <c r="Q22" s="138">
        <v>2</v>
      </c>
      <c r="R22" s="141"/>
      <c r="S22" s="141" t="s">
        <v>298</v>
      </c>
      <c r="T22" s="138"/>
      <c r="U22" s="138">
        <v>1</v>
      </c>
      <c r="V22" s="138"/>
      <c r="W22" s="138">
        <v>1</v>
      </c>
    </row>
    <row r="23" spans="1:23" x14ac:dyDescent="0.25">
      <c r="A23" s="141" t="s">
        <v>73</v>
      </c>
      <c r="B23" s="138"/>
      <c r="C23" s="138">
        <v>3</v>
      </c>
      <c r="D23" s="138"/>
      <c r="E23" s="138">
        <v>3</v>
      </c>
      <c r="F23" s="141"/>
      <c r="G23" s="141" t="s">
        <v>44</v>
      </c>
      <c r="H23" s="138"/>
      <c r="I23" s="138">
        <v>1</v>
      </c>
      <c r="J23" s="138">
        <v>2</v>
      </c>
      <c r="K23" s="138">
        <v>3</v>
      </c>
      <c r="L23" s="141"/>
      <c r="M23" s="141" t="s">
        <v>29</v>
      </c>
      <c r="N23" s="138"/>
      <c r="O23" s="138">
        <v>1</v>
      </c>
      <c r="P23" s="138">
        <v>1</v>
      </c>
      <c r="Q23" s="138">
        <v>2</v>
      </c>
      <c r="R23" s="141"/>
      <c r="S23" s="141" t="s">
        <v>134</v>
      </c>
      <c r="T23" s="138"/>
      <c r="U23" s="138">
        <v>1</v>
      </c>
      <c r="V23" s="138">
        <v>1</v>
      </c>
      <c r="W23" s="138">
        <v>2</v>
      </c>
    </row>
    <row r="24" spans="1:23" x14ac:dyDescent="0.25">
      <c r="A24" s="141" t="s">
        <v>150</v>
      </c>
      <c r="B24" s="138"/>
      <c r="C24" s="138"/>
      <c r="D24" s="138">
        <v>1</v>
      </c>
      <c r="E24" s="138">
        <v>1</v>
      </c>
      <c r="F24" s="141"/>
      <c r="G24" s="141" t="s">
        <v>24</v>
      </c>
      <c r="H24" s="138">
        <v>2</v>
      </c>
      <c r="I24" s="138">
        <v>3</v>
      </c>
      <c r="J24" s="138">
        <v>4</v>
      </c>
      <c r="K24" s="138">
        <v>9</v>
      </c>
      <c r="L24" s="141"/>
      <c r="M24" s="141" t="s">
        <v>50</v>
      </c>
      <c r="N24" s="138"/>
      <c r="O24" s="138">
        <v>1</v>
      </c>
      <c r="P24" s="138"/>
      <c r="Q24" s="138">
        <v>1</v>
      </c>
      <c r="R24" s="141"/>
      <c r="S24" s="141" t="s">
        <v>24</v>
      </c>
      <c r="T24" s="138">
        <v>1</v>
      </c>
      <c r="U24" s="138">
        <v>3</v>
      </c>
      <c r="V24" s="138">
        <v>3</v>
      </c>
      <c r="W24" s="138">
        <v>7</v>
      </c>
    </row>
    <row r="25" spans="1:23" x14ac:dyDescent="0.25">
      <c r="A25" s="141" t="s">
        <v>90</v>
      </c>
      <c r="B25" s="138"/>
      <c r="C25" s="138">
        <v>1</v>
      </c>
      <c r="D25" s="138">
        <v>2</v>
      </c>
      <c r="E25" s="138">
        <v>3</v>
      </c>
      <c r="F25" s="141"/>
      <c r="G25" s="141" t="s">
        <v>34</v>
      </c>
      <c r="H25" s="138">
        <v>2</v>
      </c>
      <c r="I25" s="138"/>
      <c r="J25" s="138"/>
      <c r="K25" s="138">
        <v>2</v>
      </c>
      <c r="L25" s="141"/>
      <c r="M25" s="141" t="s">
        <v>73</v>
      </c>
      <c r="N25" s="138">
        <v>2</v>
      </c>
      <c r="O25" s="138">
        <v>1</v>
      </c>
      <c r="P25" s="138">
        <v>2</v>
      </c>
      <c r="Q25" s="138">
        <v>5</v>
      </c>
      <c r="R25" s="141"/>
      <c r="S25" s="141" t="s">
        <v>34</v>
      </c>
      <c r="T25" s="138">
        <v>3</v>
      </c>
      <c r="U25" s="138">
        <v>5</v>
      </c>
      <c r="V25" s="138">
        <v>1</v>
      </c>
      <c r="W25" s="138">
        <v>9</v>
      </c>
    </row>
    <row r="26" spans="1:23" x14ac:dyDescent="0.25">
      <c r="A26" s="141" t="s">
        <v>62</v>
      </c>
      <c r="B26" s="138"/>
      <c r="C26" s="138">
        <v>1</v>
      </c>
      <c r="D26" s="138"/>
      <c r="E26" s="138">
        <v>1</v>
      </c>
      <c r="F26" s="141"/>
      <c r="G26" s="141" t="s">
        <v>289</v>
      </c>
      <c r="H26" s="138"/>
      <c r="I26" s="138">
        <v>1</v>
      </c>
      <c r="J26" s="138">
        <v>1</v>
      </c>
      <c r="K26" s="138">
        <v>2</v>
      </c>
      <c r="L26" s="141"/>
      <c r="M26" s="141" t="s">
        <v>62</v>
      </c>
      <c r="N26" s="138"/>
      <c r="O26" s="138"/>
      <c r="P26" s="138">
        <v>1</v>
      </c>
      <c r="Q26" s="138">
        <v>1</v>
      </c>
      <c r="R26" s="141"/>
      <c r="S26" s="141" t="s">
        <v>289</v>
      </c>
      <c r="T26" s="138">
        <v>1</v>
      </c>
      <c r="U26" s="138"/>
      <c r="V26" s="138">
        <v>2</v>
      </c>
      <c r="W26" s="138">
        <v>3</v>
      </c>
    </row>
    <row r="27" spans="1:23" x14ac:dyDescent="0.25">
      <c r="A27" s="141" t="s">
        <v>61</v>
      </c>
      <c r="B27" s="138"/>
      <c r="C27" s="138"/>
      <c r="D27" s="138">
        <v>1</v>
      </c>
      <c r="E27" s="138">
        <v>1</v>
      </c>
      <c r="F27" s="141"/>
      <c r="G27" s="141"/>
      <c r="H27" s="141"/>
      <c r="I27" s="141"/>
      <c r="J27" s="141"/>
      <c r="K27" s="141"/>
      <c r="L27" s="141"/>
      <c r="M27" s="141" t="s">
        <v>44</v>
      </c>
      <c r="N27" s="138">
        <v>2</v>
      </c>
      <c r="O27" s="138">
        <v>1</v>
      </c>
      <c r="P27" s="138"/>
      <c r="Q27" s="138">
        <v>3</v>
      </c>
      <c r="R27" s="141"/>
      <c r="S27" s="141" t="s">
        <v>71</v>
      </c>
      <c r="T27" s="138">
        <v>1</v>
      </c>
      <c r="U27" s="138"/>
      <c r="V27" s="138">
        <v>1</v>
      </c>
      <c r="W27" s="138">
        <v>2</v>
      </c>
    </row>
    <row r="28" spans="1:23" x14ac:dyDescent="0.25">
      <c r="A28" s="141" t="s">
        <v>97</v>
      </c>
      <c r="B28" s="138"/>
      <c r="C28" s="138">
        <v>1</v>
      </c>
      <c r="D28" s="138"/>
      <c r="E28" s="138">
        <v>1</v>
      </c>
      <c r="F28" s="141"/>
      <c r="G28" s="141"/>
      <c r="H28" s="141"/>
      <c r="I28" s="141"/>
      <c r="J28" s="141"/>
      <c r="K28" s="141"/>
      <c r="L28" s="141"/>
      <c r="M28" s="141" t="s">
        <v>134</v>
      </c>
      <c r="N28" s="138"/>
      <c r="O28" s="138"/>
      <c r="P28" s="138">
        <v>1</v>
      </c>
      <c r="Q28" s="138">
        <v>1</v>
      </c>
      <c r="R28" s="141"/>
      <c r="S28" s="141" t="s">
        <v>178</v>
      </c>
      <c r="T28" s="138">
        <v>2</v>
      </c>
      <c r="U28" s="138">
        <v>1</v>
      </c>
      <c r="V28" s="138">
        <v>3</v>
      </c>
      <c r="W28" s="138">
        <v>6</v>
      </c>
    </row>
    <row r="29" spans="1:23" x14ac:dyDescent="0.25">
      <c r="A29" s="141" t="s">
        <v>569</v>
      </c>
      <c r="B29" s="138">
        <v>1</v>
      </c>
      <c r="C29" s="138"/>
      <c r="D29" s="138"/>
      <c r="E29" s="138">
        <v>1</v>
      </c>
      <c r="F29" s="141"/>
      <c r="G29" s="141"/>
      <c r="H29" s="141"/>
      <c r="I29" s="141"/>
      <c r="J29" s="141"/>
      <c r="K29" s="141"/>
      <c r="L29" s="141"/>
      <c r="M29" s="141" t="s">
        <v>296</v>
      </c>
      <c r="N29" s="138"/>
      <c r="O29" s="138"/>
      <c r="P29" s="138">
        <v>1</v>
      </c>
      <c r="Q29" s="138">
        <v>1</v>
      </c>
      <c r="R29" s="141"/>
      <c r="S29" s="141" t="s">
        <v>42</v>
      </c>
      <c r="T29" s="138"/>
      <c r="U29" s="138"/>
      <c r="V29" s="138">
        <v>1</v>
      </c>
      <c r="W29" s="138">
        <v>1</v>
      </c>
    </row>
    <row r="30" spans="1:23" x14ac:dyDescent="0.25">
      <c r="A30" s="141" t="s">
        <v>44</v>
      </c>
      <c r="B30" s="138">
        <v>1</v>
      </c>
      <c r="C30" s="138">
        <v>2</v>
      </c>
      <c r="D30" s="138">
        <v>6</v>
      </c>
      <c r="E30" s="138">
        <v>9</v>
      </c>
      <c r="F30" s="141"/>
      <c r="G30" s="141"/>
      <c r="H30" s="141"/>
      <c r="I30" s="141"/>
      <c r="J30" s="141"/>
      <c r="K30" s="141"/>
      <c r="L30" s="141"/>
      <c r="M30" s="141" t="s">
        <v>34</v>
      </c>
      <c r="N30" s="138">
        <v>4</v>
      </c>
      <c r="O30" s="138">
        <v>1</v>
      </c>
      <c r="P30" s="138"/>
      <c r="Q30" s="138">
        <v>5</v>
      </c>
      <c r="R30" s="141"/>
      <c r="S30" s="141" t="s">
        <v>205</v>
      </c>
      <c r="T30" s="138"/>
      <c r="U30" s="138">
        <v>1</v>
      </c>
      <c r="V30" s="138"/>
      <c r="W30" s="138">
        <v>1</v>
      </c>
    </row>
    <row r="31" spans="1:23" x14ac:dyDescent="0.25">
      <c r="A31" s="141" t="s">
        <v>24</v>
      </c>
      <c r="B31" s="138">
        <v>2</v>
      </c>
      <c r="C31" s="138">
        <v>6</v>
      </c>
      <c r="D31" s="138">
        <v>6</v>
      </c>
      <c r="E31" s="138">
        <v>14</v>
      </c>
      <c r="F31" s="141"/>
      <c r="G31" s="141"/>
      <c r="H31" s="141"/>
      <c r="I31" s="141"/>
      <c r="J31" s="141"/>
      <c r="K31" s="141"/>
      <c r="L31" s="141"/>
      <c r="M31" s="141" t="s">
        <v>178</v>
      </c>
      <c r="N31" s="138"/>
      <c r="O31" s="138"/>
      <c r="P31" s="138">
        <v>1</v>
      </c>
      <c r="Q31" s="138">
        <v>1</v>
      </c>
      <c r="R31" s="141"/>
      <c r="S31" s="141"/>
      <c r="T31" s="141"/>
      <c r="U31" s="141"/>
      <c r="V31" s="141"/>
      <c r="W31" s="141"/>
    </row>
    <row r="32" spans="1:23" x14ac:dyDescent="0.25">
      <c r="A32" s="141" t="s">
        <v>63</v>
      </c>
      <c r="B32" s="138"/>
      <c r="C32" s="138"/>
      <c r="D32" s="138"/>
      <c r="E32" s="138">
        <v>0</v>
      </c>
      <c r="F32" s="141"/>
      <c r="G32" s="141"/>
      <c r="H32" s="141"/>
      <c r="I32" s="141"/>
      <c r="J32" s="141"/>
      <c r="K32" s="141"/>
      <c r="L32" s="141"/>
      <c r="M32" s="141" t="s">
        <v>189</v>
      </c>
      <c r="N32" s="138"/>
      <c r="O32" s="138">
        <v>1</v>
      </c>
      <c r="P32" s="138">
        <v>2</v>
      </c>
      <c r="Q32" s="138">
        <v>3</v>
      </c>
      <c r="R32" s="141"/>
      <c r="S32" s="141"/>
      <c r="T32" s="141"/>
      <c r="U32" s="141"/>
      <c r="V32" s="141"/>
      <c r="W32" s="141"/>
    </row>
    <row r="33" spans="1:23" x14ac:dyDescent="0.25">
      <c r="A33" s="141" t="s">
        <v>34</v>
      </c>
      <c r="B33" s="138">
        <v>5</v>
      </c>
      <c r="C33" s="138">
        <v>2</v>
      </c>
      <c r="D33" s="138">
        <v>1</v>
      </c>
      <c r="E33" s="138">
        <v>8</v>
      </c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</row>
    <row r="34" spans="1:23" x14ac:dyDescent="0.25">
      <c r="A34" s="141" t="s">
        <v>289</v>
      </c>
      <c r="B34" s="138"/>
      <c r="C34" s="138">
        <v>1</v>
      </c>
      <c r="D34" s="138"/>
      <c r="E34" s="138">
        <v>1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</row>
    <row r="35" spans="1:23" x14ac:dyDescent="0.25">
      <c r="A35" s="141" t="s">
        <v>72</v>
      </c>
      <c r="B35" s="138"/>
      <c r="C35" s="138">
        <v>1</v>
      </c>
      <c r="D35" s="138"/>
      <c r="E35" s="138">
        <v>1</v>
      </c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</row>
    <row r="36" spans="1:23" x14ac:dyDescent="0.25">
      <c r="A36" s="141" t="s">
        <v>71</v>
      </c>
      <c r="B36" s="138">
        <v>2</v>
      </c>
      <c r="C36" s="138"/>
      <c r="D36" s="138">
        <v>1</v>
      </c>
      <c r="E36" s="138">
        <v>3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</row>
    <row r="37" spans="1:23" x14ac:dyDescent="0.25">
      <c r="A37" s="141" t="s">
        <v>36</v>
      </c>
      <c r="B37" s="138"/>
      <c r="C37" s="138"/>
      <c r="D37" s="138">
        <v>1</v>
      </c>
      <c r="E37" s="138">
        <v>1</v>
      </c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</row>
    <row r="40" spans="1:23" ht="15" customHeight="1" x14ac:dyDescent="0.25"/>
  </sheetData>
  <sortState ref="S3:W29">
    <sortCondition ref="S3"/>
  </sortState>
  <mergeCells count="3">
    <mergeCell ref="G1:K2"/>
    <mergeCell ref="S1:W2"/>
    <mergeCell ref="M1:Q2"/>
  </mergeCells>
  <pageMargins left="0.7" right="0.7" top="0.75" bottom="0.75" header="0.3" footer="0.3"/>
  <pageSetup fitToWidth="0" fitToHeight="0" orientation="portrait" r:id="rId1"/>
  <colBreaks count="3" manualBreakCount="3">
    <brk id="6" max="36" man="1"/>
    <brk id="12" max="1048575" man="1"/>
    <brk id="18" max="36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zoomScaleNormal="100" workbookViewId="0">
      <selection activeCell="A90" sqref="A90"/>
    </sheetView>
  </sheetViews>
  <sheetFormatPr defaultRowHeight="15" x14ac:dyDescent="0.25"/>
  <cols>
    <col min="1" max="1" width="13.28515625" customWidth="1"/>
    <col min="2" max="2" width="12.7109375" customWidth="1"/>
    <col min="3" max="3" width="14.140625" customWidth="1"/>
    <col min="4" max="4" width="12.7109375" style="8" customWidth="1"/>
    <col min="5" max="5" width="12.7109375" style="59" customWidth="1"/>
    <col min="6" max="6" width="12.7109375" style="58" customWidth="1"/>
    <col min="7" max="7" width="12.7109375" customWidth="1"/>
    <col min="8" max="8" width="12.7109375" style="8" customWidth="1"/>
    <col min="9" max="9" width="13.28515625" customWidth="1"/>
    <col min="10" max="10" width="2.7109375" customWidth="1"/>
    <col min="11" max="11" width="13.28515625" customWidth="1"/>
    <col min="12" max="12" width="12.7109375" customWidth="1"/>
    <col min="13" max="18" width="12.7109375" style="59" customWidth="1"/>
    <col min="19" max="19" width="12.7109375" customWidth="1"/>
    <col min="21" max="21" width="13.28515625" customWidth="1"/>
    <col min="22" max="22" width="12.7109375" customWidth="1"/>
    <col min="23" max="23" width="12.7109375" style="59" customWidth="1"/>
    <col min="24" max="24" width="12.7109375" style="58" customWidth="1"/>
    <col min="25" max="25" width="12.7109375" style="59" customWidth="1"/>
    <col min="26" max="26" width="12.7109375" style="58" customWidth="1"/>
    <col min="27" max="27" width="12.7109375" style="59" customWidth="1"/>
    <col min="28" max="28" width="12.7109375" style="58" customWidth="1"/>
    <col min="29" max="29" width="12.7109375" customWidth="1"/>
  </cols>
  <sheetData>
    <row r="1" spans="1:10" ht="15" customHeight="1" x14ac:dyDescent="0.25">
      <c r="A1" s="278" t="s">
        <v>376</v>
      </c>
      <c r="B1" s="278"/>
      <c r="C1" s="278"/>
      <c r="D1" s="278"/>
      <c r="E1" s="278"/>
      <c r="F1" s="278"/>
      <c r="G1" s="278"/>
      <c r="H1" s="278"/>
      <c r="I1" s="278"/>
      <c r="J1" s="4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6"/>
    </row>
    <row r="3" spans="1:10" x14ac:dyDescent="0.25">
      <c r="A3" s="5"/>
      <c r="B3" s="2"/>
      <c r="I3" s="6"/>
      <c r="J3" s="6"/>
    </row>
    <row r="4" spans="1:10" x14ac:dyDescent="0.25">
      <c r="A4" s="5"/>
      <c r="B4" s="2"/>
      <c r="I4" s="6"/>
      <c r="J4" s="6"/>
    </row>
    <row r="5" spans="1:10" x14ac:dyDescent="0.25">
      <c r="A5" s="105"/>
      <c r="B5" s="263" t="s">
        <v>135</v>
      </c>
      <c r="C5" s="263"/>
      <c r="D5" s="263"/>
      <c r="E5" s="263"/>
      <c r="F5" s="263"/>
      <c r="G5" s="263"/>
      <c r="H5" s="263"/>
      <c r="I5" s="263"/>
      <c r="J5" s="62"/>
    </row>
    <row r="6" spans="1:10" s="11" customFormat="1" ht="15" customHeight="1" x14ac:dyDescent="0.25">
      <c r="A6" s="101"/>
      <c r="B6" s="282" t="s">
        <v>390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  <c r="J6" s="7"/>
    </row>
    <row r="7" spans="1:10" s="11" customFormat="1" ht="25.5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  <c r="J7" s="50"/>
    </row>
    <row r="8" spans="1:10" x14ac:dyDescent="0.25">
      <c r="A8" s="138">
        <v>1990</v>
      </c>
      <c r="B8" s="167">
        <v>113000</v>
      </c>
      <c r="C8" s="167">
        <v>0.60257522123893814</v>
      </c>
      <c r="D8" s="167">
        <v>41391</v>
      </c>
      <c r="E8" s="128" t="s">
        <v>27</v>
      </c>
      <c r="F8" s="167">
        <v>15800</v>
      </c>
      <c r="G8" s="128" t="s">
        <v>138</v>
      </c>
      <c r="H8" s="167">
        <v>10900</v>
      </c>
      <c r="I8" s="128" t="s">
        <v>139</v>
      </c>
      <c r="J8" s="59"/>
    </row>
    <row r="9" spans="1:10" x14ac:dyDescent="0.25">
      <c r="A9" s="138">
        <v>1991</v>
      </c>
      <c r="B9" s="167">
        <v>111000</v>
      </c>
      <c r="C9" s="167">
        <v>0.60836036036036034</v>
      </c>
      <c r="D9" s="167">
        <v>40510</v>
      </c>
      <c r="E9" s="128" t="s">
        <v>27</v>
      </c>
      <c r="F9" s="167">
        <v>15466</v>
      </c>
      <c r="G9" s="128" t="s">
        <v>138</v>
      </c>
      <c r="H9" s="167">
        <v>11552</v>
      </c>
      <c r="I9" s="128" t="s">
        <v>139</v>
      </c>
      <c r="J9" s="59"/>
    </row>
    <row r="10" spans="1:10" x14ac:dyDescent="0.25">
      <c r="A10" s="138">
        <v>1992</v>
      </c>
      <c r="B10" s="167">
        <v>105000</v>
      </c>
      <c r="C10" s="167">
        <v>0.61759999999999993</v>
      </c>
      <c r="D10" s="167">
        <v>39746</v>
      </c>
      <c r="E10" s="128" t="s">
        <v>27</v>
      </c>
      <c r="F10" s="167">
        <v>13800</v>
      </c>
      <c r="G10" s="128" t="s">
        <v>138</v>
      </c>
      <c r="H10" s="167">
        <v>11302</v>
      </c>
      <c r="I10" s="128" t="s">
        <v>139</v>
      </c>
      <c r="J10" s="59"/>
    </row>
    <row r="11" spans="1:10" x14ac:dyDescent="0.25">
      <c r="A11" s="138">
        <v>1993</v>
      </c>
      <c r="B11" s="167">
        <v>110000</v>
      </c>
      <c r="C11" s="167">
        <v>0.61751818181818174</v>
      </c>
      <c r="D11" s="167">
        <v>41320</v>
      </c>
      <c r="E11" s="128" t="s">
        <v>27</v>
      </c>
      <c r="F11" s="167">
        <v>15300</v>
      </c>
      <c r="G11" s="128" t="s">
        <v>138</v>
      </c>
      <c r="H11" s="167">
        <v>11307</v>
      </c>
      <c r="I11" s="128" t="s">
        <v>139</v>
      </c>
      <c r="J11" s="59"/>
    </row>
    <row r="12" spans="1:10" x14ac:dyDescent="0.25">
      <c r="A12" s="138">
        <v>1994</v>
      </c>
      <c r="B12" s="167">
        <v>106000</v>
      </c>
      <c r="C12" s="167">
        <v>0.62827358490566032</v>
      </c>
      <c r="D12" s="167">
        <v>41733</v>
      </c>
      <c r="E12" s="128" t="s">
        <v>27</v>
      </c>
      <c r="F12" s="167">
        <v>13300</v>
      </c>
      <c r="G12" s="128" t="s">
        <v>138</v>
      </c>
      <c r="H12" s="167">
        <v>11564</v>
      </c>
      <c r="I12" s="128" t="s">
        <v>139</v>
      </c>
      <c r="J12" s="59"/>
    </row>
    <row r="13" spans="1:10" x14ac:dyDescent="0.25">
      <c r="A13" s="138">
        <v>1995</v>
      </c>
      <c r="B13" s="167">
        <v>112000</v>
      </c>
      <c r="C13" s="167">
        <v>0.66349999999999998</v>
      </c>
      <c r="D13" s="167">
        <v>42655</v>
      </c>
      <c r="E13" s="128" t="s">
        <v>27</v>
      </c>
      <c r="F13" s="167">
        <v>15800</v>
      </c>
      <c r="G13" s="128" t="s">
        <v>138</v>
      </c>
      <c r="H13" s="167">
        <v>15857</v>
      </c>
      <c r="I13" s="128" t="s">
        <v>139</v>
      </c>
      <c r="J13" s="59"/>
    </row>
    <row r="14" spans="1:10" x14ac:dyDescent="0.25">
      <c r="A14" s="138">
        <v>1996</v>
      </c>
      <c r="B14" s="167">
        <v>117000</v>
      </c>
      <c r="C14" s="167">
        <v>0.60278632478632477</v>
      </c>
      <c r="D14" s="167">
        <v>43063</v>
      </c>
      <c r="E14" s="128" t="s">
        <v>27</v>
      </c>
      <c r="F14" s="167">
        <v>15600</v>
      </c>
      <c r="G14" s="128" t="s">
        <v>138</v>
      </c>
      <c r="H14" s="167">
        <v>11863</v>
      </c>
      <c r="I14" s="128" t="s">
        <v>139</v>
      </c>
      <c r="J14" s="59"/>
    </row>
    <row r="15" spans="1:10" x14ac:dyDescent="0.25">
      <c r="A15" s="138">
        <v>1997</v>
      </c>
      <c r="B15" s="167">
        <v>122000</v>
      </c>
      <c r="C15" s="167">
        <v>0.59681147540983615</v>
      </c>
      <c r="D15" s="167">
        <v>44465</v>
      </c>
      <c r="E15" s="128" t="s">
        <v>27</v>
      </c>
      <c r="F15" s="167">
        <v>16359</v>
      </c>
      <c r="G15" s="128" t="s">
        <v>138</v>
      </c>
      <c r="H15" s="167">
        <v>11987</v>
      </c>
      <c r="I15" s="128" t="s">
        <v>139</v>
      </c>
      <c r="J15" s="59"/>
    </row>
    <row r="16" spans="1:10" x14ac:dyDescent="0.25">
      <c r="A16" s="138">
        <v>1998</v>
      </c>
      <c r="B16" s="167">
        <v>123000</v>
      </c>
      <c r="C16" s="167">
        <v>0.5916178861788618</v>
      </c>
      <c r="D16" s="167">
        <v>44553</v>
      </c>
      <c r="E16" s="128" t="s">
        <v>27</v>
      </c>
      <c r="F16" s="167">
        <v>15570</v>
      </c>
      <c r="G16" s="128" t="s">
        <v>138</v>
      </c>
      <c r="H16" s="167">
        <v>12646</v>
      </c>
      <c r="I16" s="128" t="s">
        <v>139</v>
      </c>
      <c r="J16" s="59"/>
    </row>
    <row r="17" spans="1:10" x14ac:dyDescent="0.25">
      <c r="A17" s="138">
        <v>1999</v>
      </c>
      <c r="B17" s="167">
        <v>129000</v>
      </c>
      <c r="C17" s="167">
        <v>0.60758139534883726</v>
      </c>
      <c r="D17" s="167">
        <v>48416</v>
      </c>
      <c r="E17" s="128" t="s">
        <v>27</v>
      </c>
      <c r="F17" s="167">
        <v>15590</v>
      </c>
      <c r="G17" s="128" t="s">
        <v>138</v>
      </c>
      <c r="H17" s="167">
        <v>14372</v>
      </c>
      <c r="I17" s="128" t="s">
        <v>28</v>
      </c>
      <c r="J17" s="59"/>
    </row>
    <row r="18" spans="1:10" x14ac:dyDescent="0.25">
      <c r="A18" s="138">
        <v>2000</v>
      </c>
      <c r="B18" s="167">
        <v>136000</v>
      </c>
      <c r="C18" s="167">
        <v>0.61300220588235299</v>
      </c>
      <c r="D18" s="167">
        <v>53802.3</v>
      </c>
      <c r="E18" s="128" t="s">
        <v>27</v>
      </c>
      <c r="F18" s="167">
        <v>15700</v>
      </c>
      <c r="G18" s="128" t="s">
        <v>138</v>
      </c>
      <c r="H18" s="167">
        <v>13866</v>
      </c>
      <c r="I18" s="128" t="s">
        <v>28</v>
      </c>
      <c r="J18" s="59"/>
    </row>
    <row r="19" spans="1:10" x14ac:dyDescent="0.25">
      <c r="A19" s="138">
        <v>2001</v>
      </c>
      <c r="B19" s="167">
        <v>137000</v>
      </c>
      <c r="C19" s="167">
        <v>0.59803649635036504</v>
      </c>
      <c r="D19" s="167">
        <v>53799</v>
      </c>
      <c r="E19" s="128" t="s">
        <v>27</v>
      </c>
      <c r="F19" s="167">
        <v>15100</v>
      </c>
      <c r="G19" s="128" t="s">
        <v>138</v>
      </c>
      <c r="H19" s="167">
        <v>13032</v>
      </c>
      <c r="I19" s="128" t="s">
        <v>28</v>
      </c>
      <c r="J19" s="59"/>
    </row>
    <row r="20" spans="1:10" x14ac:dyDescent="0.25">
      <c r="A20" s="138">
        <v>2002</v>
      </c>
      <c r="B20" s="167">
        <v>144000</v>
      </c>
      <c r="C20" s="167">
        <v>0.55913194444444447</v>
      </c>
      <c r="D20" s="167">
        <v>54135</v>
      </c>
      <c r="E20" s="128" t="s">
        <v>27</v>
      </c>
      <c r="F20" s="167">
        <v>13260</v>
      </c>
      <c r="G20" s="128" t="s">
        <v>28</v>
      </c>
      <c r="H20" s="167">
        <v>13120</v>
      </c>
      <c r="I20" s="128" t="s">
        <v>139</v>
      </c>
      <c r="J20" s="59"/>
    </row>
    <row r="21" spans="1:10" x14ac:dyDescent="0.25">
      <c r="A21" s="138">
        <v>2003</v>
      </c>
      <c r="B21" s="167">
        <v>153000</v>
      </c>
      <c r="C21" s="167">
        <v>0.56476470588235295</v>
      </c>
      <c r="D21" s="167">
        <v>55602</v>
      </c>
      <c r="E21" s="128" t="s">
        <v>27</v>
      </c>
      <c r="F21" s="167">
        <v>17363</v>
      </c>
      <c r="G21" s="128" t="s">
        <v>28</v>
      </c>
      <c r="H21" s="167">
        <v>13444</v>
      </c>
      <c r="I21" s="128" t="s">
        <v>139</v>
      </c>
      <c r="J21" s="59"/>
    </row>
    <row r="22" spans="1:10" x14ac:dyDescent="0.25">
      <c r="A22" s="138">
        <v>2004</v>
      </c>
      <c r="B22" s="167">
        <v>164000</v>
      </c>
      <c r="C22" s="167">
        <v>0.57648170731707316</v>
      </c>
      <c r="D22" s="167">
        <v>56593</v>
      </c>
      <c r="E22" s="128" t="s">
        <v>27</v>
      </c>
      <c r="F22" s="167">
        <v>20950</v>
      </c>
      <c r="G22" s="128" t="s">
        <v>28</v>
      </c>
      <c r="H22" s="167">
        <v>17000</v>
      </c>
      <c r="I22" s="128" t="s">
        <v>22</v>
      </c>
      <c r="J22" s="59"/>
    </row>
    <row r="23" spans="1:10" x14ac:dyDescent="0.25">
      <c r="A23" s="138">
        <v>2005</v>
      </c>
      <c r="B23" s="167">
        <v>178000</v>
      </c>
      <c r="C23" s="167">
        <v>0.58423033707865168</v>
      </c>
      <c r="D23" s="167">
        <v>59959</v>
      </c>
      <c r="E23" s="128" t="s">
        <v>27</v>
      </c>
      <c r="F23" s="167">
        <v>22034</v>
      </c>
      <c r="G23" s="128" t="s">
        <v>28</v>
      </c>
      <c r="H23" s="167">
        <v>22000</v>
      </c>
      <c r="I23" s="128" t="s">
        <v>22</v>
      </c>
      <c r="J23" s="59"/>
    </row>
    <row r="24" spans="1:10" x14ac:dyDescent="0.25">
      <c r="A24" s="138">
        <v>2006</v>
      </c>
      <c r="B24" s="167">
        <v>193000</v>
      </c>
      <c r="C24" s="167">
        <v>0.57832124352331604</v>
      </c>
      <c r="D24" s="167">
        <v>61780</v>
      </c>
      <c r="E24" s="128" t="s">
        <v>27</v>
      </c>
      <c r="F24" s="167">
        <v>27000</v>
      </c>
      <c r="G24" s="128" t="s">
        <v>22</v>
      </c>
      <c r="H24" s="167">
        <v>22836</v>
      </c>
      <c r="I24" s="128" t="s">
        <v>28</v>
      </c>
      <c r="J24" s="59"/>
    </row>
    <row r="25" spans="1:10" x14ac:dyDescent="0.25">
      <c r="A25" s="138" t="s">
        <v>4</v>
      </c>
      <c r="B25" s="167">
        <v>204000</v>
      </c>
      <c r="C25" s="167">
        <v>0.57773872549019611</v>
      </c>
      <c r="D25" s="167">
        <v>62398</v>
      </c>
      <c r="E25" s="128" t="s">
        <v>27</v>
      </c>
      <c r="F25" s="167">
        <v>30000</v>
      </c>
      <c r="G25" s="128" t="s">
        <v>22</v>
      </c>
      <c r="H25" s="167">
        <v>25460.7</v>
      </c>
      <c r="I25" s="128" t="s">
        <v>28</v>
      </c>
      <c r="J25" s="59"/>
    </row>
    <row r="26" spans="1:10" x14ac:dyDescent="0.25">
      <c r="A26" s="138" t="s">
        <v>5</v>
      </c>
      <c r="B26" s="167">
        <v>211000</v>
      </c>
      <c r="C26" s="167">
        <v>0.58998341232227491</v>
      </c>
      <c r="D26" s="167">
        <v>61389</v>
      </c>
      <c r="E26" s="128" t="s">
        <v>27</v>
      </c>
      <c r="F26" s="167">
        <v>35000</v>
      </c>
      <c r="G26" s="128" t="s">
        <v>22</v>
      </c>
      <c r="H26" s="167">
        <v>28097.5</v>
      </c>
      <c r="I26" s="128" t="s">
        <v>28</v>
      </c>
      <c r="J26" s="59"/>
    </row>
    <row r="27" spans="1:10" x14ac:dyDescent="0.25">
      <c r="A27" s="138" t="s">
        <v>6</v>
      </c>
      <c r="B27" s="167">
        <v>196000</v>
      </c>
      <c r="C27" s="167">
        <v>0.68005612244897962</v>
      </c>
      <c r="D27" s="167">
        <v>65231</v>
      </c>
      <c r="E27" s="128" t="s">
        <v>27</v>
      </c>
      <c r="F27" s="167">
        <v>40000</v>
      </c>
      <c r="G27" s="128" t="s">
        <v>22</v>
      </c>
      <c r="H27" s="167">
        <v>28060</v>
      </c>
      <c r="I27" s="128" t="s">
        <v>28</v>
      </c>
      <c r="J27" s="59"/>
    </row>
    <row r="28" spans="1:10" x14ac:dyDescent="0.25">
      <c r="A28" s="138" t="s">
        <v>7</v>
      </c>
      <c r="B28" s="167">
        <v>209000</v>
      </c>
      <c r="C28" s="167">
        <v>0.67662200956937801</v>
      </c>
      <c r="D28" s="167">
        <v>68414</v>
      </c>
      <c r="E28" s="128" t="s">
        <v>27</v>
      </c>
      <c r="F28" s="167">
        <v>44000</v>
      </c>
      <c r="G28" s="128" t="s">
        <v>22</v>
      </c>
      <c r="H28" s="167">
        <v>29000</v>
      </c>
      <c r="I28" s="128" t="s">
        <v>28</v>
      </c>
      <c r="J28" s="59"/>
    </row>
  </sheetData>
  <mergeCells count="7">
    <mergeCell ref="A1:I2"/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4" customWidth="1"/>
    <col min="4" max="4" width="13.85546875" customWidth="1"/>
    <col min="5" max="5" width="13.28515625" style="8" customWidth="1"/>
    <col min="6" max="6" width="13.28515625" customWidth="1"/>
    <col min="7" max="7" width="13.28515625" style="8" customWidth="1"/>
    <col min="8" max="8" width="13.28515625" customWidth="1"/>
    <col min="9" max="9" width="13.28515625" style="8" customWidth="1"/>
    <col min="10" max="10" width="13.28515625" customWidth="1"/>
    <col min="11" max="11" width="2.7109375" customWidth="1"/>
  </cols>
  <sheetData>
    <row r="1" spans="1:10" ht="15" customHeight="1" x14ac:dyDescent="0.25">
      <c r="A1" s="278" t="s">
        <v>377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ht="15" customHeight="1" x14ac:dyDescent="0.25">
      <c r="A2" s="278"/>
      <c r="B2" s="278"/>
      <c r="C2" s="278"/>
      <c r="D2" s="278"/>
      <c r="E2" s="278"/>
      <c r="F2" s="278"/>
      <c r="G2" s="278"/>
      <c r="H2" s="278"/>
      <c r="I2" s="278"/>
      <c r="J2" s="278"/>
    </row>
    <row r="3" spans="1:10" x14ac:dyDescent="0.25">
      <c r="A3" s="5"/>
      <c r="B3" s="6"/>
      <c r="C3" s="6"/>
      <c r="D3" s="6"/>
      <c r="E3" s="48"/>
      <c r="F3" s="6"/>
      <c r="G3" s="48"/>
      <c r="H3" s="6"/>
      <c r="I3" s="48"/>
      <c r="J3" s="6"/>
    </row>
    <row r="4" spans="1:10" x14ac:dyDescent="0.25">
      <c r="A4" s="5"/>
      <c r="B4" s="6"/>
      <c r="C4" s="6"/>
      <c r="D4" s="6"/>
      <c r="E4" s="48"/>
      <c r="F4" s="6"/>
      <c r="G4" s="48"/>
      <c r="H4" s="6"/>
      <c r="I4" s="48"/>
      <c r="J4" s="6"/>
    </row>
    <row r="5" spans="1:10" x14ac:dyDescent="0.25">
      <c r="A5" s="105"/>
      <c r="B5" s="283" t="s">
        <v>131</v>
      </c>
      <c r="C5" s="283"/>
      <c r="D5" s="283"/>
      <c r="E5" s="283"/>
      <c r="F5" s="283"/>
      <c r="G5" s="283"/>
      <c r="H5" s="283"/>
      <c r="I5" s="283"/>
      <c r="J5" s="283"/>
    </row>
    <row r="6" spans="1:10" s="11" customFormat="1" ht="15" customHeight="1" x14ac:dyDescent="0.25">
      <c r="A6" s="101"/>
      <c r="B6" s="282" t="s">
        <v>390</v>
      </c>
      <c r="C6" s="282" t="s">
        <v>391</v>
      </c>
      <c r="D6" s="282" t="s">
        <v>299</v>
      </c>
      <c r="E6" s="271" t="s">
        <v>275</v>
      </c>
      <c r="F6" s="271"/>
      <c r="G6" s="279" t="s">
        <v>32</v>
      </c>
      <c r="H6" s="279"/>
      <c r="I6" s="279" t="s">
        <v>33</v>
      </c>
      <c r="J6" s="279"/>
    </row>
    <row r="7" spans="1:10" s="11" customFormat="1" ht="25.5" customHeight="1" x14ac:dyDescent="0.25">
      <c r="A7" s="100" t="s">
        <v>368</v>
      </c>
      <c r="B7" s="281"/>
      <c r="C7" s="281"/>
      <c r="D7" s="281"/>
      <c r="E7" s="100" t="s">
        <v>8</v>
      </c>
      <c r="F7" s="98" t="s">
        <v>3</v>
      </c>
      <c r="G7" s="100" t="s">
        <v>8</v>
      </c>
      <c r="H7" s="98" t="s">
        <v>3</v>
      </c>
      <c r="I7" s="100" t="s">
        <v>8</v>
      </c>
      <c r="J7" s="100" t="s">
        <v>3</v>
      </c>
    </row>
    <row r="8" spans="1:10" x14ac:dyDescent="0.25">
      <c r="A8" s="138">
        <v>1990</v>
      </c>
      <c r="B8" s="167">
        <v>7.1</v>
      </c>
      <c r="C8" s="167">
        <v>4.55</v>
      </c>
      <c r="D8" s="167">
        <v>0.34985915492957753</v>
      </c>
      <c r="E8" s="167">
        <v>1.6</v>
      </c>
      <c r="F8" s="12" t="s">
        <v>37</v>
      </c>
      <c r="G8" s="167">
        <v>0.85</v>
      </c>
      <c r="H8" s="12" t="s">
        <v>28</v>
      </c>
      <c r="I8" s="167">
        <v>3.4000000000000002E-2</v>
      </c>
      <c r="J8" s="128" t="s">
        <v>128</v>
      </c>
    </row>
    <row r="9" spans="1:10" x14ac:dyDescent="0.25">
      <c r="A9" s="138">
        <v>1991</v>
      </c>
      <c r="B9" s="167">
        <v>6.57</v>
      </c>
      <c r="C9" s="167">
        <v>4.34</v>
      </c>
      <c r="D9" s="167">
        <v>0.33242009132420092</v>
      </c>
      <c r="E9" s="167">
        <v>1.3</v>
      </c>
      <c r="F9" s="12" t="s">
        <v>37</v>
      </c>
      <c r="G9" s="167">
        <v>0.85</v>
      </c>
      <c r="H9" s="12" t="s">
        <v>28</v>
      </c>
      <c r="I9" s="167">
        <v>3.4000000000000002E-2</v>
      </c>
      <c r="J9" s="128" t="s">
        <v>128</v>
      </c>
    </row>
    <row r="10" spans="1:10" x14ac:dyDescent="0.25">
      <c r="A10" s="138">
        <v>1992</v>
      </c>
      <c r="B10" s="167">
        <v>6.95</v>
      </c>
      <c r="C10" s="167">
        <v>4.83</v>
      </c>
      <c r="D10" s="167">
        <v>0.28776978417266191</v>
      </c>
      <c r="E10" s="167">
        <v>1.1000000000000001</v>
      </c>
      <c r="F10" s="12" t="s">
        <v>24</v>
      </c>
      <c r="G10" s="167">
        <v>0.8</v>
      </c>
      <c r="H10" s="12" t="s">
        <v>28</v>
      </c>
      <c r="I10" s="167">
        <v>0.1</v>
      </c>
      <c r="J10" s="128" t="s">
        <v>79</v>
      </c>
    </row>
    <row r="11" spans="1:10" x14ac:dyDescent="0.25">
      <c r="A11" s="138">
        <v>1993</v>
      </c>
      <c r="B11" s="167">
        <v>6.07</v>
      </c>
      <c r="C11" s="167">
        <v>4.9400000000000004</v>
      </c>
      <c r="D11" s="167">
        <v>0.18369028006589785</v>
      </c>
      <c r="E11" s="167">
        <v>1</v>
      </c>
      <c r="F11" s="12" t="s">
        <v>24</v>
      </c>
      <c r="G11" s="167">
        <v>0.1</v>
      </c>
      <c r="H11" s="12" t="s">
        <v>79</v>
      </c>
      <c r="I11" s="167">
        <v>1.4999999999999999E-2</v>
      </c>
      <c r="J11" s="12" t="s">
        <v>132</v>
      </c>
    </row>
    <row r="12" spans="1:10" x14ac:dyDescent="0.25">
      <c r="A12" s="138">
        <v>1994</v>
      </c>
      <c r="B12" s="167">
        <v>5.44</v>
      </c>
      <c r="C12" s="167">
        <v>4.33</v>
      </c>
      <c r="D12" s="167">
        <v>0.20330882352941174</v>
      </c>
      <c r="E12" s="167">
        <v>1</v>
      </c>
      <c r="F12" s="12" t="s">
        <v>24</v>
      </c>
      <c r="G12" s="167">
        <v>0.1</v>
      </c>
      <c r="H12" s="12" t="s">
        <v>79</v>
      </c>
      <c r="I12" s="167">
        <v>6.0000000000000001E-3</v>
      </c>
      <c r="J12" s="12" t="s">
        <v>28</v>
      </c>
    </row>
    <row r="13" spans="1:10" x14ac:dyDescent="0.25">
      <c r="A13" s="138">
        <v>1995</v>
      </c>
      <c r="B13" s="167">
        <v>6.18</v>
      </c>
      <c r="C13" s="167">
        <v>5.04</v>
      </c>
      <c r="D13" s="167">
        <v>0.18317152103559872</v>
      </c>
      <c r="E13" s="167">
        <v>1</v>
      </c>
      <c r="F13" s="12" t="s">
        <v>24</v>
      </c>
      <c r="G13" s="167">
        <v>0.1</v>
      </c>
      <c r="H13" s="128" t="s">
        <v>79</v>
      </c>
      <c r="I13" s="167">
        <v>3.2000000000000001E-2</v>
      </c>
      <c r="J13" s="128" t="s">
        <v>133</v>
      </c>
    </row>
    <row r="14" spans="1:10" x14ac:dyDescent="0.25">
      <c r="A14" s="138">
        <v>1996</v>
      </c>
      <c r="B14" s="167">
        <v>6.38</v>
      </c>
      <c r="C14" s="167">
        <v>5.26</v>
      </c>
      <c r="D14" s="167">
        <v>0.17413793103448277</v>
      </c>
      <c r="E14" s="167">
        <v>1</v>
      </c>
      <c r="F14" s="12" t="s">
        <v>24</v>
      </c>
      <c r="G14" s="167">
        <v>0.1</v>
      </c>
      <c r="H14" s="128" t="s">
        <v>79</v>
      </c>
      <c r="I14" s="167">
        <v>1.0999999999999999E-2</v>
      </c>
      <c r="J14" s="128" t="s">
        <v>133</v>
      </c>
    </row>
    <row r="15" spans="1:10" x14ac:dyDescent="0.25">
      <c r="A15" s="138">
        <v>1997</v>
      </c>
      <c r="B15" s="167">
        <v>6.91</v>
      </c>
      <c r="C15" s="167">
        <v>5.77</v>
      </c>
      <c r="D15" s="167">
        <v>0.16324167872648335</v>
      </c>
      <c r="E15" s="167">
        <v>1</v>
      </c>
      <c r="F15" s="12" t="s">
        <v>24</v>
      </c>
      <c r="G15" s="167">
        <v>0.1</v>
      </c>
      <c r="H15" s="128" t="s">
        <v>79</v>
      </c>
      <c r="I15" s="167">
        <v>2.8000000000000001E-2</v>
      </c>
      <c r="J15" s="128" t="s">
        <v>133</v>
      </c>
    </row>
    <row r="16" spans="1:10" x14ac:dyDescent="0.25">
      <c r="A16" s="138">
        <v>1998</v>
      </c>
      <c r="B16" s="167">
        <v>7.22</v>
      </c>
      <c r="C16" s="167">
        <v>6.08</v>
      </c>
      <c r="D16" s="167">
        <v>0.15650969529085873</v>
      </c>
      <c r="E16" s="167">
        <v>1</v>
      </c>
      <c r="F16" s="12" t="s">
        <v>24</v>
      </c>
      <c r="G16" s="167">
        <v>0.1</v>
      </c>
      <c r="H16" s="12" t="s">
        <v>79</v>
      </c>
      <c r="I16" s="167">
        <v>0.03</v>
      </c>
      <c r="J16" s="128" t="s">
        <v>133</v>
      </c>
    </row>
    <row r="17" spans="1:10" x14ac:dyDescent="0.25">
      <c r="A17" s="138">
        <v>1999</v>
      </c>
      <c r="B17" s="167">
        <v>6.21</v>
      </c>
      <c r="C17" s="167">
        <v>5.07</v>
      </c>
      <c r="D17" s="167">
        <v>0.18035426731078905</v>
      </c>
      <c r="E17" s="167">
        <v>1</v>
      </c>
      <c r="F17" s="12" t="s">
        <v>24</v>
      </c>
      <c r="G17" s="167">
        <v>0.1</v>
      </c>
      <c r="H17" s="12" t="s">
        <v>79</v>
      </c>
      <c r="I17" s="167">
        <v>0.02</v>
      </c>
      <c r="J17" s="128" t="s">
        <v>133</v>
      </c>
    </row>
    <row r="18" spans="1:10" x14ac:dyDescent="0.25">
      <c r="A18" s="138">
        <v>2000</v>
      </c>
      <c r="B18" s="167">
        <v>5.66</v>
      </c>
      <c r="C18" s="167">
        <v>4.51</v>
      </c>
      <c r="D18" s="167">
        <v>0.19770318021201413</v>
      </c>
      <c r="E18" s="167">
        <v>1</v>
      </c>
      <c r="F18" s="12" t="s">
        <v>24</v>
      </c>
      <c r="G18" s="167">
        <v>0.1</v>
      </c>
      <c r="H18" s="12" t="s">
        <v>79</v>
      </c>
      <c r="I18" s="167">
        <v>1.9E-2</v>
      </c>
      <c r="J18" s="128" t="s">
        <v>62</v>
      </c>
    </row>
    <row r="19" spans="1:10" x14ac:dyDescent="0.25">
      <c r="A19" s="138">
        <v>2001</v>
      </c>
      <c r="B19" s="167">
        <v>3.61</v>
      </c>
      <c r="C19" s="167">
        <v>2.48</v>
      </c>
      <c r="D19" s="167">
        <v>0.30803324099722995</v>
      </c>
      <c r="E19" s="167">
        <v>1</v>
      </c>
      <c r="F19" s="12" t="s">
        <v>24</v>
      </c>
      <c r="G19" s="167">
        <v>0.1</v>
      </c>
      <c r="H19" s="12" t="s">
        <v>79</v>
      </c>
      <c r="I19" s="167">
        <v>1.2E-2</v>
      </c>
      <c r="J19" s="128" t="s">
        <v>28</v>
      </c>
    </row>
    <row r="20" spans="1:10" x14ac:dyDescent="0.25">
      <c r="A20" s="138">
        <v>2002</v>
      </c>
      <c r="B20" s="167">
        <v>2.5299999999999998</v>
      </c>
      <c r="C20" s="167">
        <v>1.97</v>
      </c>
      <c r="D20" s="167">
        <v>0.22094861660079052</v>
      </c>
      <c r="E20" s="167">
        <v>0.5</v>
      </c>
      <c r="F20" s="138" t="s">
        <v>22</v>
      </c>
      <c r="G20" s="167">
        <v>5.3999999999999999E-2</v>
      </c>
      <c r="H20" s="12" t="s">
        <v>62</v>
      </c>
      <c r="I20" s="167">
        <v>5.0000000000000001E-3</v>
      </c>
      <c r="J20" s="128" t="s">
        <v>134</v>
      </c>
    </row>
    <row r="21" spans="1:10" x14ac:dyDescent="0.25">
      <c r="A21" s="138">
        <v>2003</v>
      </c>
      <c r="B21" s="167">
        <v>2.68</v>
      </c>
      <c r="C21" s="167">
        <v>2.1</v>
      </c>
      <c r="D21" s="167">
        <v>0.2175373134328358</v>
      </c>
      <c r="E21" s="167">
        <v>0.5</v>
      </c>
      <c r="F21" s="138" t="s">
        <v>22</v>
      </c>
      <c r="G21" s="167">
        <v>7.8E-2</v>
      </c>
      <c r="H21" s="12" t="s">
        <v>62</v>
      </c>
      <c r="I21" s="167">
        <v>5.0000000000000001E-3</v>
      </c>
      <c r="J21" s="128" t="s">
        <v>134</v>
      </c>
    </row>
    <row r="22" spans="1:10" x14ac:dyDescent="0.25">
      <c r="A22" s="138">
        <v>2004</v>
      </c>
      <c r="B22" s="167">
        <v>2.76</v>
      </c>
      <c r="C22" s="167">
        <v>2.21</v>
      </c>
      <c r="D22" s="167">
        <v>0.1992753623188406</v>
      </c>
      <c r="E22" s="167">
        <v>0.5</v>
      </c>
      <c r="F22" s="138" t="s">
        <v>22</v>
      </c>
      <c r="G22" s="167">
        <v>4.4999999999999998E-2</v>
      </c>
      <c r="H22" s="12" t="s">
        <v>62</v>
      </c>
      <c r="I22" s="167">
        <v>5.0000000000000001E-3</v>
      </c>
      <c r="J22" s="128" t="s">
        <v>134</v>
      </c>
    </row>
    <row r="23" spans="1:10" x14ac:dyDescent="0.25">
      <c r="A23" s="138">
        <v>2005</v>
      </c>
      <c r="B23" s="167">
        <v>3.45</v>
      </c>
      <c r="C23" s="167">
        <v>2.78</v>
      </c>
      <c r="D23" s="167">
        <v>0.19072463768115941</v>
      </c>
      <c r="E23" s="167">
        <v>0.5</v>
      </c>
      <c r="F23" s="138" t="s">
        <v>22</v>
      </c>
      <c r="G23" s="167">
        <v>0.14599999999999999</v>
      </c>
      <c r="H23" s="138" t="s">
        <v>62</v>
      </c>
      <c r="I23" s="167">
        <v>1.2E-2</v>
      </c>
      <c r="J23" s="138" t="s">
        <v>133</v>
      </c>
    </row>
    <row r="24" spans="1:10" x14ac:dyDescent="0.25">
      <c r="A24" s="138">
        <v>2006</v>
      </c>
      <c r="B24" s="167">
        <v>4.3600000000000003</v>
      </c>
      <c r="C24" s="167">
        <v>3.83</v>
      </c>
      <c r="D24" s="167">
        <v>0.12110091743119265</v>
      </c>
      <c r="E24" s="167">
        <v>0.5</v>
      </c>
      <c r="F24" s="12" t="s">
        <v>22</v>
      </c>
      <c r="G24" s="167">
        <v>1.6E-2</v>
      </c>
      <c r="H24" s="12" t="s">
        <v>62</v>
      </c>
      <c r="I24" s="167">
        <v>1.2E-2</v>
      </c>
      <c r="J24" s="128" t="s">
        <v>133</v>
      </c>
    </row>
    <row r="25" spans="1:10" x14ac:dyDescent="0.25">
      <c r="A25" s="138" t="s">
        <v>4</v>
      </c>
      <c r="B25" s="167">
        <v>4.3600000000000003</v>
      </c>
      <c r="C25" s="167">
        <v>3.81</v>
      </c>
      <c r="D25" s="167">
        <v>0.12454128440366971</v>
      </c>
      <c r="E25" s="167">
        <v>0.5</v>
      </c>
      <c r="F25" s="12" t="s">
        <v>22</v>
      </c>
      <c r="G25" s="167">
        <v>3.1E-2</v>
      </c>
      <c r="H25" s="12" t="s">
        <v>62</v>
      </c>
      <c r="I25" s="167">
        <v>1.2E-2</v>
      </c>
      <c r="J25" s="128" t="s">
        <v>133</v>
      </c>
    </row>
    <row r="26" spans="1:10" x14ac:dyDescent="0.25">
      <c r="A26" s="138" t="s">
        <v>5</v>
      </c>
      <c r="B26" s="167">
        <v>4.9400000000000004</v>
      </c>
      <c r="C26" s="167">
        <v>4.41</v>
      </c>
      <c r="D26" s="167">
        <v>0.10526315789473684</v>
      </c>
      <c r="E26" s="167">
        <v>0.5</v>
      </c>
      <c r="F26" s="12" t="s">
        <v>22</v>
      </c>
      <c r="G26" s="167">
        <v>1.2E-2</v>
      </c>
      <c r="H26" s="12" t="s">
        <v>133</v>
      </c>
      <c r="I26" s="167">
        <v>8.0000000000000002E-3</v>
      </c>
      <c r="J26" s="128" t="s">
        <v>62</v>
      </c>
    </row>
    <row r="27" spans="1:10" x14ac:dyDescent="0.25">
      <c r="A27" s="138" t="s">
        <v>6</v>
      </c>
      <c r="B27" s="167">
        <v>3.59</v>
      </c>
      <c r="C27" s="167">
        <v>3.03</v>
      </c>
      <c r="D27" s="167">
        <v>0.1551532033426184</v>
      </c>
      <c r="E27" s="167">
        <v>0.5</v>
      </c>
      <c r="F27" s="12" t="s">
        <v>22</v>
      </c>
      <c r="G27" s="167">
        <v>4.4999999999999998E-2</v>
      </c>
      <c r="H27" s="12" t="s">
        <v>62</v>
      </c>
      <c r="I27" s="167">
        <v>1.2E-2</v>
      </c>
      <c r="J27" s="128" t="s">
        <v>133</v>
      </c>
    </row>
    <row r="28" spans="1:10" x14ac:dyDescent="0.25">
      <c r="A28" s="93"/>
      <c r="B28" s="59"/>
      <c r="C28" s="59"/>
      <c r="D28" s="59"/>
      <c r="E28" s="12"/>
      <c r="F28" s="59"/>
      <c r="G28" s="12"/>
      <c r="H28" s="59"/>
      <c r="I28" s="58"/>
      <c r="J28" s="59"/>
    </row>
  </sheetData>
  <mergeCells count="8">
    <mergeCell ref="A1:J2"/>
    <mergeCell ref="B5:J5"/>
    <mergeCell ref="E6:F6"/>
    <mergeCell ref="G6:H6"/>
    <mergeCell ref="I6:J6"/>
    <mergeCell ref="D6:D7"/>
    <mergeCell ref="B6:B7"/>
    <mergeCell ref="C6:C7"/>
  </mergeCells>
  <pageMargins left="1" right="1" top="1" bottom="1" header="0" footer="0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opLeftCell="K1" zoomScaleNormal="100" workbookViewId="0">
      <selection activeCell="A90" sqref="A90"/>
    </sheetView>
  </sheetViews>
  <sheetFormatPr defaultRowHeight="15" x14ac:dyDescent="0.25"/>
  <cols>
    <col min="1" max="3" width="13.285156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  <col min="10" max="10" width="2.7109375" customWidth="1"/>
    <col min="11" max="12" width="13.28515625" customWidth="1"/>
    <col min="13" max="13" width="14" customWidth="1"/>
    <col min="14" max="14" width="13.28515625" style="8" customWidth="1"/>
    <col min="15" max="15" width="13.28515625" customWidth="1"/>
    <col min="16" max="16" width="13.28515625" style="8" customWidth="1"/>
    <col min="17" max="17" width="13.28515625" customWidth="1"/>
    <col min="18" max="18" width="13.28515625" style="8" customWidth="1"/>
    <col min="19" max="19" width="14" customWidth="1"/>
  </cols>
  <sheetData>
    <row r="1" spans="1:19" ht="15.75" x14ac:dyDescent="0.25">
      <c r="A1" s="1" t="s">
        <v>0</v>
      </c>
      <c r="B1" s="4"/>
      <c r="C1" s="4"/>
      <c r="D1" s="56"/>
      <c r="E1" s="4"/>
      <c r="F1" s="56"/>
      <c r="G1" s="4"/>
      <c r="H1" s="56"/>
      <c r="I1" s="4"/>
      <c r="K1" s="278" t="s">
        <v>378</v>
      </c>
      <c r="L1" s="278"/>
      <c r="M1" s="278"/>
      <c r="N1" s="278"/>
      <c r="O1" s="278"/>
      <c r="P1" s="278"/>
      <c r="Q1" s="278"/>
      <c r="R1" s="278"/>
      <c r="S1" s="278"/>
    </row>
    <row r="2" spans="1:19" ht="15" customHeight="1" x14ac:dyDescent="0.25">
      <c r="A2" s="5" t="s">
        <v>2</v>
      </c>
      <c r="B2" s="6"/>
      <c r="C2" s="6"/>
      <c r="D2" s="48"/>
      <c r="E2" s="6"/>
      <c r="F2" s="48"/>
      <c r="G2" s="6"/>
      <c r="H2" s="48"/>
      <c r="I2" s="6"/>
      <c r="K2" s="278"/>
      <c r="L2" s="278"/>
      <c r="M2" s="278"/>
      <c r="N2" s="278"/>
      <c r="O2" s="278"/>
      <c r="P2" s="278"/>
      <c r="Q2" s="278"/>
      <c r="R2" s="278"/>
      <c r="S2" s="278"/>
    </row>
    <row r="3" spans="1:19" x14ac:dyDescent="0.25">
      <c r="A3" s="5" t="s">
        <v>1</v>
      </c>
      <c r="B3" s="6"/>
      <c r="C3" s="6"/>
      <c r="D3" s="48"/>
      <c r="E3" s="6"/>
      <c r="F3" s="48"/>
      <c r="G3" s="6"/>
      <c r="H3" s="48"/>
      <c r="I3" s="6"/>
      <c r="K3" s="5"/>
      <c r="L3" s="6"/>
      <c r="M3" s="6"/>
      <c r="N3" s="48"/>
      <c r="O3" s="6"/>
      <c r="P3" s="48"/>
      <c r="Q3" s="6"/>
      <c r="R3" s="48"/>
      <c r="S3" s="6"/>
    </row>
    <row r="4" spans="1:19" x14ac:dyDescent="0.25">
      <c r="A4" s="5"/>
      <c r="B4" s="6"/>
      <c r="C4" s="6"/>
      <c r="D4" s="48"/>
      <c r="E4" s="6"/>
      <c r="F4" s="48"/>
      <c r="G4" s="6"/>
      <c r="H4" s="48"/>
      <c r="I4" s="6"/>
      <c r="K4" s="5"/>
      <c r="L4" s="6"/>
      <c r="M4" s="6"/>
      <c r="N4" s="48"/>
      <c r="O4" s="6"/>
      <c r="P4" s="48"/>
      <c r="Q4" s="6"/>
      <c r="R4" s="48"/>
      <c r="S4" s="6"/>
    </row>
    <row r="5" spans="1:19" x14ac:dyDescent="0.25">
      <c r="A5" s="48"/>
      <c r="B5" s="283" t="s">
        <v>12</v>
      </c>
      <c r="C5" s="283"/>
      <c r="D5" s="283"/>
      <c r="E5" s="283"/>
      <c r="F5" s="283"/>
      <c r="G5" s="283"/>
      <c r="H5" s="283"/>
      <c r="I5" s="283"/>
      <c r="K5" s="105"/>
      <c r="L5" s="283" t="s">
        <v>12</v>
      </c>
      <c r="M5" s="283"/>
      <c r="N5" s="283"/>
      <c r="O5" s="283"/>
      <c r="P5" s="283"/>
      <c r="Q5" s="283"/>
      <c r="R5" s="283"/>
      <c r="S5" s="283"/>
    </row>
    <row r="6" spans="1:19" s="11" customFormat="1" x14ac:dyDescent="0.25">
      <c r="A6" s="7"/>
      <c r="B6" s="49" t="s">
        <v>25</v>
      </c>
      <c r="C6" s="279" t="s">
        <v>31</v>
      </c>
      <c r="D6" s="285"/>
      <c r="E6" s="286" t="s">
        <v>32</v>
      </c>
      <c r="F6" s="285"/>
      <c r="G6" s="279" t="s">
        <v>33</v>
      </c>
      <c r="H6" s="279"/>
      <c r="I6" s="282" t="s">
        <v>26</v>
      </c>
      <c r="K6" s="101"/>
      <c r="L6" s="282" t="s">
        <v>412</v>
      </c>
      <c r="M6" s="282" t="s">
        <v>299</v>
      </c>
      <c r="N6" s="271" t="s">
        <v>275</v>
      </c>
      <c r="O6" s="271"/>
      <c r="P6" s="279" t="s">
        <v>32</v>
      </c>
      <c r="Q6" s="279"/>
      <c r="R6" s="282" t="s">
        <v>33</v>
      </c>
      <c r="S6" s="279"/>
    </row>
    <row r="7" spans="1:19" s="11" customFormat="1" ht="25.5" x14ac:dyDescent="0.25">
      <c r="A7" s="7"/>
      <c r="B7" s="50" t="s">
        <v>8</v>
      </c>
      <c r="C7" s="50" t="s">
        <v>8</v>
      </c>
      <c r="D7" s="57" t="s">
        <v>3</v>
      </c>
      <c r="E7" s="50" t="s">
        <v>8</v>
      </c>
      <c r="F7" s="57" t="s">
        <v>3</v>
      </c>
      <c r="G7" s="50" t="s">
        <v>8</v>
      </c>
      <c r="H7" s="50" t="s">
        <v>3</v>
      </c>
      <c r="I7" s="281"/>
      <c r="K7" s="100" t="s">
        <v>368</v>
      </c>
      <c r="L7" s="281"/>
      <c r="M7" s="281"/>
      <c r="N7" s="100" t="s">
        <v>9</v>
      </c>
      <c r="O7" s="98" t="s">
        <v>3</v>
      </c>
      <c r="P7" s="100" t="s">
        <v>9</v>
      </c>
      <c r="Q7" s="98" t="s">
        <v>3</v>
      </c>
      <c r="R7" s="98" t="s">
        <v>9</v>
      </c>
      <c r="S7" s="100" t="s">
        <v>3</v>
      </c>
    </row>
    <row r="8" spans="1:19" x14ac:dyDescent="0.25">
      <c r="A8" s="8">
        <v>1990</v>
      </c>
      <c r="B8" s="59">
        <v>3.44</v>
      </c>
      <c r="C8" s="59">
        <v>1.06</v>
      </c>
      <c r="D8" s="12" t="s">
        <v>22</v>
      </c>
      <c r="E8" s="59">
        <v>0.73299999999999998</v>
      </c>
      <c r="F8" s="12" t="s">
        <v>73</v>
      </c>
      <c r="G8" s="59">
        <v>0.55500000000000005</v>
      </c>
      <c r="H8" s="58" t="s">
        <v>44</v>
      </c>
      <c r="I8" s="59">
        <f>(+C8/B8)+(+E8/B8)+(+G8/B8)</f>
        <v>0.68255813953488387</v>
      </c>
      <c r="K8" s="138">
        <v>1990</v>
      </c>
      <c r="L8" s="167">
        <v>4.1900000000000004</v>
      </c>
      <c r="M8" s="167">
        <v>0.62267303102625293</v>
      </c>
      <c r="N8" s="167">
        <v>1.06</v>
      </c>
      <c r="O8" s="12" t="s">
        <v>22</v>
      </c>
      <c r="P8" s="167">
        <v>1</v>
      </c>
      <c r="Q8" s="12" t="s">
        <v>58</v>
      </c>
      <c r="R8" s="167">
        <v>0.54900000000000004</v>
      </c>
      <c r="S8" s="128" t="s">
        <v>44</v>
      </c>
    </row>
    <row r="9" spans="1:19" x14ac:dyDescent="0.25">
      <c r="A9" s="8">
        <v>1991</v>
      </c>
      <c r="B9" s="59">
        <v>3.23</v>
      </c>
      <c r="C9" s="59">
        <v>1.04</v>
      </c>
      <c r="D9" s="12" t="s">
        <v>22</v>
      </c>
      <c r="E9" s="59">
        <v>0.65100000000000002</v>
      </c>
      <c r="F9" s="12" t="s">
        <v>73</v>
      </c>
      <c r="G9" s="59">
        <v>0.61</v>
      </c>
      <c r="H9" s="58" t="s">
        <v>44</v>
      </c>
      <c r="I9" s="59">
        <f>(+C9/B9)+(+E9/B9)+(+G9/B9)</f>
        <v>0.71238390092879256</v>
      </c>
      <c r="K9" s="138">
        <v>1991</v>
      </c>
      <c r="L9" s="167">
        <v>3.82</v>
      </c>
      <c r="M9" s="167">
        <v>0.67015706806282727</v>
      </c>
      <c r="N9" s="167">
        <v>1.26</v>
      </c>
      <c r="O9" s="12" t="s">
        <v>22</v>
      </c>
      <c r="P9" s="167">
        <v>0.8</v>
      </c>
      <c r="Q9" s="12" t="s">
        <v>58</v>
      </c>
      <c r="R9" s="167">
        <v>0.5</v>
      </c>
      <c r="S9" s="128" t="s">
        <v>73</v>
      </c>
    </row>
    <row r="10" spans="1:19" x14ac:dyDescent="0.25">
      <c r="A10" s="8">
        <v>1992</v>
      </c>
      <c r="B10" s="59">
        <v>2.87</v>
      </c>
      <c r="C10" s="59">
        <v>0.82</v>
      </c>
      <c r="D10" s="12" t="s">
        <v>22</v>
      </c>
      <c r="E10" s="59">
        <v>0.80700000000000005</v>
      </c>
      <c r="F10" s="12" t="s">
        <v>73</v>
      </c>
      <c r="G10" s="59">
        <v>0.55000000000000004</v>
      </c>
      <c r="H10" s="58" t="s">
        <v>44</v>
      </c>
      <c r="I10" s="59">
        <f>(+C10/B10)+(+E10/B10)+(+G10/B10)</f>
        <v>0.75853658536585367</v>
      </c>
      <c r="K10" s="138">
        <v>1992</v>
      </c>
      <c r="L10" s="167">
        <v>3.71</v>
      </c>
      <c r="M10" s="167">
        <v>0.6495956873315365</v>
      </c>
      <c r="N10" s="167">
        <v>1.06</v>
      </c>
      <c r="O10" s="12" t="s">
        <v>22</v>
      </c>
      <c r="P10" s="167">
        <v>0.8</v>
      </c>
      <c r="Q10" s="12" t="s">
        <v>58</v>
      </c>
      <c r="R10" s="167">
        <v>0.55000000000000004</v>
      </c>
      <c r="S10" s="128" t="s">
        <v>73</v>
      </c>
    </row>
    <row r="11" spans="1:19" x14ac:dyDescent="0.25">
      <c r="A11" s="8">
        <v>1993</v>
      </c>
      <c r="B11" s="59">
        <v>3.55</v>
      </c>
      <c r="C11" s="59">
        <v>1.3</v>
      </c>
      <c r="D11" s="12" t="s">
        <v>44</v>
      </c>
      <c r="E11" s="59">
        <v>0.90800000000000003</v>
      </c>
      <c r="F11" s="12" t="s">
        <v>73</v>
      </c>
      <c r="G11" s="59">
        <v>0.74</v>
      </c>
      <c r="H11" s="58" t="s">
        <v>22</v>
      </c>
      <c r="I11" s="59">
        <f>(+C11/B11)+(+E11/B11)+(+G11/B11)</f>
        <v>0.83042253521126752</v>
      </c>
      <c r="K11" s="138">
        <v>1993</v>
      </c>
      <c r="L11" s="167">
        <v>4.3899999999999997</v>
      </c>
      <c r="M11" s="167">
        <v>0.66902050113895228</v>
      </c>
      <c r="N11" s="167">
        <v>1.05</v>
      </c>
      <c r="O11" s="12" t="s">
        <v>22</v>
      </c>
      <c r="P11" s="167">
        <v>0.95</v>
      </c>
      <c r="Q11" s="12" t="s">
        <v>58</v>
      </c>
      <c r="R11" s="167">
        <v>0.93700000000000006</v>
      </c>
      <c r="S11" s="128" t="s">
        <v>44</v>
      </c>
    </row>
    <row r="12" spans="1:19" x14ac:dyDescent="0.25">
      <c r="A12" s="8">
        <v>1994</v>
      </c>
      <c r="B12" s="59">
        <v>3.41</v>
      </c>
      <c r="C12" s="59">
        <v>1.21</v>
      </c>
      <c r="D12" s="12" t="s">
        <v>44</v>
      </c>
      <c r="E12" s="59">
        <v>1.0469999999999999</v>
      </c>
      <c r="F12" s="12" t="s">
        <v>73</v>
      </c>
      <c r="G12" s="59">
        <v>0.61</v>
      </c>
      <c r="H12" s="12" t="s">
        <v>22</v>
      </c>
      <c r="I12" s="59">
        <f t="shared" ref="I12:I28" si="0">(+C12/B12)+(+E12/B12)+(+G12/B12)</f>
        <v>0.84076246334310845</v>
      </c>
      <c r="K12" s="138">
        <v>1994</v>
      </c>
      <c r="L12" s="167">
        <v>4.18</v>
      </c>
      <c r="M12" s="167">
        <v>0.62846889952153107</v>
      </c>
      <c r="N12" s="167">
        <v>0.9</v>
      </c>
      <c r="O12" s="12" t="s">
        <v>58</v>
      </c>
      <c r="P12" s="167">
        <v>0.877</v>
      </c>
      <c r="Q12" s="12" t="s">
        <v>44</v>
      </c>
      <c r="R12" s="167">
        <v>0.85</v>
      </c>
      <c r="S12" s="12" t="s">
        <v>22</v>
      </c>
    </row>
    <row r="13" spans="1:19" x14ac:dyDescent="0.25">
      <c r="A13" s="8">
        <v>1995</v>
      </c>
      <c r="B13" s="59">
        <v>3.43</v>
      </c>
      <c r="C13" s="59">
        <v>0.995</v>
      </c>
      <c r="D13" s="12" t="s">
        <v>73</v>
      </c>
      <c r="E13" s="59">
        <v>0.9</v>
      </c>
      <c r="F13" s="58" t="s">
        <v>44</v>
      </c>
      <c r="G13" s="59">
        <v>0.74</v>
      </c>
      <c r="H13" s="58" t="s">
        <v>22</v>
      </c>
      <c r="I13" s="59">
        <f t="shared" si="0"/>
        <v>0.76822157434402327</v>
      </c>
      <c r="K13" s="138">
        <v>1995</v>
      </c>
      <c r="L13" s="167">
        <v>3.84</v>
      </c>
      <c r="M13" s="167">
        <v>0.65729166666666672</v>
      </c>
      <c r="N13" s="167">
        <v>0.92400000000000004</v>
      </c>
      <c r="O13" s="12" t="s">
        <v>73</v>
      </c>
      <c r="P13" s="167">
        <v>0.8</v>
      </c>
      <c r="Q13" s="128" t="s">
        <v>22</v>
      </c>
      <c r="R13" s="167">
        <v>0.8</v>
      </c>
      <c r="S13" s="128" t="s">
        <v>58</v>
      </c>
    </row>
    <row r="14" spans="1:19" x14ac:dyDescent="0.25">
      <c r="A14" s="8">
        <v>1996</v>
      </c>
      <c r="B14" s="59">
        <v>3.6</v>
      </c>
      <c r="C14" s="59">
        <v>1.07</v>
      </c>
      <c r="D14" s="12" t="s">
        <v>73</v>
      </c>
      <c r="E14" s="59">
        <v>1</v>
      </c>
      <c r="F14" s="58" t="s">
        <v>44</v>
      </c>
      <c r="G14" s="59">
        <v>0.61</v>
      </c>
      <c r="H14" s="58" t="s">
        <v>22</v>
      </c>
      <c r="I14" s="59">
        <f t="shared" si="0"/>
        <v>0.74444444444444435</v>
      </c>
      <c r="K14" s="138">
        <v>1996</v>
      </c>
      <c r="L14" s="167">
        <v>4.18</v>
      </c>
      <c r="M14" s="167">
        <v>0.64497607655502398</v>
      </c>
      <c r="N14" s="167">
        <v>0.95699999999999996</v>
      </c>
      <c r="O14" s="12" t="s">
        <v>73</v>
      </c>
      <c r="P14" s="167">
        <v>0.93899999999999995</v>
      </c>
      <c r="Q14" s="128" t="s">
        <v>44</v>
      </c>
      <c r="R14" s="167">
        <v>0.8</v>
      </c>
      <c r="S14" s="128" t="s">
        <v>58</v>
      </c>
    </row>
    <row r="15" spans="1:19" x14ac:dyDescent="0.25">
      <c r="A15" s="8">
        <v>1997</v>
      </c>
      <c r="B15" s="59">
        <v>4.3600000000000003</v>
      </c>
      <c r="C15" s="59">
        <v>1.6419999999999999</v>
      </c>
      <c r="D15" s="12" t="s">
        <v>73</v>
      </c>
      <c r="E15" s="59">
        <v>1</v>
      </c>
      <c r="F15" s="58" t="s">
        <v>44</v>
      </c>
      <c r="G15" s="59">
        <v>0.68400000000000005</v>
      </c>
      <c r="H15" s="58" t="s">
        <v>23</v>
      </c>
      <c r="I15" s="59">
        <f t="shared" si="0"/>
        <v>0.76284403669724765</v>
      </c>
      <c r="K15" s="138">
        <v>1997</v>
      </c>
      <c r="L15" s="167">
        <v>4.07</v>
      </c>
      <c r="M15" s="167">
        <v>0.62997542997542988</v>
      </c>
      <c r="N15" s="167">
        <v>0.99</v>
      </c>
      <c r="O15" s="12" t="s">
        <v>73</v>
      </c>
      <c r="P15" s="167">
        <v>0.8</v>
      </c>
      <c r="Q15" s="128" t="s">
        <v>58</v>
      </c>
      <c r="R15" s="167">
        <v>0.77400000000000002</v>
      </c>
      <c r="S15" s="128" t="s">
        <v>44</v>
      </c>
    </row>
    <row r="16" spans="1:19" x14ac:dyDescent="0.25">
      <c r="A16" s="8">
        <v>1998</v>
      </c>
      <c r="B16" s="59">
        <v>3.93</v>
      </c>
      <c r="C16" s="59">
        <v>1.204</v>
      </c>
      <c r="D16" s="12" t="s">
        <v>73</v>
      </c>
      <c r="E16" s="59">
        <v>1.032</v>
      </c>
      <c r="F16" s="12" t="s">
        <v>23</v>
      </c>
      <c r="G16" s="59">
        <v>1</v>
      </c>
      <c r="H16" s="58" t="s">
        <v>44</v>
      </c>
      <c r="I16" s="59">
        <f t="shared" si="0"/>
        <v>0.82340966921119585</v>
      </c>
      <c r="K16" s="138">
        <v>1998</v>
      </c>
      <c r="L16" s="167">
        <v>4.33</v>
      </c>
      <c r="M16" s="167">
        <v>0.6193995381062356</v>
      </c>
      <c r="N16" s="167">
        <v>1.03</v>
      </c>
      <c r="O16" s="12" t="s">
        <v>73</v>
      </c>
      <c r="P16" s="167">
        <v>0.83199999999999996</v>
      </c>
      <c r="Q16" s="12" t="s">
        <v>44</v>
      </c>
      <c r="R16" s="167">
        <v>0.82</v>
      </c>
      <c r="S16" s="128" t="s">
        <v>22</v>
      </c>
    </row>
    <row r="17" spans="1:19" x14ac:dyDescent="0.25">
      <c r="A17" s="8">
        <v>1999</v>
      </c>
      <c r="B17" s="59">
        <v>4.8600000000000003</v>
      </c>
      <c r="C17" s="59">
        <v>2.68</v>
      </c>
      <c r="D17" s="12" t="s">
        <v>22</v>
      </c>
      <c r="E17" s="59">
        <v>1</v>
      </c>
      <c r="F17" s="12" t="s">
        <v>44</v>
      </c>
      <c r="G17" s="59">
        <v>0.54800000000000004</v>
      </c>
      <c r="H17" s="58" t="s">
        <v>73</v>
      </c>
      <c r="I17" s="59">
        <f t="shared" si="0"/>
        <v>0.86995884773662546</v>
      </c>
      <c r="K17" s="138">
        <v>1999</v>
      </c>
      <c r="L17" s="167">
        <v>3.57</v>
      </c>
      <c r="M17" s="167">
        <v>0.6470588235294118</v>
      </c>
      <c r="N17" s="167">
        <v>0.86</v>
      </c>
      <c r="O17" s="12" t="s">
        <v>22</v>
      </c>
      <c r="P17" s="167">
        <v>0.75</v>
      </c>
      <c r="Q17" s="12" t="s">
        <v>44</v>
      </c>
      <c r="R17" s="167">
        <v>0.7</v>
      </c>
      <c r="S17" s="128" t="s">
        <v>58</v>
      </c>
    </row>
    <row r="18" spans="1:19" x14ac:dyDescent="0.25">
      <c r="A18" s="8">
        <v>2000</v>
      </c>
      <c r="B18" s="59">
        <v>3.8</v>
      </c>
      <c r="C18" s="59">
        <v>1.1200000000000001</v>
      </c>
      <c r="D18" s="12" t="s">
        <v>22</v>
      </c>
      <c r="E18" s="59">
        <v>1.1120000000000001</v>
      </c>
      <c r="F18" s="12" t="s">
        <v>73</v>
      </c>
      <c r="G18" s="59">
        <v>1</v>
      </c>
      <c r="H18" s="58" t="s">
        <v>44</v>
      </c>
      <c r="I18" s="59">
        <f t="shared" si="0"/>
        <v>0.8505263157894738</v>
      </c>
      <c r="K18" s="138">
        <v>2000</v>
      </c>
      <c r="L18" s="167">
        <v>4.2</v>
      </c>
      <c r="M18" s="167">
        <v>0.60785714285714276</v>
      </c>
      <c r="N18" s="167">
        <v>1.083</v>
      </c>
      <c r="O18" s="12" t="s">
        <v>73</v>
      </c>
      <c r="P18" s="167">
        <v>0.77</v>
      </c>
      <c r="Q18" s="12" t="s">
        <v>22</v>
      </c>
      <c r="R18" s="167">
        <v>0.7</v>
      </c>
      <c r="S18" s="128" t="s">
        <v>58</v>
      </c>
    </row>
    <row r="19" spans="1:19" x14ac:dyDescent="0.25">
      <c r="A19" s="8">
        <v>2001</v>
      </c>
      <c r="B19" s="59">
        <v>5.0999999999999996</v>
      </c>
      <c r="C19" s="59">
        <v>2</v>
      </c>
      <c r="D19" s="12" t="s">
        <v>22</v>
      </c>
      <c r="E19" s="59">
        <v>1.39</v>
      </c>
      <c r="F19" s="12" t="s">
        <v>73</v>
      </c>
      <c r="G19" s="59">
        <v>1</v>
      </c>
      <c r="H19" s="58" t="s">
        <v>44</v>
      </c>
      <c r="I19" s="59">
        <f t="shared" si="0"/>
        <v>0.86078431372549025</v>
      </c>
      <c r="K19" s="138">
        <v>2001</v>
      </c>
      <c r="L19" s="167">
        <v>5.8</v>
      </c>
      <c r="M19" s="167">
        <v>0.70517241379310347</v>
      </c>
      <c r="N19" s="167">
        <v>2</v>
      </c>
      <c r="O19" s="12" t="s">
        <v>22</v>
      </c>
      <c r="P19" s="167">
        <v>1.39</v>
      </c>
      <c r="Q19" s="12" t="s">
        <v>73</v>
      </c>
      <c r="R19" s="167">
        <v>0.7</v>
      </c>
      <c r="S19" s="128" t="s">
        <v>58</v>
      </c>
    </row>
    <row r="20" spans="1:19" x14ac:dyDescent="0.25">
      <c r="A20" s="8">
        <v>2002</v>
      </c>
      <c r="B20" s="59">
        <v>4.5999999999999996</v>
      </c>
      <c r="C20" s="59">
        <v>2</v>
      </c>
      <c r="D20" s="12" t="s">
        <v>22</v>
      </c>
      <c r="E20" s="59">
        <v>1.1259999999999999</v>
      </c>
      <c r="F20" s="12" t="s">
        <v>73</v>
      </c>
      <c r="G20" s="59">
        <v>1</v>
      </c>
      <c r="H20" s="58" t="s">
        <v>44</v>
      </c>
      <c r="I20" s="59">
        <f t="shared" si="0"/>
        <v>0.89695652173913043</v>
      </c>
      <c r="K20" s="138">
        <v>2002</v>
      </c>
      <c r="L20" s="167">
        <v>6.7</v>
      </c>
      <c r="M20" s="167">
        <v>0.76507462686567163</v>
      </c>
      <c r="N20" s="167">
        <v>3</v>
      </c>
      <c r="O20" s="12" t="s">
        <v>22</v>
      </c>
      <c r="P20" s="167">
        <v>1.1259999999999999</v>
      </c>
      <c r="Q20" s="12" t="s">
        <v>73</v>
      </c>
      <c r="R20" s="167">
        <v>1</v>
      </c>
      <c r="S20" s="128" t="s">
        <v>58</v>
      </c>
    </row>
    <row r="21" spans="1:19" x14ac:dyDescent="0.25">
      <c r="A21" s="8">
        <v>2003</v>
      </c>
      <c r="B21" s="59">
        <v>5.0999999999999996</v>
      </c>
      <c r="C21" s="59">
        <v>2.5</v>
      </c>
      <c r="D21" s="12" t="s">
        <v>22</v>
      </c>
      <c r="E21" s="59">
        <v>1</v>
      </c>
      <c r="F21" s="12" t="s">
        <v>73</v>
      </c>
      <c r="G21" s="59">
        <v>1</v>
      </c>
      <c r="H21" s="58" t="s">
        <v>44</v>
      </c>
      <c r="I21" s="59">
        <f t="shared" si="0"/>
        <v>0.88235294117647056</v>
      </c>
      <c r="K21" s="138">
        <v>2003</v>
      </c>
      <c r="L21" s="167">
        <v>8.6999999999999993</v>
      </c>
      <c r="M21" s="167">
        <v>0.81195402298850583</v>
      </c>
      <c r="N21" s="167">
        <v>5</v>
      </c>
      <c r="O21" s="12" t="s">
        <v>22</v>
      </c>
      <c r="P21" s="167">
        <v>1.0640000000000001</v>
      </c>
      <c r="Q21" s="12" t="s">
        <v>73</v>
      </c>
      <c r="R21" s="167">
        <v>1</v>
      </c>
      <c r="S21" s="128" t="s">
        <v>58</v>
      </c>
    </row>
    <row r="22" spans="1:19" x14ac:dyDescent="0.25">
      <c r="A22" s="8">
        <v>2004</v>
      </c>
      <c r="B22" s="59">
        <v>5.6</v>
      </c>
      <c r="C22" s="59">
        <v>3</v>
      </c>
      <c r="D22" s="12" t="s">
        <v>22</v>
      </c>
      <c r="E22" s="59">
        <v>1.0640000000000001</v>
      </c>
      <c r="F22" s="12" t="s">
        <v>73</v>
      </c>
      <c r="G22" s="59">
        <v>1</v>
      </c>
      <c r="H22" s="58" t="s">
        <v>44</v>
      </c>
      <c r="I22" s="59">
        <f t="shared" si="0"/>
        <v>0.90428571428571436</v>
      </c>
      <c r="K22" s="138">
        <v>2004</v>
      </c>
      <c r="L22" s="167">
        <v>15</v>
      </c>
      <c r="M22" s="167">
        <v>0.90426666666666655</v>
      </c>
      <c r="N22" s="167">
        <v>11.7</v>
      </c>
      <c r="O22" s="12" t="s">
        <v>22</v>
      </c>
      <c r="P22" s="167">
        <v>1.0640000000000001</v>
      </c>
      <c r="Q22" s="12" t="s">
        <v>73</v>
      </c>
      <c r="R22" s="167">
        <v>0.8</v>
      </c>
      <c r="S22" s="128" t="s">
        <v>58</v>
      </c>
    </row>
    <row r="23" spans="1:19" x14ac:dyDescent="0.25">
      <c r="A23" s="8">
        <v>2005</v>
      </c>
      <c r="B23" s="59">
        <v>5.4</v>
      </c>
      <c r="C23" s="59">
        <v>3</v>
      </c>
      <c r="D23" s="12" t="s">
        <v>22</v>
      </c>
      <c r="E23" s="59">
        <v>0.97</v>
      </c>
      <c r="F23" s="12" t="s">
        <v>73</v>
      </c>
      <c r="G23" s="59">
        <v>0.95199999999999996</v>
      </c>
      <c r="H23" s="58" t="s">
        <v>44</v>
      </c>
      <c r="I23" s="59">
        <f t="shared" si="0"/>
        <v>0.91148148148148134</v>
      </c>
      <c r="K23" s="138">
        <v>2005</v>
      </c>
      <c r="L23" s="167">
        <v>14</v>
      </c>
      <c r="M23" s="167">
        <v>0.88357142857142856</v>
      </c>
      <c r="N23" s="167">
        <v>10.6</v>
      </c>
      <c r="O23" s="12" t="s">
        <v>22</v>
      </c>
      <c r="P23" s="167">
        <v>0.97</v>
      </c>
      <c r="Q23" s="12" t="s">
        <v>73</v>
      </c>
      <c r="R23" s="167">
        <v>0.8</v>
      </c>
      <c r="S23" s="128" t="s">
        <v>58</v>
      </c>
    </row>
    <row r="24" spans="1:19" x14ac:dyDescent="0.25">
      <c r="A24" s="8">
        <v>2006</v>
      </c>
      <c r="B24" s="59">
        <v>5.8</v>
      </c>
      <c r="C24" s="59">
        <v>3</v>
      </c>
      <c r="D24" s="12" t="s">
        <v>22</v>
      </c>
      <c r="E24" s="59">
        <v>1.1859999999999999</v>
      </c>
      <c r="F24" s="12" t="s">
        <v>73</v>
      </c>
      <c r="G24" s="59">
        <v>0.95</v>
      </c>
      <c r="H24" s="58" t="s">
        <v>44</v>
      </c>
      <c r="I24" s="59">
        <f t="shared" si="0"/>
        <v>0.88551724137931043</v>
      </c>
      <c r="K24" s="138">
        <v>2006</v>
      </c>
      <c r="L24" s="167">
        <v>15</v>
      </c>
      <c r="M24" s="167">
        <v>0.9190666666666667</v>
      </c>
      <c r="N24" s="167">
        <v>11.8</v>
      </c>
      <c r="O24" s="12" t="s">
        <v>22</v>
      </c>
      <c r="P24" s="167">
        <v>1.1859999999999999</v>
      </c>
      <c r="Q24" s="12" t="s">
        <v>73</v>
      </c>
      <c r="R24" s="167">
        <v>0.8</v>
      </c>
      <c r="S24" s="128" t="s">
        <v>58</v>
      </c>
    </row>
    <row r="25" spans="1:19" x14ac:dyDescent="0.25">
      <c r="A25" s="8" t="s">
        <v>4</v>
      </c>
      <c r="B25" s="59">
        <v>6.2</v>
      </c>
      <c r="C25" s="59">
        <v>3.5</v>
      </c>
      <c r="D25" s="12" t="s">
        <v>22</v>
      </c>
      <c r="E25" s="59">
        <v>1.2</v>
      </c>
      <c r="F25" s="12" t="s">
        <v>73</v>
      </c>
      <c r="G25" s="59">
        <v>0.95</v>
      </c>
      <c r="H25" s="58" t="s">
        <v>44</v>
      </c>
      <c r="I25" s="59">
        <f t="shared" si="0"/>
        <v>0.91129032258064513</v>
      </c>
      <c r="K25" s="138" t="s">
        <v>4</v>
      </c>
      <c r="L25" s="167">
        <v>16</v>
      </c>
      <c r="M25" s="167">
        <v>0.88124999999999998</v>
      </c>
      <c r="N25" s="167">
        <v>12.1</v>
      </c>
      <c r="O25" s="12" t="s">
        <v>22</v>
      </c>
      <c r="P25" s="167">
        <v>1.2</v>
      </c>
      <c r="Q25" s="12" t="s">
        <v>73</v>
      </c>
      <c r="R25" s="167">
        <v>0.8</v>
      </c>
      <c r="S25" s="128" t="s">
        <v>58</v>
      </c>
    </row>
    <row r="26" spans="1:19" x14ac:dyDescent="0.25">
      <c r="A26" s="8" t="s">
        <v>5</v>
      </c>
      <c r="B26" s="59">
        <v>7.6</v>
      </c>
      <c r="C26" s="59">
        <v>5</v>
      </c>
      <c r="D26" s="12" t="s">
        <v>22</v>
      </c>
      <c r="E26" s="59">
        <v>1.17</v>
      </c>
      <c r="F26" s="12" t="s">
        <v>73</v>
      </c>
      <c r="G26" s="59">
        <v>0.96</v>
      </c>
      <c r="H26" s="58" t="s">
        <v>44</v>
      </c>
      <c r="I26" s="59">
        <f t="shared" si="0"/>
        <v>0.93815789473684208</v>
      </c>
      <c r="K26" s="138" t="s">
        <v>5</v>
      </c>
      <c r="L26" s="167">
        <v>17</v>
      </c>
      <c r="M26" s="167">
        <v>0.88647058823529412</v>
      </c>
      <c r="N26" s="167">
        <v>13.1</v>
      </c>
      <c r="O26" s="12" t="s">
        <v>22</v>
      </c>
      <c r="P26" s="167">
        <v>1.17</v>
      </c>
      <c r="Q26" s="12" t="s">
        <v>73</v>
      </c>
      <c r="R26" s="167">
        <v>0.8</v>
      </c>
      <c r="S26" s="128" t="s">
        <v>58</v>
      </c>
    </row>
    <row r="27" spans="1:19" x14ac:dyDescent="0.25">
      <c r="A27" s="8" t="s">
        <v>6</v>
      </c>
      <c r="B27" s="59">
        <v>8.3000000000000007</v>
      </c>
      <c r="C27" s="59">
        <v>6</v>
      </c>
      <c r="D27" s="12" t="s">
        <v>22</v>
      </c>
      <c r="E27" s="59">
        <v>1</v>
      </c>
      <c r="F27" s="12" t="s">
        <v>44</v>
      </c>
      <c r="G27" s="59">
        <v>0.85399999999999998</v>
      </c>
      <c r="H27" s="58" t="s">
        <v>73</v>
      </c>
      <c r="I27" s="59">
        <f t="shared" si="0"/>
        <v>0.94626506024096368</v>
      </c>
      <c r="K27" s="138" t="s">
        <v>6</v>
      </c>
      <c r="L27" s="167">
        <v>15</v>
      </c>
      <c r="M27" s="167">
        <v>0.93026666666666669</v>
      </c>
      <c r="N27" s="167">
        <v>12.3</v>
      </c>
      <c r="O27" s="12" t="s">
        <v>22</v>
      </c>
      <c r="P27" s="167">
        <v>0.85399999999999998</v>
      </c>
      <c r="Q27" s="12" t="s">
        <v>73</v>
      </c>
      <c r="R27" s="167">
        <v>0.8</v>
      </c>
      <c r="S27" s="128" t="s">
        <v>58</v>
      </c>
    </row>
    <row r="28" spans="1:19" x14ac:dyDescent="0.25">
      <c r="A28" s="8" t="s">
        <v>7</v>
      </c>
      <c r="B28" s="59">
        <v>8.9</v>
      </c>
      <c r="C28" s="59">
        <v>6.5</v>
      </c>
      <c r="D28" s="12" t="s">
        <v>22</v>
      </c>
      <c r="E28" s="59">
        <v>1.1000000000000001</v>
      </c>
      <c r="F28" s="12" t="s">
        <v>44</v>
      </c>
      <c r="G28" s="59">
        <v>0.85</v>
      </c>
      <c r="H28" s="58" t="s">
        <v>73</v>
      </c>
      <c r="I28" s="59">
        <f t="shared" si="0"/>
        <v>0.949438202247191</v>
      </c>
      <c r="K28" s="138" t="s">
        <v>7</v>
      </c>
      <c r="L28" s="167">
        <v>16</v>
      </c>
      <c r="M28" s="167">
        <v>0.91562500000000002</v>
      </c>
      <c r="N28" s="167">
        <v>13</v>
      </c>
      <c r="O28" s="12" t="s">
        <v>22</v>
      </c>
      <c r="P28" s="167">
        <v>0.85</v>
      </c>
      <c r="Q28" s="12" t="s">
        <v>73</v>
      </c>
      <c r="R28" s="167">
        <v>0.8</v>
      </c>
      <c r="S28" s="128" t="s">
        <v>58</v>
      </c>
    </row>
    <row r="29" spans="1:19" x14ac:dyDescent="0.25">
      <c r="E29" s="10"/>
      <c r="F29" s="54"/>
      <c r="K29" s="141"/>
      <c r="L29" s="141"/>
      <c r="M29" s="141"/>
      <c r="N29" s="138"/>
      <c r="O29" s="157"/>
      <c r="P29" s="147"/>
      <c r="Q29" s="141"/>
      <c r="R29" s="138"/>
      <c r="S29" s="141"/>
    </row>
    <row r="30" spans="1:19" x14ac:dyDescent="0.25">
      <c r="E30" s="10"/>
      <c r="F30" s="54"/>
      <c r="K30" s="141" t="s">
        <v>612</v>
      </c>
      <c r="L30" s="141"/>
      <c r="M30" s="141"/>
      <c r="N30" s="138"/>
      <c r="O30" s="157"/>
      <c r="P30" s="147"/>
      <c r="Q30" s="141"/>
      <c r="R30" s="138"/>
      <c r="S30" s="141"/>
    </row>
  </sheetData>
  <mergeCells count="12">
    <mergeCell ref="K1:S2"/>
    <mergeCell ref="B5:I5"/>
    <mergeCell ref="L5:S5"/>
    <mergeCell ref="C6:D6"/>
    <mergeCell ref="E6:F6"/>
    <mergeCell ref="G6:H6"/>
    <mergeCell ref="I6:I7"/>
    <mergeCell ref="N6:O6"/>
    <mergeCell ref="P6:Q6"/>
    <mergeCell ref="R6:S6"/>
    <mergeCell ref="M6:M7"/>
    <mergeCell ref="L6:L7"/>
  </mergeCells>
  <pageMargins left="1" right="1" top="1" bottom="1" header="0" footer="0"/>
  <pageSetup scale="9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Normal="100" workbookViewId="0">
      <selection activeCell="A90" sqref="A90"/>
    </sheetView>
  </sheetViews>
  <sheetFormatPr defaultRowHeight="15" x14ac:dyDescent="0.25"/>
  <cols>
    <col min="1" max="2" width="13.28515625" customWidth="1"/>
    <col min="3" max="3" width="14.28515625" customWidth="1"/>
    <col min="4" max="4" width="13.28515625" style="8" customWidth="1"/>
    <col min="5" max="5" width="13.28515625" customWidth="1"/>
    <col min="6" max="6" width="13.28515625" style="8" customWidth="1"/>
    <col min="7" max="7" width="13.28515625" customWidth="1"/>
    <col min="8" max="8" width="13.28515625" style="8" customWidth="1"/>
    <col min="9" max="9" width="13.28515625" customWidth="1"/>
  </cols>
  <sheetData>
    <row r="1" spans="1:9" ht="15" customHeight="1" x14ac:dyDescent="0.25">
      <c r="A1" s="113" t="s">
        <v>379</v>
      </c>
      <c r="B1" s="111"/>
      <c r="C1" s="111"/>
      <c r="D1" s="111"/>
      <c r="E1" s="111"/>
      <c r="F1" s="111"/>
      <c r="G1" s="111"/>
      <c r="H1" s="111"/>
      <c r="I1" s="111"/>
    </row>
    <row r="2" spans="1:9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</row>
    <row r="3" spans="1:9" x14ac:dyDescent="0.25">
      <c r="A3" s="5"/>
      <c r="B3" s="6"/>
      <c r="C3" s="6"/>
      <c r="D3" s="48"/>
      <c r="E3" s="6"/>
      <c r="F3" s="48"/>
      <c r="G3" s="6"/>
      <c r="H3" s="48"/>
      <c r="I3" s="6"/>
    </row>
    <row r="4" spans="1:9" x14ac:dyDescent="0.25">
      <c r="A4" s="5"/>
      <c r="B4" s="6"/>
      <c r="C4" s="6"/>
      <c r="D4" s="48"/>
      <c r="E4" s="6"/>
      <c r="F4" s="48"/>
      <c r="G4" s="6"/>
      <c r="H4" s="48"/>
      <c r="I4" s="6"/>
    </row>
    <row r="5" spans="1:9" x14ac:dyDescent="0.25">
      <c r="A5" s="105"/>
      <c r="B5" s="283" t="s">
        <v>13</v>
      </c>
      <c r="C5" s="283"/>
      <c r="D5" s="283"/>
      <c r="E5" s="283"/>
      <c r="F5" s="283"/>
      <c r="G5" s="283"/>
      <c r="H5" s="283"/>
      <c r="I5" s="283"/>
    </row>
    <row r="6" spans="1:9" s="11" customFormat="1" ht="15" customHeight="1" x14ac:dyDescent="0.25">
      <c r="A6" s="101"/>
      <c r="B6" s="282" t="s">
        <v>414</v>
      </c>
      <c r="C6" s="282" t="s">
        <v>299</v>
      </c>
      <c r="D6" s="271" t="s">
        <v>275</v>
      </c>
      <c r="E6" s="271"/>
      <c r="F6" s="279" t="s">
        <v>32</v>
      </c>
      <c r="G6" s="279"/>
      <c r="H6" s="279" t="s">
        <v>33</v>
      </c>
      <c r="I6" s="279"/>
    </row>
    <row r="7" spans="1:9" s="11" customFormat="1" ht="25.5" customHeight="1" x14ac:dyDescent="0.25">
      <c r="A7" s="100" t="s">
        <v>368</v>
      </c>
      <c r="B7" s="281"/>
      <c r="C7" s="281"/>
      <c r="D7" s="100" t="s">
        <v>8</v>
      </c>
      <c r="E7" s="98" t="s">
        <v>3</v>
      </c>
      <c r="F7" s="100" t="s">
        <v>8</v>
      </c>
      <c r="G7" s="98" t="s">
        <v>3</v>
      </c>
      <c r="H7" s="100" t="s">
        <v>8</v>
      </c>
      <c r="I7" s="100" t="s">
        <v>3</v>
      </c>
    </row>
    <row r="8" spans="1:9" x14ac:dyDescent="0.25">
      <c r="A8" s="138">
        <v>1990</v>
      </c>
      <c r="B8" s="167">
        <v>2910</v>
      </c>
      <c r="C8" s="167">
        <v>0.54089347079037797</v>
      </c>
      <c r="D8" s="167">
        <v>1250</v>
      </c>
      <c r="E8" s="12" t="s">
        <v>71</v>
      </c>
      <c r="F8" s="167">
        <v>180</v>
      </c>
      <c r="G8" s="12" t="s">
        <v>37</v>
      </c>
      <c r="H8" s="167">
        <v>144</v>
      </c>
      <c r="I8" s="128" t="s">
        <v>128</v>
      </c>
    </row>
    <row r="9" spans="1:9" x14ac:dyDescent="0.25">
      <c r="A9" s="138">
        <v>1991</v>
      </c>
      <c r="B9" s="167">
        <v>2960</v>
      </c>
      <c r="C9" s="167">
        <v>0.50202702702702706</v>
      </c>
      <c r="D9" s="167">
        <v>1210</v>
      </c>
      <c r="E9" s="12" t="s">
        <v>71</v>
      </c>
      <c r="F9" s="167">
        <v>160</v>
      </c>
      <c r="G9" s="12" t="s">
        <v>37</v>
      </c>
      <c r="H9" s="167">
        <v>116</v>
      </c>
      <c r="I9" s="128" t="s">
        <v>128</v>
      </c>
    </row>
    <row r="10" spans="1:9" x14ac:dyDescent="0.25">
      <c r="A10" s="138">
        <v>1992</v>
      </c>
      <c r="B10" s="167">
        <v>2670</v>
      </c>
      <c r="C10" s="167">
        <v>0.51947565543071161</v>
      </c>
      <c r="D10" s="167">
        <v>1059</v>
      </c>
      <c r="E10" s="12" t="s">
        <v>71</v>
      </c>
      <c r="F10" s="167">
        <v>203</v>
      </c>
      <c r="G10" s="12" t="s">
        <v>78</v>
      </c>
      <c r="H10" s="167">
        <v>125</v>
      </c>
      <c r="I10" s="128" t="s">
        <v>128</v>
      </c>
    </row>
    <row r="11" spans="1:9" x14ac:dyDescent="0.25">
      <c r="A11" s="138">
        <v>1993</v>
      </c>
      <c r="B11" s="167">
        <v>2640</v>
      </c>
      <c r="C11" s="167">
        <v>0.52272727272727271</v>
      </c>
      <c r="D11" s="167">
        <v>1079</v>
      </c>
      <c r="E11" s="12" t="s">
        <v>71</v>
      </c>
      <c r="F11" s="167">
        <v>155</v>
      </c>
      <c r="G11" s="12" t="s">
        <v>22</v>
      </c>
      <c r="H11" s="167">
        <v>146</v>
      </c>
      <c r="I11" s="128" t="s">
        <v>128</v>
      </c>
    </row>
    <row r="12" spans="1:9" x14ac:dyDescent="0.25">
      <c r="A12" s="138">
        <v>1994</v>
      </c>
      <c r="B12" s="167">
        <v>3810</v>
      </c>
      <c r="C12" s="167">
        <v>0.61811023622047245</v>
      </c>
      <c r="D12" s="167">
        <v>1140</v>
      </c>
      <c r="E12" s="12" t="s">
        <v>71</v>
      </c>
      <c r="F12" s="167">
        <v>1000</v>
      </c>
      <c r="G12" s="12" t="s">
        <v>24</v>
      </c>
      <c r="H12" s="167">
        <v>215</v>
      </c>
      <c r="I12" s="12" t="s">
        <v>128</v>
      </c>
    </row>
    <row r="13" spans="1:9" x14ac:dyDescent="0.25">
      <c r="A13" s="138">
        <v>1995</v>
      </c>
      <c r="B13" s="167">
        <v>4170</v>
      </c>
      <c r="C13" s="167">
        <v>0.58489208633093526</v>
      </c>
      <c r="D13" s="167">
        <v>1144</v>
      </c>
      <c r="E13" s="12" t="s">
        <v>71</v>
      </c>
      <c r="F13" s="167">
        <v>1000</v>
      </c>
      <c r="G13" s="128" t="s">
        <v>24</v>
      </c>
      <c r="H13" s="167">
        <v>295</v>
      </c>
      <c r="I13" s="128" t="s">
        <v>22</v>
      </c>
    </row>
    <row r="14" spans="1:9" x14ac:dyDescent="0.25">
      <c r="A14" s="138">
        <v>1996</v>
      </c>
      <c r="B14" s="167">
        <v>4330</v>
      </c>
      <c r="C14" s="167">
        <v>0.64411085450346417</v>
      </c>
      <c r="D14" s="167">
        <v>1447</v>
      </c>
      <c r="E14" s="12" t="s">
        <v>71</v>
      </c>
      <c r="F14" s="167">
        <v>1000</v>
      </c>
      <c r="G14" s="128" t="s">
        <v>24</v>
      </c>
      <c r="H14" s="167">
        <v>342</v>
      </c>
      <c r="I14" s="128" t="s">
        <v>128</v>
      </c>
    </row>
    <row r="15" spans="1:9" x14ac:dyDescent="0.25">
      <c r="A15" s="138">
        <v>1997</v>
      </c>
      <c r="B15" s="167">
        <v>4580</v>
      </c>
      <c r="C15" s="167">
        <v>0.65327510917030573</v>
      </c>
      <c r="D15" s="167">
        <v>1569</v>
      </c>
      <c r="E15" s="12" t="s">
        <v>71</v>
      </c>
      <c r="F15" s="167">
        <v>1000</v>
      </c>
      <c r="G15" s="128" t="s">
        <v>24</v>
      </c>
      <c r="H15" s="167">
        <v>423</v>
      </c>
      <c r="I15" s="128" t="s">
        <v>128</v>
      </c>
    </row>
    <row r="16" spans="1:9" x14ac:dyDescent="0.25">
      <c r="A16" s="138">
        <v>1998</v>
      </c>
      <c r="B16" s="167">
        <v>4570</v>
      </c>
      <c r="C16" s="167">
        <v>0.64113785557986869</v>
      </c>
      <c r="D16" s="167">
        <v>1650</v>
      </c>
      <c r="E16" s="12" t="s">
        <v>71</v>
      </c>
      <c r="F16" s="167">
        <v>1000</v>
      </c>
      <c r="G16" s="12" t="s">
        <v>24</v>
      </c>
      <c r="H16" s="167">
        <v>280</v>
      </c>
      <c r="I16" s="128" t="s">
        <v>78</v>
      </c>
    </row>
    <row r="17" spans="1:9" x14ac:dyDescent="0.25">
      <c r="A17" s="138">
        <v>1999</v>
      </c>
      <c r="B17" s="167">
        <v>4470</v>
      </c>
      <c r="C17" s="167">
        <v>0.6319910514541387</v>
      </c>
      <c r="D17" s="167">
        <v>1500</v>
      </c>
      <c r="E17" s="12" t="s">
        <v>71</v>
      </c>
      <c r="F17" s="167">
        <v>1000</v>
      </c>
      <c r="G17" s="12" t="s">
        <v>24</v>
      </c>
      <c r="H17" s="167">
        <v>325</v>
      </c>
      <c r="I17" s="128" t="s">
        <v>78</v>
      </c>
    </row>
    <row r="18" spans="1:9" x14ac:dyDescent="0.25">
      <c r="A18" s="138">
        <v>2000</v>
      </c>
      <c r="B18" s="167">
        <v>4550</v>
      </c>
      <c r="C18" s="167">
        <v>0.64065934065934071</v>
      </c>
      <c r="D18" s="167">
        <v>1402</v>
      </c>
      <c r="E18" s="12" t="s">
        <v>71</v>
      </c>
      <c r="F18" s="167">
        <v>1000</v>
      </c>
      <c r="G18" s="12" t="s">
        <v>24</v>
      </c>
      <c r="H18" s="167">
        <v>513</v>
      </c>
      <c r="I18" s="128" t="s">
        <v>128</v>
      </c>
    </row>
    <row r="19" spans="1:9" x14ac:dyDescent="0.25">
      <c r="A19" s="138">
        <v>2001</v>
      </c>
      <c r="B19" s="167">
        <v>4730</v>
      </c>
      <c r="C19" s="167">
        <v>0.66109936575052863</v>
      </c>
      <c r="D19" s="167">
        <v>1493</v>
      </c>
      <c r="E19" s="12" t="s">
        <v>71</v>
      </c>
      <c r="F19" s="167">
        <v>1000</v>
      </c>
      <c r="G19" s="12" t="s">
        <v>24</v>
      </c>
      <c r="H19" s="167">
        <v>634</v>
      </c>
      <c r="I19" s="128" t="s">
        <v>128</v>
      </c>
    </row>
    <row r="20" spans="1:9" x14ac:dyDescent="0.25">
      <c r="A20" s="138">
        <v>2002</v>
      </c>
      <c r="B20" s="167">
        <v>4560</v>
      </c>
      <c r="C20" s="167">
        <v>0.62543859649122802</v>
      </c>
      <c r="D20" s="167">
        <v>1342</v>
      </c>
      <c r="E20" s="12" t="s">
        <v>71</v>
      </c>
      <c r="F20" s="167">
        <v>1000</v>
      </c>
      <c r="G20" s="12" t="s">
        <v>24</v>
      </c>
      <c r="H20" s="167">
        <v>510</v>
      </c>
      <c r="I20" s="128" t="s">
        <v>128</v>
      </c>
    </row>
    <row r="21" spans="1:9" x14ac:dyDescent="0.25">
      <c r="A21" s="138">
        <v>2003</v>
      </c>
      <c r="B21" s="167">
        <v>4750</v>
      </c>
      <c r="C21" s="167">
        <v>0.61284210526315797</v>
      </c>
      <c r="D21" s="167">
        <v>1399</v>
      </c>
      <c r="E21" s="12" t="s">
        <v>71</v>
      </c>
      <c r="F21" s="167">
        <v>1000</v>
      </c>
      <c r="G21" s="12" t="s">
        <v>24</v>
      </c>
      <c r="H21" s="167">
        <v>512</v>
      </c>
      <c r="I21" s="128" t="s">
        <v>128</v>
      </c>
    </row>
    <row r="22" spans="1:9" x14ac:dyDescent="0.25">
      <c r="A22" s="138">
        <v>2004</v>
      </c>
      <c r="B22" s="167">
        <v>4960</v>
      </c>
      <c r="C22" s="167">
        <v>0.6054435483870968</v>
      </c>
      <c r="D22" s="167">
        <v>1588</v>
      </c>
      <c r="E22" s="12" t="s">
        <v>71</v>
      </c>
      <c r="F22" s="167">
        <v>821</v>
      </c>
      <c r="G22" s="12" t="s">
        <v>128</v>
      </c>
      <c r="H22" s="167">
        <v>594</v>
      </c>
      <c r="I22" s="128" t="s">
        <v>78</v>
      </c>
    </row>
    <row r="23" spans="1:9" x14ac:dyDescent="0.25">
      <c r="A23" s="138">
        <v>2005</v>
      </c>
      <c r="B23" s="167">
        <v>4950</v>
      </c>
      <c r="C23" s="167">
        <v>0.61555555555555563</v>
      </c>
      <c r="D23" s="167">
        <v>1953</v>
      </c>
      <c r="E23" s="12" t="s">
        <v>71</v>
      </c>
      <c r="F23" s="167">
        <v>633</v>
      </c>
      <c r="G23" s="12" t="s">
        <v>128</v>
      </c>
      <c r="H23" s="167">
        <v>461</v>
      </c>
      <c r="I23" s="128" t="s">
        <v>78</v>
      </c>
    </row>
    <row r="24" spans="1:9" x14ac:dyDescent="0.25">
      <c r="A24" s="138">
        <v>2006</v>
      </c>
      <c r="B24" s="167">
        <v>3620</v>
      </c>
      <c r="C24" s="167">
        <v>0.77707182320441992</v>
      </c>
      <c r="D24" s="167">
        <v>1819</v>
      </c>
      <c r="E24" s="12" t="s">
        <v>71</v>
      </c>
      <c r="F24" s="167">
        <v>534</v>
      </c>
      <c r="G24" s="12" t="s">
        <v>128</v>
      </c>
      <c r="H24" s="167">
        <v>460</v>
      </c>
      <c r="I24" s="128" t="s">
        <v>78</v>
      </c>
    </row>
    <row r="25" spans="1:9" x14ac:dyDescent="0.25">
      <c r="A25" s="138" t="s">
        <v>4</v>
      </c>
      <c r="B25" s="167">
        <v>4200</v>
      </c>
      <c r="C25" s="167">
        <v>0.79190476190476189</v>
      </c>
      <c r="D25" s="167">
        <v>2128</v>
      </c>
      <c r="E25" s="12" t="s">
        <v>71</v>
      </c>
      <c r="F25" s="167">
        <v>670</v>
      </c>
      <c r="G25" s="12" t="s">
        <v>128</v>
      </c>
      <c r="H25" s="167">
        <v>528</v>
      </c>
      <c r="I25" s="128" t="s">
        <v>78</v>
      </c>
    </row>
    <row r="26" spans="1:9" x14ac:dyDescent="0.25">
      <c r="A26" s="138" t="s">
        <v>5</v>
      </c>
      <c r="B26" s="167">
        <v>4480</v>
      </c>
      <c r="C26" s="167">
        <v>0.78303571428571428</v>
      </c>
      <c r="D26" s="167">
        <v>2139</v>
      </c>
      <c r="E26" s="12" t="s">
        <v>71</v>
      </c>
      <c r="F26" s="167">
        <v>786</v>
      </c>
      <c r="G26" s="12" t="s">
        <v>128</v>
      </c>
      <c r="H26" s="167">
        <v>583</v>
      </c>
      <c r="I26" s="128" t="s">
        <v>78</v>
      </c>
    </row>
    <row r="27" spans="1:9" x14ac:dyDescent="0.25">
      <c r="A27" s="138" t="s">
        <v>6</v>
      </c>
      <c r="B27" s="167">
        <v>3760</v>
      </c>
      <c r="C27" s="167">
        <v>0.77340425531914903</v>
      </c>
      <c r="D27" s="167">
        <v>1800</v>
      </c>
      <c r="E27" s="12" t="s">
        <v>71</v>
      </c>
      <c r="F27" s="167">
        <v>608</v>
      </c>
      <c r="G27" s="12" t="s">
        <v>78</v>
      </c>
      <c r="H27" s="167">
        <v>500</v>
      </c>
      <c r="I27" s="128" t="s">
        <v>128</v>
      </c>
    </row>
    <row r="28" spans="1:9" x14ac:dyDescent="0.25">
      <c r="A28" s="138" t="s">
        <v>7</v>
      </c>
      <c r="B28" s="167">
        <v>4080</v>
      </c>
      <c r="C28" s="167">
        <v>0.76078431372549016</v>
      </c>
      <c r="D28" s="167">
        <v>2000</v>
      </c>
      <c r="E28" s="12" t="s">
        <v>71</v>
      </c>
      <c r="F28" s="167">
        <v>600</v>
      </c>
      <c r="G28" s="12" t="s">
        <v>128</v>
      </c>
      <c r="H28" s="167">
        <v>504</v>
      </c>
      <c r="I28" s="128" t="s">
        <v>78</v>
      </c>
    </row>
    <row r="29" spans="1:9" x14ac:dyDescent="0.25">
      <c r="A29" s="141"/>
      <c r="B29" s="141"/>
      <c r="C29" s="141"/>
      <c r="D29" s="138"/>
      <c r="E29" s="141"/>
      <c r="F29" s="138"/>
      <c r="G29" s="141"/>
      <c r="H29" s="138"/>
      <c r="I29" s="141"/>
    </row>
    <row r="30" spans="1:9" x14ac:dyDescent="0.25">
      <c r="A30" s="141" t="s">
        <v>612</v>
      </c>
      <c r="B30" s="141"/>
      <c r="C30" s="141"/>
      <c r="D30" s="138"/>
      <c r="E30" s="141"/>
      <c r="F30" s="138"/>
      <c r="G30" s="141"/>
      <c r="H30" s="138"/>
      <c r="I30" s="141"/>
    </row>
  </sheetData>
  <mergeCells count="6">
    <mergeCell ref="B5:I5"/>
    <mergeCell ref="D6:E6"/>
    <mergeCell ref="F6:G6"/>
    <mergeCell ref="H6:I6"/>
    <mergeCell ref="C6:C7"/>
    <mergeCell ref="B6:B7"/>
  </mergeCells>
  <pageMargins left="1" right="1" top="1" bottom="1" header="0" footer="0"/>
  <pageSetup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35575C2E16DD4180F647D41F93EB12" ma:contentTypeVersion="50" ma:contentTypeDescription="Create a new document." ma:contentTypeScope="" ma:versionID="0b2c01cec21c44c30711af6870b2086c">
  <xsd:schema xmlns:xsd="http://www.w3.org/2001/XMLSchema" xmlns:xs="http://www.w3.org/2001/XMLSchema" xmlns:p="http://schemas.microsoft.com/office/2006/metadata/properties" xmlns:ns1="http://schemas.microsoft.com/sharepoint/v3" xmlns:ns2="1720e262-164b-42d9-b8f5-1c971da2b9e2" targetNamespace="http://schemas.microsoft.com/office/2006/metadata/properties" ma:root="true" ma:fieldsID="ef36e399ae9477f09b5c43b6885dc76d" ns1:_="" ns2:_="">
    <xsd:import namespace="http://schemas.microsoft.com/sharepoint/v3"/>
    <xsd:import namespace="1720e262-164b-42d9-b8f5-1c971da2b9e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el_Flag" minOccurs="0"/>
                <xsd:element ref="ns2:IP_x0020_Number" minOccurs="0"/>
                <xsd:element ref="ns2:Document_x0020_Type"/>
                <xsd:element ref="ns1:RoutingRuleDescription" minOccurs="0"/>
                <xsd:element ref="ns2:Disemination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4" nillable="true" ma:displayName="Description" ma:internalName="Description0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0e262-164b-42d9-b8f5-1c971da2b9e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el_Flag" ma:index="11" nillable="true" ma:displayName="Del_Flag" ma:default="0" ma:description="When set indicates list item can be deleted" ma:internalName="Del_Flag">
      <xsd:simpleType>
        <xsd:restriction base="dms:Boolean"/>
      </xsd:simpleType>
    </xsd:element>
    <xsd:element name="IP_x0020_Number" ma:index="12" nillable="true" ma:displayName="IP Number" ma:indexed="true" ma:internalName="IP_x0020_Number">
      <xsd:simpleType>
        <xsd:restriction base="dms:Text"/>
      </xsd:simpleType>
    </xsd:element>
    <xsd:element name="Document_x0020_Type" ma:index="13" ma:displayName="Document Type" ma:default="Author's original manuscript" ma:description="" ma:format="Dropdown" ma:internalName="Document_x0020_Type">
      <xsd:simpleType>
        <xsd:restriction base="dms:Choice"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Other"/>
        </xsd:restriction>
      </xsd:simpleType>
    </xsd:element>
    <xsd:element name="Disemination_x0020_Date" ma:index="16" nillable="true" ma:displayName="Disemination Date" ma:internalName="Disemination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Working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emination_x0020_Date xmlns="1720e262-164b-42d9-b8f5-1c971da2b9e2" xsi:nil="true"/>
    <RoutingRuleDescription xmlns="http://schemas.microsoft.com/sharepoint/v3">Addressed BAO comments</RoutingRuleDescription>
    <IP_x0020_Number xmlns="1720e262-164b-42d9-b8f5-1c971da2b9e2">IP-045734</IP_x0020_Number>
    <Document_x0020_Type xmlns="1720e262-164b-42d9-b8f5-1c971da2b9e2">Final BAO approved manuscript</Document_x0020_Type>
    <Del_Flag xmlns="1720e262-164b-42d9-b8f5-1c971da2b9e2">false</Del_Flag>
    <_dlc_DocId xmlns="1720e262-164b-42d9-b8f5-1c971da2b9e2">IP000000-33-104693</_dlc_DocId>
    <_dlc_DocIdUrl xmlns="1720e262-164b-42d9-b8f5-1c971da2b9e2">
      <Url>https://ipds.usgs.gov/_layouts/DocIdRedir.aspx?ID=IP000000-33-104693</Url>
      <Description>IP000000-33-104693</Description>
    </_dlc_DocIdUrl>
  </documentManagement>
</p:properties>
</file>

<file path=customXml/itemProps1.xml><?xml version="1.0" encoding="utf-8"?>
<ds:datastoreItem xmlns:ds="http://schemas.openxmlformats.org/officeDocument/2006/customXml" ds:itemID="{86C71468-7C9B-4D7A-89B5-CE431E5B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20e262-164b-42d9-b8f5-1c971da2b9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8DE4B-24A5-483D-91AB-BDF0CEE7AEE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7178949-7C39-416A-8C60-F52C9EE4C4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235217-034B-481D-9263-51838C2D080B}">
  <ds:schemaRefs>
    <ds:schemaRef ds:uri="http://schemas.microsoft.com/office/2006/metadata/properties"/>
    <ds:schemaRef ds:uri="http://schemas.microsoft.com/office/infopath/2007/PartnerControls"/>
    <ds:schemaRef ds:uri="1720e262-164b-42d9-b8f5-1c971da2b9e2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27</vt:i4>
      </vt:variant>
    </vt:vector>
  </HeadingPairs>
  <TitlesOfParts>
    <vt:vector size="82" baseType="lpstr">
      <vt:lpstr>Table 1</vt:lpstr>
      <vt:lpstr>Table 2</vt:lpstr>
      <vt:lpstr>Aluminum</vt:lpstr>
      <vt:lpstr>Antimony</vt:lpstr>
      <vt:lpstr>Barite</vt:lpstr>
      <vt:lpstr>Bauxite</vt:lpstr>
      <vt:lpstr>Beryllium</vt:lpstr>
      <vt:lpstr>Bismuth</vt:lpstr>
      <vt:lpstr>Boron</vt:lpstr>
      <vt:lpstr>Bromine</vt:lpstr>
      <vt:lpstr>Cadmium</vt:lpstr>
      <vt:lpstr>Chromiuim</vt:lpstr>
      <vt:lpstr>Cobalt</vt:lpstr>
      <vt:lpstr>Copper</vt:lpstr>
      <vt:lpstr>Feldspar</vt:lpstr>
      <vt:lpstr>Fluorspar</vt:lpstr>
      <vt:lpstr>Gallium</vt:lpstr>
      <vt:lpstr>Germanium</vt:lpstr>
      <vt:lpstr>Gold</vt:lpstr>
      <vt:lpstr>Graphite</vt:lpstr>
      <vt:lpstr>Indium</vt:lpstr>
      <vt:lpstr>Iodine</vt:lpstr>
      <vt:lpstr>Iron and steel</vt:lpstr>
      <vt:lpstr>Lead</vt:lpstr>
      <vt:lpstr>Lithium</vt:lpstr>
      <vt:lpstr>Magnesium compounds</vt:lpstr>
      <vt:lpstr>Magnesium metal</vt:lpstr>
      <vt:lpstr>Manganese</vt:lpstr>
      <vt:lpstr>Mercury</vt:lpstr>
      <vt:lpstr>Mica</vt:lpstr>
      <vt:lpstr>Molybdenum</vt:lpstr>
      <vt:lpstr>Nickel</vt:lpstr>
      <vt:lpstr>Niobium</vt:lpstr>
      <vt:lpstr>Phosphate</vt:lpstr>
      <vt:lpstr>PGMs</vt:lpstr>
      <vt:lpstr>Potash</vt:lpstr>
      <vt:lpstr>REE</vt:lpstr>
      <vt:lpstr>Rhenium</vt:lpstr>
      <vt:lpstr>Selenium</vt:lpstr>
      <vt:lpstr>Silicon</vt:lpstr>
      <vt:lpstr>Silver</vt:lpstr>
      <vt:lpstr>Strontium</vt:lpstr>
      <vt:lpstr>Sulfur</vt:lpstr>
      <vt:lpstr>Tantalum</vt:lpstr>
      <vt:lpstr>Tellurium</vt:lpstr>
      <vt:lpstr>Tin</vt:lpstr>
      <vt:lpstr>Titanium</vt:lpstr>
      <vt:lpstr>Tungsten</vt:lpstr>
      <vt:lpstr>Vanadium</vt:lpstr>
      <vt:lpstr>Yttrium</vt:lpstr>
      <vt:lpstr>Zinc</vt:lpstr>
      <vt:lpstr>Zirconium</vt:lpstr>
      <vt:lpstr>Table 80</vt:lpstr>
      <vt:lpstr>Table 81</vt:lpstr>
      <vt:lpstr>Tables 82 - 85</vt:lpstr>
      <vt:lpstr>Bauxite!Print_Area</vt:lpstr>
      <vt:lpstr>Beryllium!Print_Area</vt:lpstr>
      <vt:lpstr>Bismuth!Print_Area</vt:lpstr>
      <vt:lpstr>Cobalt!Print_Area</vt:lpstr>
      <vt:lpstr>Copper!Print_Area</vt:lpstr>
      <vt:lpstr>'Iron and steel'!Print_Area</vt:lpstr>
      <vt:lpstr>Lead!Print_Area</vt:lpstr>
      <vt:lpstr>Manganese!Print_Area</vt:lpstr>
      <vt:lpstr>Niobium!Print_Area</vt:lpstr>
      <vt:lpstr>PGMs!Print_Area</vt:lpstr>
      <vt:lpstr>Rhenium!Print_Area</vt:lpstr>
      <vt:lpstr>Selenium!Print_Area</vt:lpstr>
      <vt:lpstr>Silver!Print_Area</vt:lpstr>
      <vt:lpstr>Strontium!Print_Area</vt:lpstr>
      <vt:lpstr>Sulfur!Print_Area</vt:lpstr>
      <vt:lpstr>'Table 80'!Print_Area</vt:lpstr>
      <vt:lpstr>'Table 81'!Print_Area</vt:lpstr>
      <vt:lpstr>'Tables 82 - 85'!Print_Area</vt:lpstr>
      <vt:lpstr>Tantalum!Print_Area</vt:lpstr>
      <vt:lpstr>Tellurium!Print_Area</vt:lpstr>
      <vt:lpstr>Tin!Print_Area</vt:lpstr>
      <vt:lpstr>Titanium!Print_Area</vt:lpstr>
      <vt:lpstr>Tungsten!Print_Area</vt:lpstr>
      <vt:lpstr>Vanadium!Print_Area</vt:lpstr>
      <vt:lpstr>Yttrium!Print_Area</vt:lpstr>
      <vt:lpstr>Zinc!Print_Area</vt:lpstr>
      <vt:lpstr>Zirconium!Print_Area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gmatos</dc:creator>
  <cp:lastModifiedBy>Callaghan, Robert M.</cp:lastModifiedBy>
  <cp:lastPrinted>2013-07-31T16:07:09Z</cp:lastPrinted>
  <dcterms:created xsi:type="dcterms:W3CDTF">2012-02-01T21:34:38Z</dcterms:created>
  <dcterms:modified xsi:type="dcterms:W3CDTF">2013-11-22T15:33:56Z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0x010100C535575C2E16DD4180F647D41F93EB12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f547ec38-e79f-437f-ae4f-ffcf29da9784</vt:lpwstr>
  </property>
</Properties>
</file>