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binary" PartName="/xl/metadata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jeremy.andreas\git\NAP-CF4W-UF-Sprint17\Simulasi\"/>
    </mc:Choice>
  </mc:AlternateContent>
  <bookViews>
    <workbookView windowHeight="7350" windowWidth="20490" xWindow="0" yWindow="0"/>
  </bookViews>
  <sheets>
    <sheet name="SIMULASI TAX PERSONAL NEW" r:id="rId1" sheetId="1"/>
    <sheet name="SIMULASI TAX COMPANY NEW" r:id="rId2" sheetId="2"/>
    <sheet name="DB" r:id="rId3" sheetId="3"/>
  </sheets>
  <definedNames>
    <definedName hidden="1" localSheetId="2" name="ExternalData_1">DB!$A$2:$E$3</definedName>
    <definedName hidden="1" localSheetId="0" name="ExternalData_1">'SIMULASI TAX PERSONAL NEW'!$B$23:$F$27</definedName>
    <definedName hidden="1" localSheetId="2" name="ExternalData_2">DB!$A$10:$B$11</definedName>
    <definedName hidden="1" localSheetId="2" name="ExternalData_3">DB!$A$14:$B$15</definedName>
    <definedName hidden="1" localSheetId="2" name="ExternalData_4">DB!$A$5:$F$7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wQg3XN9AFvUBz+VCnsi2qtqD8IQ=="/>
    </ext>
  </extLst>
</workbook>
</file>

<file path=xl/calcChain.xml><?xml version="1.0" encoding="utf-8"?>
<calcChain xmlns="http://schemas.openxmlformats.org/spreadsheetml/2006/main">
  <c i="1" l="1" r="E10"/>
  <c i="1" r="F33"/>
  <c i="1" r="F20"/>
  <c i="2" r="N21"/>
  <c i="1" l="1" r="F40"/>
  <c i="1" r="F39"/>
  <c i="1" r="F38"/>
  <c i="1" r="F37"/>
  <c i="1" r="D37"/>
  <c i="1" r="D38" s="1"/>
  <c i="1" l="1" r="C39"/>
  <c i="1" r="D39"/>
  <c i="1" r="C40" s="1"/>
  <c i="1" r="C38"/>
  <c i="1" l="1" r="C20"/>
  <c i="1" l="1" r="K23"/>
  <c i="1" r="E37"/>
  <c i="1" r="E40"/>
  <c i="1" r="E38"/>
  <c i="1" r="E39"/>
  <c i="2" r="F23"/>
  <c i="2" r="E23"/>
  <c i="1" r="C21"/>
  <c i="2" l="1" r="C23"/>
  <c i="2" r="C20"/>
  <c i="2" r="F19"/>
  <c i="2" r="C19"/>
  <c i="2" r="D23"/>
  <c i="2" l="1" r="F31"/>
  <c i="2" r="E31"/>
  <c i="2" r="D31"/>
  <c i="2" r="C31"/>
  <c i="1" r="K36"/>
  <c i="1" l="1" r="K48"/>
  <c i="1" r="L36"/>
  <c i="1" r="L48" s="1"/>
  <c i="1" r="N23"/>
  <c i="2" l="1" r="K30"/>
  <c i="2" r="L30" s="1"/>
  <c i="2" r="M30" s="1"/>
  <c i="2" r="K21"/>
  <c i="2" r="E10"/>
  <c i="2" r="C10"/>
  <c i="1" r="K26"/>
  <c i="1" r="K25"/>
  <c i="1" r="K24"/>
  <c i="1" r="L23"/>
  <c i="1" r="C10"/>
  <c i="1" l="1" r="L24"/>
  <c i="1" r="M24" s="1"/>
  <c i="1" r="O24" s="1"/>
  <c i="1" r="N24"/>
  <c i="1" r="L26"/>
  <c i="1" r="M26" s="1"/>
  <c i="1" r="O26" s="1"/>
  <c i="1" r="N26"/>
  <c i="1" r="L25"/>
  <c i="1" r="M25" s="1"/>
  <c i="1" r="O25" s="1"/>
  <c i="1" r="N25"/>
  <c i="1" r="M23"/>
  <c i="1" r="O23" s="1"/>
  <c i="2" r="N30"/>
  <c i="2" r="N31" s="1"/>
  <c i="2" r="E12" s="1"/>
  <c i="2" r="O30"/>
  <c i="2" r="O31" s="1"/>
  <c i="1" r="M36"/>
  <c i="1" r="N36"/>
  <c i="1" r="N48" s="1"/>
  <c i="1" r="K27"/>
  <c i="2" r="K22"/>
  <c i="2" r="L21"/>
  <c i="2" r="N22" s="1"/>
  <c i="2" r="C12" s="1"/>
  <c i="2" r="K31"/>
  <c i="1" l="1" r="P26"/>
  <c i="1" r="Q26" s="1"/>
  <c i="1" r="P25"/>
  <c i="1" r="Q25" s="1"/>
  <c i="1" r="P23"/>
  <c i="1" r="Q23" s="1"/>
  <c i="1" r="O27"/>
  <c i="1" r="O36"/>
  <c i="1" r="P24"/>
  <c i="1" r="Q24" s="1"/>
  <c i="2" r="L31"/>
  <c i="2" r="E11" s="1"/>
  <c i="2" r="L22"/>
  <c i="2" r="C11" s="1"/>
  <c i="2" r="M21"/>
  <c i="1" r="K37"/>
  <c i="1" r="K49" s="1"/>
  <c i="1" r="L27"/>
  <c i="1" r="C11" s="1"/>
  <c i="1" r="N27"/>
  <c i="1" r="C12" s="1"/>
  <c i="1" l="1" r="P36"/>
  <c i="1" r="M48" s="1"/>
  <c i="2" r="O21"/>
  <c i="2" r="O22" s="1"/>
  <c i="1" r="L37"/>
  <c i="1" r="L49" s="1"/>
  <c i="1" r="M27"/>
  <c i="1" r="C8" s="1"/>
  <c i="1" r="K39"/>
  <c i="1" r="K51" s="1"/>
  <c i="1" r="K38"/>
  <c i="1" r="K50" s="1"/>
  <c i="2" r="M22"/>
  <c i="2" r="M31"/>
  <c i="2" r="E8" s="1"/>
  <c i="2" r="P30"/>
  <c i="2" r="Q30" s="1"/>
  <c i="1" l="1" r="N37"/>
  <c i="1" r="N49" s="1"/>
  <c i="2" r="C8"/>
  <c i="1" r="Q36"/>
  <c i="1" r="Q48" s="1"/>
  <c i="1" r="O48"/>
  <c i="2" r="P21"/>
  <c i="2" r="P22" s="1"/>
  <c i="2" r="C13" s="1"/>
  <c i="1" r="K52"/>
  <c i="1" r="P48"/>
  <c i="1" r="L38"/>
  <c i="1" r="L50" s="1"/>
  <c i="1" r="L39"/>
  <c i="1" r="M37"/>
  <c i="2" r="P31"/>
  <c i="2" r="E13" s="1"/>
  <c i="2" r="Q31"/>
  <c i="2" r="E14" s="1"/>
  <c i="1" r="K40"/>
  <c i="1" r="P27"/>
  <c i="1" r="C13" s="1"/>
  <c i="1" r="Q27"/>
  <c i="1" r="C14" s="1"/>
  <c i="1" l="1" r="N38"/>
  <c i="1" r="N50" s="1"/>
  <c i="1" r="L51"/>
  <c i="1" r="L52" s="1"/>
  <c i="1" r="E11" s="1"/>
  <c i="1" r="N39"/>
  <c i="1" r="N51" s="1"/>
  <c i="2" r="Q21"/>
  <c i="2" r="Q22" s="1"/>
  <c i="2" r="C14" s="1"/>
  <c i="1" r="M38"/>
  <c i="1" r="M39"/>
  <c i="1" r="M51" s="1"/>
  <c i="1" r="O37"/>
  <c i="1" r="L40"/>
  <c i="1" l="1" r="N40"/>
  <c i="1" r="N52"/>
  <c i="1" r="E12" s="1"/>
  <c i="1" r="P37"/>
  <c i="1" r="O49" s="1"/>
  <c i="1" r="O39"/>
  <c i="1" r="O38"/>
  <c i="1" r="M40"/>
  <c i="1" l="1" r="P49"/>
  <c i="1" r="M49"/>
  <c i="1" r="O40"/>
  <c i="1" r="P38"/>
  <c i="1" r="O50" s="1"/>
  <c i="1" r="P39"/>
  <c i="1" r="P51" s="1"/>
  <c i="1" r="Q37"/>
  <c i="1" r="Q49" s="1"/>
  <c i="1" l="1" r="O51"/>
  <c i="1" r="O52" s="1"/>
  <c i="1" r="P50"/>
  <c i="1" r="P52" s="1"/>
  <c i="1" r="M50"/>
  <c i="1" r="M52" s="1"/>
  <c i="1" r="Q38"/>
  <c i="1" r="Q50" s="1"/>
  <c i="1" r="Q39"/>
  <c i="1" r="Q51" s="1"/>
  <c i="1" r="P40"/>
  <c i="1" l="1" r="E8"/>
  <c i="1" r="Q52"/>
  <c i="1" r="E14" s="1"/>
  <c i="1" r="E13"/>
  <c i="1" r="Q40"/>
</calcChain>
</file>

<file path=xl/connections.xml><?xml version="1.0" encoding="utf-8"?>
<connections xmlns="http://schemas.openxmlformats.org/spreadsheetml/2006/main">
  <connection id="1" keepAlive="1" name="Query - r3db-server ad-ins com\r3: TAX" description="Connection to the 'r3db-server ad-ins com\r3: TAX' query in the workbook." type="5" refreshedVersion="0" background="1">
    <dbPr connection="Provider=Microsoft.Mashup.OleDb.1;Data Source=$Workbook$;Location=&quot;r3db-server ad-ins com\r3: TAX&quot;" command="SELECT * FROM [r3db-server ad-ins com\r3: TAX]"/>
  </connection>
  <connection id="2" keepAlive="1" name="Query - r3db-server ad-ins com\r3: TAX (2)" description="Connection to the 'r3db-server ad-ins com\r3: TAX (2)' query in the workbook." type="5" refreshedVersion="6" background="1" saveData="1">
    <dbPr connection="Provider=Microsoft.Mashup.OleDb.1;Data Source=$Workbook$;Location=&quot;r3db-server ad-ins com\r3: TAX (2)&quot;" command="SELECT * FROM [r3db-server ad-ins com\r3: TAX (2)]"/>
  </connection>
  <connection id="3" keepAlive="1" name="Query - r3db-server ad-ins com\r3: TAX (3)" description="Connection to the 'r3db-server ad-ins com\r3: TAX (3)' query in the workbook." type="5" refreshedVersion="6" background="1" saveData="1">
    <dbPr connection="Provider=Microsoft.Mashup.OleDb.1;Data Source=$Workbook$;Location=&quot;r3db-server ad-ins com\r3: TAX (3)&quot;" command="SELECT * FROM [r3db-server ad-ins com\r3: TAX (3)]"/>
  </connection>
  <connection id="4" keepAlive="1" name="Query - r3db-server ad-ins com\r3: TAX (4)" description="Connection to the 'r3db-server ad-ins com\r3: TAX (4)' query in the workbook." type="5" refreshedVersion="6" background="1" saveData="1">
    <dbPr connection="Provider=Microsoft.Mashup.OleDb.1;Data Source=$Workbook$;Location=r3db-server ad-ins com\r3: TAX (4);Extended Properties=&quot;&quot;" command="SELECT * FROM [r3db-server ad-ins com\r3: TAX (4)]"/>
  </connection>
  <connection id="5" keepAlive="1" name="Query - r3db-server ad-ins com\r3: TAX (5)" description="Connection to the 'r3db-server ad-ins com\r3: TAX (5)' query in the workbook." type="5" refreshedVersion="6" background="1" saveData="1">
    <dbPr connection="Provider=Microsoft.Mashup.OleDb.1;Data Source=$Workbook$;Location=r3db-server ad-ins com\r3: TAX (5);Extended Properties=&quot;&quot;" command="SELECT * FROM [r3db-server ad-ins com\r3: TAX (5)]"/>
  </connection>
  <connection id="6" keepAlive="1" name="Query - r3db-server ad-ins com\r3: TAX (6)" description="Connection to the 'r3db-server ad-ins com\r3: TAX (6)' query in the workbook." type="5" refreshedVersion="6" background="1" saveData="1">
    <dbPr connection="Provider=Microsoft.Mashup.OleDb.1;Data Source=$Workbook$;Location=r3db-server ad-ins com\r3: TAX (6);Extended Properties=&quot;&quot;" command="SELECT * FROM [r3db-server ad-ins com\r3: TAX (6)]"/>
  </connection>
</connections>
</file>

<file path=xl/sharedStrings.xml><?xml version="1.0" encoding="utf-8"?>
<sst xmlns="http://schemas.openxmlformats.org/spreadsheetml/2006/main" count="162" uniqueCount="60">
  <si>
    <t>NILAI KENA PAJAK</t>
  </si>
  <si>
    <t>NPWP EXIST</t>
  </si>
  <si>
    <t>IS PKP</t>
  </si>
  <si>
    <t>NETT</t>
  </si>
  <si>
    <t>GROSS</t>
  </si>
  <si>
    <t>Total Trx Amt</t>
  </si>
  <si>
    <t>Total Dpp Amt</t>
  </si>
  <si>
    <t>Total Vat Amt</t>
  </si>
  <si>
    <t>Total Disburse</t>
  </si>
  <si>
    <t>Total Expense</t>
  </si>
  <si>
    <t>SETTING PARAMETER NETT (DEFINABLE)</t>
  </si>
  <si>
    <t>BREAKDOWN NETT CALCULATION</t>
  </si>
  <si>
    <t>DPP</t>
  </si>
  <si>
    <t>VAT</t>
  </si>
  <si>
    <t>ROUDING</t>
  </si>
  <si>
    <t>PERSONAL</t>
  </si>
  <si>
    <t>TRX AMT</t>
  </si>
  <si>
    <t>DPP AMT</t>
  </si>
  <si>
    <t>WHT AMOUNT</t>
  </si>
  <si>
    <t>VAT AMOUNT</t>
  </si>
  <si>
    <t>PENALTY AMT</t>
  </si>
  <si>
    <t>TOTAL DISBURSE</t>
  </si>
  <si>
    <t>TOTAL EXPENSE</t>
  </si>
  <si>
    <t>FROM &gt;=</t>
  </si>
  <si>
    <t>TO &lt;=</t>
  </si>
  <si>
    <t>NPWP</t>
  </si>
  <si>
    <t>PENALTY_RATE</t>
  </si>
  <si>
    <t>TIER 1</t>
  </si>
  <si>
    <t>TIER 2</t>
  </si>
  <si>
    <t>TIER 3</t>
  </si>
  <si>
    <t>TIER 4</t>
  </si>
  <si>
    <t>TOTAL</t>
  </si>
  <si>
    <t>SETTING PARAMETER GROSS  (DEFINABLE)</t>
  </si>
  <si>
    <t>BREAKDOWN GROSS CALCULATION</t>
  </si>
  <si>
    <t>PINALTY AMT</t>
  </si>
  <si>
    <t>SETTING PARAMETER  (DEFINABLE)</t>
  </si>
  <si>
    <t>COMPANY</t>
  </si>
  <si>
    <t>DASAR PERHITUNGAN PAJAK BERDASAR DPP</t>
  </si>
  <si>
    <t>Personal</t>
  </si>
  <si>
    <t>Company</t>
  </si>
  <si>
    <t>tier</t>
  </si>
  <si>
    <t>amt_from</t>
  </si>
  <si>
    <t>amt_to</t>
  </si>
  <si>
    <t>tax_rate_prcnt</t>
  </si>
  <si>
    <t>PENALTY_RATE_PRCNT</t>
  </si>
  <si>
    <t>PARTIAL_TAXABLE_PRCNT</t>
  </si>
  <si>
    <t>ROUNDING_AMT</t>
  </si>
  <si>
    <t>Column1</t>
  </si>
  <si>
    <t>2</t>
  </si>
  <si>
    <t>TAX_TYPE_DESCR</t>
  </si>
  <si>
    <t>TAX_RATE_PRCNT</t>
  </si>
  <si>
    <t>With Holding Tax</t>
  </si>
  <si>
    <t>Value Added Tax</t>
  </si>
  <si>
    <t>TOTAL COM AMT</t>
  </si>
  <si>
    <t>wht</t>
  </si>
  <si>
    <t>vat</t>
  </si>
  <si>
    <t>disburse</t>
  </si>
  <si>
    <t>expense</t>
  </si>
  <si>
    <t>Total Wht Amt</t>
  </si>
  <si>
    <t>IS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</si>
</sst>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borderId="0" fillId="0" fontId="0" numFmtId="0"/>
  </cellStyleXfs>
  <cellXfs count="66">
    <xf borderId="0" fillId="0" fontId="0" numFmtId="0" xfId="0"/>
    <xf applyFont="1" borderId="0" fillId="0" fontId="1" numFmtId="0" xfId="0"/>
    <xf applyBorder="1" applyFill="1" applyFont="1" borderId="1" fillId="2" fontId="2" numFmtId="0" xfId="0"/>
    <xf applyFont="1" borderId="0" fillId="0" fontId="2" numFmtId="0" xfId="0"/>
    <xf applyFont="1" applyNumberFormat="1" borderId="0" fillId="0" fontId="4" numFmtId="43" xfId="0"/>
    <xf applyFont="1" applyNumberFormat="1" borderId="0" fillId="0" fontId="5" numFmtId="43" xfId="0"/>
    <xf applyBorder="1" applyFont="1" borderId="4" fillId="0" fontId="2" numFmtId="0" xfId="0"/>
    <xf applyBorder="1" applyFont="1" borderId="7" fillId="0" fontId="2" numFmtId="0" xfId="0"/>
    <xf applyAlignment="1" applyFont="1" borderId="0" fillId="0" fontId="2" numFmtId="0" xfId="0">
      <alignment vertic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Alignment="1" applyBorder="1" applyFill="1" applyFont="1" borderId="12" fillId="4" fontId="2" numFmtId="0" xfId="0">
      <alignment vertical="center"/>
    </xf>
    <xf applyAlignment="1" applyBorder="1" applyFont="1" borderId="13" fillId="0" fontId="2" numFmtId="0" xfId="0">
      <alignment vertical="center"/>
    </xf>
    <xf applyAlignment="1" applyBorder="1" applyFill="1" applyFont="1" borderId="12" fillId="4" fontId="2" numFmtId="0" xfId="0">
      <alignment horizontal="center" vertical="center"/>
    </xf>
    <xf applyBorder="1" applyFont="1" borderId="14" fillId="0" fontId="2" numFmtId="0" xfId="0"/>
    <xf applyAlignment="1" applyBorder="1" applyFont="1" borderId="12" fillId="0" fontId="2" numFmtId="0" xfId="0">
      <alignment vertical="center"/>
    </xf>
    <xf applyFont="1" applyNumberFormat="1" borderId="0" fillId="0" fontId="2" numFmtId="43" xfId="0"/>
    <xf applyFont="1" applyNumberFormat="1" borderId="0" fillId="0" fontId="1" numFmtId="43" xfId="0"/>
    <xf applyBorder="1" applyFill="1" applyFont="1" borderId="1" fillId="2" fontId="1" numFmtId="0" xfId="0"/>
    <xf applyBorder="1" applyFont="1" borderId="4" fillId="0" fontId="1" numFmtId="0" xfId="0"/>
    <xf applyBorder="1" applyFont="1" borderId="5" fillId="0" fontId="1" numFmtId="0" xfId="0"/>
    <xf applyBorder="1" applyFont="1" borderId="9" fillId="0" fontId="1" numFmtId="0" xfId="0"/>
    <xf applyBorder="1" applyFont="1" borderId="10" fillId="0" fontId="1" numFmtId="0" xfId="0"/>
    <xf applyBorder="1" applyFont="1" borderId="11" fillId="0" fontId="1" numFmtId="0" xfId="0"/>
    <xf applyBorder="1" applyFont="1" applyNumberFormat="1" borderId="10" fillId="0" fontId="1" numFmtId="43" xfId="0"/>
    <xf applyFont="1" applyNumberFormat="1" borderId="0" fillId="0" fontId="1" numFmtId="9" xfId="0"/>
    <xf applyAlignment="1" applyFont="1" borderId="0" fillId="0" fontId="1" numFmtId="0" xfId="0">
      <alignment vertical="center"/>
    </xf>
    <xf applyAlignment="1" applyBorder="1" applyFont="1" applyNumberFormat="1" borderId="12" fillId="0" fontId="1" numFmtId="43" xfId="0">
      <alignment vertical="center"/>
    </xf>
    <xf applyAlignment="1" applyBorder="1" applyFont="1" applyNumberFormat="1" borderId="12" fillId="0" fontId="1" numFmtId="10" xfId="0">
      <alignment vertical="center" wrapText="1"/>
    </xf>
    <xf applyAlignment="1" applyBorder="1" applyFont="1" applyNumberFormat="1" borderId="12" fillId="0" fontId="1" numFmtId="10" xfId="0">
      <alignment vertical="center"/>
    </xf>
    <xf applyBorder="1" applyFont="1" applyNumberFormat="1" borderId="14" fillId="0" fontId="1" numFmtId="43" xfId="0"/>
    <xf applyBorder="1" applyFont="1" borderId="7" fillId="0" fontId="1" numFmtId="0" xfId="0"/>
    <xf applyBorder="1" applyFont="1" borderId="15" fillId="0" fontId="1" numFmtId="0" xfId="0"/>
    <xf applyBorder="1" applyFont="1" borderId="8" fillId="0" fontId="1" numFmtId="0" xfId="0"/>
    <xf applyBorder="1" applyFont="1" applyNumberFormat="1" borderId="5" fillId="0" fontId="1" numFmtId="43" xfId="0"/>
    <xf applyFont="1" applyNumberFormat="1" borderId="0" fillId="0" fontId="1" numFmtId="47" xfId="0"/>
    <xf applyBorder="1" applyFont="1" applyNumberFormat="1" borderId="16" fillId="0" fontId="1" numFmtId="43" xfId="0"/>
    <xf applyNumberFormat="1" borderId="0" fillId="0" fontId="0" numFmtId="43" xfId="0"/>
    <xf applyBorder="1" applyFill="1" applyFont="1" borderId="1" fillId="0" fontId="1" numFmtId="0" xfId="0"/>
    <xf applyAlignment="1" applyBorder="1" applyFill="1" applyFont="1" borderId="1" fillId="0" fontId="2" numFmtId="0" xfId="0">
      <alignment vertical="center"/>
    </xf>
    <xf applyAlignment="1" applyBorder="1" applyFill="1" applyFont="1" borderId="1" fillId="0" fontId="2" numFmtId="0" xfId="0">
      <alignment horizontal="center" vertical="center"/>
    </xf>
    <xf applyAlignment="1" applyBorder="1" applyFill="1" applyFont="1" applyNumberFormat="1" borderId="1" fillId="0" fontId="1" numFmtId="43" xfId="0">
      <alignment vertical="center"/>
    </xf>
    <xf applyAlignment="1" applyBorder="1" applyFill="1" applyFont="1" applyNumberFormat="1" borderId="1" fillId="0" fontId="1" numFmtId="10" xfId="0">
      <alignment vertical="center" wrapText="1"/>
    </xf>
    <xf applyAlignment="1" applyBorder="1" applyFill="1" applyFont="1" applyNumberFormat="1" borderId="1" fillId="0" fontId="1" numFmtId="10" xfId="0">
      <alignment vertical="center"/>
    </xf>
    <xf applyBorder="1" applyFill="1" borderId="1" fillId="0" fontId="0" numFmtId="0" xfId="0"/>
    <xf applyBorder="1" applyFill="1" applyFont="1" applyNumberFormat="1" borderId="6" fillId="0" fontId="1" numFmtId="43" xfId="0"/>
    <xf applyNumberFormat="1" borderId="0" fillId="0" fontId="0" numFmtId="0" xfId="0"/>
    <xf applyNumberFormat="1" borderId="0" fillId="0" fontId="0" numFmtId="1" xfId="0"/>
    <xf applyAlignment="1" applyBorder="1" applyFill="1" applyFont="1" applyNumberFormat="1" borderId="1" fillId="0" fontId="2" numFmtId="0" xfId="0">
      <alignment vertical="center"/>
    </xf>
    <xf applyAlignment="1" applyBorder="1" applyFill="1" applyFont="1" applyNumberFormat="1" borderId="1" fillId="0" fontId="6" numFmtId="0" xfId="0">
      <alignment vertical="center"/>
    </xf>
    <xf applyAlignment="1" applyBorder="1" applyFill="1" applyFont="1" applyNumberFormat="1" borderId="1" fillId="0" fontId="6" numFmtId="2" xfId="0">
      <alignment vertical="center"/>
    </xf>
    <xf applyBorder="1" applyFont="1" applyNumberFormat="1" borderId="5" fillId="0" fontId="4" numFmtId="2" xfId="0"/>
    <xf applyBorder="1" applyFont="1" applyNumberFormat="1" borderId="8" fillId="0" fontId="4" numFmtId="2" xfId="0"/>
    <xf applyAlignment="1" applyBorder="1" applyFill="1" applyFont="1" borderId="12" fillId="4" fontId="7" numFmtId="0" xfId="0">
      <alignment vertical="center"/>
    </xf>
    <xf applyAlignment="1" applyBorder="1" applyFill="1" applyFont="1" borderId="12" fillId="4" fontId="7" numFmtId="0" xfId="0">
      <alignment horizontal="center" vertical="center"/>
    </xf>
    <xf applyAlignment="1" applyBorder="1" applyFont="1" borderId="12" fillId="0" fontId="7" numFmtId="0" xfId="0">
      <alignment vertical="center"/>
    </xf>
    <xf applyAlignment="1" applyBorder="1" applyFont="1" applyNumberFormat="1" borderId="12" fillId="0" fontId="8" numFmtId="43" xfId="0">
      <alignment vertical="center"/>
    </xf>
    <xf applyAlignment="1" applyBorder="1" applyFont="1" applyNumberFormat="1" borderId="12" fillId="0" fontId="8" numFmtId="10" xfId="0">
      <alignment vertical="center"/>
    </xf>
    <xf applyAlignment="1" applyBorder="1" applyFont="1" applyNumberFormat="1" borderId="12" fillId="0" fontId="8" numFmtId="10" xfId="0">
      <alignment vertical="center" wrapText="1"/>
    </xf>
    <xf applyNumberFormat="1" borderId="0" fillId="0" fontId="0" numFmtId="4" xfId="0"/>
    <xf applyAlignment="1" applyBorder="1" applyFill="1" applyFont="1" borderId="2" fillId="3" fontId="2" numFmtId="0" xfId="0">
      <alignment horizontal="center"/>
    </xf>
    <xf applyAlignment="1" applyBorder="1" applyFont="1" borderId="3" fillId="0" fontId="3" numFmtId="0" xfId="0"/>
    <xf applyAlignment="1" applyBorder="1" applyFill="1" applyFont="1" borderId="2" fillId="3" fontId="2" numFmtId="0" xfId="0">
      <alignment horizontal="center" wrapText="1"/>
    </xf>
    <xf applyAlignment="1" applyFont="1" borderId="0" fillId="0" fontId="2" numFmtId="0" xfId="0">
      <alignment horizontal="center"/>
    </xf>
    <xf applyAlignment="1" borderId="0" fillId="0" fontId="0" numFmtId="0" xfId="0"/>
    <xf applyAlignment="1" applyFont="1" borderId="0" fillId="0" fontId="2" numFmtId="0" xfId="0">
      <alignment horizontal="center" wrapText="1"/>
    </xf>
  </cellXfs>
  <cellStyles count="1">
    <cellStyle builtinId="0" name="Normal" xfId="0"/>
  </cellStyles>
  <dxfs count="25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0" numFmtId="1"/>
    </dxf>
    <dxf>
      <numFmt formatCode="General" numFmtId="0"/>
    </dxf>
    <dxf>
      <numFmt formatCode="General" numFmtId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0.00" numFmtId="2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0.00" numFmtId="2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count="3" name="SIMULASI TAX PERSONAL NEW-style" pivot="0">
      <tableStyleElement dxfId="24" type="headerRow"/>
      <tableStyleElement dxfId="23" type="firstRowStripe"/>
      <tableStyleElement dxfId="22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er" tableColumnId="26"/>
      <queryTableField id="2" name="amt_from" tableColumnId="27"/>
      <queryTableField id="3" name="amt_to" tableColumnId="28"/>
      <queryTableField id="4" name="Column1" tableColumnId="29"/>
      <queryTableField id="5" name="2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er" tableColumnId="6"/>
      <queryTableField id="2" name="amt_from" tableColumnId="7"/>
      <queryTableField id="3" name="amt_to" tableColumnId="8"/>
      <queryTableField id="4" name="tax_rate_prcnt" tableColumnId="9"/>
      <queryTableField id="5" name="PENALTY_RATE_PRCNT" tableColumnId="10"/>
    </queryTableFields>
  </queryTableRefresh>
</queryTable>
</file>

<file path=xl/queryTables/queryTable3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TIAL_TAXABLE_PRCNT" tableColumnId="3"/>
      <queryTableField id="2" name="ROUNDING_AMT" tableColumnId="4"/>
    </queryTableFields>
  </queryTableRefresh>
</queryTable>
</file>

<file path=xl/queryTables/queryTable4.xml><?xml version="1.0" encoding="utf-8"?>
<queryTable xmlns="http://schemas.openxmlformats.org/spreadsheetml/2006/main" name="ExternalData_3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TIAL_TAXABLE_PRCNT" tableColumnId="5"/>
      <queryTableField id="2" name="ROUNDING_AMT" tableColumnId="6"/>
    </queryTableFields>
  </queryTableRefresh>
</queryTable>
</file>

<file path=xl/queryTables/queryTable5.xml><?xml version="1.0" encoding="utf-8"?>
<queryTable xmlns="http://schemas.openxmlformats.org/spreadsheetml/2006/main" name="ExternalData_4" connectionId="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TAX_TYPE_DESCR" tableColumnId="13"/>
      <queryTableField id="2" name="TAX_RATE_PRCNT" tableColumnId="14"/>
      <queryTableField id="3" name="PENALTY_RATE_PRCNT" tableColumnId="15"/>
      <queryTableField id="4" name="PARTIAL_TAXABLE_PRCNT" tableColumnId="16"/>
      <queryTableField id="5" name="amt_from" tableColumnId="17"/>
      <queryTableField id="6" name="amt_to" tableColumnId="18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dataDxfId="20" displayName="_r3db_server_ad_ins_com\r3__TAX__4" headerRowDxfId="21" id="3" name="_r3db_server_ad_ins_com\r3__TAX__4" ref="B23:F27" tableType="queryTable" totalsRowShown="0">
  <autoFilter ref="B23:F27"/>
  <tableColumns count="5">
    <tableColumn dataDxfId="19" id="26" name="tier" queryTableFieldId="1" uniqueName="26"/>
    <tableColumn dataDxfId="18" id="27" name="amt_from" queryTableFieldId="2" uniqueName="27"/>
    <tableColumn dataDxfId="17" id="28" name="amt_to" queryTableFieldId="3" uniqueName="28"/>
    <tableColumn dataDxfId="16" id="29" name="Column1" queryTableFieldId="4" uniqueName="29"/>
    <tableColumn dataDxfId="15" id="30" name="2" queryTableFieldId="5" uniqueName="3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_r3db_server_ad_ins_com\r3__TAX__2" id="1" name="_r3db_server_ad_ins_com\r3__TAX__2" ref="A2:E3" tableType="queryTable" totalsRowShown="0">
  <autoFilter ref="A2:E3"/>
  <tableColumns count="5">
    <tableColumn dataDxfId="14" id="6" name="tier" queryTableFieldId="1" uniqueName="6"/>
    <tableColumn dataDxfId="13" id="7" name="amt_from" queryTableFieldId="2" uniqueName="7"/>
    <tableColumn dataDxfId="12" id="8" name="amt_to" queryTableFieldId="3" uniqueName="8"/>
    <tableColumn dataDxfId="11" id="9" name="tax_rate_prcnt" queryTableFieldId="4" uniqueName="9"/>
    <tableColumn dataDxfId="10" id="10" name="PENALTY_RATE_PRCNT" queryTableFieldId="5" uniqueName="10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_r3db_server_ad_ins_com\r3__TAX__3" id="2" name="_r3db_server_ad_ins_com\r3__TAX__3" ref="A10:B11" tableType="queryTable" totalsRowShown="0">
  <autoFilter ref="A10:B11"/>
  <tableColumns count="2">
    <tableColumn dataDxfId="9" id="3" name="PARTIAL_TAXABLE_PRCNT" queryTableFieldId="1" uniqueName="3"/>
    <tableColumn dataDxfId="8" id="4" name="ROUNDING_AMT" queryTableFieldId="2" uniqueName="4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_r3db_server_ad_ins_com\r3__TAX__5" id="4" name="_r3db_server_ad_ins_com\r3__TAX__5" ref="A14:B15" tableType="queryTable" totalsRowShown="0">
  <autoFilter ref="A14:B15"/>
  <tableColumns count="2">
    <tableColumn dataDxfId="7" id="5" name="PARTIAL_TAXABLE_PRCNT" queryTableFieldId="1" uniqueName="5"/>
    <tableColumn dataDxfId="6" id="6" name="ROUNDING_AMT" queryTableFieldId="2" uniqueName="6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_r3db_server_ad_ins_com\r3__TAX__6" id="5" name="_r3db_server_ad_ins_com\r3__TAX__6" ref="A5:F7" tableType="queryTable" totalsRowShown="0">
  <autoFilter ref="A5:F7"/>
  <tableColumns count="6">
    <tableColumn dataDxfId="5" id="13" name="TAX_TYPE_DESCR" queryTableFieldId="1" uniqueName="13"/>
    <tableColumn dataDxfId="4" id="14" name="TAX_RATE_PRCNT" queryTableFieldId="2" uniqueName="14"/>
    <tableColumn dataDxfId="3" id="15" name="PENALTY_RATE_PRCNT" queryTableFieldId="3" uniqueName="15"/>
    <tableColumn dataDxfId="2" id="16" name="PARTIAL_TAXABLE_PRCNT" queryTableFieldId="4" uniqueName="16"/>
    <tableColumn dataDxfId="1" id="17" name="amt_from" queryTableFieldId="5" uniqueName="17"/>
    <tableColumn dataDxfId="0" id="18" name="amt_to" queryTableFieldId="6" uniqueName="18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Relationship Id="rId2" Target="../tables/table3.xml" Type="http://schemas.openxmlformats.org/officeDocument/2006/relationships/table"/><Relationship Id="rId3" Target="../tables/table4.xml" Type="http://schemas.openxmlformats.org/officeDocument/2006/relationships/table"/><Relationship Id="rId4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000"/>
  <sheetViews>
    <sheetView tabSelected="1" workbookViewId="0" zoomScaleNormal="100">
      <selection activeCell="E33" sqref="E33"/>
    </sheetView>
  </sheetViews>
  <sheetFormatPr customHeight="1" defaultColWidth="12.625" defaultRowHeight="15"/>
  <cols>
    <col min="1" max="1" customWidth="true" width="7.625" collapsed="true"/>
    <col min="2" max="2" customWidth="true" width="25.5" collapsed="true"/>
    <col min="3" max="3" customWidth="true" width="17.0" collapsed="true"/>
    <col min="4" max="4" customWidth="true" width="20.125" collapsed="true"/>
    <col min="5" max="5" customWidth="true" width="12.75" collapsed="true"/>
    <col min="6" max="6" customWidth="true" width="10.875" collapsed="true"/>
    <col min="7" max="7" bestFit="true" customWidth="true" width="15.0" collapsed="true"/>
    <col min="8" max="8" customWidth="true" width="13.75" collapsed="true"/>
    <col min="9" max="9" customWidth="true" width="14.75" collapsed="true"/>
    <col min="10" max="10" customWidth="true" width="27.375" collapsed="true"/>
    <col min="11" max="11" customWidth="true" width="20.5" collapsed="true"/>
    <col min="12" max="12" customWidth="true" width="19.625" collapsed="true"/>
    <col min="13" max="13" customWidth="true" width="16.5" collapsed="true"/>
    <col min="14" max="14" customWidth="true" width="15.875" collapsed="true"/>
    <col min="15" max="15" customWidth="true" width="16.0" collapsed="true"/>
    <col min="16" max="16" customWidth="true" width="19.75" collapsed="true"/>
    <col min="17" max="17" customWidth="true" width="18.625" collapsed="true"/>
    <col min="18" max="18" customWidth="true" width="13.375" collapsed="true"/>
    <col min="19" max="19" customWidth="true" width="13.125" collapsed="true"/>
    <col min="20" max="20" customWidth="true" width="12.5" collapsed="true"/>
    <col min="21" max="21" customWidth="true" width="15.75" collapsed="true"/>
    <col min="22" max="32" customWidth="true" width="7.625" collapsed="true"/>
  </cols>
  <sheetData>
    <row customHeight="1" ht="14.25" r="1" spans="1:17">
      <c r="A1" s="1"/>
    </row>
    <row customHeight="1" ht="14.25" r="2" spans="1:17">
      <c r="B2" s="2" t="s">
        <v>0</v>
      </c>
      <c r="C2" t="n">
        <v>14000.0</v>
      </c>
      <c r="D2" s="17"/>
      <c r="G2" s="17"/>
    </row>
    <row customHeight="1" ht="14.25" r="3" spans="1:17">
      <c r="B3" s="2" t="s">
        <v>1</v>
      </c>
      <c r="C3" t="n">
        <v>0.0</v>
      </c>
      <c r="G3" s="17"/>
    </row>
    <row customHeight="1" ht="14.25" r="4" spans="1:17">
      <c r="B4" s="2" t="s">
        <v>59</v>
      </c>
      <c r="C4" t="n">
        <v>0.0</v>
      </c>
      <c r="G4" s="17"/>
    </row>
    <row customHeight="1" ht="14.25" r="5" spans="1:17">
      <c r="G5" s="17"/>
      <c r="H5" s="17"/>
      <c r="I5" s="17"/>
    </row>
    <row customHeight="1" ht="14.25" r="6" spans="1:17">
      <c r="B6" s="60" t="s">
        <v>3</v>
      </c>
      <c r="C6" s="61"/>
      <c r="D6" s="62" t="s">
        <v>4</v>
      </c>
      <c r="E6" s="61"/>
      <c r="G6" s="17"/>
      <c r="I6" s="17"/>
      <c r="J6" s="17"/>
    </row>
    <row customHeight="1" ht="14.25" r="7" spans="1:17">
      <c r="B7" s="19"/>
      <c r="C7" s="20"/>
      <c r="D7" s="19"/>
      <c r="E7" s="20"/>
      <c r="G7" s="5"/>
      <c r="H7" s="17"/>
      <c r="I7" s="17"/>
      <c r="J7" s="17"/>
    </row>
    <row customHeight="1" ht="14.25" r="8" spans="1:17">
      <c r="B8" s="6" t="s">
        <v>58</v>
      </c>
      <c r="C8" s="51">
        <f>$M$27+$O$27</f>
        <v>2186</v>
      </c>
      <c r="D8" s="6" t="s">
        <v>58</v>
      </c>
      <c r="E8" s="51">
        <f>$M$52+$O$52</f>
        <v>9762.5399999999936</v>
      </c>
      <c r="F8" s="17"/>
      <c r="G8" s="17"/>
      <c r="H8" s="17"/>
      <c r="I8" s="17"/>
      <c r="J8" s="17"/>
      <c r="K8" s="37"/>
    </row>
    <row customHeight="1" ht="14.25" r="9" spans="1:17">
      <c r="B9" s="6"/>
      <c r="C9" s="51"/>
      <c r="D9" s="6"/>
      <c r="E9" s="51"/>
      <c r="G9" s="17"/>
      <c r="I9" s="17"/>
      <c r="J9" s="17"/>
    </row>
    <row customHeight="1" ht="14.25" r="10" spans="1:17">
      <c r="B10" s="6" t="s">
        <v>5</v>
      </c>
      <c r="C10" s="51">
        <f>$C$2</f>
        <v>72830.460000000006</v>
      </c>
      <c r="D10" s="6" t="s">
        <v>5</v>
      </c>
      <c r="E10" s="51">
        <f>$C$2</f>
        <v>72830.460000000006</v>
      </c>
      <c r="G10" s="17"/>
      <c r="J10" s="17"/>
    </row>
    <row customHeight="1" ht="14.25" r="11" spans="1:17">
      <c r="B11" s="6" t="s">
        <v>6</v>
      </c>
      <c r="C11" s="51">
        <f>$L$27</f>
        <v>36416</v>
      </c>
      <c r="D11" s="6" t="s">
        <v>6</v>
      </c>
      <c r="E11" s="51">
        <f>$L$52</f>
        <v>37542</v>
      </c>
      <c r="G11" s="45"/>
      <c r="H11" s="17"/>
      <c r="J11" s="17"/>
    </row>
    <row customHeight="1" ht="14.25" r="12" spans="1:17">
      <c r="B12" s="6" t="s">
        <v>7</v>
      </c>
      <c r="C12" s="51">
        <f>$N$27</f>
        <v>7284</v>
      </c>
      <c r="D12" s="6" t="s">
        <v>7</v>
      </c>
      <c r="E12" s="51">
        <f>$N$52</f>
        <v>7509</v>
      </c>
      <c r="J12" s="17"/>
      <c r="K12" s="17"/>
    </row>
    <row customHeight="1" ht="14.25" r="13" spans="1:17">
      <c r="B13" s="6" t="s">
        <v>8</v>
      </c>
      <c r="C13" s="51">
        <f>$P$27</f>
        <v>77929.23000000001</v>
      </c>
      <c r="D13" s="6" t="s">
        <v>8</v>
      </c>
      <c r="E13" s="51">
        <f>$P$52</f>
        <v>72830.460000000006</v>
      </c>
      <c r="G13" s="17"/>
    </row>
    <row customHeight="1" ht="14.25" r="14" spans="1:17">
      <c r="B14" s="7" t="s">
        <v>9</v>
      </c>
      <c r="C14" s="52">
        <f>$Q$27</f>
        <v>80115.23000000001</v>
      </c>
      <c r="D14" s="7" t="s">
        <v>9</v>
      </c>
      <c r="E14" s="52">
        <f>$Q$52</f>
        <v>82593</v>
      </c>
      <c r="G14" s="17"/>
      <c r="K14" s="17"/>
      <c r="N14" s="17"/>
      <c r="Q14" s="17"/>
    </row>
    <row customHeight="1" ht="14.25" r="15" spans="1:17">
      <c r="B15" s="3"/>
      <c r="C15" s="4"/>
      <c r="D15" s="3"/>
      <c r="E15" s="4"/>
      <c r="N15" s="17"/>
    </row>
    <row customHeight="1" ht="14.25" r="16" spans="1:17">
      <c r="L16" s="17"/>
    </row>
    <row customHeight="1" ht="14.25" r="17" spans="1:21">
      <c r="A17" s="21"/>
      <c r="B17" s="22"/>
      <c r="C17" s="22"/>
      <c r="D17" s="22"/>
      <c r="E17" s="22"/>
      <c r="F17" s="22"/>
      <c r="G17" s="23"/>
    </row>
    <row customHeight="1" ht="14.25" r="18" spans="1:21">
      <c r="A18" s="19"/>
      <c r="B18" s="2" t="s">
        <v>10</v>
      </c>
      <c r="C18" s="18"/>
      <c r="D18" s="18"/>
      <c r="E18" s="18"/>
      <c r="F18" s="18"/>
      <c r="G18" s="20"/>
      <c r="I18" s="21"/>
      <c r="J18" s="22"/>
      <c r="K18" s="22"/>
      <c r="L18" s="22"/>
      <c r="M18" s="22"/>
      <c r="N18" s="22"/>
      <c r="O18" s="22"/>
      <c r="P18" s="24"/>
      <c r="Q18" s="22"/>
      <c r="R18" s="23"/>
    </row>
    <row customHeight="1" ht="14.25" r="19" spans="1:21">
      <c r="A19" s="19"/>
      <c r="B19" s="1"/>
      <c r="C19" s="1"/>
      <c r="D19" s="1"/>
      <c r="E19" s="1"/>
      <c r="F19" s="1"/>
      <c r="G19" s="20"/>
      <c r="I19" s="19"/>
      <c r="J19" s="3" t="s">
        <v>11</v>
      </c>
      <c r="K19" s="1"/>
      <c r="L19" s="1"/>
      <c r="M19" s="1"/>
      <c r="N19" s="1"/>
      <c r="O19" s="1"/>
      <c r="P19" s="1"/>
      <c r="Q19" s="1"/>
      <c r="R19" s="20"/>
    </row>
    <row customHeight="1" ht="14.25" r="20" spans="1:21">
      <c r="A20" s="19"/>
      <c r="B20" s="8" t="s">
        <v>12</v>
      </c>
      <c r="C20" s="25">
        <f>_r3db_server_ad_ins_com\r3__TAX__5[PARTIAL_TAXABLE_PRCNT]/100</f>
        <v>0.5</v>
      </c>
      <c r="D20" s="1"/>
      <c r="E20" s="3" t="s">
        <v>13</v>
      </c>
      <c r="F20" s="25">
        <f>_r3db_server_ad_ins_com\r3__TAX__2[tax_rate_prcnt]/100</f>
        <v>0.1</v>
      </c>
      <c r="G20" s="20"/>
      <c r="I20" s="19"/>
      <c r="J20" s="1"/>
      <c r="K20" s="1"/>
      <c r="L20" s="1"/>
      <c r="M20" s="1"/>
      <c r="N20" s="1"/>
      <c r="O20" s="1"/>
      <c r="P20" s="17"/>
      <c r="Q20" s="17"/>
      <c r="R20" s="20"/>
    </row>
    <row customHeight="1" ht="14.25" r="21" spans="1:21">
      <c r="A21" s="19"/>
      <c r="B21" s="3" t="s">
        <v>14</v>
      </c>
      <c r="C21" s="1">
        <f>_r3db_server_ad_ins_com\r3__TAX__5[ROUNDING_AMT]</f>
        <v>1</v>
      </c>
      <c r="D21" s="1"/>
      <c r="E21" s="1"/>
      <c r="F21" s="1"/>
      <c r="G21" s="20"/>
      <c r="I21" s="19"/>
      <c r="J21" s="3" t="s">
        <v>15</v>
      </c>
      <c r="K21" s="1"/>
      <c r="L21" s="1"/>
      <c r="M21" s="1"/>
      <c r="N21" s="1"/>
      <c r="O21" s="1"/>
      <c r="P21" s="1"/>
      <c r="Q21" s="1"/>
      <c r="R21" s="20"/>
    </row>
    <row customHeight="1" ht="14.25" r="22" spans="1:21">
      <c r="A22" s="19"/>
      <c r="B22" s="8" t="s">
        <v>15</v>
      </c>
      <c r="C22" s="26"/>
      <c r="D22" s="26"/>
      <c r="E22" s="26"/>
      <c r="F22" s="26"/>
      <c r="G22" s="20"/>
      <c r="I22" s="19"/>
      <c r="J22" s="9"/>
      <c r="K22" s="10" t="s">
        <v>16</v>
      </c>
      <c r="L22" s="10" t="s">
        <v>17</v>
      </c>
      <c r="M22" s="10" t="s">
        <v>18</v>
      </c>
      <c r="N22" s="10" t="s">
        <v>19</v>
      </c>
      <c r="O22" s="10" t="s">
        <v>20</v>
      </c>
      <c r="P22" s="10" t="s">
        <v>21</v>
      </c>
      <c r="Q22" s="10" t="s">
        <v>22</v>
      </c>
      <c r="R22" s="20"/>
    </row>
    <row r="23" spans="1:21">
      <c r="A23" s="19"/>
      <c r="B23" s="48" t="s">
        <v>40</v>
      </c>
      <c r="C23" s="49" t="s">
        <v>41</v>
      </c>
      <c r="D23" s="49" t="s">
        <v>42</v>
      </c>
      <c r="E23" s="49" t="s">
        <v>47</v>
      </c>
      <c r="F23" s="49" t="s">
        <v>48</v>
      </c>
      <c r="G23" s="20"/>
      <c r="I23" s="19"/>
      <c r="J23" s="3" t="s">
        <v>27</v>
      </c>
      <c r="K23" s="17">
        <f>IF((C$2&gt;(D$24/$C$20)),(D$24/$C$20),C$2)</f>
        <v>72830.460000000006</v>
      </c>
      <c r="L23" s="17">
        <f>CEILING(($K$23*$C$20),$C$21)</f>
        <v>36416</v>
      </c>
      <c r="M23" s="17">
        <f>CEILING(($L$23*$E$24),$C$21)</f>
        <v>1821</v>
      </c>
      <c r="N23" s="17">
        <f>IF($C$4=1,CEILING($K$23*$F$20,$C$21),0)</f>
        <v>7284</v>
      </c>
      <c r="O23" s="17">
        <f>IF($C$3=1,0,CEILING(M23*F24,$C$21))</f>
        <v>365</v>
      </c>
      <c r="P23" s="17">
        <f>(L23-M23-O23+N23)+(K23*(100%-C20))</f>
        <v>77929.23000000001</v>
      </c>
      <c r="Q23" s="17">
        <f>P23+M23+O23</f>
        <v>80115.23000000001</v>
      </c>
      <c r="R23" s="20"/>
      <c r="T23" s="17"/>
    </row>
    <row r="24" spans="1:21">
      <c r="A24" s="19"/>
      <c r="B24" s="49">
        <v>1</v>
      </c>
      <c r="C24" s="49">
        <v>0</v>
      </c>
      <c r="D24" s="49">
        <v>50000000</v>
      </c>
      <c r="E24" s="50">
        <v>0.05</v>
      </c>
      <c r="F24" s="50">
        <v>0.2</v>
      </c>
      <c r="G24" s="20"/>
      <c r="I24" s="19"/>
      <c r="J24" s="3" t="s">
        <v>28</v>
      </c>
      <c r="K24" s="17">
        <f>IF((C$2&gt;(D$25/C$20)),(D$25-D$24)/C$20,IF(C$2-($C$25/C$20)&lt;0,0,C$2-(D$24/C$20)))</f>
        <v>0</v>
      </c>
      <c r="L24" s="17">
        <f>CEILING(K24*$C$20,$C$21)</f>
        <v>0</v>
      </c>
      <c r="M24" s="17">
        <f>CEILING($L$24*$E$25,$C$21)</f>
        <v>0</v>
      </c>
      <c r="N24" s="17">
        <f>IF($C$4=1,CEILING($K$24*$F$20,$C$21),0)</f>
        <v>0</v>
      </c>
      <c r="O24" s="17">
        <f ref="O24:O26" si="0" t="shared">IF($C$3=1,0,CEILING(M24*F25,$C$21))</f>
        <v>0</v>
      </c>
      <c r="P24" s="17">
        <f ref="P24:P26" si="1" t="shared">(L24-M24-O24+N24)+(K24*(100%-$C$20))</f>
        <v>0</v>
      </c>
      <c r="Q24" s="17">
        <f ref="Q24:Q26" si="2" t="shared">P24+M24+O24</f>
        <v>0</v>
      </c>
      <c r="R24" s="20"/>
      <c r="T24" s="17"/>
    </row>
    <row r="25" spans="1:21">
      <c r="A25" s="19"/>
      <c r="B25" s="49">
        <v>2</v>
      </c>
      <c r="C25" s="49">
        <v>50000001</v>
      </c>
      <c r="D25" s="49">
        <v>250000000</v>
      </c>
      <c r="E25" s="50">
        <v>0.15</v>
      </c>
      <c r="F25" s="50">
        <v>0.2</v>
      </c>
      <c r="G25" s="20"/>
      <c r="I25" s="19"/>
      <c r="J25" s="3" t="s">
        <v>29</v>
      </c>
      <c r="K25" s="17">
        <f>IF((C$2&gt;(D$26/C$20)),(D$26-D$25)/C$20,IF(C$2-($C$26/C$20)&lt;0,0,C$2-(D$25/C$20)))</f>
        <v>0</v>
      </c>
      <c r="L25" s="17">
        <f>CEILING(K25*$C$20,$C$21)</f>
        <v>0</v>
      </c>
      <c r="M25" s="17">
        <f>CEILING($L$25*$E$26,$C$21)</f>
        <v>0</v>
      </c>
      <c r="N25" s="17">
        <f>IF($C$4=1,CEILING($K$25*$F$20,$C$21),0)</f>
        <v>0</v>
      </c>
      <c r="O25" s="17">
        <f si="0" t="shared"/>
        <v>0</v>
      </c>
      <c r="P25" s="17">
        <f si="1" t="shared"/>
        <v>0</v>
      </c>
      <c r="Q25" s="17">
        <f si="2" t="shared"/>
        <v>0</v>
      </c>
      <c r="R25" s="20"/>
    </row>
    <row ht="15.75" r="26" spans="1:21" thickBot="1">
      <c r="A26" s="19"/>
      <c r="B26" s="49">
        <v>3</v>
      </c>
      <c r="C26" s="49">
        <v>250000001</v>
      </c>
      <c r="D26" s="49">
        <v>500000000</v>
      </c>
      <c r="E26" s="50">
        <v>0.25</v>
      </c>
      <c r="F26" s="50">
        <v>0.2</v>
      </c>
      <c r="G26" s="20"/>
      <c r="I26" s="19"/>
      <c r="J26" s="14" t="s">
        <v>30</v>
      </c>
      <c r="K26" s="30">
        <f>IF((C$2&gt;(D$27/C$20)),(D$27-D$26)/C$20,IF(C$2-($C$27/C$20)&lt;0,0,C$2-(D$26/C$20)))</f>
        <v>0</v>
      </c>
      <c r="L26" s="30">
        <f>CEILING(K26*$C$20,$C$21)</f>
        <v>0</v>
      </c>
      <c r="M26" s="30">
        <f>CEILING($L$26*$E$27,$C$21)</f>
        <v>0</v>
      </c>
      <c r="N26" s="36">
        <f>IF($C$4=1,CEILING($K$26*$F$20,$C$21),0)</f>
        <v>0</v>
      </c>
      <c r="O26" s="36">
        <f si="0" t="shared"/>
        <v>0</v>
      </c>
      <c r="P26" s="30">
        <f si="1" t="shared"/>
        <v>0</v>
      </c>
      <c r="Q26" s="30">
        <f si="2" t="shared"/>
        <v>0</v>
      </c>
      <c r="R26" s="20"/>
      <c r="U26" s="17"/>
    </row>
    <row ht="15.75" r="27" spans="1:21" thickTop="1">
      <c r="A27" s="19"/>
      <c r="B27" s="49">
        <v>4</v>
      </c>
      <c r="C27" s="49">
        <v>500000001</v>
      </c>
      <c r="D27" s="49">
        <v>100000000000000</v>
      </c>
      <c r="E27" s="50">
        <v>0.3</v>
      </c>
      <c r="F27" s="50">
        <v>0.2</v>
      </c>
      <c r="G27" s="20"/>
      <c r="I27" s="19"/>
      <c r="J27" s="1" t="s">
        <v>31</v>
      </c>
      <c r="K27" s="16">
        <f ref="K27:Q27" si="3" t="shared">SUM(K23:K26)</f>
        <v>72830.460000000006</v>
      </c>
      <c r="L27" s="16">
        <f si="3" t="shared"/>
        <v>36416</v>
      </c>
      <c r="M27" s="16">
        <f si="3" t="shared"/>
        <v>1821</v>
      </c>
      <c r="N27" s="16">
        <f si="3" t="shared"/>
        <v>7284</v>
      </c>
      <c r="O27" s="16">
        <f si="3" t="shared"/>
        <v>365</v>
      </c>
      <c r="P27" s="16">
        <f si="3" t="shared"/>
        <v>77929.23000000001</v>
      </c>
      <c r="Q27" s="16">
        <f si="3" t="shared"/>
        <v>80115.23000000001</v>
      </c>
      <c r="R27" s="20"/>
    </row>
    <row customHeight="1" ht="14.25" r="28" spans="1:21" thickBot="1">
      <c r="A28" s="31"/>
      <c r="B28" s="32"/>
      <c r="C28" s="32"/>
      <c r="D28" s="32"/>
      <c r="E28" s="32"/>
      <c r="F28" s="32"/>
      <c r="G28" s="33"/>
      <c r="I28" s="31"/>
      <c r="J28" s="32"/>
      <c r="K28" s="32"/>
      <c r="L28" s="32"/>
      <c r="M28" s="32"/>
      <c r="N28" s="32"/>
      <c r="O28" s="32"/>
      <c r="P28" s="32"/>
      <c r="Q28" s="32"/>
      <c r="R28" s="33"/>
      <c r="S28" s="17"/>
    </row>
    <row customHeight="1" ht="14.25" r="29" spans="1:21">
      <c r="A29" s="1"/>
      <c r="B29" s="1"/>
      <c r="C29" s="1"/>
      <c r="I29" s="1"/>
      <c r="J29" s="1"/>
      <c r="K29" s="1"/>
      <c r="L29" s="17"/>
      <c r="M29" s="17"/>
      <c r="N29" s="1"/>
      <c r="O29" s="1"/>
      <c r="P29" s="1"/>
      <c r="Q29" s="1"/>
      <c r="R29" s="1"/>
    </row>
    <row customHeight="1" ht="14.25" r="30" spans="1:21">
      <c r="A30" s="21"/>
      <c r="B30" s="22"/>
      <c r="C30" s="22"/>
      <c r="D30" s="22"/>
      <c r="E30" s="22"/>
      <c r="F30" s="22"/>
      <c r="G30" s="23"/>
      <c r="N30" s="17"/>
      <c r="P30" s="17"/>
    </row>
    <row customHeight="1" ht="14.25" r="31" spans="1:21">
      <c r="A31" s="19"/>
      <c r="B31" s="2" t="s">
        <v>32</v>
      </c>
      <c r="C31" s="18"/>
      <c r="D31" s="18"/>
      <c r="E31" s="18"/>
      <c r="F31" s="18"/>
      <c r="G31" s="20"/>
      <c r="I31" s="21"/>
      <c r="J31" s="22"/>
      <c r="K31" s="22"/>
      <c r="L31" s="22"/>
      <c r="M31" s="22"/>
      <c r="N31" s="22"/>
      <c r="O31" s="22"/>
      <c r="P31" s="22"/>
      <c r="Q31" s="22"/>
      <c r="R31" s="23"/>
    </row>
    <row customHeight="1" ht="14.25" r="32" spans="1:21">
      <c r="A32" s="19"/>
      <c r="B32" s="1"/>
      <c r="C32" s="1"/>
      <c r="D32" s="1"/>
      <c r="E32" s="1"/>
      <c r="F32" s="1"/>
      <c r="G32" s="20"/>
      <c r="I32" s="19"/>
      <c r="J32" s="3" t="s">
        <v>33</v>
      </c>
      <c r="K32" s="1"/>
      <c r="L32" s="1"/>
      <c r="M32" s="1"/>
      <c r="N32" s="1"/>
      <c r="O32" s="1"/>
      <c r="P32" s="1"/>
      <c r="Q32" s="1"/>
      <c r="R32" s="20"/>
    </row>
    <row customHeight="1" ht="14.25" r="33" spans="1:19">
      <c r="A33" s="19"/>
      <c r="B33" s="8" t="s">
        <v>12</v>
      </c>
      <c r="C33" s="25">
        <v>0.5</v>
      </c>
      <c r="D33" s="1"/>
      <c r="E33" s="3" t="s">
        <v>13</v>
      </c>
      <c r="F33" s="25">
        <f>_r3db_server_ad_ins_com\r3__TAX__2[tax_rate_prcnt]/100</f>
        <v>0.1</v>
      </c>
      <c r="G33" s="20"/>
      <c r="I33" s="19"/>
      <c r="J33" s="1"/>
      <c r="K33" s="1"/>
      <c r="L33" s="1"/>
      <c r="M33" s="1"/>
      <c r="N33" s="1"/>
      <c r="O33" s="1"/>
      <c r="P33" s="17"/>
      <c r="Q33" s="17"/>
      <c r="R33" s="20"/>
    </row>
    <row customHeight="1" ht="14.25" r="34" spans="1:19">
      <c r="A34" s="19"/>
      <c r="B34" s="3" t="s">
        <v>14</v>
      </c>
      <c r="C34" s="1">
        <v>1</v>
      </c>
      <c r="D34" s="1"/>
      <c r="E34" s="1"/>
      <c r="F34" s="1"/>
      <c r="G34" s="20"/>
      <c r="I34" s="19"/>
      <c r="J34" s="3" t="s">
        <v>15</v>
      </c>
      <c r="K34" s="1"/>
      <c r="L34" s="17"/>
      <c r="M34" s="17"/>
      <c r="N34" s="1"/>
      <c r="O34" s="1"/>
      <c r="P34" s="1"/>
      <c r="Q34" s="1"/>
      <c r="R34" s="20"/>
    </row>
    <row customHeight="1" ht="14.25" r="35" spans="1:19">
      <c r="A35" s="19"/>
      <c r="B35" s="8" t="s">
        <v>15</v>
      </c>
      <c r="C35" s="26"/>
      <c r="D35" s="26"/>
      <c r="E35" s="26"/>
      <c r="F35" s="26"/>
      <c r="G35" s="20"/>
      <c r="I35" s="19"/>
      <c r="J35" s="9"/>
      <c r="K35" s="10" t="s">
        <v>16</v>
      </c>
      <c r="L35" s="10" t="s">
        <v>17</v>
      </c>
      <c r="M35" s="10" t="s">
        <v>18</v>
      </c>
      <c r="N35" s="10" t="s">
        <v>19</v>
      </c>
      <c r="O35" s="10" t="s">
        <v>34</v>
      </c>
      <c r="P35" s="10" t="s">
        <v>21</v>
      </c>
      <c r="Q35" s="10" t="s">
        <v>22</v>
      </c>
      <c r="R35" s="20"/>
    </row>
    <row r="36" spans="1:19">
      <c r="A36" s="19"/>
      <c r="B36" s="53"/>
      <c r="C36" s="54" t="s">
        <v>23</v>
      </c>
      <c r="D36" s="54" t="s">
        <v>24</v>
      </c>
      <c r="E36" s="54" t="s">
        <v>25</v>
      </c>
      <c r="F36" s="54" t="s">
        <v>26</v>
      </c>
      <c r="G36" s="20"/>
      <c r="I36" s="19"/>
      <c r="J36" s="3" t="s">
        <v>27</v>
      </c>
      <c r="K36" s="17">
        <f>IF((C$2&gt;(D$37/$C$20)),(D$37/$C$20),C$2)</f>
        <v>72830.460000000006</v>
      </c>
      <c r="L36" s="17">
        <f>CEILING(($K$36*$C$33)/(100%-IF($C$3=1,$E$37,$E$37+($E$37*$F$37))),$C$34)</f>
        <v>37542</v>
      </c>
      <c r="M36" s="17">
        <f>CEILING(($L$36*$E$24),$C$34)</f>
        <v>1878</v>
      </c>
      <c r="N36" s="17">
        <f>IF($C$4=1,CEILING(($L$36*$F$20)*(100%/$C$33),$C$34),0)</f>
        <v>7509</v>
      </c>
      <c r="O36" s="17">
        <f>IF($C$3=1,0,CEILING((M36*F24),$C$34))</f>
        <v>376</v>
      </c>
      <c r="P36" s="17">
        <f>(L36/$C$33)-M36-O36+N36</f>
        <v>80339</v>
      </c>
      <c r="Q36" s="17">
        <f>P36+M36+O36</f>
        <v>82593</v>
      </c>
      <c r="R36" s="34"/>
      <c r="S36" s="1"/>
    </row>
    <row r="37" spans="1:19">
      <c r="A37" s="19"/>
      <c r="B37" s="55" t="s">
        <v>27</v>
      </c>
      <c r="C37" s="56">
        <v>0</v>
      </c>
      <c r="D37" s="56">
        <f>($D$24-($D$24*IF($C$3=1,$E$24*$C$33,($E$24+($E$24*$F$24))*$C$33)))</f>
        <v>48500000</v>
      </c>
      <c r="E37" s="58">
        <f>E24*$C$20</f>
        <v>2.5000000000000001E-2</v>
      </c>
      <c r="F37" s="57">
        <f>F24</f>
        <v>0.2</v>
      </c>
      <c r="G37" s="20"/>
      <c r="I37" s="19"/>
      <c r="J37" s="3" t="s">
        <v>28</v>
      </c>
      <c r="K37" s="17">
        <f>IF((C$2&gt;(D$38/C$20)),(D$38-D$37)/C$20,IF(C$2-($C$38/C$20)&lt;0,0,C$2-(D$37/C$20)))</f>
        <v>0</v>
      </c>
      <c r="L37" s="17">
        <f>CEILING(($K$37*$C$33)/(100%-IF($C$3=1,$E$38,$E$38+($E$38*$F$38))),$C$34)</f>
        <v>0</v>
      </c>
      <c r="M37" s="17">
        <f>CEILING(($L$37*$E$25),$C$34)</f>
        <v>0</v>
      </c>
      <c r="N37" s="17">
        <f>IF($C$4=1,CEILING($L$37*$F$20*(100%/$C$33),$C$34),0)</f>
        <v>0</v>
      </c>
      <c r="O37" s="17">
        <f>IF($C$3=1,0,CEILING((M37*F25),$C$34))</f>
        <v>0</v>
      </c>
      <c r="P37" s="17">
        <f>ROUND(L37/$C$33-M37-O37+N37,0)*$C$34</f>
        <v>0</v>
      </c>
      <c r="Q37" s="17">
        <f ref="Q37:Q39" si="4" t="shared">P37+M37+O37</f>
        <v>0</v>
      </c>
      <c r="R37" s="20"/>
      <c r="S37" s="1"/>
    </row>
    <row r="38" spans="1:19">
      <c r="A38" s="19"/>
      <c r="B38" s="55" t="s">
        <v>28</v>
      </c>
      <c r="C38" s="56">
        <f ref="C38:C40" si="5" t="shared">D37+1</f>
        <v>48500001</v>
      </c>
      <c r="D38" s="56">
        <f>(($D$25-$D$24)-(($D$25-$D$24)*IF($C$3=1,$E$25*$C$33,($E$25+($E$25*$F$25))*$C$33))+(($D$25-$D$24)*IF($C$4=1,$F$20,0%))+$D$37)</f>
        <v>250500000</v>
      </c>
      <c r="E38" s="58">
        <f>E25*$C$20</f>
        <v>7.4999999999999997E-2</v>
      </c>
      <c r="F38" s="57">
        <f>F25</f>
        <v>0.2</v>
      </c>
      <c r="G38" s="20"/>
      <c r="I38" s="19"/>
      <c r="J38" s="3" t="s">
        <v>29</v>
      </c>
      <c r="K38" s="17">
        <f>IF((C$2&gt;(D$39/C$20)),(D$39-D$38)/C$20,IF(C$2-($C$39/C$20)&lt;0,0,C$2-(D$38/C$20)))</f>
        <v>0</v>
      </c>
      <c r="L38" s="17">
        <f>CEILING(($K$38*$C$33)/(100%-IF($C$3=1,$E$39,$E$39+($E$39*$F$39))),$C$34)</f>
        <v>0</v>
      </c>
      <c r="M38" s="17">
        <f>CEILING(($L$38*$E$26),$C$34)</f>
        <v>0</v>
      </c>
      <c r="N38" s="17">
        <f>IF($C$4=1,CEILING($L$38*$F$20*(100%/$C$33),$C$34),0)</f>
        <v>0</v>
      </c>
      <c r="O38" s="17">
        <f>IF($C$3=1,0,CEILING((M38*F26),$C$34))</f>
        <v>0</v>
      </c>
      <c r="P38" s="17">
        <f>ROUND(L38/$C$33-M38-O38+N38,0)*$C$34</f>
        <v>0</v>
      </c>
      <c r="Q38" s="17">
        <f si="4" t="shared"/>
        <v>0</v>
      </c>
      <c r="R38" s="20"/>
    </row>
    <row ht="15.75" r="39" spans="1:19" thickBot="1">
      <c r="A39" s="19"/>
      <c r="B39" s="55" t="s">
        <v>29</v>
      </c>
      <c r="C39" s="56">
        <f si="5" t="shared"/>
        <v>250500001</v>
      </c>
      <c r="D39" s="56">
        <f>(($D$26-$D$25)-(($D$26-$D$25)*IF($C$3=1,$E$26*$C$33,($E$26+($E$26*$F$26))*$C$33))+(($D$26-$D$25)*IF($C$4=1,$F$20,0%))+$D$38)</f>
        <v>488000000</v>
      </c>
      <c r="E39" s="58">
        <f>E26*$C$20</f>
        <v>0.125</v>
      </c>
      <c r="F39" s="57">
        <f>F26</f>
        <v>0.2</v>
      </c>
      <c r="G39" s="20"/>
      <c r="I39" s="19"/>
      <c r="J39" s="14" t="s">
        <v>30</v>
      </c>
      <c r="K39" s="30">
        <f>IF((C$2&gt;(D$40/C$20)),(D$40-D$39)/C$20,IF(C$2-($C$40/C$20)&lt;0,0,C$2-(D$39/C$20)))</f>
        <v>0</v>
      </c>
      <c r="L39" s="30">
        <f>CEILING(($K$39*$C$33)/(100%-IF($C$3=1,$E$40,$E$40+($E$40*$F$40))),$C$34)</f>
        <v>0</v>
      </c>
      <c r="M39" s="30">
        <f>CEILING($L$39*$E$27,$C$21)</f>
        <v>0</v>
      </c>
      <c r="N39" s="36">
        <f>IF($C$4=1,CEILING($L$39*$F$20*(100%/$C$33),$C$34),0)</f>
        <v>0</v>
      </c>
      <c r="O39" s="30">
        <f>IF($C$3=1,0,CEILING(M39*F27,$C$34))</f>
        <v>0</v>
      </c>
      <c r="P39" s="30">
        <f ref="P39" si="6" t="shared">(L39-M39-O39+N39)+(K39*(100%-$C$33))</f>
        <v>0</v>
      </c>
      <c r="Q39" s="30">
        <f si="4" t="shared"/>
        <v>0</v>
      </c>
      <c r="R39" s="20"/>
    </row>
    <row ht="15.75" r="40" spans="1:19" thickTop="1">
      <c r="A40" s="19"/>
      <c r="B40" s="55" t="s">
        <v>30</v>
      </c>
      <c r="C40" s="56">
        <f si="5" t="shared"/>
        <v>488000001</v>
      </c>
      <c r="D40" s="56">
        <v>100000000000000</v>
      </c>
      <c r="E40" s="58">
        <f>E27*$C$20</f>
        <v>0.15</v>
      </c>
      <c r="F40" s="57">
        <f>F27</f>
        <v>0.2</v>
      </c>
      <c r="G40" s="20"/>
      <c r="I40" s="19"/>
      <c r="J40" s="1" t="s">
        <v>31</v>
      </c>
      <c r="K40" s="16">
        <f ref="K40:Q40" si="7" t="shared">SUM(K36:K39)</f>
        <v>72830.460000000006</v>
      </c>
      <c r="L40" s="16">
        <f si="7" t="shared"/>
        <v>37542</v>
      </c>
      <c r="M40" s="16">
        <f si="7" t="shared"/>
        <v>1878</v>
      </c>
      <c r="N40" s="16">
        <f si="7" t="shared"/>
        <v>7509</v>
      </c>
      <c r="O40" s="16">
        <f si="7" t="shared"/>
        <v>376</v>
      </c>
      <c r="P40" s="16">
        <f si="7" t="shared"/>
        <v>80339</v>
      </c>
      <c r="Q40" s="16">
        <f si="7" t="shared"/>
        <v>82593</v>
      </c>
      <c r="R40" s="20"/>
    </row>
    <row customHeight="1" ht="14.25" r="41" spans="1:19" thickBot="1">
      <c r="A41" s="31"/>
      <c r="B41" s="32"/>
      <c r="C41" s="32"/>
      <c r="D41" s="32"/>
      <c r="E41" s="32"/>
      <c r="F41" s="32"/>
      <c r="G41" s="33"/>
      <c r="I41" s="31"/>
      <c r="J41" s="32"/>
      <c r="K41" s="32"/>
      <c r="L41" s="32"/>
      <c r="M41" s="32"/>
      <c r="N41" s="32"/>
      <c r="O41" s="32"/>
      <c r="P41" s="32"/>
      <c r="Q41" s="32"/>
      <c r="R41" s="33"/>
    </row>
    <row customHeight="1" ht="14.25" r="42" spans="1:19" thickBot="1">
      <c r="A42" s="1"/>
      <c r="C42" s="17"/>
      <c r="L42" s="17"/>
      <c r="M42" s="17"/>
      <c r="P42" s="17"/>
    </row>
    <row customHeight="1" ht="14.25" r="43" spans="1:19">
      <c r="A43" s="38"/>
      <c r="B43" s="39"/>
      <c r="C43" s="40"/>
      <c r="D43" s="40"/>
      <c r="E43" s="40"/>
      <c r="F43" s="40"/>
      <c r="I43" s="21"/>
      <c r="J43" s="22"/>
      <c r="K43" s="22"/>
      <c r="L43" s="22"/>
      <c r="M43" s="22"/>
      <c r="N43" s="22"/>
      <c r="O43" s="22"/>
      <c r="P43" s="22"/>
      <c r="Q43" s="22"/>
      <c r="R43" s="23"/>
    </row>
    <row customHeight="1" ht="14.25" r="44" spans="1:19">
      <c r="A44" s="38"/>
      <c r="B44" s="39"/>
      <c r="C44" s="41"/>
      <c r="D44" s="41"/>
      <c r="E44" s="42"/>
      <c r="F44" s="43"/>
      <c r="G44" s="17"/>
      <c r="H44" s="17"/>
      <c r="I44" s="19"/>
      <c r="J44" s="3" t="s">
        <v>33</v>
      </c>
      <c r="K44" s="1"/>
      <c r="L44" s="1"/>
      <c r="M44" s="1"/>
      <c r="N44" s="1"/>
      <c r="O44" s="1"/>
      <c r="P44" s="1"/>
      <c r="Q44" s="1"/>
      <c r="R44" s="20"/>
      <c r="S44" s="17"/>
    </row>
    <row customHeight="1" ht="14.25" r="45" spans="1:19">
      <c r="A45" s="44"/>
      <c r="B45" s="39"/>
      <c r="C45" s="41"/>
      <c r="D45" s="41"/>
      <c r="E45" s="42"/>
      <c r="F45" s="43"/>
      <c r="G45" s="17"/>
      <c r="H45" s="17"/>
      <c r="I45" s="19"/>
      <c r="J45" s="1"/>
      <c r="K45" s="1"/>
      <c r="L45" s="1"/>
      <c r="M45" s="1"/>
      <c r="N45" s="1"/>
      <c r="O45" s="1"/>
      <c r="P45" s="17"/>
      <c r="Q45" s="17"/>
      <c r="R45" s="20"/>
      <c r="S45" s="17"/>
    </row>
    <row customHeight="1" ht="14.25" r="46" spans="1:19">
      <c r="A46" s="44"/>
      <c r="B46" s="39"/>
      <c r="C46" s="41"/>
      <c r="D46" s="41"/>
      <c r="E46" s="42"/>
      <c r="F46" s="43"/>
      <c r="G46" s="17"/>
      <c r="H46" s="17"/>
      <c r="I46" s="19"/>
      <c r="J46" s="3" t="s">
        <v>15</v>
      </c>
      <c r="K46" s="1"/>
      <c r="L46" s="17"/>
      <c r="M46" s="17"/>
      <c r="N46" s="1"/>
      <c r="O46" s="1"/>
      <c r="P46" s="1"/>
      <c r="Q46" s="1"/>
      <c r="R46" s="20"/>
      <c r="S46" s="17"/>
    </row>
    <row customHeight="1" ht="14.25" r="47" spans="1:19">
      <c r="A47" s="44"/>
      <c r="B47" s="39"/>
      <c r="C47" s="41"/>
      <c r="D47" s="41"/>
      <c r="E47" s="42"/>
      <c r="F47" s="43"/>
      <c r="G47" s="17"/>
      <c r="H47" s="17"/>
      <c r="I47" s="19"/>
      <c r="J47" s="9"/>
      <c r="K47" s="10" t="s">
        <v>16</v>
      </c>
      <c r="L47" s="10" t="s">
        <v>17</v>
      </c>
      <c r="M47" s="10" t="s">
        <v>18</v>
      </c>
      <c r="N47" s="10" t="s">
        <v>19</v>
      </c>
      <c r="O47" s="10" t="s">
        <v>34</v>
      </c>
      <c r="P47" s="10" t="s">
        <v>21</v>
      </c>
      <c r="Q47" s="10" t="s">
        <v>22</v>
      </c>
      <c r="R47" s="20"/>
      <c r="S47" s="17"/>
    </row>
    <row customHeight="1" ht="14.25" r="48" spans="1:19">
      <c r="B48" s="17"/>
      <c r="C48" s="17"/>
      <c r="D48" s="17"/>
      <c r="E48" s="17"/>
      <c r="F48" s="17"/>
      <c r="G48" s="17"/>
      <c r="H48" s="17"/>
      <c r="I48" s="19"/>
      <c r="J48" s="3" t="s">
        <v>27</v>
      </c>
      <c r="K48" s="17">
        <f>K36</f>
        <v>72830.460000000006</v>
      </c>
      <c r="L48" s="17">
        <f>L36</f>
        <v>37542</v>
      </c>
      <c r="M48" s="17">
        <f>M36+IF($C$3=1,(P36-K48))</f>
        <v>1878</v>
      </c>
      <c r="N48" s="17">
        <f>N36</f>
        <v>7509</v>
      </c>
      <c r="O48" s="17">
        <f>O36+IF($C$3=0,(P36-K48))</f>
        <v>7884.5399999999936</v>
      </c>
      <c r="P48" s="17">
        <f>IF(P36&lt;&gt;K48,P36-(P36-K48),P36)</f>
        <v>72830.460000000006</v>
      </c>
      <c r="Q48" s="17">
        <f>Q36</f>
        <v>82593</v>
      </c>
      <c r="R48" s="34"/>
      <c r="S48" s="17"/>
    </row>
    <row customHeight="1" ht="14.25" r="49" spans="2:19">
      <c r="B49" s="17"/>
      <c r="C49" s="17"/>
      <c r="D49" s="17"/>
      <c r="E49" s="17"/>
      <c r="F49" s="17"/>
      <c r="G49" s="17"/>
      <c r="H49" s="17"/>
      <c r="I49" s="19"/>
      <c r="J49" s="3" t="s">
        <v>28</v>
      </c>
      <c r="K49" s="17">
        <f ref="K49:K51" si="8" t="shared">K37</f>
        <v>0</v>
      </c>
      <c r="L49" s="17">
        <f ref="L49:Q51" si="9" t="shared">L37</f>
        <v>0</v>
      </c>
      <c r="M49" s="17">
        <f ref="M49" si="10" t="shared">M37+IF($C$3=1,(P37-K49))</f>
        <v>0</v>
      </c>
      <c r="N49" s="17">
        <f si="9" t="shared"/>
        <v>0</v>
      </c>
      <c r="O49" s="17">
        <f>O37+IF($C$3=0,(P37-K49))</f>
        <v>0</v>
      </c>
      <c r="P49" s="17">
        <f>IF(P37&lt;&gt;K49,P37-(P37-K49),P37)</f>
        <v>0</v>
      </c>
      <c r="Q49" s="17">
        <f si="9" t="shared"/>
        <v>0</v>
      </c>
      <c r="R49" s="20"/>
      <c r="S49" s="17"/>
    </row>
    <row customHeight="1" ht="14.25" r="50" spans="2:19">
      <c r="B50" s="17"/>
      <c r="C50" s="17"/>
      <c r="D50" s="17"/>
      <c r="E50" s="17"/>
      <c r="F50" s="17"/>
      <c r="G50" s="17"/>
      <c r="H50" s="17"/>
      <c r="I50" s="19"/>
      <c r="J50" s="3" t="s">
        <v>29</v>
      </c>
      <c r="K50" s="17">
        <f si="8" t="shared"/>
        <v>0</v>
      </c>
      <c r="L50" s="17">
        <f si="9" t="shared"/>
        <v>0</v>
      </c>
      <c r="M50" s="17">
        <f>M38+IF($C$3=1,(P38-K50))</f>
        <v>0</v>
      </c>
      <c r="N50" s="17">
        <f si="9" t="shared"/>
        <v>0</v>
      </c>
      <c r="O50" s="17">
        <f>O38+IF($C$3=0,(P38-K50))</f>
        <v>0</v>
      </c>
      <c r="P50" s="17">
        <f>IF(P38&lt;&gt;K50,P38-(P38-K50),P38)</f>
        <v>0</v>
      </c>
      <c r="Q50" s="17">
        <f si="9" t="shared"/>
        <v>0</v>
      </c>
      <c r="R50" s="20"/>
      <c r="S50" s="17"/>
    </row>
    <row customHeight="1" ht="14.25" r="51" spans="2:19" thickBot="1">
      <c r="C51" s="17"/>
      <c r="D51" s="17"/>
      <c r="E51" s="17"/>
      <c r="I51" s="19"/>
      <c r="J51" s="14" t="s">
        <v>30</v>
      </c>
      <c r="K51" s="36">
        <f si="8" t="shared"/>
        <v>0</v>
      </c>
      <c r="L51" s="36">
        <f si="9" t="shared"/>
        <v>0</v>
      </c>
      <c r="M51" s="36">
        <f si="9" t="shared"/>
        <v>0</v>
      </c>
      <c r="N51" s="36">
        <f si="9" t="shared"/>
        <v>0</v>
      </c>
      <c r="O51" s="36">
        <f>O39+IF($C$3=0,(P39-K51))</f>
        <v>0</v>
      </c>
      <c r="P51" s="36">
        <f>IF(P39&lt;&gt;K51,P39-(P39-K51),P39)</f>
        <v>0</v>
      </c>
      <c r="Q51" s="36">
        <f si="9" t="shared"/>
        <v>0</v>
      </c>
      <c r="R51" s="20"/>
      <c r="S51" s="17"/>
    </row>
    <row customHeight="1" ht="14.25" r="52" spans="2:19" thickTop="1">
      <c r="C52" s="17"/>
      <c r="D52" s="17"/>
      <c r="E52" s="17"/>
      <c r="I52" s="19"/>
      <c r="J52" s="1" t="s">
        <v>31</v>
      </c>
      <c r="K52" s="16">
        <f ref="K52:Q52" si="11" t="shared">SUM(K48:K51)</f>
        <v>72830.460000000006</v>
      </c>
      <c r="L52" s="16">
        <f si="11" t="shared"/>
        <v>37542</v>
      </c>
      <c r="M52" s="16">
        <f si="11" t="shared"/>
        <v>1878</v>
      </c>
      <c r="N52" s="16">
        <f si="11" t="shared"/>
        <v>7509</v>
      </c>
      <c r="O52" s="16">
        <f si="11" t="shared"/>
        <v>7884.5399999999936</v>
      </c>
      <c r="P52" s="16">
        <f si="11" t="shared"/>
        <v>72830.460000000006</v>
      </c>
      <c r="Q52" s="16">
        <f si="11" t="shared"/>
        <v>82593</v>
      </c>
      <c r="R52" s="20"/>
      <c r="S52" s="17"/>
    </row>
    <row customHeight="1" ht="14.25" r="53" spans="2:19" thickBot="1">
      <c r="D53" s="17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17"/>
    </row>
    <row customHeight="1" ht="14.25" r="54" spans="2:19">
      <c r="G54" s="17"/>
      <c r="J54" s="17"/>
      <c r="K54" s="17"/>
      <c r="L54" s="17"/>
      <c r="M54" s="16"/>
      <c r="N54" s="17"/>
      <c r="O54" s="17"/>
      <c r="P54" s="17"/>
      <c r="Q54" s="17"/>
      <c r="R54" s="17"/>
      <c r="S54" s="17"/>
    </row>
    <row customHeight="1" ht="14.25" r="55" spans="2:19">
      <c r="G55" s="17"/>
      <c r="J55" s="17"/>
      <c r="K55" s="17"/>
      <c r="L55" s="17"/>
      <c r="M55" s="16"/>
      <c r="N55" s="17"/>
      <c r="O55" s="17"/>
      <c r="P55" s="17"/>
      <c r="Q55" s="17"/>
      <c r="R55" s="17"/>
      <c r="S55" s="17"/>
    </row>
    <row customHeight="1" ht="14.25" r="56" spans="2:19">
      <c r="G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customHeight="1" ht="14.25" r="57" spans="2:19">
      <c r="J57" s="17"/>
      <c r="K57" s="17"/>
      <c r="L57" s="17"/>
      <c r="N57" s="17"/>
      <c r="O57" s="17"/>
      <c r="P57" s="17"/>
      <c r="Q57" s="17"/>
      <c r="R57" s="17"/>
      <c r="S57" s="17"/>
    </row>
    <row customHeight="1" ht="14.25" r="58" spans="2:19">
      <c r="G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customHeight="1" ht="14.25" r="59" spans="2:19">
      <c r="G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customHeight="1" ht="14.25" r="60" spans="2:19">
      <c r="N60" s="17"/>
      <c r="O60" s="17"/>
      <c r="P60" s="17"/>
    </row>
    <row customHeight="1" ht="14.25" r="61" spans="2:19">
      <c r="L61" s="17"/>
      <c r="M61" s="17"/>
      <c r="N61" s="17"/>
      <c r="P61" s="17"/>
    </row>
    <row customHeight="1" ht="14.25" r="62" spans="2:19">
      <c r="K62" s="17"/>
      <c r="L62" s="17"/>
      <c r="N62" s="17"/>
      <c r="Q62" s="17"/>
    </row>
    <row customHeight="1" ht="14.25" r="63" spans="2:19">
      <c r="K63" s="17"/>
      <c r="L63" s="17"/>
      <c r="M63" s="17"/>
      <c r="N63" s="17"/>
      <c r="P63" s="17"/>
    </row>
    <row customHeight="1" ht="14.25" r="64" spans="2:19">
      <c r="K64" s="17"/>
      <c r="L64" s="17"/>
      <c r="M64" s="17"/>
      <c r="N64" s="17"/>
    </row>
    <row customHeight="1" ht="14.25" r="65" spans="10:32">
      <c r="K65" s="17"/>
      <c r="L65" s="17"/>
      <c r="M65" s="17"/>
      <c r="N65" s="17"/>
      <c r="O65" s="17"/>
      <c r="P65" s="17"/>
      <c r="Q65" s="17"/>
    </row>
    <row customHeight="1" ht="14.25" r="66" spans="10:32">
      <c r="L66" s="17"/>
      <c r="M66" s="17"/>
      <c r="Q66" s="17"/>
      <c r="R66" s="17"/>
    </row>
    <row customHeight="1" ht="14.25" r="67" spans="10:32">
      <c r="J67" s="17"/>
      <c r="K67" s="17"/>
    </row>
    <row customHeight="1" ht="14.25" r="68" spans="10:32">
      <c r="J68" s="17"/>
      <c r="K68" s="17"/>
      <c r="L68" s="17"/>
      <c r="Q68" s="17"/>
    </row>
    <row customHeight="1" ht="14.25" r="69" spans="10:32">
      <c r="L69" s="17"/>
      <c r="M69" s="17"/>
      <c r="N69" s="17"/>
      <c r="O69" s="17"/>
    </row>
    <row customHeight="1" ht="14.25" r="70" spans="10:32"/>
    <row customHeight="1" ht="14.25" r="71" spans="10:32"/>
    <row customHeight="1" ht="14.25" r="72" spans="10:32"/>
    <row customHeight="1" ht="14.25" r="73" spans="10:32"/>
    <row customHeight="1" ht="14.25" r="74" spans="10:32"/>
    <row customHeight="1" ht="14.25" r="75" spans="10:32"/>
    <row customHeight="1" ht="14.25" r="76" spans="10:32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customHeight="1" ht="14.25" r="77" spans="10:32">
      <c r="J77" s="1"/>
      <c r="K77" s="1"/>
      <c r="L77" s="1"/>
      <c r="M77" s="35"/>
      <c r="N77" s="17"/>
      <c r="O77" s="17"/>
      <c r="P77" s="17"/>
      <c r="Q77" s="17"/>
      <c r="R77" s="17"/>
      <c r="S77" s="17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5"/>
      <c r="AF77" s="35"/>
    </row>
    <row customHeight="1" ht="14.25" r="78" spans="10:32">
      <c r="J78" s="1"/>
      <c r="K78" s="1"/>
      <c r="L78" s="1"/>
      <c r="M78" s="35"/>
      <c r="N78" s="17"/>
      <c r="O78" s="17"/>
      <c r="P78" s="17"/>
      <c r="Q78" s="17"/>
      <c r="R78" s="17"/>
      <c r="S78" s="17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5"/>
      <c r="AF78" s="35"/>
    </row>
    <row customHeight="1" ht="14.25" r="79" spans="10:32">
      <c r="J79" s="1"/>
      <c r="K79" s="1"/>
      <c r="L79" s="1"/>
      <c r="M79" s="35"/>
      <c r="N79" s="17"/>
      <c r="O79" s="17"/>
      <c r="P79" s="17"/>
      <c r="Q79" s="17"/>
      <c r="R79" s="17"/>
      <c r="S79" s="17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5"/>
      <c r="AF79" s="35"/>
    </row>
    <row customHeight="1" ht="14.25" r="80" spans="10:32">
      <c r="J80" s="1"/>
      <c r="K80" s="1"/>
      <c r="L80" s="1"/>
      <c r="M80" s="35"/>
      <c r="N80" s="17"/>
      <c r="O80" s="17"/>
      <c r="P80" s="17"/>
      <c r="Q80" s="17"/>
      <c r="R80" s="17"/>
      <c r="S80" s="1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5"/>
      <c r="AF80" s="35"/>
    </row>
    <row customHeight="1" ht="14.25" r="81" spans="10:32">
      <c r="J81" s="1"/>
      <c r="K81" s="1"/>
      <c r="L81" s="1"/>
      <c r="M81" s="35"/>
      <c r="N81" s="17"/>
      <c r="O81" s="17"/>
      <c r="P81" s="17"/>
      <c r="Q81" s="17"/>
      <c r="R81" s="17"/>
      <c r="S81" s="17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5"/>
      <c r="AF81" s="35"/>
    </row>
    <row customHeight="1" ht="14.25" r="82" spans="10:32">
      <c r="J82" s="1"/>
      <c r="K82" s="1"/>
      <c r="L82" s="1"/>
      <c r="M82" s="35"/>
      <c r="N82" s="17"/>
      <c r="O82" s="17"/>
      <c r="P82" s="17"/>
      <c r="Q82" s="17"/>
      <c r="R82" s="17"/>
      <c r="S82" s="17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5"/>
      <c r="AF82" s="35"/>
    </row>
    <row customHeight="1" ht="14.25" r="83" spans="10:32">
      <c r="N83" s="17"/>
      <c r="O83" s="17"/>
      <c r="P83" s="17"/>
      <c r="Q83" s="17"/>
      <c r="R83" s="17"/>
      <c r="S83" s="17"/>
    </row>
    <row customHeight="1" ht="14.25" r="84" spans="10:32"/>
    <row customHeight="1" ht="14.25" r="85" spans="10:32"/>
    <row customHeight="1" ht="14.25" r="86" spans="10:32">
      <c r="K86" s="1"/>
      <c r="L86" s="1"/>
      <c r="M86" s="1"/>
      <c r="N86" s="1"/>
      <c r="O86" s="1"/>
      <c r="P86" s="1"/>
      <c r="Q86" s="1"/>
      <c r="R86" s="1"/>
      <c r="S86" s="1"/>
    </row>
    <row customHeight="1" ht="14.25" r="87" spans="10:32">
      <c r="K87" s="1"/>
      <c r="L87" s="1"/>
      <c r="M87" s="1"/>
      <c r="N87" s="17"/>
      <c r="O87" s="17"/>
      <c r="P87" s="1"/>
      <c r="Q87" s="1"/>
      <c r="R87" s="35"/>
      <c r="S87" s="35"/>
    </row>
    <row customHeight="1" ht="14.25" r="88" spans="10:32">
      <c r="K88" s="1"/>
      <c r="L88" s="1"/>
      <c r="M88" s="1"/>
      <c r="N88" s="17"/>
      <c r="O88" s="17"/>
      <c r="P88" s="1"/>
      <c r="Q88" s="1"/>
      <c r="R88" s="35"/>
      <c r="S88" s="35"/>
    </row>
    <row customHeight="1" ht="14.25" r="89" spans="10:32">
      <c r="K89" s="1"/>
      <c r="L89" s="1"/>
      <c r="M89" s="1"/>
      <c r="N89" s="17"/>
      <c r="O89" s="17"/>
      <c r="P89" s="1"/>
      <c r="Q89" s="1"/>
      <c r="R89" s="35"/>
      <c r="S89" s="35"/>
    </row>
    <row customHeight="1" ht="14.25" r="90" spans="10:32">
      <c r="K90" s="1"/>
      <c r="L90" s="1"/>
      <c r="M90" s="1"/>
      <c r="N90" s="17"/>
      <c r="O90" s="17"/>
      <c r="P90" s="1"/>
      <c r="Q90" s="1"/>
      <c r="R90" s="35"/>
      <c r="S90" s="35"/>
    </row>
    <row customHeight="1" ht="14.25" r="91" spans="10:32">
      <c r="K91" s="1"/>
      <c r="L91" s="1"/>
      <c r="M91" s="1"/>
      <c r="N91" s="17"/>
      <c r="O91" s="17"/>
      <c r="P91" s="1"/>
      <c r="Q91" s="1"/>
      <c r="R91" s="35"/>
      <c r="S91" s="35"/>
    </row>
    <row customHeight="1" ht="14.25" r="92" spans="10:32">
      <c r="K92" s="1"/>
      <c r="L92" s="1"/>
      <c r="M92" s="1"/>
      <c r="N92" s="17"/>
      <c r="O92" s="17"/>
      <c r="P92" s="1"/>
      <c r="Q92" s="1"/>
      <c r="R92" s="35"/>
      <c r="S92" s="35"/>
    </row>
    <row customHeight="1" ht="14.25" r="93" spans="10:32">
      <c r="K93" s="1"/>
      <c r="L93" s="1"/>
      <c r="M93" s="1"/>
      <c r="N93" s="17"/>
      <c r="O93" s="17"/>
      <c r="P93" s="1"/>
      <c r="Q93" s="1"/>
      <c r="R93" s="35"/>
      <c r="S93" s="35"/>
    </row>
    <row customHeight="1" ht="14.25" r="94" spans="10:32">
      <c r="K94" s="1"/>
      <c r="L94" s="1"/>
      <c r="M94" s="1"/>
      <c r="N94" s="17"/>
      <c r="O94" s="17"/>
      <c r="P94" s="1"/>
      <c r="Q94" s="1"/>
      <c r="R94" s="35"/>
      <c r="S94" s="35"/>
    </row>
    <row customHeight="1" ht="14.25" r="95" spans="10:32">
      <c r="K95" s="1"/>
      <c r="L95" s="1"/>
      <c r="M95" s="1"/>
      <c r="N95" s="17"/>
      <c r="O95" s="17"/>
      <c r="P95" s="1"/>
      <c r="Q95" s="1"/>
      <c r="R95" s="35"/>
      <c r="S95" s="35"/>
    </row>
    <row customHeight="1" ht="14.25" r="96" spans="10:32">
      <c r="K96" s="1"/>
      <c r="L96" s="1"/>
      <c r="M96" s="1"/>
      <c r="N96" s="17"/>
      <c r="O96" s="17"/>
      <c r="P96" s="1"/>
      <c r="Q96" s="1"/>
      <c r="R96" s="35"/>
      <c r="S96" s="35"/>
    </row>
    <row customHeight="1" ht="14.25" r="97" spans="11:19">
      <c r="K97" s="1"/>
      <c r="L97" s="1"/>
      <c r="M97" s="1"/>
      <c r="N97" s="17"/>
      <c r="O97" s="17"/>
      <c r="P97" s="1"/>
      <c r="Q97" s="1"/>
      <c r="R97" s="35"/>
      <c r="S97" s="35"/>
    </row>
    <row customHeight="1" ht="14.25" r="98" spans="11:19">
      <c r="K98" s="1"/>
      <c r="L98" s="1"/>
      <c r="M98" s="1"/>
      <c r="N98" s="17"/>
      <c r="O98" s="17"/>
      <c r="P98" s="1"/>
      <c r="Q98" s="1"/>
      <c r="R98" s="35"/>
      <c r="S98" s="35"/>
    </row>
    <row customHeight="1" ht="14.25" r="99" spans="11:19"/>
    <row customHeight="1" ht="14.25" r="100" spans="11:19"/>
    <row customHeight="1" ht="14.25" r="101" spans="11:19">
      <c r="N101" s="17"/>
    </row>
    <row customHeight="1" ht="14.25" r="102" spans="11:19">
      <c r="N102" s="17"/>
    </row>
    <row customHeight="1" ht="14.25" r="103" spans="11:19"/>
    <row customHeight="1" ht="14.25" r="104" spans="11:19"/>
    <row customHeight="1" ht="14.25" r="105" spans="11:19"/>
    <row customHeight="1" ht="14.25" r="106" spans="11:19"/>
    <row customHeight="1" ht="14.25" r="107" spans="11:19"/>
    <row customHeight="1" ht="14.25" r="108" spans="11:19"/>
    <row customHeight="1" ht="14.25" r="109" spans="11:19"/>
    <row customHeight="1" ht="14.25" r="110" spans="11:19"/>
    <row customHeight="1" ht="14.25" r="111" spans="11:19"/>
    <row customHeight="1" ht="14.25" r="112" spans="11:19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  <row customHeight="1" ht="14.25" r="996"/>
    <row customHeight="1" ht="14.25" r="997"/>
    <row customHeight="1" ht="14.25" r="998"/>
    <row customHeight="1" ht="14.25" r="999"/>
    <row customHeight="1" ht="14.25" r="1000"/>
  </sheetData>
  <mergeCells count="2">
    <mergeCell ref="B6:C6"/>
    <mergeCell ref="D6:E6"/>
  </mergeCells>
  <pageMargins bottom="0.75" footer="0" header="0" left="0.7" right="0.7" top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000"/>
  <sheetViews>
    <sheetView topLeftCell="A13" workbookViewId="0" zoomScale="85" zoomScaleNormal="85">
      <selection activeCell="E19" sqref="E19:F19"/>
    </sheetView>
  </sheetViews>
  <sheetFormatPr customHeight="1" defaultColWidth="12.625" defaultRowHeight="15"/>
  <cols>
    <col min="1" max="1" customWidth="true" width="7.625" collapsed="true"/>
    <col min="2" max="2" customWidth="true" width="20.375" collapsed="true"/>
    <col min="3" max="3" bestFit="true" customWidth="true" width="13.875" collapsed="true"/>
    <col min="4" max="4" bestFit="true" customWidth="true" width="19.75" collapsed="true"/>
    <col min="5" max="5" bestFit="true" customWidth="true" width="12.75" collapsed="true"/>
    <col min="6" max="6" bestFit="true" customWidth="true" width="13.0" collapsed="true"/>
    <col min="7" max="7" customWidth="true" width="14.75" collapsed="true"/>
    <col min="8" max="10" customWidth="true" width="7.625" collapsed="true"/>
    <col min="11" max="13" customWidth="true" width="12.5" collapsed="true"/>
    <col min="14" max="14" customWidth="true" width="11.875" collapsed="true"/>
    <col min="15" max="15" bestFit="true" customWidth="true" width="11.75" collapsed="true"/>
    <col min="16" max="16" bestFit="true" customWidth="true" width="14.25" collapsed="true"/>
    <col min="17" max="17" bestFit="true" customWidth="true" width="13.125" collapsed="true"/>
    <col min="18" max="26" customWidth="true" width="7.625" collapsed="true"/>
  </cols>
  <sheetData>
    <row customHeight="1" ht="14.25" r="1" spans="1:18"/>
    <row customHeight="1" ht="14.25" r="2" spans="1:18">
      <c r="B2" s="2" t="s">
        <v>0</v>
      </c>
      <c r="C2" t="n">
        <v>4000.0</v>
      </c>
      <c r="D2" s="17" t="s">
        <v>53</v>
      </c>
    </row>
    <row customHeight="1" ht="14.25" r="3" spans="1:18">
      <c r="B3" s="2" t="s">
        <v>1</v>
      </c>
      <c r="C3" t="n">
        <v>1.0</v>
      </c>
      <c r="D3" s="17"/>
    </row>
    <row customHeight="1" ht="14.25" r="4" spans="1:18">
      <c r="B4" s="2" t="s">
        <v>2</v>
      </c>
      <c r="C4" t="n">
        <v>0.0</v>
      </c>
      <c r="D4" s="17"/>
      <c r="G4" s="63"/>
      <c r="H4" s="64"/>
      <c r="I4" s="65"/>
      <c r="J4" s="64"/>
    </row>
    <row customHeight="1" ht="14.25" r="5" spans="1:18">
      <c r="D5" s="17">
        <v>0</v>
      </c>
      <c r="G5" s="1"/>
      <c r="H5" s="1"/>
      <c r="I5" s="1"/>
      <c r="J5" s="1"/>
    </row>
    <row customHeight="1" ht="14.25" r="6" spans="1:18">
      <c r="B6" s="60" t="s">
        <v>3</v>
      </c>
      <c r="C6" s="61"/>
      <c r="D6" s="62" t="s">
        <v>4</v>
      </c>
      <c r="E6" s="61"/>
      <c r="G6" s="3"/>
      <c r="H6" s="4"/>
      <c r="I6" s="3"/>
      <c r="J6" s="4"/>
    </row>
    <row customHeight="1" ht="14.25" r="7" spans="1:18">
      <c r="B7" s="19"/>
      <c r="C7" s="20"/>
      <c r="D7" s="19"/>
      <c r="E7" s="20"/>
      <c r="G7" s="3"/>
      <c r="H7" s="4"/>
      <c r="I7" s="3"/>
      <c r="J7" s="4"/>
    </row>
    <row customHeight="1" ht="14.25" r="8" spans="1:18">
      <c r="B8" s="6" t="s">
        <v>58</v>
      </c>
      <c r="C8" s="51">
        <f>M22+$O$22</f>
        <v>327.12880000000001</v>
      </c>
      <c r="D8" s="6" t="s">
        <v>58</v>
      </c>
      <c r="E8" s="51">
        <f>$M$31+$O$31</f>
        <v>334</v>
      </c>
      <c r="F8" t="s">
        <v>54</v>
      </c>
      <c r="G8" s="3"/>
      <c r="H8" s="4"/>
      <c r="I8" s="3"/>
      <c r="J8" s="4"/>
    </row>
    <row customHeight="1" ht="14.25" r="9" spans="1:18">
      <c r="B9" s="6"/>
      <c r="C9" s="51"/>
      <c r="D9" s="6"/>
      <c r="E9" s="51"/>
      <c r="G9" s="3"/>
      <c r="H9" s="4"/>
      <c r="I9" s="3"/>
      <c r="J9" s="4"/>
    </row>
    <row customHeight="1" ht="14.25" r="10" spans="1:18">
      <c r="B10" s="6" t="s">
        <v>5</v>
      </c>
      <c r="C10" s="51">
        <f>$C$2</f>
        <v>16356.44</v>
      </c>
      <c r="D10" s="6" t="s">
        <v>5</v>
      </c>
      <c r="E10" s="51">
        <f>$C$2</f>
        <v>16356.44</v>
      </c>
      <c r="G10" s="3"/>
      <c r="H10" s="4"/>
      <c r="I10" s="3"/>
      <c r="J10" s="4"/>
    </row>
    <row customHeight="1" ht="14.25" r="11" spans="1:18">
      <c r="B11" s="6" t="s">
        <v>6</v>
      </c>
      <c r="C11" s="51">
        <f>$L$22</f>
        <v>16356.44</v>
      </c>
      <c r="D11" s="6" t="s">
        <v>6</v>
      </c>
      <c r="E11" s="51">
        <f>$L$31</f>
        <v>16691</v>
      </c>
      <c r="G11" s="3"/>
      <c r="H11" s="4"/>
      <c r="I11" s="3"/>
      <c r="J11" s="4"/>
    </row>
    <row customHeight="1" ht="14.25" r="12" spans="1:18">
      <c r="B12" s="6" t="s">
        <v>7</v>
      </c>
      <c r="C12" s="51">
        <f>$N$22</f>
        <v>0</v>
      </c>
      <c r="D12" s="6" t="s">
        <v>7</v>
      </c>
      <c r="E12" s="51">
        <f>$N$31</f>
        <v>0</v>
      </c>
      <c r="F12" t="s">
        <v>55</v>
      </c>
      <c r="G12" s="3"/>
      <c r="H12" s="4"/>
      <c r="I12" s="3"/>
      <c r="J12" s="4"/>
    </row>
    <row customHeight="1" ht="14.25" r="13" spans="1:18">
      <c r="B13" s="6" t="s">
        <v>8</v>
      </c>
      <c r="C13" s="51">
        <f>$P$22</f>
        <v>16029.3112</v>
      </c>
      <c r="D13" s="6" t="s">
        <v>8</v>
      </c>
      <c r="E13" s="51">
        <f>$P$31</f>
        <v>16357</v>
      </c>
      <c r="F13" t="s">
        <v>56</v>
      </c>
      <c r="G13" s="3"/>
      <c r="H13" s="4"/>
      <c r="I13" s="3"/>
      <c r="J13" s="4"/>
    </row>
    <row customHeight="1" ht="14.25" r="14" spans="1:18">
      <c r="B14" s="7" t="s">
        <v>9</v>
      </c>
      <c r="C14" s="52">
        <f>$Q$22</f>
        <v>16356.44</v>
      </c>
      <c r="D14" s="7" t="s">
        <v>9</v>
      </c>
      <c r="E14" s="52">
        <f>$Q$31</f>
        <v>16691</v>
      </c>
      <c r="F14" t="s">
        <v>57</v>
      </c>
      <c r="G14" s="3"/>
      <c r="H14" s="4"/>
      <c r="I14" s="3"/>
      <c r="J14" s="4"/>
    </row>
    <row customHeight="1" ht="14.25" r="15" spans="1:18"/>
    <row customHeight="1" ht="14.25" r="16" spans="1:18">
      <c r="A16" s="21"/>
      <c r="B16" s="22"/>
      <c r="C16" s="22"/>
      <c r="D16" s="22"/>
      <c r="E16" s="22"/>
      <c r="F16" s="22"/>
      <c r="G16" s="23"/>
      <c r="I16" s="21"/>
      <c r="J16" s="22"/>
      <c r="K16" s="22"/>
      <c r="L16" s="22"/>
      <c r="M16" s="22"/>
      <c r="N16" s="22"/>
      <c r="O16" s="22"/>
      <c r="P16" s="22"/>
      <c r="Q16" s="22"/>
      <c r="R16" s="23"/>
    </row>
    <row customHeight="1" ht="14.25" r="17" spans="1:18">
      <c r="A17" s="19"/>
      <c r="B17" s="2" t="s">
        <v>35</v>
      </c>
      <c r="C17" s="18"/>
      <c r="D17" s="18"/>
      <c r="E17" s="18"/>
      <c r="F17" s="18"/>
      <c r="G17" s="20"/>
      <c r="I17" s="19"/>
      <c r="J17" s="3" t="s">
        <v>11</v>
      </c>
      <c r="K17" s="1"/>
      <c r="L17" s="1"/>
      <c r="M17" s="1"/>
      <c r="N17" s="1"/>
      <c r="O17" s="1"/>
      <c r="P17" s="1"/>
      <c r="Q17" s="1"/>
      <c r="R17" s="20"/>
    </row>
    <row customHeight="1" ht="14.25" r="18" spans="1:18">
      <c r="A18" s="19"/>
      <c r="B18" s="1"/>
      <c r="C18" s="1"/>
      <c r="D18" s="1"/>
      <c r="E18" s="1"/>
      <c r="F18" s="1"/>
      <c r="G18" s="20"/>
      <c r="I18" s="19"/>
      <c r="J18" s="1"/>
      <c r="K18" s="1"/>
      <c r="L18" s="1"/>
      <c r="M18" s="1"/>
      <c r="N18" s="1"/>
      <c r="O18" s="1"/>
      <c r="P18" s="1"/>
      <c r="Q18" s="1"/>
      <c r="R18" s="20"/>
    </row>
    <row customHeight="1" ht="14.25" r="19" spans="1:18">
      <c r="A19" s="19"/>
      <c r="B19" s="8" t="s">
        <v>12</v>
      </c>
      <c r="C19" s="25">
        <f>_r3db_server_ad_ins_com\r3__TAX__3[PARTIAL_TAXABLE_PRCNT]/100</f>
        <v>1</v>
      </c>
      <c r="D19" s="1"/>
      <c r="E19" s="3" t="s">
        <v>13</v>
      </c>
      <c r="F19" s="25">
        <f>_r3db_server_ad_ins_com\r3__TAX__2[tax_rate_prcnt]/100</f>
        <v>0.1</v>
      </c>
      <c r="G19" s="20"/>
      <c r="I19" s="19"/>
      <c r="J19" s="3" t="s">
        <v>36</v>
      </c>
      <c r="K19" s="1"/>
      <c r="L19" s="1"/>
      <c r="M19" s="1"/>
      <c r="N19" s="1"/>
      <c r="O19" s="1"/>
      <c r="P19" s="1"/>
      <c r="Q19" s="1"/>
      <c r="R19" s="20"/>
    </row>
    <row customHeight="1" ht="14.25" r="20" spans="1:18">
      <c r="A20" s="19"/>
      <c r="B20" s="3" t="s">
        <v>14</v>
      </c>
      <c r="C20" s="1">
        <f>_r3db_server_ad_ins_com\r3__TAX__3[ROUNDING_AMT]</f>
        <v>1</v>
      </c>
      <c r="D20" s="1"/>
      <c r="E20" s="1"/>
      <c r="F20" s="1"/>
      <c r="G20" s="20"/>
      <c r="I20" s="19"/>
      <c r="J20" s="9"/>
      <c r="K20" s="10" t="s">
        <v>16</v>
      </c>
      <c r="L20" s="10" t="s">
        <v>17</v>
      </c>
      <c r="M20" s="10" t="s">
        <v>18</v>
      </c>
      <c r="N20" s="10" t="s">
        <v>19</v>
      </c>
      <c r="O20" s="10" t="s">
        <v>34</v>
      </c>
      <c r="P20" s="10" t="s">
        <v>21</v>
      </c>
      <c r="Q20" s="10" t="s">
        <v>22</v>
      </c>
      <c r="R20" s="20"/>
    </row>
    <row customHeight="1" ht="14.25" r="21" spans="1:18">
      <c r="A21" s="19"/>
      <c r="B21" s="12" t="s">
        <v>36</v>
      </c>
      <c r="C21" s="26"/>
      <c r="D21" s="26"/>
      <c r="E21" s="26"/>
      <c r="F21" s="26"/>
      <c r="G21" s="20"/>
      <c r="I21" s="19"/>
      <c r="J21" s="14" t="s">
        <v>27</v>
      </c>
      <c r="K21" s="30">
        <f>IF((C$2*$C$18&gt;D$22),D$22,C$2)</f>
        <v>16356.44</v>
      </c>
      <c r="L21" s="30">
        <f>K21</f>
        <v>16356.44</v>
      </c>
      <c r="M21" s="30">
        <f>$L$21*$E$23</f>
        <v>327.12880000000001</v>
      </c>
      <c r="N21" s="30">
        <f>IF($C$4=1,$L$21*$F$19,0)</f>
        <v>0</v>
      </c>
      <c r="O21" s="30">
        <f>IF($C$3=1,0,M21*$F$23)</f>
        <v>0</v>
      </c>
      <c r="P21" s="30">
        <f>L21-M21-O21+N21</f>
        <v>16029.3112</v>
      </c>
      <c r="Q21" s="30">
        <f>P21+M21+O21</f>
        <v>16356.44</v>
      </c>
      <c r="R21" s="20"/>
    </row>
    <row customHeight="1" ht="14.25" r="22" spans="1:18">
      <c r="A22" s="19"/>
      <c r="B22" s="11"/>
      <c r="C22" s="13" t="s">
        <v>23</v>
      </c>
      <c r="D22" s="13" t="s">
        <v>24</v>
      </c>
      <c r="E22" s="13" t="s">
        <v>25</v>
      </c>
      <c r="F22" s="13" t="s">
        <v>26</v>
      </c>
      <c r="G22" s="20"/>
      <c r="I22" s="19"/>
      <c r="J22" s="1" t="s">
        <v>31</v>
      </c>
      <c r="K22" s="16">
        <f ref="K22:Q22" si="0" t="shared">SUM(K21)</f>
        <v>16356.44</v>
      </c>
      <c r="L22" s="16">
        <f si="0" t="shared"/>
        <v>16356.44</v>
      </c>
      <c r="M22" s="16">
        <f si="0" t="shared"/>
        <v>327.12880000000001</v>
      </c>
      <c r="N22" s="16">
        <f si="0" t="shared"/>
        <v>0</v>
      </c>
      <c r="O22" s="16">
        <f si="0" t="shared"/>
        <v>0</v>
      </c>
      <c r="P22" s="16">
        <f si="0" t="shared"/>
        <v>16029.3112</v>
      </c>
      <c r="Q22" s="16">
        <f si="0" t="shared"/>
        <v>16356.44</v>
      </c>
      <c r="R22" s="20"/>
    </row>
    <row customHeight="1" ht="14.25" r="23" spans="1:18">
      <c r="A23" s="19"/>
      <c r="B23" s="15" t="s">
        <v>27</v>
      </c>
      <c r="C23" s="27">
        <f>_r3db_server_ad_ins_com\r3__TAX__2[amt_from]</f>
        <v>0</v>
      </c>
      <c r="D23" s="27">
        <f>_r3db_server_ad_ins_com\r3__TAX__2[amt_to]</f>
        <v>100000000000000</v>
      </c>
      <c r="E23" s="28">
        <f>DB!B6/100</f>
        <v>0.02</v>
      </c>
      <c r="F23" s="29">
        <f>DB!C6/100</f>
        <v>1</v>
      </c>
      <c r="G23" s="20"/>
      <c r="I23" s="31"/>
      <c r="J23" s="32"/>
      <c r="K23" s="32"/>
      <c r="L23" s="32"/>
      <c r="M23" s="32"/>
      <c r="N23" s="32"/>
      <c r="O23" s="32"/>
      <c r="P23" s="32"/>
      <c r="Q23" s="32"/>
      <c r="R23" s="33"/>
    </row>
    <row customHeight="1" ht="14.25" r="24" spans="1:18">
      <c r="A24" s="31"/>
      <c r="B24" s="32"/>
      <c r="C24" s="32"/>
      <c r="D24" s="32"/>
      <c r="E24" s="32"/>
      <c r="F24" s="32"/>
      <c r="G24" s="33"/>
    </row>
    <row customHeight="1" ht="14.25" r="25" spans="1:18">
      <c r="I25" s="21"/>
      <c r="J25" s="22"/>
      <c r="K25" s="22"/>
      <c r="L25" s="22"/>
      <c r="M25" s="22"/>
      <c r="N25" s="22"/>
      <c r="O25" s="22"/>
      <c r="P25" s="22"/>
      <c r="Q25" s="22"/>
      <c r="R25" s="23"/>
    </row>
    <row customHeight="1" ht="14.25" r="26" spans="1:18">
      <c r="A26" s="21"/>
      <c r="B26" s="22"/>
      <c r="C26" s="22"/>
      <c r="D26" s="22"/>
      <c r="E26" s="22"/>
      <c r="F26" s="22"/>
      <c r="G26" s="23"/>
      <c r="I26" s="19"/>
      <c r="J26" s="3" t="s">
        <v>33</v>
      </c>
      <c r="K26" s="1"/>
      <c r="L26" s="1"/>
      <c r="M26" s="1"/>
      <c r="N26" s="1"/>
      <c r="O26" s="1"/>
      <c r="P26" s="1"/>
      <c r="Q26" s="1"/>
      <c r="R26" s="20"/>
    </row>
    <row customHeight="1" ht="14.25" r="27" spans="1:18">
      <c r="A27" s="19"/>
      <c r="B27" s="2" t="s">
        <v>37</v>
      </c>
      <c r="C27" s="18"/>
      <c r="D27" s="18"/>
      <c r="E27" s="18"/>
      <c r="F27" s="18"/>
      <c r="G27" s="20"/>
      <c r="I27" s="19"/>
      <c r="J27" s="1"/>
      <c r="K27" s="1"/>
      <c r="L27" s="1"/>
      <c r="M27" s="1"/>
      <c r="N27" s="1"/>
      <c r="O27" s="1"/>
      <c r="P27" s="1"/>
      <c r="Q27" s="1"/>
      <c r="R27" s="20"/>
    </row>
    <row customHeight="1" ht="14.25" r="28" spans="1:18">
      <c r="A28" s="19"/>
      <c r="B28" s="1"/>
      <c r="C28" s="1"/>
      <c r="D28" s="1"/>
      <c r="E28" s="1"/>
      <c r="F28" s="1"/>
      <c r="G28" s="20"/>
      <c r="I28" s="19"/>
      <c r="J28" s="3" t="s">
        <v>36</v>
      </c>
      <c r="K28" s="1"/>
      <c r="L28" s="1"/>
      <c r="M28" s="1"/>
      <c r="N28" s="1"/>
      <c r="O28" s="1"/>
      <c r="P28" s="1"/>
      <c r="Q28" s="1"/>
      <c r="R28" s="20"/>
    </row>
    <row customHeight="1" ht="14.25" r="29" spans="1:18">
      <c r="A29" s="19"/>
      <c r="B29" s="12" t="s">
        <v>36</v>
      </c>
      <c r="C29" s="26"/>
      <c r="D29" s="26"/>
      <c r="E29" s="26"/>
      <c r="F29" s="26"/>
      <c r="G29" s="20"/>
      <c r="I29" s="19"/>
      <c r="J29" s="9"/>
      <c r="K29" s="10" t="s">
        <v>16</v>
      </c>
      <c r="L29" s="10" t="s">
        <v>17</v>
      </c>
      <c r="M29" s="10" t="s">
        <v>18</v>
      </c>
      <c r="N29" s="10" t="s">
        <v>19</v>
      </c>
      <c r="O29" s="10" t="s">
        <v>34</v>
      </c>
      <c r="P29" s="10" t="s">
        <v>21</v>
      </c>
      <c r="Q29" s="10" t="s">
        <v>22</v>
      </c>
      <c r="R29" s="20"/>
    </row>
    <row customHeight="1" ht="14.25" r="30" spans="1:18">
      <c r="A30" s="19"/>
      <c r="B30" s="11"/>
      <c r="C30" s="13" t="s">
        <v>23</v>
      </c>
      <c r="D30" s="13" t="s">
        <v>24</v>
      </c>
      <c r="E30" s="13" t="s">
        <v>25</v>
      </c>
      <c r="F30" s="13" t="s">
        <v>26</v>
      </c>
      <c r="G30" s="20"/>
      <c r="I30" s="19"/>
      <c r="J30" s="14" t="s">
        <v>27</v>
      </c>
      <c r="K30" s="30">
        <f>IF((C$2*$C$19&gt;D$23),$L$30*(100%+(IF($C$4=1,$F$19,0%))-IF($C$3=1,$E$23,$F$23)),$C$2*$C$19)</f>
        <v>16356.44</v>
      </c>
      <c r="L30" s="30">
        <f>CEILING(IF(((C$2*$C$19)&gt;D$23),D$23,IF($C$3=1,($K$30*100%)/(100%-$E$23),($K$30*100%)/(100%-($E$23*(100%+$F$23))))),$C$20)</f>
        <v>16691</v>
      </c>
      <c r="M30" s="30">
        <f>CEILING($L$30*$E$23,$C$20)</f>
        <v>334</v>
      </c>
      <c r="N30" s="30">
        <f>CEILING(IF($C$4=1,$L$30*$F$19,0),$C$20)</f>
        <v>0</v>
      </c>
      <c r="O30" s="30">
        <f>CEILING(IF($C$3=1,0,M30*$F$23),$C$20)</f>
        <v>0</v>
      </c>
      <c r="P30" s="30">
        <f>L30-M30-O30+N30</f>
        <v>16357</v>
      </c>
      <c r="Q30" s="30">
        <f>P30+M30+O30</f>
        <v>16691</v>
      </c>
      <c r="R30" s="20"/>
    </row>
    <row customHeight="1" ht="14.25" r="31" spans="1:18">
      <c r="A31" s="19"/>
      <c r="B31" s="15" t="s">
        <v>27</v>
      </c>
      <c r="C31" s="27">
        <f>C23/$C$19</f>
        <v>0</v>
      </c>
      <c r="D31" s="27">
        <f>D23/C19</f>
        <v>100000000000000</v>
      </c>
      <c r="E31" s="28">
        <f>E23*$C$19</f>
        <v>0.02</v>
      </c>
      <c r="F31" s="29">
        <f>F23*$C$19</f>
        <v>1</v>
      </c>
      <c r="G31" s="20"/>
      <c r="I31" s="19"/>
      <c r="J31" s="1" t="s">
        <v>31</v>
      </c>
      <c r="K31" s="16">
        <f ref="K31:Q31" si="1" t="shared">SUM(K30)</f>
        <v>16356.44</v>
      </c>
      <c r="L31" s="16">
        <f si="1" t="shared"/>
        <v>16691</v>
      </c>
      <c r="M31" s="16">
        <f si="1" t="shared"/>
        <v>334</v>
      </c>
      <c r="N31" s="16">
        <f si="1" t="shared"/>
        <v>0</v>
      </c>
      <c r="O31" s="16">
        <f si="1" t="shared"/>
        <v>0</v>
      </c>
      <c r="P31" s="16">
        <f si="1" t="shared"/>
        <v>16357</v>
      </c>
      <c r="Q31" s="16">
        <f si="1" t="shared"/>
        <v>16691</v>
      </c>
      <c r="R31" s="20"/>
    </row>
    <row customHeight="1" ht="14.25" r="32" spans="1:18">
      <c r="A32" s="31"/>
      <c r="B32" s="32"/>
      <c r="C32" s="32"/>
      <c r="D32" s="32"/>
      <c r="E32" s="32"/>
      <c r="F32" s="32"/>
      <c r="G32" s="33"/>
      <c r="I32" s="31"/>
      <c r="J32" s="32"/>
      <c r="K32" s="32"/>
      <c r="L32" s="32"/>
      <c r="M32" s="32"/>
      <c r="N32" s="32"/>
      <c r="O32" s="32"/>
      <c r="P32" s="32"/>
      <c r="Q32" s="32"/>
      <c r="R32" s="33"/>
    </row>
    <row customHeight="1" ht="14.25" r="33" spans="11:12"/>
    <row customHeight="1" ht="14.25" r="34" spans="11:12">
      <c r="K34" s="17"/>
      <c r="L34" s="17"/>
    </row>
    <row customHeight="1" ht="14.25" r="35" spans="11:12"/>
    <row customHeight="1" ht="14.25" r="36" spans="11:12"/>
    <row customHeight="1" ht="14.25" r="37" spans="11:12"/>
    <row customHeight="1" ht="14.25" r="38" spans="11:12"/>
    <row customHeight="1" ht="14.25" r="39" spans="11:12"/>
    <row customHeight="1" ht="14.25" r="40" spans="11:12"/>
    <row customHeight="1" ht="14.25" r="41" spans="11:12"/>
    <row customHeight="1" ht="14.25" r="42" spans="11:12"/>
    <row customHeight="1" ht="14.25" r="43" spans="11:12"/>
    <row customHeight="1" ht="14.25" r="44" spans="11:12"/>
    <row customHeight="1" ht="14.25" r="45" spans="11:12"/>
    <row customHeight="1" ht="14.25" r="46" spans="11:12"/>
    <row customHeight="1" ht="14.25" r="47" spans="11:12"/>
    <row customHeight="1" ht="14.25" r="48" spans="11:12"/>
    <row customHeight="1" ht="14.25" r="49"/>
    <row customHeight="1" ht="14.25" r="50"/>
    <row customHeight="1" ht="14.25" r="51"/>
    <row customHeight="1" ht="14.25" r="52"/>
    <row customHeight="1" ht="14.25" r="53"/>
    <row customHeight="1" ht="14.25" r="54"/>
    <row customHeight="1" ht="14.25" r="55"/>
    <row customHeight="1" ht="14.25" r="56"/>
    <row customHeight="1" ht="14.25" r="57"/>
    <row customHeight="1" ht="14.25" r="58"/>
    <row customHeight="1" ht="14.25" r="59"/>
    <row customHeight="1" ht="14.25" r="60"/>
    <row customHeight="1" ht="14.25" r="61"/>
    <row customHeight="1" ht="14.25" r="62"/>
    <row customHeight="1" ht="14.25" r="63"/>
    <row customHeight="1" ht="14.25" r="64"/>
    <row customHeight="1" ht="14.25" r="65"/>
    <row customHeight="1" ht="14.25" r="66"/>
    <row customHeight="1" ht="14.25" r="67"/>
    <row customHeight="1" ht="14.25" r="68"/>
    <row customHeight="1" ht="14.25" r="69"/>
    <row customHeight="1" ht="14.25" r="70"/>
    <row customHeight="1" ht="14.25" r="71"/>
    <row customHeight="1" ht="14.25" r="72"/>
    <row customHeight="1" ht="14.25" r="73"/>
    <row customHeight="1" ht="14.25" r="74"/>
    <row customHeight="1" ht="14.25" r="75"/>
    <row customHeight="1" ht="14.25" r="76"/>
    <row customHeight="1" ht="14.25" r="77"/>
    <row customHeight="1" ht="14.25" r="78"/>
    <row customHeight="1" ht="14.25" r="79"/>
    <row customHeight="1" ht="14.25" r="80"/>
    <row customHeight="1" ht="14.25" r="81"/>
    <row customHeight="1" ht="14.25" r="82"/>
    <row customHeight="1" ht="14.25" r="83"/>
    <row customHeight="1" ht="14.25" r="84"/>
    <row customHeight="1" ht="14.25" r="85"/>
    <row customHeight="1" ht="14.25" r="86"/>
    <row customHeight="1" ht="14.25" r="87"/>
    <row customHeight="1" ht="14.25" r="88"/>
    <row customHeight="1" ht="14.25" r="89"/>
    <row customHeight="1" ht="14.25" r="90"/>
    <row customHeight="1" ht="14.25" r="91"/>
    <row customHeight="1" ht="14.25" r="92"/>
    <row customHeight="1" ht="14.25" r="93"/>
    <row customHeight="1" ht="14.25" r="94"/>
    <row customHeight="1" ht="14.25" r="95"/>
    <row customHeight="1" ht="14.25" r="96"/>
    <row customHeight="1" ht="14.25" r="97"/>
    <row customHeight="1" ht="14.25" r="98"/>
    <row customHeight="1" ht="14.25" r="99"/>
    <row customHeight="1" ht="14.25" r="100"/>
    <row customHeight="1" ht="14.25" r="101"/>
    <row customHeight="1" ht="14.25" r="102"/>
    <row customHeight="1" ht="14.25" r="103"/>
    <row customHeight="1" ht="14.25" r="104"/>
    <row customHeight="1" ht="14.25" r="105"/>
    <row customHeight="1" ht="14.25" r="106"/>
    <row customHeight="1" ht="14.25" r="107"/>
    <row customHeight="1" ht="14.25" r="108"/>
    <row customHeight="1" ht="14.25" r="109"/>
    <row customHeight="1" ht="14.25" r="110"/>
    <row customHeight="1" ht="14.25" r="111"/>
    <row customHeight="1" ht="14.25" r="112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  <row customHeight="1" ht="14.25" r="996"/>
    <row customHeight="1" ht="14.25" r="997"/>
    <row customHeight="1" ht="14.25" r="998"/>
    <row customHeight="1" ht="14.25" r="999"/>
    <row customHeight="1" ht="14.25" r="1000"/>
  </sheetData>
  <mergeCells count="4">
    <mergeCell ref="G4:H4"/>
    <mergeCell ref="I4:J4"/>
    <mergeCell ref="B6:C6"/>
    <mergeCell ref="D6:E6"/>
  </mergeCell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D17" sqref="D17"/>
    </sheetView>
  </sheetViews>
  <sheetFormatPr defaultRowHeight="14.25"/>
  <cols>
    <col min="1" max="2" customWidth="true" width="20.375" collapsed="true"/>
    <col min="3" max="3" customWidth="true" width="25.5" collapsed="true"/>
    <col min="4" max="4" customWidth="true" width="28.25" collapsed="true"/>
    <col min="5" max="5" customWidth="true" width="11.0" collapsed="true"/>
    <col min="6" max="6" customWidth="true" width="8.75" collapsed="true"/>
  </cols>
  <sheetData>
    <row r="1" spans="1:6">
      <c r="A1" t="s">
        <v>39</v>
      </c>
    </row>
    <row r="2" spans="1:6">
      <c r="A2" s="46" t="s">
        <v>40</v>
      </c>
      <c r="B2" s="46" t="s">
        <v>41</v>
      </c>
      <c r="C2" s="46" t="s">
        <v>42</v>
      </c>
      <c r="D2" s="46" t="s">
        <v>43</v>
      </c>
      <c r="E2" s="46" t="s">
        <v>44</v>
      </c>
    </row>
    <row r="3" spans="1:6">
      <c r="A3" s="46">
        <v>1</v>
      </c>
      <c r="B3" s="46">
        <v>0</v>
      </c>
      <c r="C3" s="47">
        <v>100000000000000</v>
      </c>
      <c r="D3" s="46">
        <v>10</v>
      </c>
      <c r="E3" s="46">
        <v>0</v>
      </c>
    </row>
    <row r="5" spans="1:6">
      <c r="A5" s="46" t="s">
        <v>49</v>
      </c>
      <c r="B5" s="46" t="s">
        <v>50</v>
      </c>
      <c r="C5" s="46" t="s">
        <v>44</v>
      </c>
      <c r="D5" s="46" t="s">
        <v>45</v>
      </c>
      <c r="E5" s="46" t="s">
        <v>41</v>
      </c>
      <c r="F5" s="46" t="s">
        <v>42</v>
      </c>
    </row>
    <row r="6" spans="1:6">
      <c r="A6" s="46" t="s">
        <v>51</v>
      </c>
      <c r="B6" s="46">
        <v>2</v>
      </c>
      <c r="C6" s="46">
        <v>100</v>
      </c>
      <c r="D6" s="46">
        <v>100</v>
      </c>
      <c r="E6" s="46">
        <v>0</v>
      </c>
      <c r="F6" s="46">
        <v>100000000000000</v>
      </c>
    </row>
    <row r="7" spans="1:6">
      <c r="A7" s="46" t="s">
        <v>52</v>
      </c>
      <c r="B7" s="46">
        <v>10</v>
      </c>
      <c r="C7" s="46">
        <v>0</v>
      </c>
      <c r="D7" s="46">
        <v>100</v>
      </c>
      <c r="E7" s="46">
        <v>0</v>
      </c>
      <c r="F7" s="46">
        <v>100000000000000</v>
      </c>
    </row>
    <row r="10" spans="1:6">
      <c r="A10" s="46" t="s">
        <v>45</v>
      </c>
      <c r="B10" s="46" t="s">
        <v>46</v>
      </c>
    </row>
    <row r="11" spans="1:6">
      <c r="A11" s="46">
        <v>100</v>
      </c>
      <c r="B11" s="46">
        <v>1</v>
      </c>
    </row>
    <row r="13" spans="1:6">
      <c r="A13" t="s">
        <v>38</v>
      </c>
    </row>
    <row r="14" spans="1:6">
      <c r="A14" s="46" t="s">
        <v>45</v>
      </c>
      <c r="B14" s="46" t="s">
        <v>46</v>
      </c>
    </row>
    <row r="15" spans="1:6">
      <c r="A15" s="46">
        <v>50</v>
      </c>
      <c r="B15" s="46">
        <v>1</v>
      </c>
    </row>
  </sheetData>
  <pageMargins bottom="0.75" footer="0.3" header="0.3" left="0.7" right="0.7" top="0.75"/>
  <tableParts count="4">
    <tablePart r:id="rId1"/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7BF697B-FFA9-4F75-87F5-6D62997E4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SIMULASI TAX PERSONAL NEW</vt:lpstr>
      <vt:lpstr>SIMULASI TAX COMPANY NEW</vt:lpstr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2019-06-13T07:20:58Z</dcterms:created>
  <dc:creator>Hartono Rachmat</dc:creator>
  <cp:lastModifiedBy>Jeremy Andreas</cp:lastModifiedBy>
  <dcterms:modified xsi:type="dcterms:W3CDTF">2023-02-06T09:24:52Z</dcterms:modified>
</cp:coreProperties>
</file>