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Raúl\Desktop\"/>
    </mc:Choice>
  </mc:AlternateContent>
  <bookViews>
    <workbookView xWindow="0" yWindow="0" windowWidth="23040" windowHeight="8808" tabRatio="601"/>
  </bookViews>
  <sheets>
    <sheet name="Parametros" sheetId="5" r:id="rId1"/>
    <sheet name="RESUMEN RESULTADOS" sheetId="9" r:id="rId2"/>
    <sheet name="Calculo Excedentes" sheetId="1" r:id="rId3"/>
    <sheet name="Calculo Intereses COOPS" sheetId="7" r:id="rId4"/>
    <sheet name="Calculo Intereses PERS NAT" sheetId="8" r:id="rId5"/>
  </sheets>
  <externalReferences>
    <externalReference r:id="rId6"/>
    <externalReference r:id="rId7"/>
    <externalReference r:id="rId8"/>
  </externalReferences>
  <definedNames>
    <definedName name="_xlnm.Print_Area" localSheetId="3">'Calculo Intereses COOPS'!$B$3:$G$3</definedName>
    <definedName name="_xlnm.Print_Area" localSheetId="4">'Calculo Intereses PERS NAT'!$B$4:$G$23</definedName>
    <definedName name="_xlnm.Print_Area" localSheetId="0">Parametros!$A$2:$I$42</definedName>
    <definedName name="_xlnm.Print_Titles" localSheetId="2">'Calculo Excedentes'!$B:$B</definedName>
    <definedName name="_xlnm.Print_Titles" localSheetId="1">'RESUMEN RESULTADOS'!$B:$B</definedName>
  </definedNames>
  <calcPr calcId="152511"/>
</workbook>
</file>

<file path=xl/calcChain.xml><?xml version="1.0" encoding="utf-8"?>
<calcChain xmlns="http://schemas.openxmlformats.org/spreadsheetml/2006/main">
  <c r="Z27" i="1" l="1"/>
  <c r="AC27" i="1"/>
  <c r="Y27" i="1"/>
  <c r="W55" i="1" l="1"/>
  <c r="Y91" i="1"/>
  <c r="W75" i="1"/>
  <c r="X91" i="1"/>
  <c r="F264" i="8"/>
  <c r="I339" i="7" l="1"/>
  <c r="L227" i="7"/>
  <c r="F306" i="8"/>
  <c r="F390" i="8"/>
  <c r="F180" i="8"/>
  <c r="F159" i="8"/>
  <c r="F96" i="8"/>
  <c r="B77" i="1"/>
  <c r="I69" i="8" l="1"/>
  <c r="J69" i="8" s="1"/>
  <c r="J68" i="8"/>
  <c r="I68" i="8"/>
  <c r="I67" i="8"/>
  <c r="J67" i="8" s="1"/>
  <c r="I66" i="8"/>
  <c r="J66" i="8" s="1"/>
  <c r="I65" i="8"/>
  <c r="J65" i="8" s="1"/>
  <c r="I64" i="8"/>
  <c r="J64" i="8" s="1"/>
  <c r="I63" i="8"/>
  <c r="J63" i="8" s="1"/>
  <c r="I62" i="8"/>
  <c r="J62" i="8" s="1"/>
  <c r="I61" i="8"/>
  <c r="J61" i="8" s="1"/>
  <c r="F51" i="8"/>
  <c r="F358" i="7"/>
  <c r="F339" i="7"/>
  <c r="I350" i="7"/>
  <c r="I351" i="7"/>
  <c r="J351" i="7" s="1"/>
  <c r="F271" i="7"/>
  <c r="F228" i="7"/>
  <c r="I140" i="7"/>
  <c r="Z84" i="1"/>
  <c r="Y84" i="1"/>
  <c r="AL84" i="1" s="1"/>
  <c r="Q84" i="1"/>
  <c r="R84" i="1" s="1"/>
  <c r="U84" i="1" s="1"/>
  <c r="L85" i="1"/>
  <c r="K85" i="1"/>
  <c r="F85" i="1"/>
  <c r="E85" i="1"/>
  <c r="D85" i="1"/>
  <c r="J339" i="7" l="1"/>
  <c r="AV84" i="1"/>
  <c r="AC84" i="1"/>
  <c r="AX84" i="1"/>
  <c r="AJ84" i="1"/>
  <c r="F428" i="7"/>
  <c r="F407" i="7"/>
  <c r="F386" i="7"/>
  <c r="F357" i="7"/>
  <c r="F334" i="7"/>
  <c r="F312" i="7"/>
  <c r="F291" i="7"/>
  <c r="F269" i="7"/>
  <c r="F248" i="7"/>
  <c r="F227" i="7"/>
  <c r="E231" i="7" s="1"/>
  <c r="F202" i="7"/>
  <c r="F181" i="7"/>
  <c r="F160" i="7"/>
  <c r="F135" i="7"/>
  <c r="F114" i="7"/>
  <c r="F93" i="7"/>
  <c r="F72" i="7"/>
  <c r="F51" i="7"/>
  <c r="F30" i="7"/>
  <c r="F8" i="7"/>
  <c r="D49" i="1"/>
  <c r="D48" i="1"/>
  <c r="D47" i="1"/>
  <c r="D46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G7" i="1" s="1"/>
  <c r="H7" i="1" l="1"/>
  <c r="I7" i="1" s="1"/>
  <c r="D51" i="1"/>
  <c r="B27" i="9" l="1"/>
  <c r="A27" i="9"/>
  <c r="B449" i="7"/>
  <c r="I449" i="7" s="1"/>
  <c r="J449" i="7" s="1"/>
  <c r="M451" i="7"/>
  <c r="L51" i="1"/>
  <c r="M50" i="1"/>
  <c r="O50" i="1" s="1"/>
  <c r="M26" i="1"/>
  <c r="F51" i="1"/>
  <c r="E51" i="1"/>
  <c r="H50" i="1"/>
  <c r="G26" i="1"/>
  <c r="I26" i="1" s="1"/>
  <c r="I23" i="5"/>
  <c r="H20" i="5"/>
  <c r="H19" i="5"/>
  <c r="H17" i="5"/>
  <c r="H12" i="5"/>
  <c r="I25" i="5" l="1"/>
  <c r="D85" i="9"/>
  <c r="B85" i="9"/>
  <c r="A85" i="9"/>
  <c r="D84" i="9"/>
  <c r="B84" i="9"/>
  <c r="A84" i="9"/>
  <c r="D83" i="9"/>
  <c r="B83" i="9"/>
  <c r="A83" i="9"/>
  <c r="D82" i="9"/>
  <c r="B82" i="9"/>
  <c r="A82" i="9"/>
  <c r="D81" i="9"/>
  <c r="B81" i="9"/>
  <c r="A81" i="9"/>
  <c r="D80" i="9"/>
  <c r="A80" i="9"/>
  <c r="D79" i="9"/>
  <c r="B79" i="9"/>
  <c r="A79" i="9"/>
  <c r="D78" i="9"/>
  <c r="B78" i="9"/>
  <c r="A78" i="9"/>
  <c r="D77" i="9"/>
  <c r="B77" i="9"/>
  <c r="A77" i="9"/>
  <c r="D76" i="9"/>
  <c r="B76" i="9"/>
  <c r="A76" i="9"/>
  <c r="D75" i="9"/>
  <c r="B75" i="9"/>
  <c r="A75" i="9"/>
  <c r="D74" i="9"/>
  <c r="B74" i="9"/>
  <c r="A74" i="9"/>
  <c r="D73" i="9"/>
  <c r="B73" i="9"/>
  <c r="A73" i="9"/>
  <c r="D72" i="9"/>
  <c r="B72" i="9"/>
  <c r="A72" i="9"/>
  <c r="D71" i="9"/>
  <c r="B71" i="9"/>
  <c r="A71" i="9"/>
  <c r="D70" i="9"/>
  <c r="B70" i="9"/>
  <c r="A70" i="9"/>
  <c r="D69" i="9"/>
  <c r="B69" i="9"/>
  <c r="A69" i="9"/>
  <c r="D68" i="9"/>
  <c r="B68" i="9"/>
  <c r="A68" i="9"/>
  <c r="D67" i="9"/>
  <c r="B67" i="9"/>
  <c r="A67" i="9"/>
  <c r="D66" i="9"/>
  <c r="B66" i="9"/>
  <c r="A66" i="9"/>
  <c r="D65" i="9"/>
  <c r="B65" i="9"/>
  <c r="A65" i="9"/>
  <c r="D64" i="9"/>
  <c r="B64" i="9"/>
  <c r="A64" i="9"/>
  <c r="D63" i="9"/>
  <c r="B63" i="9"/>
  <c r="A63" i="9"/>
  <c r="D62" i="9"/>
  <c r="B62" i="9"/>
  <c r="A62" i="9"/>
  <c r="D61" i="9"/>
  <c r="B61" i="9"/>
  <c r="A61" i="9"/>
  <c r="D60" i="9"/>
  <c r="B60" i="9"/>
  <c r="A60" i="9"/>
  <c r="D59" i="9"/>
  <c r="B59" i="9"/>
  <c r="A59" i="9"/>
  <c r="D58" i="9"/>
  <c r="B58" i="9"/>
  <c r="A58" i="9"/>
  <c r="D57" i="9"/>
  <c r="B57" i="9"/>
  <c r="A57" i="9"/>
  <c r="B56" i="9"/>
  <c r="A56" i="9"/>
  <c r="M28" i="9"/>
  <c r="L28" i="9"/>
  <c r="B28" i="9"/>
  <c r="A28" i="9"/>
  <c r="M27" i="9"/>
  <c r="L27" i="9"/>
  <c r="D27" i="9"/>
  <c r="D26" i="9"/>
  <c r="B26" i="9"/>
  <c r="A26" i="9"/>
  <c r="D25" i="9"/>
  <c r="B25" i="9"/>
  <c r="A25" i="9"/>
  <c r="D24" i="9"/>
  <c r="B24" i="9"/>
  <c r="A24" i="9"/>
  <c r="D23" i="9"/>
  <c r="B23" i="9"/>
  <c r="A23" i="9"/>
  <c r="D22" i="9"/>
  <c r="B22" i="9"/>
  <c r="A22" i="9"/>
  <c r="D21" i="9"/>
  <c r="B21" i="9"/>
  <c r="A21" i="9"/>
  <c r="D20" i="9"/>
  <c r="B20" i="9"/>
  <c r="A20" i="9"/>
  <c r="D19" i="9"/>
  <c r="B19" i="9"/>
  <c r="A19" i="9"/>
  <c r="D18" i="9"/>
  <c r="B18" i="9"/>
  <c r="A18" i="9"/>
  <c r="D17" i="9"/>
  <c r="B17" i="9"/>
  <c r="A17" i="9"/>
  <c r="D16" i="9"/>
  <c r="B16" i="9"/>
  <c r="A16" i="9"/>
  <c r="D15" i="9"/>
  <c r="B15" i="9"/>
  <c r="A15" i="9"/>
  <c r="D14" i="9"/>
  <c r="B14" i="9"/>
  <c r="A14" i="9"/>
  <c r="D13" i="9"/>
  <c r="B13" i="9"/>
  <c r="A13" i="9"/>
  <c r="D12" i="9"/>
  <c r="B12" i="9"/>
  <c r="A12" i="9"/>
  <c r="D11" i="9"/>
  <c r="B11" i="9"/>
  <c r="A11" i="9"/>
  <c r="D10" i="9"/>
  <c r="B10" i="9"/>
  <c r="A10" i="9"/>
  <c r="D9" i="9"/>
  <c r="B9" i="9"/>
  <c r="A9" i="9"/>
  <c r="D8" i="9"/>
  <c r="B8" i="9"/>
  <c r="A8" i="9"/>
  <c r="B7" i="9"/>
  <c r="A7" i="9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BD84" i="1"/>
  <c r="M74" i="1"/>
  <c r="N71" i="1"/>
  <c r="M65" i="1"/>
  <c r="M58" i="1"/>
  <c r="M57" i="1"/>
  <c r="N56" i="1"/>
  <c r="D56" i="9"/>
  <c r="M25" i="1"/>
  <c r="M23" i="1"/>
  <c r="M22" i="1"/>
  <c r="N21" i="1"/>
  <c r="N19" i="1"/>
  <c r="M17" i="1"/>
  <c r="N16" i="1"/>
  <c r="M15" i="1"/>
  <c r="M14" i="1"/>
  <c r="N13" i="1"/>
  <c r="N12" i="1"/>
  <c r="N11" i="1"/>
  <c r="N10" i="1"/>
  <c r="N9" i="1"/>
  <c r="H25" i="1"/>
  <c r="H14" i="1"/>
  <c r="H24" i="1"/>
  <c r="G22" i="1"/>
  <c r="G20" i="1"/>
  <c r="H18" i="1"/>
  <c r="H17" i="1"/>
  <c r="H16" i="1"/>
  <c r="G15" i="1"/>
  <c r="H13" i="1"/>
  <c r="G12" i="1"/>
  <c r="H11" i="1"/>
  <c r="G10" i="1"/>
  <c r="H8" i="1"/>
  <c r="M24" i="1"/>
  <c r="F490" i="8"/>
  <c r="F427" i="8"/>
  <c r="F364" i="8"/>
  <c r="F343" i="8"/>
  <c r="F322" i="8"/>
  <c r="F301" i="8"/>
  <c r="F217" i="8"/>
  <c r="G180" i="8"/>
  <c r="F175" i="8"/>
  <c r="G159" i="8"/>
  <c r="X60" i="1" s="1"/>
  <c r="H63" i="9" s="1"/>
  <c r="F133" i="8"/>
  <c r="F112" i="8"/>
  <c r="F423" i="7"/>
  <c r="I285" i="7"/>
  <c r="I284" i="7"/>
  <c r="F270" i="7"/>
  <c r="B8" i="7"/>
  <c r="I8" i="7" s="1"/>
  <c r="J8" i="7" s="1"/>
  <c r="K8" i="7" s="1"/>
  <c r="H16" i="5"/>
  <c r="Z83" i="1"/>
  <c r="Y83" i="1"/>
  <c r="AV83" i="1" s="1"/>
  <c r="M410" i="8"/>
  <c r="I348" i="7"/>
  <c r="G75" i="1"/>
  <c r="G68" i="1"/>
  <c r="G59" i="1"/>
  <c r="G64" i="1"/>
  <c r="G60" i="1"/>
  <c r="G474" i="8"/>
  <c r="G390" i="8"/>
  <c r="X71" i="1" s="1"/>
  <c r="G96" i="8"/>
  <c r="X57" i="1" s="1"/>
  <c r="H60" i="9" s="1"/>
  <c r="H70" i="1"/>
  <c r="G63" i="1"/>
  <c r="M146" i="8"/>
  <c r="M147" i="8"/>
  <c r="M477" i="8"/>
  <c r="L393" i="8"/>
  <c r="M205" i="8"/>
  <c r="I378" i="7"/>
  <c r="J378" i="7" s="1"/>
  <c r="I377" i="7"/>
  <c r="J377" i="7" s="1"/>
  <c r="I376" i="7"/>
  <c r="J376" i="7" s="1"/>
  <c r="I375" i="7"/>
  <c r="J375" i="7" s="1"/>
  <c r="I374" i="7"/>
  <c r="J374" i="7" s="1"/>
  <c r="I373" i="7"/>
  <c r="J373" i="7" s="1"/>
  <c r="I372" i="7"/>
  <c r="J372" i="7" s="1"/>
  <c r="I371" i="7"/>
  <c r="I370" i="7"/>
  <c r="I221" i="7"/>
  <c r="J221" i="7" s="1"/>
  <c r="I220" i="7"/>
  <c r="J220" i="7" s="1"/>
  <c r="I219" i="7"/>
  <c r="J219" i="7" s="1"/>
  <c r="I218" i="7"/>
  <c r="J218" i="7" s="1"/>
  <c r="I217" i="7"/>
  <c r="J217" i="7" s="1"/>
  <c r="I216" i="7"/>
  <c r="J216" i="7" s="1"/>
  <c r="I148" i="7"/>
  <c r="J148" i="7" s="1"/>
  <c r="I147" i="7"/>
  <c r="I146" i="7"/>
  <c r="I35" i="7"/>
  <c r="J35" i="7" s="1"/>
  <c r="M63" i="1"/>
  <c r="X19" i="5"/>
  <c r="D51" i="9"/>
  <c r="B51" i="9"/>
  <c r="D50" i="9"/>
  <c r="B50" i="9"/>
  <c r="D49" i="9"/>
  <c r="B49" i="9"/>
  <c r="D48" i="9"/>
  <c r="B48" i="9"/>
  <c r="D47" i="9"/>
  <c r="B47" i="9"/>
  <c r="D46" i="9"/>
  <c r="B46" i="9"/>
  <c r="D45" i="9"/>
  <c r="B45" i="9"/>
  <c r="D44" i="9"/>
  <c r="B44" i="9"/>
  <c r="D43" i="9"/>
  <c r="B43" i="9"/>
  <c r="D42" i="9"/>
  <c r="B42" i="9"/>
  <c r="D41" i="9"/>
  <c r="B41" i="9"/>
  <c r="D40" i="9"/>
  <c r="B40" i="9"/>
  <c r="D39" i="9"/>
  <c r="B39" i="9"/>
  <c r="D38" i="9"/>
  <c r="B38" i="9"/>
  <c r="D37" i="9"/>
  <c r="B37" i="9"/>
  <c r="D36" i="9"/>
  <c r="B36" i="9"/>
  <c r="D35" i="9"/>
  <c r="B35" i="9"/>
  <c r="D34" i="9"/>
  <c r="B34" i="9"/>
  <c r="D33" i="9"/>
  <c r="B33" i="9"/>
  <c r="D32" i="9"/>
  <c r="B32" i="9"/>
  <c r="D31" i="9"/>
  <c r="B31" i="9"/>
  <c r="D30" i="9"/>
  <c r="B30" i="9"/>
  <c r="D29" i="9"/>
  <c r="B29" i="9"/>
  <c r="B618" i="8"/>
  <c r="B597" i="8"/>
  <c r="B576" i="8"/>
  <c r="B555" i="8"/>
  <c r="B534" i="8"/>
  <c r="B513" i="8"/>
  <c r="B492" i="8"/>
  <c r="B471" i="8"/>
  <c r="B450" i="8"/>
  <c r="B429" i="8"/>
  <c r="B408" i="8"/>
  <c r="B387" i="8"/>
  <c r="B366" i="8"/>
  <c r="B345" i="8"/>
  <c r="B324" i="8"/>
  <c r="B303" i="8"/>
  <c r="B282" i="8"/>
  <c r="B261" i="8"/>
  <c r="B240" i="8"/>
  <c r="B219" i="8"/>
  <c r="B198" i="8"/>
  <c r="B177" i="8"/>
  <c r="B156" i="8"/>
  <c r="B135" i="8"/>
  <c r="B114" i="8"/>
  <c r="B93" i="8"/>
  <c r="B72" i="8"/>
  <c r="B47" i="8"/>
  <c r="B26" i="8"/>
  <c r="B5" i="8"/>
  <c r="B908" i="7"/>
  <c r="B887" i="7"/>
  <c r="B866" i="7"/>
  <c r="B845" i="7"/>
  <c r="B824" i="7"/>
  <c r="B803" i="7"/>
  <c r="B782" i="7"/>
  <c r="B761" i="7"/>
  <c r="B740" i="7"/>
  <c r="B719" i="7"/>
  <c r="B698" i="7"/>
  <c r="B677" i="7"/>
  <c r="B656" i="7"/>
  <c r="B635" i="7"/>
  <c r="B614" i="7"/>
  <c r="B593" i="7"/>
  <c r="B572" i="7"/>
  <c r="B551" i="7"/>
  <c r="B530" i="7"/>
  <c r="B509" i="7"/>
  <c r="B488" i="7"/>
  <c r="B467" i="7"/>
  <c r="B446" i="7"/>
  <c r="B425" i="7"/>
  <c r="B404" i="7"/>
  <c r="B383" i="7"/>
  <c r="B354" i="7"/>
  <c r="B331" i="7"/>
  <c r="B309" i="7"/>
  <c r="B288" i="7"/>
  <c r="B266" i="7"/>
  <c r="B245" i="7"/>
  <c r="B224" i="7"/>
  <c r="B199" i="7"/>
  <c r="B178" i="7"/>
  <c r="B157" i="7"/>
  <c r="B132" i="7"/>
  <c r="B111" i="7"/>
  <c r="B90" i="7"/>
  <c r="B69" i="7"/>
  <c r="B48" i="7"/>
  <c r="B27" i="7"/>
  <c r="B5" i="7"/>
  <c r="B390" i="8"/>
  <c r="I390" i="8" s="1"/>
  <c r="B138" i="8"/>
  <c r="I138" i="8" s="1"/>
  <c r="J138" i="8" s="1"/>
  <c r="B285" i="8"/>
  <c r="I285" i="8"/>
  <c r="J285" i="8" s="1"/>
  <c r="K285" i="8" s="1"/>
  <c r="B180" i="8"/>
  <c r="I180" i="8" s="1"/>
  <c r="B474" i="8"/>
  <c r="I474" i="8" s="1"/>
  <c r="B369" i="8"/>
  <c r="I369" i="8" s="1"/>
  <c r="J369" i="8" s="1"/>
  <c r="B306" i="8"/>
  <c r="I306" i="8" s="1"/>
  <c r="J306" i="8" s="1"/>
  <c r="K306" i="8" s="1"/>
  <c r="B222" i="8"/>
  <c r="I222" i="8" s="1"/>
  <c r="J222" i="8" s="1"/>
  <c r="K222" i="8" s="1"/>
  <c r="G222" i="8"/>
  <c r="G223" i="8" s="1"/>
  <c r="G224" i="8" s="1"/>
  <c r="G225" i="8" s="1"/>
  <c r="G226" i="8" s="1"/>
  <c r="G227" i="8" s="1"/>
  <c r="G228" i="8" s="1"/>
  <c r="G229" i="8" s="1"/>
  <c r="G230" i="8" s="1"/>
  <c r="G231" i="8" s="1"/>
  <c r="G232" i="8" s="1"/>
  <c r="G233" i="8" s="1"/>
  <c r="G234" i="8" s="1"/>
  <c r="G235" i="8" s="1"/>
  <c r="G236" i="8" s="1"/>
  <c r="G237" i="8" s="1"/>
  <c r="G238" i="8" s="1"/>
  <c r="Y63" i="1" s="1"/>
  <c r="I66" i="9" s="1"/>
  <c r="B432" i="8"/>
  <c r="I432" i="8" s="1"/>
  <c r="J432" i="8" s="1"/>
  <c r="B159" i="8"/>
  <c r="I159" i="8" s="1"/>
  <c r="J159" i="8" s="1"/>
  <c r="K159" i="8" s="1"/>
  <c r="B117" i="8"/>
  <c r="I117" i="8" s="1"/>
  <c r="J117" i="8" s="1"/>
  <c r="K117" i="8" s="1"/>
  <c r="G75" i="8"/>
  <c r="X56" i="1" s="1"/>
  <c r="H59" i="9" s="1"/>
  <c r="I76" i="8"/>
  <c r="J76" i="8" s="1"/>
  <c r="G50" i="8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B29" i="8"/>
  <c r="I29" i="8" s="1"/>
  <c r="J29" i="8" s="1"/>
  <c r="K29" i="8" s="1"/>
  <c r="B8" i="8"/>
  <c r="I8" i="8" s="1"/>
  <c r="J8" i="8" s="1"/>
  <c r="K8" i="8" s="1"/>
  <c r="K449" i="7"/>
  <c r="B386" i="7"/>
  <c r="I386" i="7" s="1"/>
  <c r="J386" i="7" s="1"/>
  <c r="K386" i="7" s="1"/>
  <c r="B357" i="7"/>
  <c r="I357" i="7" s="1"/>
  <c r="J357" i="7" s="1"/>
  <c r="K357" i="7" s="1"/>
  <c r="B334" i="7"/>
  <c r="I334" i="7" s="1"/>
  <c r="J334" i="7" s="1"/>
  <c r="K334" i="7" s="1"/>
  <c r="B312" i="7"/>
  <c r="I312" i="7" s="1"/>
  <c r="J312" i="7" s="1"/>
  <c r="B291" i="7"/>
  <c r="I291" i="7" s="1"/>
  <c r="J291" i="7" s="1"/>
  <c r="K291" i="7" s="1"/>
  <c r="B269" i="7"/>
  <c r="I269" i="7" s="1"/>
  <c r="J269" i="7" s="1"/>
  <c r="K269" i="7" s="1"/>
  <c r="B248" i="7"/>
  <c r="I248" i="7" s="1"/>
  <c r="J248" i="7" s="1"/>
  <c r="K248" i="7" s="1"/>
  <c r="B227" i="7"/>
  <c r="I227" i="7" s="1"/>
  <c r="J227" i="7" s="1"/>
  <c r="K227" i="7" s="1"/>
  <c r="B202" i="7"/>
  <c r="I202" i="7" s="1"/>
  <c r="J202" i="7" s="1"/>
  <c r="K202" i="7" s="1"/>
  <c r="B181" i="7"/>
  <c r="I181" i="7" s="1"/>
  <c r="J181" i="7" s="1"/>
  <c r="B160" i="7"/>
  <c r="I160" i="7" s="1"/>
  <c r="J160" i="7" s="1"/>
  <c r="K160" i="7" s="1"/>
  <c r="B135" i="7"/>
  <c r="I135" i="7" s="1"/>
  <c r="J135" i="7" s="1"/>
  <c r="K135" i="7" s="1"/>
  <c r="B114" i="7"/>
  <c r="I114" i="7" s="1"/>
  <c r="J114" i="7" s="1"/>
  <c r="K114" i="7" s="1"/>
  <c r="B93" i="7"/>
  <c r="I93" i="7" s="1"/>
  <c r="J93" i="7" s="1"/>
  <c r="K93" i="7" s="1"/>
  <c r="B72" i="7"/>
  <c r="I72" i="7" s="1"/>
  <c r="J72" i="7" s="1"/>
  <c r="K72" i="7" s="1"/>
  <c r="B30" i="7"/>
  <c r="I30" i="7" s="1"/>
  <c r="J30" i="7" s="1"/>
  <c r="K30" i="7" s="1"/>
  <c r="G621" i="8"/>
  <c r="X82" i="1" s="1"/>
  <c r="G600" i="8"/>
  <c r="G601" i="8" s="1"/>
  <c r="G602" i="8" s="1"/>
  <c r="G603" i="8" s="1"/>
  <c r="G604" i="8" s="1"/>
  <c r="G605" i="8" s="1"/>
  <c r="G606" i="8" s="1"/>
  <c r="G607" i="8" s="1"/>
  <c r="G608" i="8" s="1"/>
  <c r="G609" i="8" s="1"/>
  <c r="G610" i="8" s="1"/>
  <c r="G611" i="8" s="1"/>
  <c r="G612" i="8" s="1"/>
  <c r="G613" i="8" s="1"/>
  <c r="G614" i="8" s="1"/>
  <c r="G615" i="8" s="1"/>
  <c r="G616" i="8" s="1"/>
  <c r="Y81" i="1" s="1"/>
  <c r="I84" i="9" s="1"/>
  <c r="G579" i="8"/>
  <c r="G580" i="8" s="1"/>
  <c r="G581" i="8" s="1"/>
  <c r="G582" i="8" s="1"/>
  <c r="G583" i="8" s="1"/>
  <c r="G584" i="8" s="1"/>
  <c r="G585" i="8" s="1"/>
  <c r="G586" i="8" s="1"/>
  <c r="G587" i="8" s="1"/>
  <c r="G588" i="8" s="1"/>
  <c r="G589" i="8" s="1"/>
  <c r="G590" i="8" s="1"/>
  <c r="G591" i="8" s="1"/>
  <c r="G592" i="8" s="1"/>
  <c r="G593" i="8" s="1"/>
  <c r="G594" i="8" s="1"/>
  <c r="G595" i="8" s="1"/>
  <c r="Y80" i="1" s="1"/>
  <c r="I83" i="9" s="1"/>
  <c r="G558" i="8"/>
  <c r="X79" i="1" s="1"/>
  <c r="G537" i="8"/>
  <c r="X78" i="1" s="1"/>
  <c r="G516" i="8"/>
  <c r="X77" i="1" s="1"/>
  <c r="G495" i="8"/>
  <c r="G453" i="8"/>
  <c r="G454" i="8" s="1"/>
  <c r="G455" i="8" s="1"/>
  <c r="G456" i="8" s="1"/>
  <c r="G457" i="8" s="1"/>
  <c r="G458" i="8" s="1"/>
  <c r="G459" i="8" s="1"/>
  <c r="G460" i="8" s="1"/>
  <c r="G461" i="8" s="1"/>
  <c r="G462" i="8" s="1"/>
  <c r="G463" i="8" s="1"/>
  <c r="G464" i="8" s="1"/>
  <c r="G465" i="8" s="1"/>
  <c r="G466" i="8" s="1"/>
  <c r="G467" i="8" s="1"/>
  <c r="G468" i="8" s="1"/>
  <c r="G469" i="8" s="1"/>
  <c r="Y74" i="1" s="1"/>
  <c r="I77" i="9" s="1"/>
  <c r="G432" i="8"/>
  <c r="X73" i="1" s="1"/>
  <c r="H76" i="9" s="1"/>
  <c r="G411" i="8"/>
  <c r="X72" i="1" s="1"/>
  <c r="H75" i="9" s="1"/>
  <c r="G369" i="8"/>
  <c r="X70" i="1" s="1"/>
  <c r="H73" i="9" s="1"/>
  <c r="G348" i="8"/>
  <c r="X69" i="1" s="1"/>
  <c r="H72" i="9" s="1"/>
  <c r="G327" i="8"/>
  <c r="X68" i="1" s="1"/>
  <c r="H71" i="9" s="1"/>
  <c r="G306" i="8"/>
  <c r="G307" i="8" s="1"/>
  <c r="G285" i="8"/>
  <c r="G286" i="8" s="1"/>
  <c r="G243" i="8"/>
  <c r="X64" i="1" s="1"/>
  <c r="H67" i="9" s="1"/>
  <c r="G201" i="8"/>
  <c r="X62" i="1" s="1"/>
  <c r="H65" i="9" s="1"/>
  <c r="G138" i="8"/>
  <c r="X59" i="1" s="1"/>
  <c r="G117" i="8"/>
  <c r="X58" i="1" s="1"/>
  <c r="H61" i="9" s="1"/>
  <c r="G29" i="8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8" i="8"/>
  <c r="X53" i="1" s="1"/>
  <c r="E619" i="8"/>
  <c r="C619" i="8"/>
  <c r="E598" i="8"/>
  <c r="C598" i="8"/>
  <c r="E577" i="8"/>
  <c r="C577" i="8"/>
  <c r="E556" i="8"/>
  <c r="C556" i="8"/>
  <c r="E535" i="8"/>
  <c r="C535" i="8"/>
  <c r="E514" i="8"/>
  <c r="C514" i="8"/>
  <c r="C493" i="8"/>
  <c r="E472" i="8"/>
  <c r="C472" i="8"/>
  <c r="E451" i="8"/>
  <c r="C451" i="8"/>
  <c r="E430" i="8"/>
  <c r="C430" i="8"/>
  <c r="E409" i="8"/>
  <c r="C409" i="8"/>
  <c r="E388" i="8"/>
  <c r="C388" i="8"/>
  <c r="E367" i="8"/>
  <c r="C367" i="8"/>
  <c r="E346" i="8"/>
  <c r="C346" i="8"/>
  <c r="E325" i="8"/>
  <c r="C325" i="8"/>
  <c r="E304" i="8"/>
  <c r="C304" i="8"/>
  <c r="E283" i="8"/>
  <c r="C283" i="8"/>
  <c r="E262" i="8"/>
  <c r="C262" i="8"/>
  <c r="E241" i="8"/>
  <c r="C241" i="8"/>
  <c r="E220" i="8"/>
  <c r="C220" i="8"/>
  <c r="E199" i="8"/>
  <c r="C199" i="8"/>
  <c r="E178" i="8"/>
  <c r="C178" i="8"/>
  <c r="E157" i="8"/>
  <c r="C157" i="8"/>
  <c r="E136" i="8"/>
  <c r="C136" i="8"/>
  <c r="E115" i="8"/>
  <c r="C115" i="8"/>
  <c r="E94" i="8"/>
  <c r="C94" i="8"/>
  <c r="E73" i="8"/>
  <c r="C73" i="8"/>
  <c r="E48" i="8"/>
  <c r="C48" i="8"/>
  <c r="E27" i="8"/>
  <c r="C27" i="8"/>
  <c r="E6" i="8"/>
  <c r="C6" i="8"/>
  <c r="F637" i="8"/>
  <c r="E637" i="8"/>
  <c r="I636" i="8"/>
  <c r="J636" i="8" s="1"/>
  <c r="I635" i="8"/>
  <c r="J635" i="8" s="1"/>
  <c r="I634" i="8"/>
  <c r="J634" i="8" s="1"/>
  <c r="I633" i="8"/>
  <c r="J633" i="8" s="1"/>
  <c r="I632" i="8"/>
  <c r="J632" i="8" s="1"/>
  <c r="I631" i="8"/>
  <c r="J631" i="8" s="1"/>
  <c r="I630" i="8"/>
  <c r="J630" i="8" s="1"/>
  <c r="I629" i="8"/>
  <c r="J629" i="8" s="1"/>
  <c r="I628" i="8"/>
  <c r="J628" i="8" s="1"/>
  <c r="I627" i="8"/>
  <c r="J627" i="8" s="1"/>
  <c r="I626" i="8"/>
  <c r="J626" i="8" s="1"/>
  <c r="I625" i="8"/>
  <c r="J625" i="8" s="1"/>
  <c r="I624" i="8"/>
  <c r="J624" i="8" s="1"/>
  <c r="I623" i="8"/>
  <c r="J623" i="8" s="1"/>
  <c r="I622" i="8"/>
  <c r="J622" i="8" s="1"/>
  <c r="B621" i="8"/>
  <c r="I621" i="8" s="1"/>
  <c r="J621" i="8" s="1"/>
  <c r="K621" i="8" s="1"/>
  <c r="F616" i="8"/>
  <c r="E616" i="8"/>
  <c r="I615" i="8"/>
  <c r="J615" i="8" s="1"/>
  <c r="I614" i="8"/>
  <c r="J614" i="8" s="1"/>
  <c r="I613" i="8"/>
  <c r="J613" i="8" s="1"/>
  <c r="I612" i="8"/>
  <c r="J612" i="8" s="1"/>
  <c r="I611" i="8"/>
  <c r="J611" i="8" s="1"/>
  <c r="I610" i="8"/>
  <c r="J610" i="8" s="1"/>
  <c r="I609" i="8"/>
  <c r="J609" i="8" s="1"/>
  <c r="I608" i="8"/>
  <c r="J608" i="8" s="1"/>
  <c r="I607" i="8"/>
  <c r="J607" i="8" s="1"/>
  <c r="I606" i="8"/>
  <c r="J606" i="8" s="1"/>
  <c r="I605" i="8"/>
  <c r="J605" i="8" s="1"/>
  <c r="I604" i="8"/>
  <c r="J604" i="8" s="1"/>
  <c r="I603" i="8"/>
  <c r="J603" i="8" s="1"/>
  <c r="I602" i="8"/>
  <c r="J602" i="8" s="1"/>
  <c r="I601" i="8"/>
  <c r="J601" i="8" s="1"/>
  <c r="B600" i="8"/>
  <c r="I600" i="8" s="1"/>
  <c r="J600" i="8" s="1"/>
  <c r="K600" i="8" s="1"/>
  <c r="F595" i="8"/>
  <c r="E595" i="8"/>
  <c r="I594" i="8"/>
  <c r="J594" i="8" s="1"/>
  <c r="I593" i="8"/>
  <c r="J593" i="8" s="1"/>
  <c r="I592" i="8"/>
  <c r="J592" i="8" s="1"/>
  <c r="I591" i="8"/>
  <c r="J591" i="8" s="1"/>
  <c r="I590" i="8"/>
  <c r="J590" i="8" s="1"/>
  <c r="I589" i="8"/>
  <c r="J589" i="8" s="1"/>
  <c r="I588" i="8"/>
  <c r="J588" i="8" s="1"/>
  <c r="I587" i="8"/>
  <c r="J587" i="8" s="1"/>
  <c r="I586" i="8"/>
  <c r="J586" i="8" s="1"/>
  <c r="I585" i="8"/>
  <c r="J585" i="8" s="1"/>
  <c r="I584" i="8"/>
  <c r="J584" i="8" s="1"/>
  <c r="I583" i="8"/>
  <c r="J583" i="8" s="1"/>
  <c r="I582" i="8"/>
  <c r="J582" i="8" s="1"/>
  <c r="I581" i="8"/>
  <c r="J581" i="8" s="1"/>
  <c r="I580" i="8"/>
  <c r="J580" i="8" s="1"/>
  <c r="B579" i="8"/>
  <c r="I579" i="8" s="1"/>
  <c r="J579" i="8" s="1"/>
  <c r="F574" i="8"/>
  <c r="E574" i="8"/>
  <c r="I573" i="8"/>
  <c r="J573" i="8" s="1"/>
  <c r="I572" i="8"/>
  <c r="J572" i="8" s="1"/>
  <c r="I571" i="8"/>
  <c r="J571" i="8" s="1"/>
  <c r="I570" i="8"/>
  <c r="J570" i="8" s="1"/>
  <c r="I569" i="8"/>
  <c r="J569" i="8" s="1"/>
  <c r="I568" i="8"/>
  <c r="J568" i="8" s="1"/>
  <c r="I567" i="8"/>
  <c r="J567" i="8" s="1"/>
  <c r="I566" i="8"/>
  <c r="J566" i="8" s="1"/>
  <c r="I565" i="8"/>
  <c r="J565" i="8" s="1"/>
  <c r="I564" i="8"/>
  <c r="J564" i="8" s="1"/>
  <c r="I563" i="8"/>
  <c r="J563" i="8" s="1"/>
  <c r="I562" i="8"/>
  <c r="J562" i="8" s="1"/>
  <c r="I561" i="8"/>
  <c r="J561" i="8" s="1"/>
  <c r="I560" i="8"/>
  <c r="J560" i="8" s="1"/>
  <c r="I559" i="8"/>
  <c r="J559" i="8" s="1"/>
  <c r="B558" i="8"/>
  <c r="I558" i="8" s="1"/>
  <c r="J558" i="8" s="1"/>
  <c r="K558" i="8" s="1"/>
  <c r="F553" i="8"/>
  <c r="E553" i="8"/>
  <c r="I552" i="8"/>
  <c r="J552" i="8" s="1"/>
  <c r="I551" i="8"/>
  <c r="J551" i="8" s="1"/>
  <c r="I550" i="8"/>
  <c r="J550" i="8" s="1"/>
  <c r="I549" i="8"/>
  <c r="J549" i="8" s="1"/>
  <c r="I548" i="8"/>
  <c r="J548" i="8" s="1"/>
  <c r="I547" i="8"/>
  <c r="J547" i="8" s="1"/>
  <c r="I546" i="8"/>
  <c r="J546" i="8" s="1"/>
  <c r="I545" i="8"/>
  <c r="J545" i="8" s="1"/>
  <c r="I544" i="8"/>
  <c r="J544" i="8" s="1"/>
  <c r="I543" i="8"/>
  <c r="J543" i="8" s="1"/>
  <c r="I542" i="8"/>
  <c r="J542" i="8" s="1"/>
  <c r="I541" i="8"/>
  <c r="J541" i="8" s="1"/>
  <c r="I540" i="8"/>
  <c r="J540" i="8" s="1"/>
  <c r="I539" i="8"/>
  <c r="J539" i="8" s="1"/>
  <c r="I538" i="8"/>
  <c r="J538" i="8" s="1"/>
  <c r="B537" i="8"/>
  <c r="I537" i="8" s="1"/>
  <c r="J537" i="8" s="1"/>
  <c r="K537" i="8" s="1"/>
  <c r="F532" i="8"/>
  <c r="E532" i="8"/>
  <c r="I531" i="8"/>
  <c r="J531" i="8" s="1"/>
  <c r="I530" i="8"/>
  <c r="J530" i="8" s="1"/>
  <c r="I529" i="8"/>
  <c r="J529" i="8" s="1"/>
  <c r="I528" i="8"/>
  <c r="J528" i="8" s="1"/>
  <c r="I527" i="8"/>
  <c r="J527" i="8" s="1"/>
  <c r="I526" i="8"/>
  <c r="J526" i="8" s="1"/>
  <c r="I525" i="8"/>
  <c r="J525" i="8" s="1"/>
  <c r="I524" i="8"/>
  <c r="J524" i="8" s="1"/>
  <c r="I523" i="8"/>
  <c r="J523" i="8" s="1"/>
  <c r="I522" i="8"/>
  <c r="J522" i="8" s="1"/>
  <c r="I521" i="8"/>
  <c r="J521" i="8" s="1"/>
  <c r="I520" i="8"/>
  <c r="J520" i="8" s="1"/>
  <c r="I519" i="8"/>
  <c r="J519" i="8" s="1"/>
  <c r="I518" i="8"/>
  <c r="J518" i="8" s="1"/>
  <c r="I517" i="8"/>
  <c r="J517" i="8" s="1"/>
  <c r="B516" i="8"/>
  <c r="I516" i="8" s="1"/>
  <c r="J516" i="8" s="1"/>
  <c r="K516" i="8" s="1"/>
  <c r="F511" i="8"/>
  <c r="Y76" i="1" s="1"/>
  <c r="I79" i="9" s="1"/>
  <c r="E511" i="8"/>
  <c r="I510" i="8"/>
  <c r="J510" i="8" s="1"/>
  <c r="I509" i="8"/>
  <c r="J509" i="8" s="1"/>
  <c r="I508" i="8"/>
  <c r="J508" i="8" s="1"/>
  <c r="I507" i="8"/>
  <c r="J507" i="8" s="1"/>
  <c r="I506" i="8"/>
  <c r="J506" i="8" s="1"/>
  <c r="I505" i="8"/>
  <c r="J505" i="8" s="1"/>
  <c r="I504" i="8"/>
  <c r="J504" i="8" s="1"/>
  <c r="I503" i="8"/>
  <c r="J503" i="8" s="1"/>
  <c r="I502" i="8"/>
  <c r="J502" i="8" s="1"/>
  <c r="I501" i="8"/>
  <c r="J501" i="8" s="1"/>
  <c r="I500" i="8"/>
  <c r="J500" i="8" s="1"/>
  <c r="I499" i="8"/>
  <c r="J499" i="8" s="1"/>
  <c r="I498" i="8"/>
  <c r="J498" i="8" s="1"/>
  <c r="I497" i="8"/>
  <c r="J497" i="8" s="1"/>
  <c r="I496" i="8"/>
  <c r="J496" i="8" s="1"/>
  <c r="I495" i="8"/>
  <c r="J495" i="8" s="1"/>
  <c r="K495" i="8" s="1"/>
  <c r="E490" i="8"/>
  <c r="I489" i="8"/>
  <c r="J489" i="8" s="1"/>
  <c r="I488" i="8"/>
  <c r="J488" i="8" s="1"/>
  <c r="I487" i="8"/>
  <c r="J487" i="8" s="1"/>
  <c r="I486" i="8"/>
  <c r="J486" i="8" s="1"/>
  <c r="I485" i="8"/>
  <c r="J485" i="8" s="1"/>
  <c r="I484" i="8"/>
  <c r="J484" i="8" s="1"/>
  <c r="I483" i="8"/>
  <c r="J483" i="8" s="1"/>
  <c r="I482" i="8"/>
  <c r="J482" i="8" s="1"/>
  <c r="I481" i="8"/>
  <c r="J481" i="8" s="1"/>
  <c r="I480" i="8"/>
  <c r="J480" i="8" s="1"/>
  <c r="I479" i="8"/>
  <c r="J479" i="8" s="1"/>
  <c r="I478" i="8"/>
  <c r="J478" i="8" s="1"/>
  <c r="I477" i="8"/>
  <c r="J477" i="8" s="1"/>
  <c r="I476" i="8"/>
  <c r="I475" i="8"/>
  <c r="E469" i="8"/>
  <c r="I468" i="8"/>
  <c r="J468" i="8" s="1"/>
  <c r="I467" i="8"/>
  <c r="J467" i="8" s="1"/>
  <c r="I466" i="8"/>
  <c r="J466" i="8" s="1"/>
  <c r="I465" i="8"/>
  <c r="J465" i="8" s="1"/>
  <c r="I464" i="8"/>
  <c r="J464" i="8" s="1"/>
  <c r="I463" i="8"/>
  <c r="J463" i="8" s="1"/>
  <c r="I462" i="8"/>
  <c r="J462" i="8" s="1"/>
  <c r="I461" i="8"/>
  <c r="J461" i="8" s="1"/>
  <c r="I460" i="8"/>
  <c r="J460" i="8" s="1"/>
  <c r="I459" i="8"/>
  <c r="J459" i="8" s="1"/>
  <c r="I458" i="8"/>
  <c r="J458" i="8" s="1"/>
  <c r="I457" i="8"/>
  <c r="J457" i="8" s="1"/>
  <c r="I456" i="8"/>
  <c r="J456" i="8" s="1"/>
  <c r="I455" i="8"/>
  <c r="J455" i="8" s="1"/>
  <c r="I454" i="8"/>
  <c r="B453" i="8"/>
  <c r="I453" i="8" s="1"/>
  <c r="J453" i="8" s="1"/>
  <c r="E448" i="8"/>
  <c r="I447" i="8"/>
  <c r="J447" i="8" s="1"/>
  <c r="I446" i="8"/>
  <c r="J446" i="8" s="1"/>
  <c r="I445" i="8"/>
  <c r="J445" i="8" s="1"/>
  <c r="I444" i="8"/>
  <c r="J444" i="8" s="1"/>
  <c r="I443" i="8"/>
  <c r="J443" i="8" s="1"/>
  <c r="I442" i="8"/>
  <c r="J442" i="8" s="1"/>
  <c r="I441" i="8"/>
  <c r="J441" i="8" s="1"/>
  <c r="I440" i="8"/>
  <c r="J440" i="8" s="1"/>
  <c r="I439" i="8"/>
  <c r="J439" i="8" s="1"/>
  <c r="I438" i="8"/>
  <c r="J438" i="8" s="1"/>
  <c r="I437" i="8"/>
  <c r="J437" i="8" s="1"/>
  <c r="I436" i="8"/>
  <c r="J436" i="8" s="1"/>
  <c r="I435" i="8"/>
  <c r="J435" i="8" s="1"/>
  <c r="I434" i="8"/>
  <c r="J434" i="8" s="1"/>
  <c r="I433" i="8"/>
  <c r="E427" i="8"/>
  <c r="I426" i="8"/>
  <c r="J426" i="8" s="1"/>
  <c r="I425" i="8"/>
  <c r="J425" i="8" s="1"/>
  <c r="I424" i="8"/>
  <c r="J424" i="8" s="1"/>
  <c r="I423" i="8"/>
  <c r="J423" i="8" s="1"/>
  <c r="I422" i="8"/>
  <c r="J422" i="8" s="1"/>
  <c r="I421" i="8"/>
  <c r="J421" i="8" s="1"/>
  <c r="I420" i="8"/>
  <c r="J420" i="8" s="1"/>
  <c r="I419" i="8"/>
  <c r="J419" i="8" s="1"/>
  <c r="I418" i="8"/>
  <c r="J418" i="8" s="1"/>
  <c r="I417" i="8"/>
  <c r="J417" i="8" s="1"/>
  <c r="I416" i="8"/>
  <c r="J416" i="8" s="1"/>
  <c r="I415" i="8"/>
  <c r="J415" i="8" s="1"/>
  <c r="I414" i="8"/>
  <c r="J414" i="8" s="1"/>
  <c r="I413" i="8"/>
  <c r="I412" i="8"/>
  <c r="J412" i="8" s="1"/>
  <c r="B411" i="8"/>
  <c r="I411" i="8" s="1"/>
  <c r="J411" i="8" s="1"/>
  <c r="K411" i="8" s="1"/>
  <c r="E406" i="8"/>
  <c r="I405" i="8"/>
  <c r="J405" i="8" s="1"/>
  <c r="I404" i="8"/>
  <c r="J404" i="8" s="1"/>
  <c r="I403" i="8"/>
  <c r="J403" i="8" s="1"/>
  <c r="I402" i="8"/>
  <c r="J402" i="8" s="1"/>
  <c r="I401" i="8"/>
  <c r="J401" i="8" s="1"/>
  <c r="I400" i="8"/>
  <c r="J400" i="8" s="1"/>
  <c r="I399" i="8"/>
  <c r="J399" i="8" s="1"/>
  <c r="I398" i="8"/>
  <c r="J398" i="8" s="1"/>
  <c r="I397" i="8"/>
  <c r="J397" i="8" s="1"/>
  <c r="I396" i="8"/>
  <c r="J396" i="8" s="1"/>
  <c r="I395" i="8"/>
  <c r="J395" i="8" s="1"/>
  <c r="I394" i="8"/>
  <c r="J394" i="8" s="1"/>
  <c r="I393" i="8"/>
  <c r="J393" i="8" s="1"/>
  <c r="I392" i="8"/>
  <c r="I391" i="8"/>
  <c r="E385" i="8"/>
  <c r="I384" i="8"/>
  <c r="J384" i="8" s="1"/>
  <c r="I383" i="8"/>
  <c r="J383" i="8" s="1"/>
  <c r="I382" i="8"/>
  <c r="J382" i="8" s="1"/>
  <c r="I381" i="8"/>
  <c r="J381" i="8" s="1"/>
  <c r="I380" i="8"/>
  <c r="J380" i="8" s="1"/>
  <c r="I379" i="8"/>
  <c r="J379" i="8" s="1"/>
  <c r="I378" i="8"/>
  <c r="J378" i="8" s="1"/>
  <c r="I377" i="8"/>
  <c r="J377" i="8" s="1"/>
  <c r="I376" i="8"/>
  <c r="J376" i="8" s="1"/>
  <c r="I375" i="8"/>
  <c r="J375" i="8" s="1"/>
  <c r="I374" i="8"/>
  <c r="J374" i="8" s="1"/>
  <c r="I373" i="8"/>
  <c r="J373" i="8" s="1"/>
  <c r="I372" i="8"/>
  <c r="J372" i="8" s="1"/>
  <c r="I371" i="8"/>
  <c r="J371" i="8" s="1"/>
  <c r="I370" i="8"/>
  <c r="J370" i="8" s="1"/>
  <c r="E364" i="8"/>
  <c r="I363" i="8"/>
  <c r="J363" i="8" s="1"/>
  <c r="I362" i="8"/>
  <c r="J362" i="8" s="1"/>
  <c r="I361" i="8"/>
  <c r="J361" i="8" s="1"/>
  <c r="I360" i="8"/>
  <c r="J360" i="8" s="1"/>
  <c r="I359" i="8"/>
  <c r="J359" i="8" s="1"/>
  <c r="I358" i="8"/>
  <c r="J358" i="8" s="1"/>
  <c r="I357" i="8"/>
  <c r="J357" i="8" s="1"/>
  <c r="I356" i="8"/>
  <c r="J356" i="8" s="1"/>
  <c r="I355" i="8"/>
  <c r="J355" i="8" s="1"/>
  <c r="I354" i="8"/>
  <c r="J354" i="8" s="1"/>
  <c r="I353" i="8"/>
  <c r="J353" i="8" s="1"/>
  <c r="I352" i="8"/>
  <c r="J352" i="8" s="1"/>
  <c r="I351" i="8"/>
  <c r="J351" i="8" s="1"/>
  <c r="I350" i="8"/>
  <c r="J350" i="8" s="1"/>
  <c r="I349" i="8"/>
  <c r="J349" i="8" s="1"/>
  <c r="B348" i="8"/>
  <c r="I348" i="8" s="1"/>
  <c r="J348" i="8" s="1"/>
  <c r="E343" i="8"/>
  <c r="I342" i="8"/>
  <c r="J342" i="8" s="1"/>
  <c r="I341" i="8"/>
  <c r="J341" i="8" s="1"/>
  <c r="I340" i="8"/>
  <c r="J340" i="8" s="1"/>
  <c r="I339" i="8"/>
  <c r="J339" i="8" s="1"/>
  <c r="I338" i="8"/>
  <c r="J338" i="8" s="1"/>
  <c r="I337" i="8"/>
  <c r="J337" i="8" s="1"/>
  <c r="I336" i="8"/>
  <c r="J336" i="8" s="1"/>
  <c r="I335" i="8"/>
  <c r="J335" i="8" s="1"/>
  <c r="I334" i="8"/>
  <c r="J334" i="8" s="1"/>
  <c r="I333" i="8"/>
  <c r="J333" i="8" s="1"/>
  <c r="I332" i="8"/>
  <c r="J332" i="8" s="1"/>
  <c r="I331" i="8"/>
  <c r="J331" i="8" s="1"/>
  <c r="I330" i="8"/>
  <c r="I329" i="8"/>
  <c r="J329" i="8" s="1"/>
  <c r="I328" i="8"/>
  <c r="J328" i="8" s="1"/>
  <c r="I327" i="8"/>
  <c r="J327" i="8" s="1"/>
  <c r="K327" i="8" s="1"/>
  <c r="I321" i="8"/>
  <c r="J321" i="8" s="1"/>
  <c r="I320" i="8"/>
  <c r="J320" i="8" s="1"/>
  <c r="I319" i="8"/>
  <c r="J319" i="8" s="1"/>
  <c r="I318" i="8"/>
  <c r="J318" i="8" s="1"/>
  <c r="I317" i="8"/>
  <c r="J317" i="8" s="1"/>
  <c r="I316" i="8"/>
  <c r="J316" i="8" s="1"/>
  <c r="I315" i="8"/>
  <c r="J315" i="8" s="1"/>
  <c r="I314" i="8"/>
  <c r="J314" i="8" s="1"/>
  <c r="I313" i="8"/>
  <c r="J313" i="8" s="1"/>
  <c r="I312" i="8"/>
  <c r="J312" i="8" s="1"/>
  <c r="I311" i="8"/>
  <c r="J311" i="8" s="1"/>
  <c r="I310" i="8"/>
  <c r="J310" i="8" s="1"/>
  <c r="I309" i="8"/>
  <c r="I308" i="8"/>
  <c r="I307" i="8"/>
  <c r="J307" i="8" s="1"/>
  <c r="E301" i="8"/>
  <c r="I300" i="8"/>
  <c r="J300" i="8" s="1"/>
  <c r="I299" i="8"/>
  <c r="J299" i="8" s="1"/>
  <c r="I298" i="8"/>
  <c r="J298" i="8" s="1"/>
  <c r="I297" i="8"/>
  <c r="J297" i="8" s="1"/>
  <c r="I296" i="8"/>
  <c r="J296" i="8" s="1"/>
  <c r="I295" i="8"/>
  <c r="J295" i="8" s="1"/>
  <c r="I294" i="8"/>
  <c r="J294" i="8" s="1"/>
  <c r="I293" i="8"/>
  <c r="J293" i="8" s="1"/>
  <c r="I292" i="8"/>
  <c r="J292" i="8" s="1"/>
  <c r="I291" i="8"/>
  <c r="J291" i="8" s="1"/>
  <c r="I290" i="8"/>
  <c r="J290" i="8" s="1"/>
  <c r="I289" i="8"/>
  <c r="J289" i="8" s="1"/>
  <c r="I288" i="8"/>
  <c r="I287" i="8"/>
  <c r="I286" i="8"/>
  <c r="J286" i="8" s="1"/>
  <c r="E280" i="8"/>
  <c r="I279" i="8"/>
  <c r="J279" i="8" s="1"/>
  <c r="I278" i="8"/>
  <c r="J278" i="8" s="1"/>
  <c r="I277" i="8"/>
  <c r="J277" i="8" s="1"/>
  <c r="I276" i="8"/>
  <c r="J276" i="8" s="1"/>
  <c r="I275" i="8"/>
  <c r="J275" i="8" s="1"/>
  <c r="I274" i="8"/>
  <c r="J274" i="8" s="1"/>
  <c r="I273" i="8"/>
  <c r="J273" i="8" s="1"/>
  <c r="I272" i="8"/>
  <c r="J272" i="8" s="1"/>
  <c r="I271" i="8"/>
  <c r="J271" i="8" s="1"/>
  <c r="I270" i="8"/>
  <c r="J270" i="8" s="1"/>
  <c r="I269" i="8"/>
  <c r="J269" i="8" s="1"/>
  <c r="I268" i="8"/>
  <c r="J268" i="8" s="1"/>
  <c r="I267" i="8"/>
  <c r="J267" i="8" s="1"/>
  <c r="I266" i="8"/>
  <c r="I265" i="8"/>
  <c r="B264" i="8"/>
  <c r="I264" i="8" s="1"/>
  <c r="F259" i="8"/>
  <c r="E259" i="8"/>
  <c r="I258" i="8"/>
  <c r="J258" i="8" s="1"/>
  <c r="I257" i="8"/>
  <c r="J257" i="8" s="1"/>
  <c r="I256" i="8"/>
  <c r="J256" i="8" s="1"/>
  <c r="I255" i="8"/>
  <c r="J255" i="8" s="1"/>
  <c r="I254" i="8"/>
  <c r="J254" i="8" s="1"/>
  <c r="I253" i="8"/>
  <c r="J253" i="8" s="1"/>
  <c r="I252" i="8"/>
  <c r="J252" i="8" s="1"/>
  <c r="I251" i="8"/>
  <c r="J251" i="8" s="1"/>
  <c r="I250" i="8"/>
  <c r="J250" i="8" s="1"/>
  <c r="I249" i="8"/>
  <c r="J249" i="8" s="1"/>
  <c r="I248" i="8"/>
  <c r="J248" i="8" s="1"/>
  <c r="I247" i="8"/>
  <c r="J247" i="8" s="1"/>
  <c r="I246" i="8"/>
  <c r="J246" i="8" s="1"/>
  <c r="I245" i="8"/>
  <c r="J245" i="8" s="1"/>
  <c r="I244" i="8"/>
  <c r="J244" i="8" s="1"/>
  <c r="B243" i="8"/>
  <c r="I243" i="8" s="1"/>
  <c r="J243" i="8" s="1"/>
  <c r="E238" i="8"/>
  <c r="I237" i="8"/>
  <c r="J237" i="8" s="1"/>
  <c r="I236" i="8"/>
  <c r="J236" i="8" s="1"/>
  <c r="I235" i="8"/>
  <c r="J235" i="8" s="1"/>
  <c r="I234" i="8"/>
  <c r="J234" i="8" s="1"/>
  <c r="I233" i="8"/>
  <c r="J233" i="8" s="1"/>
  <c r="I232" i="8"/>
  <c r="J232" i="8" s="1"/>
  <c r="I231" i="8"/>
  <c r="J231" i="8" s="1"/>
  <c r="I230" i="8"/>
  <c r="J230" i="8" s="1"/>
  <c r="I229" i="8"/>
  <c r="J229" i="8" s="1"/>
  <c r="I228" i="8"/>
  <c r="J228" i="8" s="1"/>
  <c r="I227" i="8"/>
  <c r="J227" i="8" s="1"/>
  <c r="I226" i="8"/>
  <c r="J226" i="8" s="1"/>
  <c r="I225" i="8"/>
  <c r="J225" i="8" s="1"/>
  <c r="I224" i="8"/>
  <c r="J224" i="8" s="1"/>
  <c r="I223" i="8"/>
  <c r="J223" i="8" s="1"/>
  <c r="E217" i="8"/>
  <c r="I216" i="8"/>
  <c r="J216" i="8" s="1"/>
  <c r="I215" i="8"/>
  <c r="J215" i="8" s="1"/>
  <c r="I214" i="8"/>
  <c r="J214" i="8" s="1"/>
  <c r="I213" i="8"/>
  <c r="J213" i="8" s="1"/>
  <c r="I212" i="8"/>
  <c r="J212" i="8" s="1"/>
  <c r="I211" i="8"/>
  <c r="J211" i="8" s="1"/>
  <c r="I210" i="8"/>
  <c r="J210" i="8" s="1"/>
  <c r="I209" i="8"/>
  <c r="J209" i="8" s="1"/>
  <c r="I208" i="8"/>
  <c r="J208" i="8" s="1"/>
  <c r="I207" i="8"/>
  <c r="J207" i="8" s="1"/>
  <c r="I206" i="8"/>
  <c r="J206" i="8" s="1"/>
  <c r="I205" i="8"/>
  <c r="J205" i="8" s="1"/>
  <c r="I204" i="8"/>
  <c r="J204" i="8" s="1"/>
  <c r="I203" i="8"/>
  <c r="I202" i="8"/>
  <c r="B201" i="8"/>
  <c r="I201" i="8" s="1"/>
  <c r="J201" i="8" s="1"/>
  <c r="E196" i="8"/>
  <c r="I195" i="8"/>
  <c r="J195" i="8" s="1"/>
  <c r="I194" i="8"/>
  <c r="J194" i="8" s="1"/>
  <c r="I193" i="8"/>
  <c r="J193" i="8" s="1"/>
  <c r="I192" i="8"/>
  <c r="J192" i="8" s="1"/>
  <c r="I191" i="8"/>
  <c r="J191" i="8" s="1"/>
  <c r="I190" i="8"/>
  <c r="J190" i="8" s="1"/>
  <c r="I189" i="8"/>
  <c r="J189" i="8" s="1"/>
  <c r="I188" i="8"/>
  <c r="J188" i="8" s="1"/>
  <c r="I187" i="8"/>
  <c r="J187" i="8" s="1"/>
  <c r="I186" i="8"/>
  <c r="J186" i="8" s="1"/>
  <c r="I185" i="8"/>
  <c r="J185" i="8" s="1"/>
  <c r="I184" i="8"/>
  <c r="J184" i="8" s="1"/>
  <c r="I183" i="8"/>
  <c r="J183" i="8" s="1"/>
  <c r="I182" i="8"/>
  <c r="J182" i="8" s="1"/>
  <c r="I181" i="8"/>
  <c r="J181" i="8" s="1"/>
  <c r="E175" i="8"/>
  <c r="I174" i="8"/>
  <c r="J174" i="8" s="1"/>
  <c r="I173" i="8"/>
  <c r="J173" i="8" s="1"/>
  <c r="I172" i="8"/>
  <c r="J172" i="8" s="1"/>
  <c r="I171" i="8"/>
  <c r="J171" i="8" s="1"/>
  <c r="I170" i="8"/>
  <c r="J170" i="8" s="1"/>
  <c r="I169" i="8"/>
  <c r="J169" i="8" s="1"/>
  <c r="I168" i="8"/>
  <c r="J168" i="8" s="1"/>
  <c r="I167" i="8"/>
  <c r="J167" i="8" s="1"/>
  <c r="I166" i="8"/>
  <c r="J166" i="8" s="1"/>
  <c r="I165" i="8"/>
  <c r="J165" i="8" s="1"/>
  <c r="I164" i="8"/>
  <c r="J164" i="8" s="1"/>
  <c r="I163" i="8"/>
  <c r="J163" i="8" s="1"/>
  <c r="I162" i="8"/>
  <c r="I161" i="8"/>
  <c r="J161" i="8" s="1"/>
  <c r="I160" i="8"/>
  <c r="J160" i="8" s="1"/>
  <c r="E154" i="8"/>
  <c r="I153" i="8"/>
  <c r="J153" i="8" s="1"/>
  <c r="I152" i="8"/>
  <c r="J152" i="8" s="1"/>
  <c r="I151" i="8"/>
  <c r="J151" i="8" s="1"/>
  <c r="I150" i="8"/>
  <c r="J150" i="8" s="1"/>
  <c r="I149" i="8"/>
  <c r="J149" i="8" s="1"/>
  <c r="I148" i="8"/>
  <c r="J148" i="8" s="1"/>
  <c r="I147" i="8"/>
  <c r="J147" i="8" s="1"/>
  <c r="I146" i="8"/>
  <c r="J146" i="8" s="1"/>
  <c r="I145" i="8"/>
  <c r="J145" i="8" s="1"/>
  <c r="I144" i="8"/>
  <c r="J144" i="8" s="1"/>
  <c r="I143" i="8"/>
  <c r="J143" i="8" s="1"/>
  <c r="I142" i="8"/>
  <c r="J142" i="8" s="1"/>
  <c r="I141" i="8"/>
  <c r="J141" i="8" s="1"/>
  <c r="I140" i="8"/>
  <c r="I139" i="8"/>
  <c r="J139" i="8" s="1"/>
  <c r="E133" i="8"/>
  <c r="I132" i="8"/>
  <c r="J132" i="8" s="1"/>
  <c r="I131" i="8"/>
  <c r="J131" i="8" s="1"/>
  <c r="I130" i="8"/>
  <c r="J130" i="8" s="1"/>
  <c r="I129" i="8"/>
  <c r="J129" i="8" s="1"/>
  <c r="I128" i="8"/>
  <c r="J128" i="8" s="1"/>
  <c r="I127" i="8"/>
  <c r="J127" i="8" s="1"/>
  <c r="I126" i="8"/>
  <c r="J126" i="8" s="1"/>
  <c r="I125" i="8"/>
  <c r="J125" i="8" s="1"/>
  <c r="I124" i="8"/>
  <c r="J124" i="8" s="1"/>
  <c r="I123" i="8"/>
  <c r="J123" i="8" s="1"/>
  <c r="I122" i="8"/>
  <c r="J122" i="8" s="1"/>
  <c r="I121" i="8"/>
  <c r="J121" i="8" s="1"/>
  <c r="I120" i="8"/>
  <c r="J120" i="8" s="1"/>
  <c r="I119" i="8"/>
  <c r="I118" i="8"/>
  <c r="J118" i="8" s="1"/>
  <c r="E112" i="8"/>
  <c r="I111" i="8"/>
  <c r="J111" i="8" s="1"/>
  <c r="I110" i="8"/>
  <c r="J110" i="8" s="1"/>
  <c r="I109" i="8"/>
  <c r="J109" i="8" s="1"/>
  <c r="I108" i="8"/>
  <c r="J108" i="8" s="1"/>
  <c r="I107" i="8"/>
  <c r="J107" i="8" s="1"/>
  <c r="I106" i="8"/>
  <c r="J106" i="8" s="1"/>
  <c r="I105" i="8"/>
  <c r="J105" i="8" s="1"/>
  <c r="I104" i="8"/>
  <c r="J104" i="8" s="1"/>
  <c r="I103" i="8"/>
  <c r="J103" i="8" s="1"/>
  <c r="I102" i="8"/>
  <c r="J102" i="8" s="1"/>
  <c r="I101" i="8"/>
  <c r="J101" i="8" s="1"/>
  <c r="I100" i="8"/>
  <c r="J100" i="8" s="1"/>
  <c r="I99" i="8"/>
  <c r="J99" i="8" s="1"/>
  <c r="I98" i="8"/>
  <c r="J98" i="8" s="1"/>
  <c r="I97" i="8"/>
  <c r="B96" i="8"/>
  <c r="I96" i="8" s="1"/>
  <c r="E91" i="8"/>
  <c r="I90" i="8"/>
  <c r="J90" i="8" s="1"/>
  <c r="I89" i="8"/>
  <c r="J89" i="8" s="1"/>
  <c r="I88" i="8"/>
  <c r="J88" i="8" s="1"/>
  <c r="I87" i="8"/>
  <c r="J87" i="8" s="1"/>
  <c r="I86" i="8"/>
  <c r="J86" i="8" s="1"/>
  <c r="I85" i="8"/>
  <c r="J85" i="8" s="1"/>
  <c r="I84" i="8"/>
  <c r="J84" i="8" s="1"/>
  <c r="I83" i="8"/>
  <c r="J83" i="8" s="1"/>
  <c r="I82" i="8"/>
  <c r="J82" i="8" s="1"/>
  <c r="I81" i="8"/>
  <c r="J81" i="8" s="1"/>
  <c r="I80" i="8"/>
  <c r="J80" i="8" s="1"/>
  <c r="I79" i="8"/>
  <c r="J79" i="8" s="1"/>
  <c r="I78" i="8"/>
  <c r="J78" i="8" s="1"/>
  <c r="I77" i="8"/>
  <c r="J77" i="8" s="1"/>
  <c r="B75" i="8"/>
  <c r="I75" i="8" s="1"/>
  <c r="J75" i="8" s="1"/>
  <c r="K75" i="8" s="1"/>
  <c r="E70" i="8"/>
  <c r="I60" i="8"/>
  <c r="J60" i="8" s="1"/>
  <c r="I59" i="8"/>
  <c r="J59" i="8" s="1"/>
  <c r="I58" i="8"/>
  <c r="J58" i="8" s="1"/>
  <c r="I57" i="8"/>
  <c r="J57" i="8" s="1"/>
  <c r="I56" i="8"/>
  <c r="J56" i="8" s="1"/>
  <c r="I55" i="8"/>
  <c r="J55" i="8" s="1"/>
  <c r="I54" i="8"/>
  <c r="J54" i="8" s="1"/>
  <c r="I53" i="8"/>
  <c r="J53" i="8" s="1"/>
  <c r="I52" i="8"/>
  <c r="J52" i="8" s="1"/>
  <c r="I51" i="8"/>
  <c r="J51" i="8" s="1"/>
  <c r="B50" i="8"/>
  <c r="I50" i="8" s="1"/>
  <c r="J50" i="8" s="1"/>
  <c r="AK49" i="8"/>
  <c r="AK48" i="8"/>
  <c r="AJ47" i="8"/>
  <c r="AK47" i="8" s="1"/>
  <c r="AJ46" i="8"/>
  <c r="AK46" i="8" s="1"/>
  <c r="AJ45" i="8"/>
  <c r="AK45" i="8" s="1"/>
  <c r="E45" i="8"/>
  <c r="AJ44" i="8"/>
  <c r="AK44" i="8" s="1"/>
  <c r="I44" i="8"/>
  <c r="J44" i="8" s="1"/>
  <c r="AJ43" i="8"/>
  <c r="AK43" i="8" s="1"/>
  <c r="I43" i="8"/>
  <c r="J43" i="8" s="1"/>
  <c r="AJ42" i="8"/>
  <c r="AK42" i="8" s="1"/>
  <c r="I42" i="8"/>
  <c r="J42" i="8" s="1"/>
  <c r="AJ41" i="8"/>
  <c r="AK41" i="8" s="1"/>
  <c r="I41" i="8"/>
  <c r="J41" i="8" s="1"/>
  <c r="AJ40" i="8"/>
  <c r="AK40" i="8" s="1"/>
  <c r="I40" i="8"/>
  <c r="J40" i="8" s="1"/>
  <c r="AJ39" i="8"/>
  <c r="AK39" i="8" s="1"/>
  <c r="I39" i="8"/>
  <c r="J39" i="8" s="1"/>
  <c r="AJ38" i="8"/>
  <c r="AK38" i="8" s="1"/>
  <c r="AL38" i="8" s="1"/>
  <c r="AL39" i="8" s="1"/>
  <c r="AL40" i="8" s="1"/>
  <c r="AL41" i="8" s="1"/>
  <c r="AL42" i="8" s="1"/>
  <c r="AL43" i="8" s="1"/>
  <c r="I38" i="8"/>
  <c r="J38" i="8" s="1"/>
  <c r="I37" i="8"/>
  <c r="J37" i="8" s="1"/>
  <c r="I36" i="8"/>
  <c r="J36" i="8" s="1"/>
  <c r="I35" i="8"/>
  <c r="J35" i="8" s="1"/>
  <c r="I34" i="8"/>
  <c r="J34" i="8" s="1"/>
  <c r="I33" i="8"/>
  <c r="J33" i="8" s="1"/>
  <c r="AK32" i="8"/>
  <c r="I32" i="8"/>
  <c r="J32" i="8" s="1"/>
  <c r="AJ31" i="8"/>
  <c r="AK31" i="8" s="1"/>
  <c r="I31" i="8"/>
  <c r="J31" i="8" s="1"/>
  <c r="AJ30" i="8"/>
  <c r="AK30" i="8" s="1"/>
  <c r="I30" i="8"/>
  <c r="J30" i="8" s="1"/>
  <c r="AJ29" i="8"/>
  <c r="AK29" i="8" s="1"/>
  <c r="AJ28" i="8"/>
  <c r="AK28" i="8" s="1"/>
  <c r="AJ27" i="8"/>
  <c r="AK27" i="8" s="1"/>
  <c r="AJ26" i="8"/>
  <c r="AK26" i="8" s="1"/>
  <c r="AJ25" i="8"/>
  <c r="AK25" i="8" s="1"/>
  <c r="AJ24" i="8"/>
  <c r="AK24" i="8" s="1"/>
  <c r="AL24" i="8" s="1"/>
  <c r="E24" i="8"/>
  <c r="I23" i="8"/>
  <c r="J23" i="8" s="1"/>
  <c r="I22" i="8"/>
  <c r="J22" i="8" s="1"/>
  <c r="I21" i="8"/>
  <c r="J21" i="8" s="1"/>
  <c r="I20" i="8"/>
  <c r="J20" i="8" s="1"/>
  <c r="I19" i="8"/>
  <c r="J19" i="8" s="1"/>
  <c r="AK18" i="8"/>
  <c r="AG18" i="8"/>
  <c r="I18" i="8"/>
  <c r="J18" i="8" s="1"/>
  <c r="AJ17" i="8"/>
  <c r="AK17" i="8" s="1"/>
  <c r="I17" i="8"/>
  <c r="J17" i="8" s="1"/>
  <c r="AJ16" i="8"/>
  <c r="AK16" i="8" s="1"/>
  <c r="I16" i="8"/>
  <c r="J16" i="8" s="1"/>
  <c r="AJ15" i="8"/>
  <c r="AK15" i="8" s="1"/>
  <c r="I15" i="8"/>
  <c r="J15" i="8" s="1"/>
  <c r="AJ14" i="8"/>
  <c r="AK14" i="8" s="1"/>
  <c r="I14" i="8"/>
  <c r="J14" i="8" s="1"/>
  <c r="AJ13" i="8"/>
  <c r="AK13" i="8" s="1"/>
  <c r="I13" i="8"/>
  <c r="J13" i="8" s="1"/>
  <c r="AJ12" i="8"/>
  <c r="AK12" i="8" s="1"/>
  <c r="I12" i="8"/>
  <c r="J12" i="8" s="1"/>
  <c r="AJ11" i="8"/>
  <c r="AK11" i="8" s="1"/>
  <c r="I11" i="8"/>
  <c r="J11" i="8" s="1"/>
  <c r="AJ10" i="8"/>
  <c r="AK10" i="8" s="1"/>
  <c r="I10" i="8"/>
  <c r="J10" i="8" s="1"/>
  <c r="AJ9" i="8"/>
  <c r="AK9" i="8" s="1"/>
  <c r="AL9" i="8" s="1"/>
  <c r="I9" i="8"/>
  <c r="J9" i="8" s="1"/>
  <c r="AK5" i="8"/>
  <c r="AG5" i="8"/>
  <c r="AJ4" i="8"/>
  <c r="AK4" i="8" s="1"/>
  <c r="AL4" i="8" s="1"/>
  <c r="AH4" i="8"/>
  <c r="E909" i="7"/>
  <c r="C909" i="7"/>
  <c r="E888" i="7"/>
  <c r="C888" i="7"/>
  <c r="E867" i="7"/>
  <c r="C867" i="7"/>
  <c r="E846" i="7"/>
  <c r="C846" i="7"/>
  <c r="E825" i="7"/>
  <c r="C825" i="7"/>
  <c r="E804" i="7"/>
  <c r="C804" i="7"/>
  <c r="E783" i="7"/>
  <c r="C783" i="7"/>
  <c r="E762" i="7"/>
  <c r="C762" i="7"/>
  <c r="E741" i="7"/>
  <c r="C741" i="7"/>
  <c r="E720" i="7"/>
  <c r="C720" i="7"/>
  <c r="E699" i="7"/>
  <c r="C699" i="7"/>
  <c r="E678" i="7"/>
  <c r="C678" i="7"/>
  <c r="E657" i="7"/>
  <c r="C657" i="7"/>
  <c r="E636" i="7"/>
  <c r="C636" i="7"/>
  <c r="E615" i="7"/>
  <c r="C615" i="7"/>
  <c r="E594" i="7"/>
  <c r="C594" i="7"/>
  <c r="E573" i="7"/>
  <c r="C573" i="7"/>
  <c r="E552" i="7"/>
  <c r="C552" i="7"/>
  <c r="E531" i="7"/>
  <c r="C531" i="7"/>
  <c r="E510" i="7"/>
  <c r="C510" i="7"/>
  <c r="E489" i="7"/>
  <c r="C489" i="7"/>
  <c r="E468" i="7"/>
  <c r="C468" i="7"/>
  <c r="C447" i="7"/>
  <c r="E426" i="7"/>
  <c r="C426" i="7"/>
  <c r="E405" i="7"/>
  <c r="C405" i="7"/>
  <c r="F927" i="7"/>
  <c r="E927" i="7"/>
  <c r="I926" i="7"/>
  <c r="J926" i="7" s="1"/>
  <c r="I925" i="7"/>
  <c r="J925" i="7" s="1"/>
  <c r="I924" i="7"/>
  <c r="J924" i="7" s="1"/>
  <c r="I923" i="7"/>
  <c r="J923" i="7" s="1"/>
  <c r="I922" i="7"/>
  <c r="J922" i="7" s="1"/>
  <c r="I921" i="7"/>
  <c r="J921" i="7" s="1"/>
  <c r="I920" i="7"/>
  <c r="J920" i="7" s="1"/>
  <c r="I919" i="7"/>
  <c r="J919" i="7" s="1"/>
  <c r="I918" i="7"/>
  <c r="J918" i="7" s="1"/>
  <c r="I917" i="7"/>
  <c r="J917" i="7" s="1"/>
  <c r="I916" i="7"/>
  <c r="J916" i="7" s="1"/>
  <c r="I915" i="7"/>
  <c r="J915" i="7" s="1"/>
  <c r="I914" i="7"/>
  <c r="J914" i="7" s="1"/>
  <c r="I913" i="7"/>
  <c r="J913" i="7" s="1"/>
  <c r="I912" i="7"/>
  <c r="J912" i="7" s="1"/>
  <c r="G911" i="7"/>
  <c r="X49" i="1" s="1"/>
  <c r="B911" i="7"/>
  <c r="I911" i="7" s="1"/>
  <c r="J911" i="7" s="1"/>
  <c r="F906" i="7"/>
  <c r="E906" i="7"/>
  <c r="I905" i="7"/>
  <c r="J905" i="7" s="1"/>
  <c r="I904" i="7"/>
  <c r="J904" i="7" s="1"/>
  <c r="I903" i="7"/>
  <c r="J903" i="7" s="1"/>
  <c r="I902" i="7"/>
  <c r="J902" i="7" s="1"/>
  <c r="I901" i="7"/>
  <c r="J901" i="7" s="1"/>
  <c r="I900" i="7"/>
  <c r="J900" i="7" s="1"/>
  <c r="I899" i="7"/>
  <c r="J899" i="7" s="1"/>
  <c r="I898" i="7"/>
  <c r="J898" i="7" s="1"/>
  <c r="I897" i="7"/>
  <c r="J897" i="7" s="1"/>
  <c r="I896" i="7"/>
  <c r="J896" i="7" s="1"/>
  <c r="I895" i="7"/>
  <c r="J895" i="7" s="1"/>
  <c r="I894" i="7"/>
  <c r="J894" i="7" s="1"/>
  <c r="I893" i="7"/>
  <c r="J893" i="7" s="1"/>
  <c r="I892" i="7"/>
  <c r="J892" i="7" s="1"/>
  <c r="I891" i="7"/>
  <c r="J891" i="7" s="1"/>
  <c r="G890" i="7"/>
  <c r="X48" i="1" s="1"/>
  <c r="B890" i="7"/>
  <c r="I890" i="7" s="1"/>
  <c r="J890" i="7" s="1"/>
  <c r="K890" i="7" s="1"/>
  <c r="F885" i="7"/>
  <c r="E885" i="7"/>
  <c r="I884" i="7"/>
  <c r="J884" i="7" s="1"/>
  <c r="I883" i="7"/>
  <c r="J883" i="7" s="1"/>
  <c r="I882" i="7"/>
  <c r="J882" i="7" s="1"/>
  <c r="I881" i="7"/>
  <c r="J881" i="7" s="1"/>
  <c r="I880" i="7"/>
  <c r="J880" i="7" s="1"/>
  <c r="I879" i="7"/>
  <c r="J879" i="7" s="1"/>
  <c r="I878" i="7"/>
  <c r="J878" i="7" s="1"/>
  <c r="I877" i="7"/>
  <c r="J877" i="7" s="1"/>
  <c r="I876" i="7"/>
  <c r="J876" i="7" s="1"/>
  <c r="I875" i="7"/>
  <c r="J875" i="7" s="1"/>
  <c r="I874" i="7"/>
  <c r="J874" i="7" s="1"/>
  <c r="I873" i="7"/>
  <c r="J873" i="7" s="1"/>
  <c r="I872" i="7"/>
  <c r="J872" i="7" s="1"/>
  <c r="I871" i="7"/>
  <c r="J871" i="7" s="1"/>
  <c r="I870" i="7"/>
  <c r="J870" i="7" s="1"/>
  <c r="G869" i="7"/>
  <c r="X47" i="1" s="1"/>
  <c r="B869" i="7"/>
  <c r="I869" i="7" s="1"/>
  <c r="J869" i="7" s="1"/>
  <c r="F864" i="7"/>
  <c r="E864" i="7"/>
  <c r="I863" i="7"/>
  <c r="J863" i="7" s="1"/>
  <c r="I862" i="7"/>
  <c r="J862" i="7" s="1"/>
  <c r="I861" i="7"/>
  <c r="J861" i="7" s="1"/>
  <c r="I860" i="7"/>
  <c r="J860" i="7" s="1"/>
  <c r="I859" i="7"/>
  <c r="J859" i="7" s="1"/>
  <c r="I858" i="7"/>
  <c r="J858" i="7" s="1"/>
  <c r="I857" i="7"/>
  <c r="J857" i="7" s="1"/>
  <c r="I856" i="7"/>
  <c r="J856" i="7" s="1"/>
  <c r="I855" i="7"/>
  <c r="J855" i="7" s="1"/>
  <c r="I854" i="7"/>
  <c r="J854" i="7" s="1"/>
  <c r="I853" i="7"/>
  <c r="J853" i="7" s="1"/>
  <c r="I852" i="7"/>
  <c r="J852" i="7" s="1"/>
  <c r="I851" i="7"/>
  <c r="J851" i="7" s="1"/>
  <c r="I850" i="7"/>
  <c r="J850" i="7" s="1"/>
  <c r="I849" i="7"/>
  <c r="J849" i="7" s="1"/>
  <c r="G848" i="7"/>
  <c r="X46" i="1" s="1"/>
  <c r="B848" i="7"/>
  <c r="I848" i="7" s="1"/>
  <c r="J848" i="7" s="1"/>
  <c r="K848" i="7" s="1"/>
  <c r="F843" i="7"/>
  <c r="E843" i="7"/>
  <c r="I842" i="7"/>
  <c r="J842" i="7" s="1"/>
  <c r="I841" i="7"/>
  <c r="J841" i="7" s="1"/>
  <c r="I840" i="7"/>
  <c r="J840" i="7" s="1"/>
  <c r="I839" i="7"/>
  <c r="J839" i="7" s="1"/>
  <c r="I838" i="7"/>
  <c r="J838" i="7" s="1"/>
  <c r="I837" i="7"/>
  <c r="J837" i="7" s="1"/>
  <c r="I836" i="7"/>
  <c r="J836" i="7" s="1"/>
  <c r="I835" i="7"/>
  <c r="J835" i="7" s="1"/>
  <c r="I834" i="7"/>
  <c r="J834" i="7" s="1"/>
  <c r="I833" i="7"/>
  <c r="J833" i="7" s="1"/>
  <c r="I832" i="7"/>
  <c r="J832" i="7" s="1"/>
  <c r="I831" i="7"/>
  <c r="J831" i="7" s="1"/>
  <c r="I830" i="7"/>
  <c r="J830" i="7" s="1"/>
  <c r="I829" i="7"/>
  <c r="J829" i="7" s="1"/>
  <c r="I828" i="7"/>
  <c r="J828" i="7" s="1"/>
  <c r="G827" i="7"/>
  <c r="G828" i="7" s="1"/>
  <c r="G829" i="7" s="1"/>
  <c r="G830" i="7" s="1"/>
  <c r="G831" i="7" s="1"/>
  <c r="G832" i="7" s="1"/>
  <c r="G833" i="7" s="1"/>
  <c r="G834" i="7" s="1"/>
  <c r="G835" i="7" s="1"/>
  <c r="G836" i="7" s="1"/>
  <c r="G837" i="7" s="1"/>
  <c r="G838" i="7" s="1"/>
  <c r="G839" i="7" s="1"/>
  <c r="G840" i="7" s="1"/>
  <c r="G841" i="7" s="1"/>
  <c r="G842" i="7" s="1"/>
  <c r="G843" i="7" s="1"/>
  <c r="Y45" i="1" s="1"/>
  <c r="I47" i="9" s="1"/>
  <c r="B827" i="7"/>
  <c r="I827" i="7" s="1"/>
  <c r="J827" i="7" s="1"/>
  <c r="F822" i="7"/>
  <c r="E822" i="7"/>
  <c r="I821" i="7"/>
  <c r="J821" i="7" s="1"/>
  <c r="I820" i="7"/>
  <c r="J820" i="7" s="1"/>
  <c r="I819" i="7"/>
  <c r="J819" i="7" s="1"/>
  <c r="I818" i="7"/>
  <c r="J818" i="7" s="1"/>
  <c r="I817" i="7"/>
  <c r="J817" i="7" s="1"/>
  <c r="I816" i="7"/>
  <c r="J816" i="7" s="1"/>
  <c r="I815" i="7"/>
  <c r="J815" i="7" s="1"/>
  <c r="I814" i="7"/>
  <c r="J814" i="7" s="1"/>
  <c r="I813" i="7"/>
  <c r="J813" i="7" s="1"/>
  <c r="I812" i="7"/>
  <c r="J812" i="7" s="1"/>
  <c r="I811" i="7"/>
  <c r="J811" i="7" s="1"/>
  <c r="I810" i="7"/>
  <c r="J810" i="7" s="1"/>
  <c r="I809" i="7"/>
  <c r="J809" i="7" s="1"/>
  <c r="I808" i="7"/>
  <c r="J808" i="7" s="1"/>
  <c r="I807" i="7"/>
  <c r="J807" i="7" s="1"/>
  <c r="G806" i="7"/>
  <c r="X44" i="1" s="1"/>
  <c r="B806" i="7"/>
  <c r="I806" i="7" s="1"/>
  <c r="J806" i="7" s="1"/>
  <c r="F801" i="7"/>
  <c r="E801" i="7"/>
  <c r="I800" i="7"/>
  <c r="J800" i="7" s="1"/>
  <c r="I799" i="7"/>
  <c r="J799" i="7" s="1"/>
  <c r="I798" i="7"/>
  <c r="J798" i="7" s="1"/>
  <c r="I797" i="7"/>
  <c r="J797" i="7" s="1"/>
  <c r="I796" i="7"/>
  <c r="J796" i="7" s="1"/>
  <c r="I795" i="7"/>
  <c r="J795" i="7" s="1"/>
  <c r="I794" i="7"/>
  <c r="J794" i="7" s="1"/>
  <c r="I793" i="7"/>
  <c r="J793" i="7" s="1"/>
  <c r="I792" i="7"/>
  <c r="J792" i="7" s="1"/>
  <c r="I791" i="7"/>
  <c r="J791" i="7" s="1"/>
  <c r="I790" i="7"/>
  <c r="J790" i="7" s="1"/>
  <c r="I789" i="7"/>
  <c r="J789" i="7" s="1"/>
  <c r="I788" i="7"/>
  <c r="J788" i="7" s="1"/>
  <c r="I787" i="7"/>
  <c r="J787" i="7" s="1"/>
  <c r="I786" i="7"/>
  <c r="J786" i="7" s="1"/>
  <c r="G785" i="7"/>
  <c r="G786" i="7" s="1"/>
  <c r="G787" i="7" s="1"/>
  <c r="G788" i="7" s="1"/>
  <c r="G789" i="7" s="1"/>
  <c r="G790" i="7" s="1"/>
  <c r="G791" i="7" s="1"/>
  <c r="G792" i="7" s="1"/>
  <c r="G793" i="7" s="1"/>
  <c r="G794" i="7" s="1"/>
  <c r="G795" i="7" s="1"/>
  <c r="G796" i="7" s="1"/>
  <c r="G797" i="7" s="1"/>
  <c r="G798" i="7" s="1"/>
  <c r="G799" i="7" s="1"/>
  <c r="G800" i="7" s="1"/>
  <c r="G801" i="7" s="1"/>
  <c r="Y43" i="1" s="1"/>
  <c r="B785" i="7"/>
  <c r="I785" i="7" s="1"/>
  <c r="J785" i="7" s="1"/>
  <c r="K785" i="7" s="1"/>
  <c r="F780" i="7"/>
  <c r="E780" i="7"/>
  <c r="I779" i="7"/>
  <c r="J779" i="7" s="1"/>
  <c r="I778" i="7"/>
  <c r="J778" i="7" s="1"/>
  <c r="I777" i="7"/>
  <c r="J777" i="7" s="1"/>
  <c r="I776" i="7"/>
  <c r="J776" i="7" s="1"/>
  <c r="I775" i="7"/>
  <c r="J775" i="7" s="1"/>
  <c r="I774" i="7"/>
  <c r="J774" i="7" s="1"/>
  <c r="I773" i="7"/>
  <c r="J773" i="7" s="1"/>
  <c r="I772" i="7"/>
  <c r="J772" i="7" s="1"/>
  <c r="I771" i="7"/>
  <c r="J771" i="7" s="1"/>
  <c r="I770" i="7"/>
  <c r="J770" i="7" s="1"/>
  <c r="I769" i="7"/>
  <c r="J769" i="7" s="1"/>
  <c r="I768" i="7"/>
  <c r="J768" i="7" s="1"/>
  <c r="I767" i="7"/>
  <c r="J767" i="7" s="1"/>
  <c r="I766" i="7"/>
  <c r="J766" i="7" s="1"/>
  <c r="I765" i="7"/>
  <c r="J765" i="7" s="1"/>
  <c r="G764" i="7"/>
  <c r="X42" i="1" s="1"/>
  <c r="B764" i="7"/>
  <c r="I764" i="7" s="1"/>
  <c r="J764" i="7" s="1"/>
  <c r="K764" i="7" s="1"/>
  <c r="F759" i="7"/>
  <c r="E759" i="7"/>
  <c r="I758" i="7"/>
  <c r="J758" i="7" s="1"/>
  <c r="I757" i="7"/>
  <c r="J757" i="7" s="1"/>
  <c r="I756" i="7"/>
  <c r="J756" i="7" s="1"/>
  <c r="I755" i="7"/>
  <c r="J755" i="7" s="1"/>
  <c r="I754" i="7"/>
  <c r="J754" i="7" s="1"/>
  <c r="I753" i="7"/>
  <c r="J753" i="7" s="1"/>
  <c r="I752" i="7"/>
  <c r="J752" i="7" s="1"/>
  <c r="I751" i="7"/>
  <c r="J751" i="7" s="1"/>
  <c r="I750" i="7"/>
  <c r="J750" i="7" s="1"/>
  <c r="I749" i="7"/>
  <c r="J749" i="7" s="1"/>
  <c r="I748" i="7"/>
  <c r="J748" i="7" s="1"/>
  <c r="I747" i="7"/>
  <c r="J747" i="7" s="1"/>
  <c r="I746" i="7"/>
  <c r="J746" i="7" s="1"/>
  <c r="I745" i="7"/>
  <c r="J745" i="7" s="1"/>
  <c r="I744" i="7"/>
  <c r="J744" i="7" s="1"/>
  <c r="G743" i="7"/>
  <c r="X41" i="1" s="1"/>
  <c r="B743" i="7"/>
  <c r="I743" i="7" s="1"/>
  <c r="J743" i="7" s="1"/>
  <c r="F738" i="7"/>
  <c r="E738" i="7"/>
  <c r="I737" i="7"/>
  <c r="J737" i="7" s="1"/>
  <c r="I736" i="7"/>
  <c r="J736" i="7" s="1"/>
  <c r="I735" i="7"/>
  <c r="J735" i="7" s="1"/>
  <c r="I734" i="7"/>
  <c r="J734" i="7" s="1"/>
  <c r="I733" i="7"/>
  <c r="J733" i="7" s="1"/>
  <c r="I732" i="7"/>
  <c r="J732" i="7" s="1"/>
  <c r="I731" i="7"/>
  <c r="J731" i="7" s="1"/>
  <c r="I730" i="7"/>
  <c r="J730" i="7" s="1"/>
  <c r="I729" i="7"/>
  <c r="J729" i="7" s="1"/>
  <c r="I728" i="7"/>
  <c r="J728" i="7" s="1"/>
  <c r="I727" i="7"/>
  <c r="J727" i="7" s="1"/>
  <c r="I726" i="7"/>
  <c r="J726" i="7" s="1"/>
  <c r="I725" i="7"/>
  <c r="J725" i="7" s="1"/>
  <c r="I724" i="7"/>
  <c r="J724" i="7" s="1"/>
  <c r="I723" i="7"/>
  <c r="J723" i="7" s="1"/>
  <c r="G722" i="7"/>
  <c r="X40" i="1" s="1"/>
  <c r="H42" i="9" s="1"/>
  <c r="B722" i="7"/>
  <c r="I722" i="7" s="1"/>
  <c r="J722" i="7" s="1"/>
  <c r="F717" i="7"/>
  <c r="E717" i="7"/>
  <c r="I716" i="7"/>
  <c r="J716" i="7" s="1"/>
  <c r="I715" i="7"/>
  <c r="J715" i="7" s="1"/>
  <c r="I714" i="7"/>
  <c r="J714" i="7" s="1"/>
  <c r="I713" i="7"/>
  <c r="J713" i="7" s="1"/>
  <c r="I712" i="7"/>
  <c r="J712" i="7" s="1"/>
  <c r="I711" i="7"/>
  <c r="J711" i="7" s="1"/>
  <c r="I710" i="7"/>
  <c r="J710" i="7" s="1"/>
  <c r="I709" i="7"/>
  <c r="J709" i="7" s="1"/>
  <c r="I708" i="7"/>
  <c r="J708" i="7" s="1"/>
  <c r="I707" i="7"/>
  <c r="J707" i="7" s="1"/>
  <c r="I706" i="7"/>
  <c r="J706" i="7" s="1"/>
  <c r="I705" i="7"/>
  <c r="J705" i="7" s="1"/>
  <c r="I704" i="7"/>
  <c r="J704" i="7" s="1"/>
  <c r="I703" i="7"/>
  <c r="J703" i="7" s="1"/>
  <c r="I702" i="7"/>
  <c r="J702" i="7" s="1"/>
  <c r="G701" i="7"/>
  <c r="B701" i="7"/>
  <c r="I701" i="7" s="1"/>
  <c r="J701" i="7" s="1"/>
  <c r="F696" i="7"/>
  <c r="E696" i="7"/>
  <c r="I695" i="7"/>
  <c r="J695" i="7" s="1"/>
  <c r="I694" i="7"/>
  <c r="J694" i="7" s="1"/>
  <c r="I693" i="7"/>
  <c r="J693" i="7" s="1"/>
  <c r="I692" i="7"/>
  <c r="J692" i="7" s="1"/>
  <c r="I691" i="7"/>
  <c r="J691" i="7" s="1"/>
  <c r="I690" i="7"/>
  <c r="J690" i="7" s="1"/>
  <c r="I689" i="7"/>
  <c r="J689" i="7" s="1"/>
  <c r="I688" i="7"/>
  <c r="J688" i="7" s="1"/>
  <c r="I687" i="7"/>
  <c r="J687" i="7" s="1"/>
  <c r="I686" i="7"/>
  <c r="J686" i="7" s="1"/>
  <c r="I685" i="7"/>
  <c r="J685" i="7" s="1"/>
  <c r="I684" i="7"/>
  <c r="J684" i="7" s="1"/>
  <c r="I683" i="7"/>
  <c r="J683" i="7" s="1"/>
  <c r="I682" i="7"/>
  <c r="J682" i="7" s="1"/>
  <c r="I681" i="7"/>
  <c r="J681" i="7" s="1"/>
  <c r="G680" i="7"/>
  <c r="B680" i="7"/>
  <c r="I680" i="7" s="1"/>
  <c r="J680" i="7" s="1"/>
  <c r="F675" i="7"/>
  <c r="E675" i="7"/>
  <c r="I674" i="7"/>
  <c r="J674" i="7" s="1"/>
  <c r="I673" i="7"/>
  <c r="J673" i="7" s="1"/>
  <c r="I672" i="7"/>
  <c r="J672" i="7" s="1"/>
  <c r="I671" i="7"/>
  <c r="J671" i="7" s="1"/>
  <c r="I670" i="7"/>
  <c r="J670" i="7" s="1"/>
  <c r="I669" i="7"/>
  <c r="J669" i="7" s="1"/>
  <c r="I668" i="7"/>
  <c r="J668" i="7" s="1"/>
  <c r="I667" i="7"/>
  <c r="J667" i="7" s="1"/>
  <c r="I666" i="7"/>
  <c r="J666" i="7" s="1"/>
  <c r="I665" i="7"/>
  <c r="J665" i="7" s="1"/>
  <c r="I664" i="7"/>
  <c r="J664" i="7" s="1"/>
  <c r="I663" i="7"/>
  <c r="J663" i="7" s="1"/>
  <c r="I662" i="7"/>
  <c r="J662" i="7" s="1"/>
  <c r="I661" i="7"/>
  <c r="J661" i="7" s="1"/>
  <c r="I660" i="7"/>
  <c r="J660" i="7" s="1"/>
  <c r="G659" i="7"/>
  <c r="G660" i="7" s="1"/>
  <c r="G661" i="7" s="1"/>
  <c r="G662" i="7" s="1"/>
  <c r="G663" i="7" s="1"/>
  <c r="G664" i="7" s="1"/>
  <c r="G665" i="7" s="1"/>
  <c r="G666" i="7" s="1"/>
  <c r="G667" i="7" s="1"/>
  <c r="G668" i="7" s="1"/>
  <c r="G669" i="7" s="1"/>
  <c r="G670" i="7" s="1"/>
  <c r="G671" i="7" s="1"/>
  <c r="G672" i="7" s="1"/>
  <c r="G673" i="7" s="1"/>
  <c r="G674" i="7" s="1"/>
  <c r="G675" i="7" s="1"/>
  <c r="Y37" i="1" s="1"/>
  <c r="I39" i="9" s="1"/>
  <c r="B659" i="7"/>
  <c r="I659" i="7" s="1"/>
  <c r="J659" i="7" s="1"/>
  <c r="F654" i="7"/>
  <c r="E654" i="7"/>
  <c r="I653" i="7"/>
  <c r="J653" i="7" s="1"/>
  <c r="I652" i="7"/>
  <c r="J652" i="7" s="1"/>
  <c r="I651" i="7"/>
  <c r="J651" i="7" s="1"/>
  <c r="I650" i="7"/>
  <c r="J650" i="7" s="1"/>
  <c r="I649" i="7"/>
  <c r="J649" i="7" s="1"/>
  <c r="I648" i="7"/>
  <c r="J648" i="7" s="1"/>
  <c r="I647" i="7"/>
  <c r="J647" i="7" s="1"/>
  <c r="I646" i="7"/>
  <c r="J646" i="7" s="1"/>
  <c r="I645" i="7"/>
  <c r="J645" i="7" s="1"/>
  <c r="I644" i="7"/>
  <c r="J644" i="7" s="1"/>
  <c r="I643" i="7"/>
  <c r="J643" i="7" s="1"/>
  <c r="I642" i="7"/>
  <c r="J642" i="7" s="1"/>
  <c r="I641" i="7"/>
  <c r="J641" i="7" s="1"/>
  <c r="I640" i="7"/>
  <c r="J640" i="7" s="1"/>
  <c r="I639" i="7"/>
  <c r="J639" i="7" s="1"/>
  <c r="G638" i="7"/>
  <c r="G639" i="7" s="1"/>
  <c r="G640" i="7" s="1"/>
  <c r="G641" i="7" s="1"/>
  <c r="G642" i="7" s="1"/>
  <c r="G643" i="7" s="1"/>
  <c r="G644" i="7" s="1"/>
  <c r="G645" i="7" s="1"/>
  <c r="G646" i="7" s="1"/>
  <c r="G647" i="7" s="1"/>
  <c r="G648" i="7" s="1"/>
  <c r="G649" i="7" s="1"/>
  <c r="G650" i="7" s="1"/>
  <c r="G651" i="7" s="1"/>
  <c r="G652" i="7" s="1"/>
  <c r="G653" i="7" s="1"/>
  <c r="G654" i="7" s="1"/>
  <c r="Y36" i="1" s="1"/>
  <c r="I38" i="9" s="1"/>
  <c r="B638" i="7"/>
  <c r="I638" i="7" s="1"/>
  <c r="J638" i="7" s="1"/>
  <c r="F633" i="7"/>
  <c r="E633" i="7"/>
  <c r="I632" i="7"/>
  <c r="J632" i="7" s="1"/>
  <c r="I631" i="7"/>
  <c r="J631" i="7" s="1"/>
  <c r="I630" i="7"/>
  <c r="J630" i="7" s="1"/>
  <c r="I629" i="7"/>
  <c r="J629" i="7" s="1"/>
  <c r="I628" i="7"/>
  <c r="J628" i="7" s="1"/>
  <c r="I627" i="7"/>
  <c r="J627" i="7" s="1"/>
  <c r="I626" i="7"/>
  <c r="J626" i="7" s="1"/>
  <c r="I625" i="7"/>
  <c r="J625" i="7" s="1"/>
  <c r="I624" i="7"/>
  <c r="J624" i="7" s="1"/>
  <c r="I623" i="7"/>
  <c r="J623" i="7" s="1"/>
  <c r="I622" i="7"/>
  <c r="J622" i="7" s="1"/>
  <c r="I621" i="7"/>
  <c r="J621" i="7" s="1"/>
  <c r="I620" i="7"/>
  <c r="J620" i="7" s="1"/>
  <c r="I619" i="7"/>
  <c r="J619" i="7" s="1"/>
  <c r="I618" i="7"/>
  <c r="J618" i="7" s="1"/>
  <c r="G617" i="7"/>
  <c r="X35" i="1" s="1"/>
  <c r="H37" i="9" s="1"/>
  <c r="B617" i="7"/>
  <c r="I617" i="7" s="1"/>
  <c r="J617" i="7" s="1"/>
  <c r="F612" i="7"/>
  <c r="E612" i="7"/>
  <c r="I611" i="7"/>
  <c r="J611" i="7" s="1"/>
  <c r="I610" i="7"/>
  <c r="J610" i="7" s="1"/>
  <c r="I609" i="7"/>
  <c r="J609" i="7" s="1"/>
  <c r="I608" i="7"/>
  <c r="J608" i="7" s="1"/>
  <c r="I607" i="7"/>
  <c r="J607" i="7" s="1"/>
  <c r="I606" i="7"/>
  <c r="J606" i="7" s="1"/>
  <c r="I605" i="7"/>
  <c r="J605" i="7" s="1"/>
  <c r="I604" i="7"/>
  <c r="J604" i="7" s="1"/>
  <c r="I603" i="7"/>
  <c r="J603" i="7" s="1"/>
  <c r="I602" i="7"/>
  <c r="J602" i="7" s="1"/>
  <c r="I601" i="7"/>
  <c r="J601" i="7" s="1"/>
  <c r="I600" i="7"/>
  <c r="J600" i="7" s="1"/>
  <c r="I599" i="7"/>
  <c r="J599" i="7" s="1"/>
  <c r="I598" i="7"/>
  <c r="J598" i="7" s="1"/>
  <c r="I597" i="7"/>
  <c r="J597" i="7" s="1"/>
  <c r="G596" i="7"/>
  <c r="X34" i="1" s="1"/>
  <c r="B596" i="7"/>
  <c r="I596" i="7" s="1"/>
  <c r="J596" i="7" s="1"/>
  <c r="F591" i="7"/>
  <c r="E591" i="7"/>
  <c r="I590" i="7"/>
  <c r="J590" i="7" s="1"/>
  <c r="I589" i="7"/>
  <c r="J589" i="7" s="1"/>
  <c r="I588" i="7"/>
  <c r="J588" i="7" s="1"/>
  <c r="I587" i="7"/>
  <c r="J587" i="7" s="1"/>
  <c r="I586" i="7"/>
  <c r="J586" i="7" s="1"/>
  <c r="I585" i="7"/>
  <c r="J585" i="7" s="1"/>
  <c r="I584" i="7"/>
  <c r="J584" i="7" s="1"/>
  <c r="I583" i="7"/>
  <c r="J583" i="7" s="1"/>
  <c r="I582" i="7"/>
  <c r="J582" i="7" s="1"/>
  <c r="I581" i="7"/>
  <c r="J581" i="7" s="1"/>
  <c r="I580" i="7"/>
  <c r="J580" i="7" s="1"/>
  <c r="I579" i="7"/>
  <c r="J579" i="7" s="1"/>
  <c r="I578" i="7"/>
  <c r="J578" i="7" s="1"/>
  <c r="I577" i="7"/>
  <c r="J577" i="7" s="1"/>
  <c r="I576" i="7"/>
  <c r="J576" i="7" s="1"/>
  <c r="G575" i="7"/>
  <c r="G576" i="7" s="1"/>
  <c r="G577" i="7" s="1"/>
  <c r="G578" i="7" s="1"/>
  <c r="G579" i="7" s="1"/>
  <c r="G580" i="7" s="1"/>
  <c r="G581" i="7" s="1"/>
  <c r="G582" i="7" s="1"/>
  <c r="G583" i="7" s="1"/>
  <c r="G584" i="7" s="1"/>
  <c r="G585" i="7" s="1"/>
  <c r="G586" i="7" s="1"/>
  <c r="G587" i="7" s="1"/>
  <c r="G588" i="7" s="1"/>
  <c r="G589" i="7" s="1"/>
  <c r="G590" i="7" s="1"/>
  <c r="G591" i="7" s="1"/>
  <c r="Y33" i="1" s="1"/>
  <c r="I35" i="9" s="1"/>
  <c r="B575" i="7"/>
  <c r="I575" i="7" s="1"/>
  <c r="J575" i="7" s="1"/>
  <c r="K575" i="7" s="1"/>
  <c r="F570" i="7"/>
  <c r="E570" i="7"/>
  <c r="I569" i="7"/>
  <c r="J569" i="7" s="1"/>
  <c r="I568" i="7"/>
  <c r="J568" i="7" s="1"/>
  <c r="I567" i="7"/>
  <c r="J567" i="7" s="1"/>
  <c r="I566" i="7"/>
  <c r="J566" i="7" s="1"/>
  <c r="I565" i="7"/>
  <c r="J565" i="7" s="1"/>
  <c r="I564" i="7"/>
  <c r="J564" i="7" s="1"/>
  <c r="I563" i="7"/>
  <c r="J563" i="7" s="1"/>
  <c r="I562" i="7"/>
  <c r="J562" i="7" s="1"/>
  <c r="I561" i="7"/>
  <c r="J561" i="7" s="1"/>
  <c r="I560" i="7"/>
  <c r="J560" i="7" s="1"/>
  <c r="I559" i="7"/>
  <c r="J559" i="7" s="1"/>
  <c r="I558" i="7"/>
  <c r="J558" i="7" s="1"/>
  <c r="I557" i="7"/>
  <c r="J557" i="7" s="1"/>
  <c r="I556" i="7"/>
  <c r="J556" i="7" s="1"/>
  <c r="I555" i="7"/>
  <c r="J555" i="7" s="1"/>
  <c r="G554" i="7"/>
  <c r="G555" i="7" s="1"/>
  <c r="G556" i="7" s="1"/>
  <c r="G557" i="7" s="1"/>
  <c r="G558" i="7" s="1"/>
  <c r="G559" i="7" s="1"/>
  <c r="G560" i="7" s="1"/>
  <c r="G561" i="7" s="1"/>
  <c r="G562" i="7" s="1"/>
  <c r="G563" i="7" s="1"/>
  <c r="G564" i="7" s="1"/>
  <c r="G565" i="7" s="1"/>
  <c r="G566" i="7" s="1"/>
  <c r="G567" i="7" s="1"/>
  <c r="G568" i="7" s="1"/>
  <c r="G569" i="7" s="1"/>
  <c r="G570" i="7" s="1"/>
  <c r="Y32" i="1" s="1"/>
  <c r="I34" i="9" s="1"/>
  <c r="B554" i="7"/>
  <c r="I554" i="7" s="1"/>
  <c r="J554" i="7" s="1"/>
  <c r="K554" i="7" s="1"/>
  <c r="F549" i="7"/>
  <c r="E549" i="7"/>
  <c r="I548" i="7"/>
  <c r="J548" i="7" s="1"/>
  <c r="I547" i="7"/>
  <c r="J547" i="7" s="1"/>
  <c r="I546" i="7"/>
  <c r="J546" i="7" s="1"/>
  <c r="I545" i="7"/>
  <c r="J545" i="7" s="1"/>
  <c r="I544" i="7"/>
  <c r="J544" i="7" s="1"/>
  <c r="I543" i="7"/>
  <c r="J543" i="7" s="1"/>
  <c r="I542" i="7"/>
  <c r="J542" i="7" s="1"/>
  <c r="I541" i="7"/>
  <c r="J541" i="7" s="1"/>
  <c r="I540" i="7"/>
  <c r="J540" i="7" s="1"/>
  <c r="I539" i="7"/>
  <c r="J539" i="7" s="1"/>
  <c r="I538" i="7"/>
  <c r="J538" i="7" s="1"/>
  <c r="I537" i="7"/>
  <c r="J537" i="7" s="1"/>
  <c r="I536" i="7"/>
  <c r="J536" i="7" s="1"/>
  <c r="I535" i="7"/>
  <c r="J535" i="7" s="1"/>
  <c r="I534" i="7"/>
  <c r="J534" i="7" s="1"/>
  <c r="G533" i="7"/>
  <c r="X31" i="1" s="1"/>
  <c r="H33" i="9" s="1"/>
  <c r="B533" i="7"/>
  <c r="I533" i="7" s="1"/>
  <c r="J533" i="7" s="1"/>
  <c r="F528" i="7"/>
  <c r="E528" i="7"/>
  <c r="I527" i="7"/>
  <c r="J527" i="7" s="1"/>
  <c r="I526" i="7"/>
  <c r="J526" i="7" s="1"/>
  <c r="I525" i="7"/>
  <c r="J525" i="7" s="1"/>
  <c r="I524" i="7"/>
  <c r="J524" i="7" s="1"/>
  <c r="I523" i="7"/>
  <c r="J523" i="7" s="1"/>
  <c r="I522" i="7"/>
  <c r="J522" i="7" s="1"/>
  <c r="I521" i="7"/>
  <c r="J521" i="7" s="1"/>
  <c r="I520" i="7"/>
  <c r="J520" i="7" s="1"/>
  <c r="I519" i="7"/>
  <c r="J519" i="7" s="1"/>
  <c r="I518" i="7"/>
  <c r="J518" i="7" s="1"/>
  <c r="I517" i="7"/>
  <c r="J517" i="7" s="1"/>
  <c r="I516" i="7"/>
  <c r="J516" i="7" s="1"/>
  <c r="I515" i="7"/>
  <c r="J515" i="7" s="1"/>
  <c r="I514" i="7"/>
  <c r="J514" i="7" s="1"/>
  <c r="I513" i="7"/>
  <c r="J513" i="7" s="1"/>
  <c r="G512" i="7"/>
  <c r="G513" i="7" s="1"/>
  <c r="G514" i="7" s="1"/>
  <c r="G515" i="7" s="1"/>
  <c r="G516" i="7" s="1"/>
  <c r="G517" i="7" s="1"/>
  <c r="G518" i="7" s="1"/>
  <c r="G519" i="7" s="1"/>
  <c r="G520" i="7" s="1"/>
  <c r="G521" i="7" s="1"/>
  <c r="G522" i="7" s="1"/>
  <c r="G523" i="7" s="1"/>
  <c r="G524" i="7" s="1"/>
  <c r="G525" i="7" s="1"/>
  <c r="G526" i="7" s="1"/>
  <c r="G527" i="7" s="1"/>
  <c r="G528" i="7" s="1"/>
  <c r="Y30" i="1" s="1"/>
  <c r="I32" i="9" s="1"/>
  <c r="B512" i="7"/>
  <c r="I512" i="7" s="1"/>
  <c r="J512" i="7" s="1"/>
  <c r="K512" i="7" s="1"/>
  <c r="F507" i="7"/>
  <c r="E507" i="7"/>
  <c r="I506" i="7"/>
  <c r="J506" i="7" s="1"/>
  <c r="I505" i="7"/>
  <c r="J505" i="7" s="1"/>
  <c r="I504" i="7"/>
  <c r="J504" i="7" s="1"/>
  <c r="I503" i="7"/>
  <c r="J503" i="7" s="1"/>
  <c r="I502" i="7"/>
  <c r="J502" i="7" s="1"/>
  <c r="I501" i="7"/>
  <c r="J501" i="7" s="1"/>
  <c r="I500" i="7"/>
  <c r="J500" i="7" s="1"/>
  <c r="I499" i="7"/>
  <c r="J499" i="7" s="1"/>
  <c r="I498" i="7"/>
  <c r="J498" i="7" s="1"/>
  <c r="I497" i="7"/>
  <c r="J497" i="7" s="1"/>
  <c r="I496" i="7"/>
  <c r="J496" i="7" s="1"/>
  <c r="I495" i="7"/>
  <c r="J495" i="7" s="1"/>
  <c r="I494" i="7"/>
  <c r="J494" i="7" s="1"/>
  <c r="I493" i="7"/>
  <c r="J493" i="7" s="1"/>
  <c r="I492" i="7"/>
  <c r="J492" i="7" s="1"/>
  <c r="G491" i="7"/>
  <c r="G492" i="7" s="1"/>
  <c r="G493" i="7" s="1"/>
  <c r="G494" i="7" s="1"/>
  <c r="G495" i="7" s="1"/>
  <c r="G496" i="7" s="1"/>
  <c r="G497" i="7" s="1"/>
  <c r="G498" i="7" s="1"/>
  <c r="G499" i="7" s="1"/>
  <c r="G500" i="7" s="1"/>
  <c r="G501" i="7" s="1"/>
  <c r="G502" i="7" s="1"/>
  <c r="G503" i="7" s="1"/>
  <c r="G504" i="7" s="1"/>
  <c r="G505" i="7" s="1"/>
  <c r="G506" i="7" s="1"/>
  <c r="G507" i="7" s="1"/>
  <c r="Y29" i="1" s="1"/>
  <c r="I31" i="9" s="1"/>
  <c r="B491" i="7"/>
  <c r="I491" i="7" s="1"/>
  <c r="J491" i="7" s="1"/>
  <c r="K491" i="7" s="1"/>
  <c r="F486" i="7"/>
  <c r="E486" i="7"/>
  <c r="I485" i="7"/>
  <c r="J485" i="7" s="1"/>
  <c r="I484" i="7"/>
  <c r="J484" i="7" s="1"/>
  <c r="I483" i="7"/>
  <c r="J483" i="7" s="1"/>
  <c r="I482" i="7"/>
  <c r="J482" i="7" s="1"/>
  <c r="I481" i="7"/>
  <c r="J481" i="7" s="1"/>
  <c r="I480" i="7"/>
  <c r="J480" i="7" s="1"/>
  <c r="I479" i="7"/>
  <c r="J479" i="7" s="1"/>
  <c r="I478" i="7"/>
  <c r="J478" i="7" s="1"/>
  <c r="I477" i="7"/>
  <c r="J477" i="7" s="1"/>
  <c r="I476" i="7"/>
  <c r="J476" i="7" s="1"/>
  <c r="I475" i="7"/>
  <c r="J475" i="7" s="1"/>
  <c r="I474" i="7"/>
  <c r="J474" i="7" s="1"/>
  <c r="I473" i="7"/>
  <c r="J473" i="7" s="1"/>
  <c r="I472" i="7"/>
  <c r="J472" i="7" s="1"/>
  <c r="I471" i="7"/>
  <c r="J471" i="7" s="1"/>
  <c r="G470" i="7"/>
  <c r="X28" i="1" s="1"/>
  <c r="B470" i="7"/>
  <c r="I470" i="7" s="1"/>
  <c r="J470" i="7" s="1"/>
  <c r="F465" i="7"/>
  <c r="E465" i="7"/>
  <c r="I464" i="7"/>
  <c r="J464" i="7" s="1"/>
  <c r="I463" i="7"/>
  <c r="J463" i="7" s="1"/>
  <c r="I462" i="7"/>
  <c r="J462" i="7" s="1"/>
  <c r="I461" i="7"/>
  <c r="J461" i="7" s="1"/>
  <c r="I460" i="7"/>
  <c r="J460" i="7" s="1"/>
  <c r="I459" i="7"/>
  <c r="J459" i="7" s="1"/>
  <c r="I458" i="7"/>
  <c r="J458" i="7" s="1"/>
  <c r="I457" i="7"/>
  <c r="J457" i="7" s="1"/>
  <c r="I456" i="7"/>
  <c r="J456" i="7" s="1"/>
  <c r="I455" i="7"/>
  <c r="J455" i="7" s="1"/>
  <c r="I454" i="7"/>
  <c r="J454" i="7" s="1"/>
  <c r="I453" i="7"/>
  <c r="J453" i="7" s="1"/>
  <c r="I452" i="7"/>
  <c r="J452" i="7" s="1"/>
  <c r="I451" i="7"/>
  <c r="J451" i="7" s="1"/>
  <c r="I450" i="7"/>
  <c r="J450" i="7" s="1"/>
  <c r="G449" i="7"/>
  <c r="E444" i="7"/>
  <c r="I443" i="7"/>
  <c r="J443" i="7" s="1"/>
  <c r="I442" i="7"/>
  <c r="J442" i="7" s="1"/>
  <c r="I441" i="7"/>
  <c r="J441" i="7" s="1"/>
  <c r="I440" i="7"/>
  <c r="J440" i="7" s="1"/>
  <c r="I439" i="7"/>
  <c r="I438" i="7"/>
  <c r="I437" i="7"/>
  <c r="I436" i="7"/>
  <c r="I435" i="7"/>
  <c r="I434" i="7"/>
  <c r="I433" i="7"/>
  <c r="I432" i="7"/>
  <c r="I431" i="7"/>
  <c r="I430" i="7"/>
  <c r="I429" i="7"/>
  <c r="G428" i="7"/>
  <c r="B428" i="7"/>
  <c r="I428" i="7" s="1"/>
  <c r="J428" i="7" s="1"/>
  <c r="E423" i="7"/>
  <c r="I422" i="7"/>
  <c r="J422" i="7" s="1"/>
  <c r="I421" i="7"/>
  <c r="J421" i="7" s="1"/>
  <c r="I420" i="7"/>
  <c r="J420" i="7" s="1"/>
  <c r="I419" i="7"/>
  <c r="J419" i="7" s="1"/>
  <c r="I418" i="7"/>
  <c r="J418" i="7" s="1"/>
  <c r="I417" i="7"/>
  <c r="J417" i="7" s="1"/>
  <c r="I416" i="7"/>
  <c r="J416" i="7" s="1"/>
  <c r="I415" i="7"/>
  <c r="J415" i="7" s="1"/>
  <c r="I414" i="7"/>
  <c r="J414" i="7" s="1"/>
  <c r="I413" i="7"/>
  <c r="J413" i="7" s="1"/>
  <c r="I412" i="7"/>
  <c r="J412" i="7" s="1"/>
  <c r="I411" i="7"/>
  <c r="J411" i="7" s="1"/>
  <c r="I410" i="7"/>
  <c r="J410" i="7" s="1"/>
  <c r="I409" i="7"/>
  <c r="J409" i="7" s="1"/>
  <c r="I408" i="7"/>
  <c r="G407" i="7"/>
  <c r="B407" i="7"/>
  <c r="I407" i="7" s="1"/>
  <c r="J407" i="7" s="1"/>
  <c r="E384" i="7"/>
  <c r="C384" i="7"/>
  <c r="E402" i="7"/>
  <c r="I401" i="7"/>
  <c r="J401" i="7" s="1"/>
  <c r="I400" i="7"/>
  <c r="J400" i="7" s="1"/>
  <c r="I399" i="7"/>
  <c r="J399" i="7" s="1"/>
  <c r="I398" i="7"/>
  <c r="J398" i="7" s="1"/>
  <c r="I397" i="7"/>
  <c r="J397" i="7" s="1"/>
  <c r="I396" i="7"/>
  <c r="J396" i="7" s="1"/>
  <c r="I395" i="7"/>
  <c r="J395" i="7" s="1"/>
  <c r="I394" i="7"/>
  <c r="J394" i="7" s="1"/>
  <c r="I393" i="7"/>
  <c r="J393" i="7" s="1"/>
  <c r="I392" i="7"/>
  <c r="J392" i="7" s="1"/>
  <c r="I391" i="7"/>
  <c r="J391" i="7" s="1"/>
  <c r="I390" i="7"/>
  <c r="J390" i="7" s="1"/>
  <c r="I389" i="7"/>
  <c r="J389" i="7" s="1"/>
  <c r="I388" i="7"/>
  <c r="I387" i="7"/>
  <c r="G386" i="7"/>
  <c r="X24" i="1" s="1"/>
  <c r="H24" i="9" s="1"/>
  <c r="E355" i="7"/>
  <c r="C355" i="7"/>
  <c r="E332" i="7"/>
  <c r="C332" i="7"/>
  <c r="E310" i="7"/>
  <c r="C310" i="7"/>
  <c r="E289" i="7"/>
  <c r="C289" i="7"/>
  <c r="E267" i="7"/>
  <c r="C267" i="7"/>
  <c r="E246" i="7"/>
  <c r="C246" i="7"/>
  <c r="E225" i="7"/>
  <c r="C225" i="7"/>
  <c r="E200" i="7"/>
  <c r="C200" i="7"/>
  <c r="E179" i="7"/>
  <c r="C179" i="7"/>
  <c r="E158" i="7"/>
  <c r="C158" i="7"/>
  <c r="E133" i="7"/>
  <c r="C133" i="7"/>
  <c r="E112" i="7"/>
  <c r="C112" i="7"/>
  <c r="E91" i="7"/>
  <c r="C91" i="7"/>
  <c r="E70" i="7"/>
  <c r="C70" i="7"/>
  <c r="E49" i="7"/>
  <c r="C49" i="7"/>
  <c r="E28" i="7"/>
  <c r="C28" i="7"/>
  <c r="E380" i="7"/>
  <c r="I379" i="7"/>
  <c r="J379" i="7" s="1"/>
  <c r="I369" i="7"/>
  <c r="I368" i="7"/>
  <c r="I367" i="7"/>
  <c r="I366" i="7"/>
  <c r="I365" i="7"/>
  <c r="I364" i="7"/>
  <c r="I363" i="7"/>
  <c r="I362" i="7"/>
  <c r="I361" i="7"/>
  <c r="I360" i="7"/>
  <c r="I359" i="7"/>
  <c r="I358" i="7"/>
  <c r="G357" i="7"/>
  <c r="N357" i="7" s="1"/>
  <c r="E352" i="7"/>
  <c r="I349" i="7"/>
  <c r="I347" i="7"/>
  <c r="I346" i="7"/>
  <c r="I345" i="7"/>
  <c r="I344" i="7"/>
  <c r="I343" i="7"/>
  <c r="I342" i="7"/>
  <c r="I341" i="7"/>
  <c r="I340" i="7"/>
  <c r="I338" i="7"/>
  <c r="I337" i="7"/>
  <c r="I336" i="7"/>
  <c r="I335" i="7"/>
  <c r="G334" i="7"/>
  <c r="E328" i="7"/>
  <c r="I327" i="7"/>
  <c r="J327" i="7" s="1"/>
  <c r="I326" i="7"/>
  <c r="J326" i="7" s="1"/>
  <c r="I325" i="7"/>
  <c r="J325" i="7" s="1"/>
  <c r="I324" i="7"/>
  <c r="J324" i="7" s="1"/>
  <c r="I323" i="7"/>
  <c r="J323" i="7" s="1"/>
  <c r="I322" i="7"/>
  <c r="J322" i="7" s="1"/>
  <c r="I321" i="7"/>
  <c r="J321" i="7" s="1"/>
  <c r="I320" i="7"/>
  <c r="J320" i="7" s="1"/>
  <c r="I319" i="7"/>
  <c r="J319" i="7" s="1"/>
  <c r="I318" i="7"/>
  <c r="J318" i="7" s="1"/>
  <c r="I317" i="7"/>
  <c r="I316" i="7"/>
  <c r="I315" i="7"/>
  <c r="I314" i="7"/>
  <c r="J314" i="7" s="1"/>
  <c r="I313" i="7"/>
  <c r="G312" i="7"/>
  <c r="E307" i="7"/>
  <c r="I306" i="7"/>
  <c r="J306" i="7" s="1"/>
  <c r="I305" i="7"/>
  <c r="J305" i="7" s="1"/>
  <c r="I304" i="7"/>
  <c r="J304" i="7" s="1"/>
  <c r="I303" i="7"/>
  <c r="J303" i="7" s="1"/>
  <c r="I302" i="7"/>
  <c r="J302" i="7" s="1"/>
  <c r="I301" i="7"/>
  <c r="J301" i="7" s="1"/>
  <c r="I300" i="7"/>
  <c r="J300" i="7" s="1"/>
  <c r="I299" i="7"/>
  <c r="J299" i="7" s="1"/>
  <c r="I298" i="7"/>
  <c r="J298" i="7" s="1"/>
  <c r="I297" i="7"/>
  <c r="J297" i="7" s="1"/>
  <c r="I296" i="7"/>
  <c r="J296" i="7" s="1"/>
  <c r="I295" i="7"/>
  <c r="J295" i="7" s="1"/>
  <c r="I294" i="7"/>
  <c r="I293" i="7"/>
  <c r="I292" i="7"/>
  <c r="G291" i="7"/>
  <c r="G292" i="7" s="1"/>
  <c r="E286" i="7"/>
  <c r="I283" i="7"/>
  <c r="I282" i="7"/>
  <c r="I281" i="7"/>
  <c r="I280" i="7"/>
  <c r="I279" i="7"/>
  <c r="I278" i="7"/>
  <c r="I277" i="7"/>
  <c r="I276" i="7"/>
  <c r="I275" i="7"/>
  <c r="I274" i="7"/>
  <c r="I273" i="7"/>
  <c r="I272" i="7"/>
  <c r="I271" i="7"/>
  <c r="I270" i="7"/>
  <c r="G269" i="7"/>
  <c r="X19" i="1" s="1"/>
  <c r="H19" i="9" s="1"/>
  <c r="E264" i="7"/>
  <c r="I263" i="7"/>
  <c r="J263" i="7" s="1"/>
  <c r="I262" i="7"/>
  <c r="J262" i="7" s="1"/>
  <c r="I261" i="7"/>
  <c r="J261" i="7" s="1"/>
  <c r="I260" i="7"/>
  <c r="J260" i="7" s="1"/>
  <c r="I259" i="7"/>
  <c r="J259" i="7" s="1"/>
  <c r="I258" i="7"/>
  <c r="J258" i="7" s="1"/>
  <c r="I257" i="7"/>
  <c r="J257" i="7" s="1"/>
  <c r="I256" i="7"/>
  <c r="J256" i="7" s="1"/>
  <c r="I255" i="7"/>
  <c r="J255" i="7" s="1"/>
  <c r="I254" i="7"/>
  <c r="I253" i="7"/>
  <c r="J253" i="7" s="1"/>
  <c r="I252" i="7"/>
  <c r="J252" i="7" s="1"/>
  <c r="I251" i="7"/>
  <c r="I250" i="7"/>
  <c r="I249" i="7"/>
  <c r="J249" i="7" s="1"/>
  <c r="G248" i="7"/>
  <c r="X18" i="1" s="1"/>
  <c r="H18" i="9" s="1"/>
  <c r="E243" i="7"/>
  <c r="I242" i="7"/>
  <c r="J242" i="7" s="1"/>
  <c r="I241" i="7"/>
  <c r="J241" i="7" s="1"/>
  <c r="I240" i="7"/>
  <c r="J240" i="7" s="1"/>
  <c r="I239" i="7"/>
  <c r="J239" i="7" s="1"/>
  <c r="I238" i="7"/>
  <c r="J238" i="7" s="1"/>
  <c r="I237" i="7"/>
  <c r="J237" i="7" s="1"/>
  <c r="I236" i="7"/>
  <c r="J236" i="7" s="1"/>
  <c r="I235" i="7"/>
  <c r="J235" i="7" s="1"/>
  <c r="I234" i="7"/>
  <c r="J234" i="7" s="1"/>
  <c r="I233" i="7"/>
  <c r="J233" i="7" s="1"/>
  <c r="I232" i="7"/>
  <c r="J232" i="7" s="1"/>
  <c r="I231" i="7"/>
  <c r="I230" i="7"/>
  <c r="I229" i="7"/>
  <c r="I228" i="7"/>
  <c r="J228" i="7" s="1"/>
  <c r="G227" i="7"/>
  <c r="X17" i="1" s="1"/>
  <c r="H17" i="9" s="1"/>
  <c r="E222" i="7"/>
  <c r="I215" i="7"/>
  <c r="I214" i="7"/>
  <c r="I213" i="7"/>
  <c r="I212" i="7"/>
  <c r="I211" i="7"/>
  <c r="I210" i="7"/>
  <c r="I209" i="7"/>
  <c r="I208" i="7"/>
  <c r="I207" i="7"/>
  <c r="I206" i="7"/>
  <c r="I205" i="7"/>
  <c r="I204" i="7"/>
  <c r="I203" i="7"/>
  <c r="G202" i="7"/>
  <c r="E197" i="7"/>
  <c r="I196" i="7"/>
  <c r="J196" i="7" s="1"/>
  <c r="I195" i="7"/>
  <c r="J195" i="7" s="1"/>
  <c r="I194" i="7"/>
  <c r="J194" i="7" s="1"/>
  <c r="I193" i="7"/>
  <c r="J193" i="7" s="1"/>
  <c r="I192" i="7"/>
  <c r="J192" i="7" s="1"/>
  <c r="I191" i="7"/>
  <c r="J191" i="7" s="1"/>
  <c r="I190" i="7"/>
  <c r="J190" i="7" s="1"/>
  <c r="I189" i="7"/>
  <c r="J189" i="7" s="1"/>
  <c r="I188" i="7"/>
  <c r="J188" i="7" s="1"/>
  <c r="I187" i="7"/>
  <c r="J187" i="7" s="1"/>
  <c r="I186" i="7"/>
  <c r="J186" i="7" s="1"/>
  <c r="I185" i="7"/>
  <c r="J185" i="7" s="1"/>
  <c r="I184" i="7"/>
  <c r="J184" i="7" s="1"/>
  <c r="I183" i="7"/>
  <c r="I182" i="7"/>
  <c r="J182" i="7" s="1"/>
  <c r="G181" i="7"/>
  <c r="X15" i="1" s="1"/>
  <c r="H15" i="9" s="1"/>
  <c r="E176" i="7"/>
  <c r="I175" i="7"/>
  <c r="J175" i="7" s="1"/>
  <c r="I174" i="7"/>
  <c r="J174" i="7" s="1"/>
  <c r="I173" i="7"/>
  <c r="J173" i="7" s="1"/>
  <c r="I172" i="7"/>
  <c r="J172" i="7" s="1"/>
  <c r="I171" i="7"/>
  <c r="J171" i="7" s="1"/>
  <c r="I170" i="7"/>
  <c r="J170" i="7" s="1"/>
  <c r="I169" i="7"/>
  <c r="J169" i="7" s="1"/>
  <c r="I168" i="7"/>
  <c r="J168" i="7" s="1"/>
  <c r="I167" i="7"/>
  <c r="J167" i="7" s="1"/>
  <c r="I166" i="7"/>
  <c r="I165" i="7"/>
  <c r="I164" i="7"/>
  <c r="I163" i="7"/>
  <c r="I162" i="7"/>
  <c r="I161" i="7"/>
  <c r="G160" i="7"/>
  <c r="X14" i="1" s="1"/>
  <c r="H14" i="9" s="1"/>
  <c r="E154" i="7"/>
  <c r="I153" i="7"/>
  <c r="J153" i="7" s="1"/>
  <c r="I152" i="7"/>
  <c r="J152" i="7" s="1"/>
  <c r="I151" i="7"/>
  <c r="J151" i="7" s="1"/>
  <c r="I150" i="7"/>
  <c r="J150" i="7" s="1"/>
  <c r="I149" i="7"/>
  <c r="J149" i="7" s="1"/>
  <c r="I145" i="7"/>
  <c r="I144" i="7"/>
  <c r="I143" i="7"/>
  <c r="J143" i="7" s="1"/>
  <c r="I142" i="7"/>
  <c r="I141" i="7"/>
  <c r="I139" i="7"/>
  <c r="J139" i="7" s="1"/>
  <c r="I138" i="7"/>
  <c r="I137" i="7"/>
  <c r="I136" i="7"/>
  <c r="G135" i="7"/>
  <c r="G136" i="7" s="1"/>
  <c r="E130" i="7"/>
  <c r="I129" i="7"/>
  <c r="J129" i="7" s="1"/>
  <c r="I128" i="7"/>
  <c r="J128" i="7" s="1"/>
  <c r="I127" i="7"/>
  <c r="J127" i="7" s="1"/>
  <c r="I126" i="7"/>
  <c r="J126" i="7" s="1"/>
  <c r="I125" i="7"/>
  <c r="J125" i="7" s="1"/>
  <c r="I124" i="7"/>
  <c r="J124" i="7" s="1"/>
  <c r="I123" i="7"/>
  <c r="J123" i="7" s="1"/>
  <c r="I122" i="7"/>
  <c r="J122" i="7" s="1"/>
  <c r="I121" i="7"/>
  <c r="J121" i="7" s="1"/>
  <c r="I120" i="7"/>
  <c r="J120" i="7" s="1"/>
  <c r="I119" i="7"/>
  <c r="J119" i="7" s="1"/>
  <c r="I118" i="7"/>
  <c r="J118" i="7" s="1"/>
  <c r="I117" i="7"/>
  <c r="J117" i="7" s="1"/>
  <c r="I116" i="7"/>
  <c r="J116" i="7" s="1"/>
  <c r="I115" i="7"/>
  <c r="G114" i="7"/>
  <c r="E109" i="7"/>
  <c r="I108" i="7"/>
  <c r="J108" i="7" s="1"/>
  <c r="I107" i="7"/>
  <c r="J107" i="7" s="1"/>
  <c r="I106" i="7"/>
  <c r="J106" i="7" s="1"/>
  <c r="I105" i="7"/>
  <c r="J105" i="7" s="1"/>
  <c r="I104" i="7"/>
  <c r="J104" i="7" s="1"/>
  <c r="I103" i="7"/>
  <c r="J103" i="7" s="1"/>
  <c r="I102" i="7"/>
  <c r="J102" i="7" s="1"/>
  <c r="I101" i="7"/>
  <c r="J101" i="7" s="1"/>
  <c r="I100" i="7"/>
  <c r="J100" i="7" s="1"/>
  <c r="I99" i="7"/>
  <c r="J99" i="7" s="1"/>
  <c r="I98" i="7"/>
  <c r="J98" i="7" s="1"/>
  <c r="I97" i="7"/>
  <c r="J97" i="7" s="1"/>
  <c r="I96" i="7"/>
  <c r="J96" i="7" s="1"/>
  <c r="I95" i="7"/>
  <c r="I94" i="7"/>
  <c r="G93" i="7"/>
  <c r="E88" i="7"/>
  <c r="I87" i="7"/>
  <c r="J87" i="7" s="1"/>
  <c r="I86" i="7"/>
  <c r="J86" i="7" s="1"/>
  <c r="I85" i="7"/>
  <c r="J85" i="7" s="1"/>
  <c r="I84" i="7"/>
  <c r="J84" i="7" s="1"/>
  <c r="I83" i="7"/>
  <c r="J83" i="7" s="1"/>
  <c r="I82" i="7"/>
  <c r="J82" i="7" s="1"/>
  <c r="I81" i="7"/>
  <c r="J81" i="7" s="1"/>
  <c r="I80" i="7"/>
  <c r="J80" i="7" s="1"/>
  <c r="I79" i="7"/>
  <c r="J79" i="7" s="1"/>
  <c r="I78" i="7"/>
  <c r="J78" i="7" s="1"/>
  <c r="I77" i="7"/>
  <c r="J77" i="7" s="1"/>
  <c r="I76" i="7"/>
  <c r="I75" i="7"/>
  <c r="I74" i="7"/>
  <c r="I73" i="7"/>
  <c r="J73" i="7" s="1"/>
  <c r="G72" i="7"/>
  <c r="X10" i="1" s="1"/>
  <c r="H10" i="9" s="1"/>
  <c r="E67" i="7"/>
  <c r="I66" i="7"/>
  <c r="J66" i="7" s="1"/>
  <c r="I65" i="7"/>
  <c r="J65" i="7" s="1"/>
  <c r="I64" i="7"/>
  <c r="J64" i="7" s="1"/>
  <c r="I63" i="7"/>
  <c r="J63" i="7" s="1"/>
  <c r="I62" i="7"/>
  <c r="J62" i="7" s="1"/>
  <c r="I61" i="7"/>
  <c r="J61" i="7" s="1"/>
  <c r="I60" i="7"/>
  <c r="J60" i="7" s="1"/>
  <c r="I59" i="7"/>
  <c r="J59" i="7" s="1"/>
  <c r="I58" i="7"/>
  <c r="J58" i="7" s="1"/>
  <c r="I57" i="7"/>
  <c r="J57" i="7" s="1"/>
  <c r="I56" i="7"/>
  <c r="J56" i="7" s="1"/>
  <c r="I55" i="7"/>
  <c r="J55" i="7" s="1"/>
  <c r="I54" i="7"/>
  <c r="J54" i="7" s="1"/>
  <c r="I53" i="7"/>
  <c r="J53" i="7" s="1"/>
  <c r="I52" i="7"/>
  <c r="G51" i="7"/>
  <c r="X9" i="1" s="1"/>
  <c r="H9" i="9" s="1"/>
  <c r="B51" i="7"/>
  <c r="I51" i="7" s="1"/>
  <c r="J51" i="7" s="1"/>
  <c r="E46" i="7"/>
  <c r="I45" i="7"/>
  <c r="J45" i="7" s="1"/>
  <c r="I44" i="7"/>
  <c r="J44" i="7" s="1"/>
  <c r="I43" i="7"/>
  <c r="J43" i="7" s="1"/>
  <c r="I42" i="7"/>
  <c r="J42" i="7" s="1"/>
  <c r="I41" i="7"/>
  <c r="J41" i="7" s="1"/>
  <c r="I40" i="7"/>
  <c r="J40" i="7" s="1"/>
  <c r="I39" i="7"/>
  <c r="J39" i="7" s="1"/>
  <c r="I38" i="7"/>
  <c r="J38" i="7" s="1"/>
  <c r="I37" i="7"/>
  <c r="J37" i="7" s="1"/>
  <c r="I36" i="7"/>
  <c r="J36" i="7" s="1"/>
  <c r="I34" i="7"/>
  <c r="I33" i="7"/>
  <c r="J33" i="7" s="1"/>
  <c r="I32" i="7"/>
  <c r="J32" i="7" s="1"/>
  <c r="I31" i="7"/>
  <c r="J31" i="7" s="1"/>
  <c r="G30" i="7"/>
  <c r="X8" i="1" s="1"/>
  <c r="H8" i="9" s="1"/>
  <c r="E6" i="7"/>
  <c r="C6" i="7"/>
  <c r="E24" i="7"/>
  <c r="I23" i="7"/>
  <c r="J23" i="7" s="1"/>
  <c r="I22" i="7"/>
  <c r="J22" i="7" s="1"/>
  <c r="I21" i="7"/>
  <c r="J21" i="7" s="1"/>
  <c r="I20" i="7"/>
  <c r="J20" i="7" s="1"/>
  <c r="I19" i="7"/>
  <c r="J19" i="7" s="1"/>
  <c r="I18" i="7"/>
  <c r="J18" i="7" s="1"/>
  <c r="I17" i="7"/>
  <c r="J17" i="7" s="1"/>
  <c r="I16" i="7"/>
  <c r="J16" i="7" s="1"/>
  <c r="I15" i="7"/>
  <c r="J15" i="7" s="1"/>
  <c r="I14" i="7"/>
  <c r="I13" i="7"/>
  <c r="J13" i="7" s="1"/>
  <c r="I12" i="7"/>
  <c r="I11" i="7"/>
  <c r="J11" i="7" s="1"/>
  <c r="I10" i="7"/>
  <c r="I9" i="7"/>
  <c r="J9" i="7" s="1"/>
  <c r="G8" i="7"/>
  <c r="AH3" i="7"/>
  <c r="N82" i="1"/>
  <c r="M82" i="1"/>
  <c r="N81" i="1"/>
  <c r="M81" i="1"/>
  <c r="N80" i="1"/>
  <c r="M80" i="1"/>
  <c r="N79" i="1"/>
  <c r="M79" i="1"/>
  <c r="N78" i="1"/>
  <c r="M78" i="1"/>
  <c r="N77" i="1"/>
  <c r="M77" i="1"/>
  <c r="N76" i="1"/>
  <c r="M76" i="1"/>
  <c r="N75" i="1"/>
  <c r="M75" i="1"/>
  <c r="N70" i="1"/>
  <c r="M70" i="1"/>
  <c r="N69" i="1"/>
  <c r="M69" i="1"/>
  <c r="N62" i="1"/>
  <c r="M62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H63" i="1"/>
  <c r="H59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AJ3" i="7"/>
  <c r="AK3" i="7" s="1"/>
  <c r="AL3" i="7" s="1"/>
  <c r="AJ5" i="7"/>
  <c r="AK5" i="7" s="1"/>
  <c r="AJ4" i="7"/>
  <c r="AK4" i="7" s="1"/>
  <c r="AL4" i="7" s="1"/>
  <c r="IV24" i="5"/>
  <c r="AK6" i="7"/>
  <c r="AK7" i="7"/>
  <c r="X80" i="1"/>
  <c r="G538" i="8"/>
  <c r="G539" i="8" s="1"/>
  <c r="G540" i="8" s="1"/>
  <c r="G541" i="8" s="1"/>
  <c r="G542" i="8" s="1"/>
  <c r="G543" i="8" s="1"/>
  <c r="G544" i="8" s="1"/>
  <c r="G545" i="8" s="1"/>
  <c r="G546" i="8" s="1"/>
  <c r="G547" i="8" s="1"/>
  <c r="G548" i="8" s="1"/>
  <c r="G549" i="8" s="1"/>
  <c r="G550" i="8" s="1"/>
  <c r="G551" i="8" s="1"/>
  <c r="G552" i="8" s="1"/>
  <c r="G553" i="8" s="1"/>
  <c r="Y78" i="1" s="1"/>
  <c r="I81" i="9" s="1"/>
  <c r="K138" i="8"/>
  <c r="N68" i="1"/>
  <c r="M68" i="1"/>
  <c r="G618" i="7"/>
  <c r="G619" i="7" s="1"/>
  <c r="G620" i="7" s="1"/>
  <c r="G621" i="7" s="1"/>
  <c r="G622" i="7" s="1"/>
  <c r="G623" i="7" s="1"/>
  <c r="G624" i="7" s="1"/>
  <c r="G625" i="7" s="1"/>
  <c r="G626" i="7" s="1"/>
  <c r="G627" i="7" s="1"/>
  <c r="G628" i="7" s="1"/>
  <c r="G629" i="7" s="1"/>
  <c r="G630" i="7" s="1"/>
  <c r="G631" i="7" s="1"/>
  <c r="G632" i="7" s="1"/>
  <c r="G633" i="7" s="1"/>
  <c r="Y35" i="1" s="1"/>
  <c r="X76" i="1"/>
  <c r="H79" i="9" s="1"/>
  <c r="X67" i="1"/>
  <c r="H70" i="9" s="1"/>
  <c r="M61" i="1"/>
  <c r="N61" i="1"/>
  <c r="N72" i="1"/>
  <c r="M67" i="1"/>
  <c r="N63" i="1"/>
  <c r="F469" i="8"/>
  <c r="F70" i="8"/>
  <c r="F45" i="8"/>
  <c r="F24" i="8"/>
  <c r="X45" i="1"/>
  <c r="G597" i="7"/>
  <c r="G598" i="7" s="1"/>
  <c r="G599" i="7" s="1"/>
  <c r="G600" i="7" s="1"/>
  <c r="G601" i="7" s="1"/>
  <c r="G602" i="7" s="1"/>
  <c r="G603" i="7" s="1"/>
  <c r="G604" i="7" s="1"/>
  <c r="G605" i="7" s="1"/>
  <c r="G606" i="7" s="1"/>
  <c r="G607" i="7" s="1"/>
  <c r="G608" i="7" s="1"/>
  <c r="G609" i="7" s="1"/>
  <c r="G610" i="7" s="1"/>
  <c r="G611" i="7" s="1"/>
  <c r="G612" i="7" s="1"/>
  <c r="Y34" i="1" s="1"/>
  <c r="I36" i="9" s="1"/>
  <c r="N59" i="1"/>
  <c r="N67" i="1"/>
  <c r="H56" i="1"/>
  <c r="M59" i="1"/>
  <c r="M72" i="1"/>
  <c r="G61" i="1"/>
  <c r="H75" i="1"/>
  <c r="N64" i="1"/>
  <c r="H68" i="1"/>
  <c r="H60" i="1"/>
  <c r="G11" i="1"/>
  <c r="G69" i="1"/>
  <c r="H69" i="1"/>
  <c r="H61" i="1"/>
  <c r="G65" i="1"/>
  <c r="L89" i="9"/>
  <c r="G71" i="1"/>
  <c r="G66" i="1"/>
  <c r="G56" i="1"/>
  <c r="H55" i="1"/>
  <c r="G55" i="1"/>
  <c r="H67" i="1"/>
  <c r="H65" i="1"/>
  <c r="G83" i="1"/>
  <c r="H83" i="1"/>
  <c r="M20" i="1"/>
  <c r="H73" i="1"/>
  <c r="H71" i="1"/>
  <c r="X63" i="1"/>
  <c r="H66" i="9" s="1"/>
  <c r="G57" i="1"/>
  <c r="G62" i="1"/>
  <c r="H62" i="1"/>
  <c r="H66" i="1"/>
  <c r="G73" i="1"/>
  <c r="M16" i="1"/>
  <c r="H53" i="1"/>
  <c r="G53" i="1"/>
  <c r="G58" i="1"/>
  <c r="H72" i="1"/>
  <c r="I50" i="1" s="1"/>
  <c r="Q50" i="1" s="1"/>
  <c r="R50" i="1" s="1"/>
  <c r="U50" i="1" s="1"/>
  <c r="G72" i="1"/>
  <c r="G67" i="1"/>
  <c r="G74" i="1"/>
  <c r="H74" i="1"/>
  <c r="G76" i="1"/>
  <c r="H58" i="1"/>
  <c r="G54" i="1"/>
  <c r="H54" i="1"/>
  <c r="H57" i="1"/>
  <c r="N20" i="1"/>
  <c r="H64" i="1"/>
  <c r="M64" i="1"/>
  <c r="G9" i="8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H15" i="5"/>
  <c r="H14" i="5"/>
  <c r="F91" i="8"/>
  <c r="F238" i="8"/>
  <c r="F385" i="8"/>
  <c r="G496" i="8"/>
  <c r="G497" i="8" s="1"/>
  <c r="G498" i="8" s="1"/>
  <c r="G499" i="8" s="1"/>
  <c r="G500" i="8" s="1"/>
  <c r="G501" i="8" s="1"/>
  <c r="G502" i="8" s="1"/>
  <c r="G503" i="8" s="1"/>
  <c r="G504" i="8" s="1"/>
  <c r="G505" i="8" s="1"/>
  <c r="G506" i="8" s="1"/>
  <c r="G507" i="8" s="1"/>
  <c r="G508" i="8" s="1"/>
  <c r="G509" i="8" s="1"/>
  <c r="G510" i="8" s="1"/>
  <c r="G511" i="8" s="1"/>
  <c r="G45" i="8" l="1"/>
  <c r="Y54" i="1" s="1"/>
  <c r="I57" i="9" s="1"/>
  <c r="X32" i="1"/>
  <c r="D86" i="9"/>
  <c r="G622" i="8"/>
  <c r="G623" i="8" s="1"/>
  <c r="G624" i="8" s="1"/>
  <c r="G625" i="8" s="1"/>
  <c r="G626" i="8" s="1"/>
  <c r="G627" i="8" s="1"/>
  <c r="G628" i="8" s="1"/>
  <c r="G629" i="8" s="1"/>
  <c r="G630" i="8" s="1"/>
  <c r="G631" i="8" s="1"/>
  <c r="G632" i="8" s="1"/>
  <c r="G633" i="8" s="1"/>
  <c r="G634" i="8" s="1"/>
  <c r="G635" i="8" s="1"/>
  <c r="G636" i="8" s="1"/>
  <c r="G637" i="8" s="1"/>
  <c r="Y82" i="1" s="1"/>
  <c r="I85" i="9" s="1"/>
  <c r="G723" i="7"/>
  <c r="G724" i="7" s="1"/>
  <c r="G725" i="7" s="1"/>
  <c r="G726" i="7" s="1"/>
  <c r="G727" i="7" s="1"/>
  <c r="G728" i="7" s="1"/>
  <c r="G729" i="7" s="1"/>
  <c r="G730" i="7" s="1"/>
  <c r="G731" i="7" s="1"/>
  <c r="G732" i="7" s="1"/>
  <c r="G733" i="7" s="1"/>
  <c r="G734" i="7" s="1"/>
  <c r="G735" i="7" s="1"/>
  <c r="G736" i="7" s="1"/>
  <c r="G737" i="7" s="1"/>
  <c r="G738" i="7" s="1"/>
  <c r="Y40" i="1" s="1"/>
  <c r="AL44" i="8"/>
  <c r="AL45" i="8" s="1"/>
  <c r="AL46" i="8" s="1"/>
  <c r="AL47" i="8" s="1"/>
  <c r="AL48" i="8" s="1"/>
  <c r="AL49" i="8" s="1"/>
  <c r="K50" i="8"/>
  <c r="J70" i="8"/>
  <c r="M148" i="8"/>
  <c r="G412" i="8"/>
  <c r="G413" i="8" s="1"/>
  <c r="G414" i="8" s="1"/>
  <c r="X74" i="1"/>
  <c r="H77" i="9" s="1"/>
  <c r="G76" i="8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Y56" i="1" s="1"/>
  <c r="I59" i="9" s="1"/>
  <c r="G244" i="8"/>
  <c r="G245" i="8" s="1"/>
  <c r="G246" i="8" s="1"/>
  <c r="G247" i="8" s="1"/>
  <c r="G248" i="8" s="1"/>
  <c r="G249" i="8" s="1"/>
  <c r="G250" i="8" s="1"/>
  <c r="G251" i="8" s="1"/>
  <c r="G252" i="8" s="1"/>
  <c r="G253" i="8" s="1"/>
  <c r="G254" i="8" s="1"/>
  <c r="G255" i="8" s="1"/>
  <c r="G256" i="8" s="1"/>
  <c r="G257" i="8" s="1"/>
  <c r="G258" i="8" s="1"/>
  <c r="G259" i="8" s="1"/>
  <c r="Y64" i="1" s="1"/>
  <c r="I67" i="9" s="1"/>
  <c r="G370" i="8"/>
  <c r="G371" i="8" s="1"/>
  <c r="G372" i="8" s="1"/>
  <c r="G373" i="8" s="1"/>
  <c r="G374" i="8" s="1"/>
  <c r="G375" i="8" s="1"/>
  <c r="G376" i="8" s="1"/>
  <c r="G377" i="8" s="1"/>
  <c r="G378" i="8" s="1"/>
  <c r="G379" i="8" s="1"/>
  <c r="G380" i="8" s="1"/>
  <c r="G381" i="8" s="1"/>
  <c r="G382" i="8" s="1"/>
  <c r="G383" i="8" s="1"/>
  <c r="G384" i="8" s="1"/>
  <c r="G385" i="8" s="1"/>
  <c r="Y70" i="1" s="1"/>
  <c r="I73" i="9" s="1"/>
  <c r="J264" i="8"/>
  <c r="K264" i="8" s="1"/>
  <c r="G433" i="8"/>
  <c r="G434" i="8" s="1"/>
  <c r="G435" i="8" s="1"/>
  <c r="G436" i="8" s="1"/>
  <c r="G437" i="8" s="1"/>
  <c r="G438" i="8" s="1"/>
  <c r="G439" i="8" s="1"/>
  <c r="G440" i="8" s="1"/>
  <c r="G441" i="8" s="1"/>
  <c r="G442" i="8" s="1"/>
  <c r="G443" i="8" s="1"/>
  <c r="G444" i="8" s="1"/>
  <c r="G445" i="8" s="1"/>
  <c r="G446" i="8" s="1"/>
  <c r="G447" i="8" s="1"/>
  <c r="G448" i="8" s="1"/>
  <c r="Y73" i="1" s="1"/>
  <c r="I76" i="9" s="1"/>
  <c r="AL25" i="8"/>
  <c r="AL26" i="8" s="1"/>
  <c r="AL27" i="8" s="1"/>
  <c r="AL28" i="8" s="1"/>
  <c r="AL29" i="8" s="1"/>
  <c r="AL30" i="8" s="1"/>
  <c r="AL31" i="8" s="1"/>
  <c r="AL32" i="8" s="1"/>
  <c r="J433" i="8"/>
  <c r="J448" i="8" s="1"/>
  <c r="Z73" i="1" s="1"/>
  <c r="J76" i="9" s="1"/>
  <c r="F448" i="8"/>
  <c r="X81" i="1"/>
  <c r="AL81" i="1" s="1"/>
  <c r="AO81" i="1" s="1"/>
  <c r="G202" i="8"/>
  <c r="G203" i="8" s="1"/>
  <c r="G204" i="8" s="1"/>
  <c r="G205" i="8" s="1"/>
  <c r="G206" i="8" s="1"/>
  <c r="G207" i="8" s="1"/>
  <c r="G208" i="8" s="1"/>
  <c r="G209" i="8" s="1"/>
  <c r="G210" i="8" s="1"/>
  <c r="G211" i="8" s="1"/>
  <c r="G212" i="8" s="1"/>
  <c r="G213" i="8" s="1"/>
  <c r="G214" i="8" s="1"/>
  <c r="G215" i="8" s="1"/>
  <c r="G216" i="8" s="1"/>
  <c r="G217" i="8" s="1"/>
  <c r="Y62" i="1" s="1"/>
  <c r="I65" i="9" s="1"/>
  <c r="J119" i="8"/>
  <c r="K223" i="8"/>
  <c r="K224" i="8" s="1"/>
  <c r="K225" i="8" s="1"/>
  <c r="K226" i="8" s="1"/>
  <c r="K227" i="8" s="1"/>
  <c r="K228" i="8" s="1"/>
  <c r="K229" i="8" s="1"/>
  <c r="K230" i="8" s="1"/>
  <c r="K231" i="8" s="1"/>
  <c r="K232" i="8" s="1"/>
  <c r="K233" i="8" s="1"/>
  <c r="K234" i="8" s="1"/>
  <c r="K235" i="8" s="1"/>
  <c r="K236" i="8" s="1"/>
  <c r="K237" i="8" s="1"/>
  <c r="X61" i="1"/>
  <c r="H64" i="9" s="1"/>
  <c r="G181" i="8"/>
  <c r="G182" i="8" s="1"/>
  <c r="G183" i="8" s="1"/>
  <c r="G184" i="8" s="1"/>
  <c r="G185" i="8" s="1"/>
  <c r="G186" i="8" s="1"/>
  <c r="G187" i="8" s="1"/>
  <c r="G188" i="8" s="1"/>
  <c r="N181" i="8" s="1"/>
  <c r="J265" i="8"/>
  <c r="G328" i="8"/>
  <c r="G329" i="8" s="1"/>
  <c r="G330" i="8" s="1"/>
  <c r="G331" i="8" s="1"/>
  <c r="G332" i="8" s="1"/>
  <c r="G333" i="8" s="1"/>
  <c r="G334" i="8" s="1"/>
  <c r="G335" i="8" s="1"/>
  <c r="G336" i="8" s="1"/>
  <c r="G337" i="8" s="1"/>
  <c r="G338" i="8" s="1"/>
  <c r="G339" i="8" s="1"/>
  <c r="G340" i="8" s="1"/>
  <c r="G341" i="8" s="1"/>
  <c r="G342" i="8" s="1"/>
  <c r="G343" i="8" s="1"/>
  <c r="Y68" i="1" s="1"/>
  <c r="I71" i="9" s="1"/>
  <c r="K139" i="8"/>
  <c r="AL5" i="8"/>
  <c r="J96" i="8"/>
  <c r="K96" i="8" s="1"/>
  <c r="J203" i="8"/>
  <c r="J266" i="8"/>
  <c r="G264" i="8"/>
  <c r="X65" i="1" s="1"/>
  <c r="H68" i="9" s="1"/>
  <c r="J474" i="8"/>
  <c r="K474" i="8" s="1"/>
  <c r="G118" i="8"/>
  <c r="G119" i="8" s="1"/>
  <c r="G120" i="8" s="1"/>
  <c r="G121" i="8" s="1"/>
  <c r="G122" i="8" s="1"/>
  <c r="G123" i="8" s="1"/>
  <c r="G124" i="8" s="1"/>
  <c r="G125" i="8" s="1"/>
  <c r="G126" i="8" s="1"/>
  <c r="G127" i="8" s="1"/>
  <c r="G128" i="8" s="1"/>
  <c r="G129" i="8" s="1"/>
  <c r="G130" i="8" s="1"/>
  <c r="G131" i="8" s="1"/>
  <c r="G132" i="8" s="1"/>
  <c r="G133" i="8" s="1"/>
  <c r="Y58" i="1" s="1"/>
  <c r="I61" i="9" s="1"/>
  <c r="F196" i="8"/>
  <c r="G349" i="8"/>
  <c r="G350" i="8" s="1"/>
  <c r="G351" i="8" s="1"/>
  <c r="G352" i="8" s="1"/>
  <c r="G353" i="8" s="1"/>
  <c r="G354" i="8" s="1"/>
  <c r="G355" i="8" s="1"/>
  <c r="G356" i="8" s="1"/>
  <c r="G357" i="8" s="1"/>
  <c r="G358" i="8" s="1"/>
  <c r="G359" i="8" s="1"/>
  <c r="G360" i="8" s="1"/>
  <c r="G361" i="8" s="1"/>
  <c r="G362" i="8" s="1"/>
  <c r="G363" i="8" s="1"/>
  <c r="G364" i="8" s="1"/>
  <c r="Y69" i="1" s="1"/>
  <c r="I72" i="9" s="1"/>
  <c r="G391" i="8"/>
  <c r="G392" i="8" s="1"/>
  <c r="G393" i="8" s="1"/>
  <c r="G394" i="8" s="1"/>
  <c r="G395" i="8" s="1"/>
  <c r="G396" i="8" s="1"/>
  <c r="G397" i="8" s="1"/>
  <c r="G398" i="8" s="1"/>
  <c r="G399" i="8" s="1"/>
  <c r="G400" i="8" s="1"/>
  <c r="G401" i="8" s="1"/>
  <c r="G402" i="8" s="1"/>
  <c r="G403" i="8" s="1"/>
  <c r="G404" i="8" s="1"/>
  <c r="G405" i="8" s="1"/>
  <c r="G406" i="8" s="1"/>
  <c r="Y71" i="1" s="1"/>
  <c r="I74" i="9" s="1"/>
  <c r="X66" i="1"/>
  <c r="H69" i="9" s="1"/>
  <c r="G139" i="8"/>
  <c r="G140" i="8" s="1"/>
  <c r="G141" i="8" s="1"/>
  <c r="G142" i="8" s="1"/>
  <c r="G143" i="8" s="1"/>
  <c r="G144" i="8" s="1"/>
  <c r="G145" i="8" s="1"/>
  <c r="G146" i="8" s="1"/>
  <c r="G517" i="8"/>
  <c r="G518" i="8" s="1"/>
  <c r="G519" i="8" s="1"/>
  <c r="G520" i="8" s="1"/>
  <c r="G521" i="8" s="1"/>
  <c r="G522" i="8" s="1"/>
  <c r="G523" i="8" s="1"/>
  <c r="G524" i="8" s="1"/>
  <c r="G525" i="8" s="1"/>
  <c r="G526" i="8" s="1"/>
  <c r="G527" i="8" s="1"/>
  <c r="G528" i="8" s="1"/>
  <c r="G529" i="8" s="1"/>
  <c r="G530" i="8" s="1"/>
  <c r="G531" i="8" s="1"/>
  <c r="G532" i="8" s="1"/>
  <c r="Y77" i="1" s="1"/>
  <c r="I80" i="9" s="1"/>
  <c r="F280" i="8"/>
  <c r="G160" i="8"/>
  <c r="G161" i="8" s="1"/>
  <c r="G162" i="8" s="1"/>
  <c r="G163" i="8" s="1"/>
  <c r="G164" i="8" s="1"/>
  <c r="G165" i="8" s="1"/>
  <c r="G166" i="8" s="1"/>
  <c r="G167" i="8" s="1"/>
  <c r="G168" i="8" s="1"/>
  <c r="G169" i="8" s="1"/>
  <c r="G170" i="8" s="1"/>
  <c r="G171" i="8" s="1"/>
  <c r="G172" i="8" s="1"/>
  <c r="G173" i="8" s="1"/>
  <c r="G174" i="8" s="1"/>
  <c r="G175" i="8" s="1"/>
  <c r="Y60" i="1" s="1"/>
  <c r="I63" i="9" s="1"/>
  <c r="J476" i="8"/>
  <c r="K538" i="8"/>
  <c r="K539" i="8" s="1"/>
  <c r="K540" i="8" s="1"/>
  <c r="K541" i="8" s="1"/>
  <c r="K542" i="8" s="1"/>
  <c r="K543" i="8" s="1"/>
  <c r="K544" i="8" s="1"/>
  <c r="K545" i="8" s="1"/>
  <c r="K546" i="8" s="1"/>
  <c r="K547" i="8" s="1"/>
  <c r="K548" i="8" s="1"/>
  <c r="K549" i="8" s="1"/>
  <c r="K550" i="8" s="1"/>
  <c r="K551" i="8" s="1"/>
  <c r="K552" i="8" s="1"/>
  <c r="G559" i="8"/>
  <c r="G560" i="8" s="1"/>
  <c r="G561" i="8" s="1"/>
  <c r="G562" i="8" s="1"/>
  <c r="G563" i="8" s="1"/>
  <c r="G564" i="8" s="1"/>
  <c r="G565" i="8" s="1"/>
  <c r="G566" i="8" s="1"/>
  <c r="G567" i="8" s="1"/>
  <c r="G568" i="8" s="1"/>
  <c r="G569" i="8" s="1"/>
  <c r="G570" i="8" s="1"/>
  <c r="G571" i="8" s="1"/>
  <c r="G572" i="8" s="1"/>
  <c r="G573" i="8" s="1"/>
  <c r="G574" i="8" s="1"/>
  <c r="Y79" i="1" s="1"/>
  <c r="I82" i="9" s="1"/>
  <c r="J180" i="8"/>
  <c r="K180" i="8" s="1"/>
  <c r="K181" i="8" s="1"/>
  <c r="K182" i="8" s="1"/>
  <c r="K183" i="8" s="1"/>
  <c r="K184" i="8" s="1"/>
  <c r="K185" i="8" s="1"/>
  <c r="K186" i="8" s="1"/>
  <c r="K187" i="8" s="1"/>
  <c r="K188" i="8" s="1"/>
  <c r="K189" i="8" s="1"/>
  <c r="K190" i="8" s="1"/>
  <c r="K191" i="8" s="1"/>
  <c r="K192" i="8" s="1"/>
  <c r="K193" i="8" s="1"/>
  <c r="K194" i="8" s="1"/>
  <c r="K195" i="8" s="1"/>
  <c r="J390" i="8"/>
  <c r="K390" i="8" s="1"/>
  <c r="F154" i="8"/>
  <c r="J413" i="8"/>
  <c r="J427" i="8" s="1"/>
  <c r="Z72" i="1" s="1"/>
  <c r="J75" i="9" s="1"/>
  <c r="G97" i="8"/>
  <c r="G98" i="8" s="1"/>
  <c r="G99" i="8" s="1"/>
  <c r="G100" i="8" s="1"/>
  <c r="G101" i="8" s="1"/>
  <c r="G102" i="8" s="1"/>
  <c r="G103" i="8" s="1"/>
  <c r="G104" i="8" s="1"/>
  <c r="G105" i="8" s="1"/>
  <c r="G106" i="8" s="1"/>
  <c r="G107" i="8" s="1"/>
  <c r="G108" i="8" s="1"/>
  <c r="G109" i="8" s="1"/>
  <c r="G110" i="8" s="1"/>
  <c r="G111" i="8" s="1"/>
  <c r="G112" i="8" s="1"/>
  <c r="Y57" i="1" s="1"/>
  <c r="I60" i="9" s="1"/>
  <c r="J140" i="8"/>
  <c r="J154" i="8" s="1"/>
  <c r="Z59" i="1" s="1"/>
  <c r="J62" i="9" s="1"/>
  <c r="J287" i="8"/>
  <c r="J308" i="8"/>
  <c r="J391" i="8"/>
  <c r="F406" i="8"/>
  <c r="G308" i="8"/>
  <c r="G309" i="8" s="1"/>
  <c r="G310" i="8" s="1"/>
  <c r="G311" i="8" s="1"/>
  <c r="G312" i="8" s="1"/>
  <c r="G313" i="8" s="1"/>
  <c r="G314" i="8" s="1"/>
  <c r="G315" i="8" s="1"/>
  <c r="G316" i="8" s="1"/>
  <c r="G317" i="8" s="1"/>
  <c r="G318" i="8" s="1"/>
  <c r="G319" i="8" s="1"/>
  <c r="G320" i="8" s="1"/>
  <c r="G321" i="8" s="1"/>
  <c r="G322" i="8" s="1"/>
  <c r="Y67" i="1" s="1"/>
  <c r="I70" i="9" s="1"/>
  <c r="J97" i="8"/>
  <c r="J162" i="8"/>
  <c r="J202" i="8"/>
  <c r="J288" i="8"/>
  <c r="J309" i="8"/>
  <c r="J322" i="8" s="1"/>
  <c r="Z67" i="1" s="1"/>
  <c r="J70" i="9" s="1"/>
  <c r="J330" i="8"/>
  <c r="J392" i="8"/>
  <c r="J454" i="8"/>
  <c r="J469" i="8" s="1"/>
  <c r="Z74" i="1" s="1"/>
  <c r="J77" i="9" s="1"/>
  <c r="J475" i="8"/>
  <c r="K601" i="8"/>
  <c r="K602" i="8" s="1"/>
  <c r="K603" i="8" s="1"/>
  <c r="K604" i="8" s="1"/>
  <c r="K605" i="8" s="1"/>
  <c r="K606" i="8" s="1"/>
  <c r="K607" i="8" s="1"/>
  <c r="K608" i="8" s="1"/>
  <c r="K609" i="8" s="1"/>
  <c r="K610" i="8" s="1"/>
  <c r="K611" i="8" s="1"/>
  <c r="K612" i="8" s="1"/>
  <c r="K613" i="8" s="1"/>
  <c r="K614" i="8" s="1"/>
  <c r="K615" i="8" s="1"/>
  <c r="G287" i="8"/>
  <c r="G288" i="8" s="1"/>
  <c r="G289" i="8" s="1"/>
  <c r="G290" i="8" s="1"/>
  <c r="G291" i="8" s="1"/>
  <c r="G292" i="8" s="1"/>
  <c r="G293" i="8" s="1"/>
  <c r="G294" i="8" s="1"/>
  <c r="G295" i="8" s="1"/>
  <c r="X54" i="1"/>
  <c r="H57" i="9" s="1"/>
  <c r="Y53" i="1"/>
  <c r="X22" i="1"/>
  <c r="H22" i="9" s="1"/>
  <c r="G335" i="7"/>
  <c r="J435" i="7"/>
  <c r="G807" i="7"/>
  <c r="G808" i="7" s="1"/>
  <c r="G809" i="7" s="1"/>
  <c r="G810" i="7" s="1"/>
  <c r="G811" i="7" s="1"/>
  <c r="G812" i="7" s="1"/>
  <c r="G813" i="7" s="1"/>
  <c r="G814" i="7" s="1"/>
  <c r="G815" i="7" s="1"/>
  <c r="G816" i="7" s="1"/>
  <c r="G817" i="7" s="1"/>
  <c r="G818" i="7" s="1"/>
  <c r="G819" i="7" s="1"/>
  <c r="G820" i="7" s="1"/>
  <c r="G821" i="7" s="1"/>
  <c r="G822" i="7" s="1"/>
  <c r="Y44" i="1" s="1"/>
  <c r="I46" i="9" s="1"/>
  <c r="J164" i="7"/>
  <c r="J204" i="7"/>
  <c r="J208" i="7"/>
  <c r="J212" i="7"/>
  <c r="J292" i="7"/>
  <c r="G313" i="7"/>
  <c r="G314" i="7" s="1"/>
  <c r="G315" i="7" s="1"/>
  <c r="G316" i="7" s="1"/>
  <c r="G317" i="7" s="1"/>
  <c r="G318" i="7" s="1"/>
  <c r="G319" i="7" s="1"/>
  <c r="G320" i="7" s="1"/>
  <c r="G321" i="7" s="1"/>
  <c r="G322" i="7" s="1"/>
  <c r="G323" i="7" s="1"/>
  <c r="G324" i="7" s="1"/>
  <c r="G325" i="7" s="1"/>
  <c r="G326" i="7" s="1"/>
  <c r="G327" i="7" s="1"/>
  <c r="G328" i="7" s="1"/>
  <c r="Y21" i="1" s="1"/>
  <c r="I21" i="9" s="1"/>
  <c r="J316" i="7"/>
  <c r="J337" i="7"/>
  <c r="J342" i="7"/>
  <c r="J346" i="7"/>
  <c r="J359" i="7"/>
  <c r="J429" i="7"/>
  <c r="J433" i="7"/>
  <c r="J437" i="7"/>
  <c r="X29" i="1"/>
  <c r="AJ29" i="1" s="1"/>
  <c r="J350" i="7"/>
  <c r="J388" i="7"/>
  <c r="J432" i="7"/>
  <c r="G182" i="7"/>
  <c r="G183" i="7" s="1"/>
  <c r="G184" i="7" s="1"/>
  <c r="G185" i="7" s="1"/>
  <c r="G186" i="7" s="1"/>
  <c r="G187" i="7" s="1"/>
  <c r="G188" i="7" s="1"/>
  <c r="G189" i="7" s="1"/>
  <c r="G190" i="7" s="1"/>
  <c r="G191" i="7" s="1"/>
  <c r="G192" i="7" s="1"/>
  <c r="G193" i="7" s="1"/>
  <c r="G194" i="7" s="1"/>
  <c r="G195" i="7" s="1"/>
  <c r="G196" i="7" s="1"/>
  <c r="G197" i="7" s="1"/>
  <c r="Y15" i="1" s="1"/>
  <c r="I15" i="9" s="1"/>
  <c r="J231" i="7"/>
  <c r="J271" i="7"/>
  <c r="J275" i="7"/>
  <c r="J279" i="7"/>
  <c r="J283" i="7"/>
  <c r="J313" i="7"/>
  <c r="J343" i="7"/>
  <c r="J360" i="7"/>
  <c r="J364" i="7"/>
  <c r="J368" i="7"/>
  <c r="F197" i="7"/>
  <c r="J371" i="7"/>
  <c r="X27" i="1"/>
  <c r="H27" i="9" s="1"/>
  <c r="X50" i="1"/>
  <c r="G849" i="7"/>
  <c r="G850" i="7" s="1"/>
  <c r="G851" i="7" s="1"/>
  <c r="G852" i="7" s="1"/>
  <c r="G853" i="7" s="1"/>
  <c r="G854" i="7" s="1"/>
  <c r="G855" i="7" s="1"/>
  <c r="G856" i="7" s="1"/>
  <c r="G857" i="7" s="1"/>
  <c r="G858" i="7" s="1"/>
  <c r="G859" i="7" s="1"/>
  <c r="G860" i="7" s="1"/>
  <c r="G861" i="7" s="1"/>
  <c r="G862" i="7" s="1"/>
  <c r="G863" i="7" s="1"/>
  <c r="G864" i="7" s="1"/>
  <c r="Y46" i="1" s="1"/>
  <c r="I48" i="9" s="1"/>
  <c r="G765" i="7"/>
  <c r="G766" i="7" s="1"/>
  <c r="G767" i="7" s="1"/>
  <c r="G768" i="7" s="1"/>
  <c r="G769" i="7" s="1"/>
  <c r="G770" i="7" s="1"/>
  <c r="G771" i="7" s="1"/>
  <c r="G772" i="7" s="1"/>
  <c r="G773" i="7" s="1"/>
  <c r="G774" i="7" s="1"/>
  <c r="G775" i="7" s="1"/>
  <c r="G776" i="7" s="1"/>
  <c r="G777" i="7" s="1"/>
  <c r="G778" i="7" s="1"/>
  <c r="G779" i="7" s="1"/>
  <c r="G780" i="7" s="1"/>
  <c r="Y42" i="1" s="1"/>
  <c r="I44" i="9" s="1"/>
  <c r="X43" i="1"/>
  <c r="H45" i="9" s="1"/>
  <c r="F402" i="7"/>
  <c r="H85" i="1"/>
  <c r="H56" i="9"/>
  <c r="X26" i="1"/>
  <c r="H26" i="9" s="1"/>
  <c r="K76" i="8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" i="8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30" i="8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H18" i="5"/>
  <c r="H21" i="5" s="1"/>
  <c r="I26" i="5" s="1"/>
  <c r="I31" i="5" s="1"/>
  <c r="H85" i="9"/>
  <c r="AX82" i="1"/>
  <c r="AH4" i="7"/>
  <c r="AH5" i="7" s="1"/>
  <c r="H74" i="9"/>
  <c r="AL10" i="8"/>
  <c r="AL11" i="8" s="1"/>
  <c r="AL12" i="8" s="1"/>
  <c r="AL13" i="8" s="1"/>
  <c r="AL14" i="8" s="1"/>
  <c r="AL15" i="8" s="1"/>
  <c r="AL16" i="8" s="1"/>
  <c r="AL17" i="8" s="1"/>
  <c r="AL18" i="8" s="1"/>
  <c r="H83" i="9"/>
  <c r="AX80" i="1"/>
  <c r="H81" i="9"/>
  <c r="AX78" i="1"/>
  <c r="H80" i="9"/>
  <c r="G475" i="8"/>
  <c r="G476" i="8" s="1"/>
  <c r="G477" i="8" s="1"/>
  <c r="X75" i="1"/>
  <c r="H78" i="9" s="1"/>
  <c r="K286" i="8"/>
  <c r="AG23" i="8"/>
  <c r="AH23" i="8" s="1"/>
  <c r="AH24" i="8" s="1"/>
  <c r="AH25" i="8" s="1"/>
  <c r="AH26" i="8" s="1"/>
  <c r="AH27" i="8" s="1"/>
  <c r="AH28" i="8" s="1"/>
  <c r="AH29" i="8" s="1"/>
  <c r="AH30" i="8" s="1"/>
  <c r="AH31" i="8" s="1"/>
  <c r="H62" i="9"/>
  <c r="H82" i="9"/>
  <c r="X55" i="1"/>
  <c r="H58" i="9" s="1"/>
  <c r="K51" i="8"/>
  <c r="K52" i="8" s="1"/>
  <c r="K53" i="8" s="1"/>
  <c r="K54" i="8" s="1"/>
  <c r="K55" i="8" s="1"/>
  <c r="K56" i="8" s="1"/>
  <c r="K57" i="8" s="1"/>
  <c r="K58" i="8" s="1"/>
  <c r="K59" i="8" s="1"/>
  <c r="K60" i="8" s="1"/>
  <c r="K517" i="8"/>
  <c r="K518" i="8" s="1"/>
  <c r="K519" i="8" s="1"/>
  <c r="K520" i="8" s="1"/>
  <c r="K521" i="8" s="1"/>
  <c r="K522" i="8" s="1"/>
  <c r="K523" i="8" s="1"/>
  <c r="K524" i="8" s="1"/>
  <c r="K525" i="8" s="1"/>
  <c r="K526" i="8" s="1"/>
  <c r="K527" i="8" s="1"/>
  <c r="K528" i="8" s="1"/>
  <c r="K529" i="8" s="1"/>
  <c r="K530" i="8" s="1"/>
  <c r="K531" i="8" s="1"/>
  <c r="K160" i="8"/>
  <c r="K161" i="8" s="1"/>
  <c r="K559" i="8"/>
  <c r="K560" i="8" s="1"/>
  <c r="K561" i="8" s="1"/>
  <c r="K562" i="8" s="1"/>
  <c r="K563" i="8" s="1"/>
  <c r="K564" i="8" s="1"/>
  <c r="K565" i="8" s="1"/>
  <c r="K566" i="8" s="1"/>
  <c r="K567" i="8" s="1"/>
  <c r="K568" i="8" s="1"/>
  <c r="K569" i="8" s="1"/>
  <c r="K570" i="8" s="1"/>
  <c r="K571" i="8" s="1"/>
  <c r="K572" i="8" s="1"/>
  <c r="K573" i="8" s="1"/>
  <c r="AX83" i="1"/>
  <c r="J370" i="7"/>
  <c r="F130" i="7"/>
  <c r="J147" i="7"/>
  <c r="J348" i="7"/>
  <c r="G744" i="7"/>
  <c r="G745" i="7" s="1"/>
  <c r="G746" i="7" s="1"/>
  <c r="G747" i="7" s="1"/>
  <c r="G748" i="7" s="1"/>
  <c r="G749" i="7" s="1"/>
  <c r="G750" i="7" s="1"/>
  <c r="G751" i="7" s="1"/>
  <c r="G752" i="7" s="1"/>
  <c r="G753" i="7" s="1"/>
  <c r="G754" i="7" s="1"/>
  <c r="G755" i="7" s="1"/>
  <c r="G756" i="7" s="1"/>
  <c r="G757" i="7" s="1"/>
  <c r="G758" i="7" s="1"/>
  <c r="G759" i="7" s="1"/>
  <c r="Y41" i="1" s="1"/>
  <c r="I43" i="9" s="1"/>
  <c r="K73" i="7"/>
  <c r="J10" i="7"/>
  <c r="J161" i="7"/>
  <c r="K161" i="7" s="1"/>
  <c r="F264" i="7"/>
  <c r="J315" i="7"/>
  <c r="O27" i="1"/>
  <c r="N15" i="1"/>
  <c r="O15" i="1" s="1"/>
  <c r="M73" i="1"/>
  <c r="AL82" i="1"/>
  <c r="AL78" i="1"/>
  <c r="AL80" i="1"/>
  <c r="G14" i="1"/>
  <c r="I14" i="1" s="1"/>
  <c r="H12" i="1"/>
  <c r="I12" i="1" s="1"/>
  <c r="I45" i="1"/>
  <c r="I43" i="1"/>
  <c r="I41" i="1"/>
  <c r="I37" i="1"/>
  <c r="I35" i="1"/>
  <c r="I33" i="1"/>
  <c r="I31" i="1"/>
  <c r="I29" i="1"/>
  <c r="I27" i="1"/>
  <c r="AL83" i="1"/>
  <c r="M12" i="1"/>
  <c r="O12" i="1" s="1"/>
  <c r="BD82" i="1"/>
  <c r="M85" i="9" s="1"/>
  <c r="I46" i="1"/>
  <c r="I36" i="1"/>
  <c r="I32" i="1"/>
  <c r="M11" i="1"/>
  <c r="O11" i="1" s="1"/>
  <c r="N23" i="1"/>
  <c r="O23" i="1" s="1"/>
  <c r="M60" i="1"/>
  <c r="N74" i="1"/>
  <c r="O74" i="1" s="1"/>
  <c r="I58" i="1"/>
  <c r="M13" i="1"/>
  <c r="O13" i="1" s="1"/>
  <c r="O59" i="1"/>
  <c r="O37" i="1"/>
  <c r="AC79" i="1"/>
  <c r="I73" i="1"/>
  <c r="D7" i="9"/>
  <c r="D52" i="9" s="1"/>
  <c r="D88" i="9" s="1"/>
  <c r="I56" i="1"/>
  <c r="O72" i="1"/>
  <c r="G17" i="1"/>
  <c r="I17" i="1" s="1"/>
  <c r="O44" i="1"/>
  <c r="O40" i="1"/>
  <c r="O36" i="1"/>
  <c r="O32" i="1"/>
  <c r="O28" i="1"/>
  <c r="M9" i="1"/>
  <c r="O9" i="1" s="1"/>
  <c r="O79" i="1"/>
  <c r="BD78" i="1"/>
  <c r="M81" i="9" s="1"/>
  <c r="BD80" i="1"/>
  <c r="M83" i="9" s="1"/>
  <c r="BD83" i="1"/>
  <c r="J14" i="7"/>
  <c r="J144" i="7"/>
  <c r="X37" i="1"/>
  <c r="H39" i="9" s="1"/>
  <c r="J250" i="7"/>
  <c r="J254" i="7"/>
  <c r="J335" i="7"/>
  <c r="K335" i="7" s="1"/>
  <c r="J340" i="7"/>
  <c r="J344" i="7"/>
  <c r="J431" i="7"/>
  <c r="K576" i="7"/>
  <c r="K577" i="7" s="1"/>
  <c r="K578" i="7" s="1"/>
  <c r="K579" i="7" s="1"/>
  <c r="K580" i="7" s="1"/>
  <c r="K581" i="7" s="1"/>
  <c r="K582" i="7" s="1"/>
  <c r="K583" i="7" s="1"/>
  <c r="K584" i="7" s="1"/>
  <c r="K585" i="7" s="1"/>
  <c r="K586" i="7" s="1"/>
  <c r="K587" i="7" s="1"/>
  <c r="K588" i="7" s="1"/>
  <c r="K589" i="7" s="1"/>
  <c r="K590" i="7" s="1"/>
  <c r="G450" i="7"/>
  <c r="G161" i="7"/>
  <c r="J229" i="7"/>
  <c r="J293" i="7"/>
  <c r="J347" i="7"/>
  <c r="J434" i="7"/>
  <c r="J438" i="7"/>
  <c r="F109" i="7"/>
  <c r="G137" i="7"/>
  <c r="G138" i="7" s="1"/>
  <c r="G139" i="7" s="1"/>
  <c r="G140" i="7" s="1"/>
  <c r="G141" i="7" s="1"/>
  <c r="G142" i="7" s="1"/>
  <c r="G143" i="7" s="1"/>
  <c r="G144" i="7" s="1"/>
  <c r="G145" i="7" s="1"/>
  <c r="G146" i="7" s="1"/>
  <c r="G147" i="7" s="1"/>
  <c r="G148" i="7" s="1"/>
  <c r="G149" i="7" s="1"/>
  <c r="G150" i="7" s="1"/>
  <c r="J141" i="7"/>
  <c r="F243" i="7"/>
  <c r="G270" i="7"/>
  <c r="G271" i="7" s="1"/>
  <c r="G272" i="7" s="1"/>
  <c r="G273" i="7" s="1"/>
  <c r="G274" i="7" s="1"/>
  <c r="G275" i="7" s="1"/>
  <c r="G276" i="7" s="1"/>
  <c r="G277" i="7" s="1"/>
  <c r="G278" i="7" s="1"/>
  <c r="G279" i="7" s="1"/>
  <c r="G280" i="7" s="1"/>
  <c r="G281" i="7" s="1"/>
  <c r="G282" i="7" s="1"/>
  <c r="G283" i="7" s="1"/>
  <c r="G284" i="7" s="1"/>
  <c r="G285" i="7" s="1"/>
  <c r="G286" i="7" s="1"/>
  <c r="Y19" i="1" s="1"/>
  <c r="F307" i="7"/>
  <c r="F328" i="7"/>
  <c r="F352" i="7"/>
  <c r="F380" i="7"/>
  <c r="M367" i="7" s="1"/>
  <c r="I11" i="1"/>
  <c r="G16" i="1"/>
  <c r="I16" i="1" s="1"/>
  <c r="I76" i="1"/>
  <c r="N60" i="1"/>
  <c r="AV82" i="1"/>
  <c r="N55" i="1"/>
  <c r="I82" i="1"/>
  <c r="O75" i="1"/>
  <c r="O77" i="1"/>
  <c r="O20" i="1"/>
  <c r="N24" i="1"/>
  <c r="O24" i="1" s="1"/>
  <c r="AC78" i="1"/>
  <c r="AC83" i="1"/>
  <c r="N22" i="1"/>
  <c r="O22" i="1" s="1"/>
  <c r="M55" i="1"/>
  <c r="M19" i="1"/>
  <c r="O19" i="1" s="1"/>
  <c r="I59" i="1"/>
  <c r="I66" i="1"/>
  <c r="I64" i="1"/>
  <c r="H20" i="1"/>
  <c r="I20" i="1" s="1"/>
  <c r="N73" i="1"/>
  <c r="I62" i="1"/>
  <c r="M71" i="1"/>
  <c r="O71" i="1" s="1"/>
  <c r="I47" i="1"/>
  <c r="O47" i="1"/>
  <c r="O70" i="1"/>
  <c r="O76" i="1"/>
  <c r="X33" i="1"/>
  <c r="H35" i="9" s="1"/>
  <c r="G336" i="7"/>
  <c r="G337" i="7" s="1"/>
  <c r="G338" i="7" s="1"/>
  <c r="G912" i="7"/>
  <c r="G913" i="7" s="1"/>
  <c r="G914" i="7" s="1"/>
  <c r="G915" i="7" s="1"/>
  <c r="G916" i="7" s="1"/>
  <c r="G917" i="7" s="1"/>
  <c r="G918" i="7" s="1"/>
  <c r="G919" i="7" s="1"/>
  <c r="G920" i="7" s="1"/>
  <c r="G921" i="7" s="1"/>
  <c r="G922" i="7" s="1"/>
  <c r="G923" i="7" s="1"/>
  <c r="G924" i="7" s="1"/>
  <c r="G925" i="7" s="1"/>
  <c r="G926" i="7" s="1"/>
  <c r="G927" i="7" s="1"/>
  <c r="Y49" i="1" s="1"/>
  <c r="I51" i="9" s="1"/>
  <c r="X30" i="1"/>
  <c r="H32" i="9" s="1"/>
  <c r="J74" i="7"/>
  <c r="J362" i="7"/>
  <c r="J366" i="7"/>
  <c r="J317" i="7"/>
  <c r="X21" i="1"/>
  <c r="H21" i="9" s="1"/>
  <c r="G891" i="7"/>
  <c r="G892" i="7" s="1"/>
  <c r="G893" i="7" s="1"/>
  <c r="G894" i="7" s="1"/>
  <c r="G895" i="7" s="1"/>
  <c r="G896" i="7" s="1"/>
  <c r="G897" i="7" s="1"/>
  <c r="G898" i="7" s="1"/>
  <c r="G899" i="7" s="1"/>
  <c r="G900" i="7" s="1"/>
  <c r="G901" i="7" s="1"/>
  <c r="G902" i="7" s="1"/>
  <c r="G903" i="7" s="1"/>
  <c r="G904" i="7" s="1"/>
  <c r="G905" i="7" s="1"/>
  <c r="G906" i="7" s="1"/>
  <c r="Y48" i="1" s="1"/>
  <c r="AJ48" i="1" s="1"/>
  <c r="G534" i="7"/>
  <c r="G535" i="7" s="1"/>
  <c r="G536" i="7" s="1"/>
  <c r="G537" i="7" s="1"/>
  <c r="G538" i="7" s="1"/>
  <c r="G539" i="7" s="1"/>
  <c r="G540" i="7" s="1"/>
  <c r="G541" i="7" s="1"/>
  <c r="G542" i="7" s="1"/>
  <c r="G543" i="7" s="1"/>
  <c r="G544" i="7" s="1"/>
  <c r="G545" i="7" s="1"/>
  <c r="G546" i="7" s="1"/>
  <c r="G547" i="7" s="1"/>
  <c r="G548" i="7" s="1"/>
  <c r="G549" i="7" s="1"/>
  <c r="Y31" i="1" s="1"/>
  <c r="AC31" i="1" s="1"/>
  <c r="G94" i="7"/>
  <c r="G95" i="7" s="1"/>
  <c r="G96" i="7" s="1"/>
  <c r="G97" i="7" s="1"/>
  <c r="G98" i="7" s="1"/>
  <c r="G99" i="7" s="1"/>
  <c r="G100" i="7" s="1"/>
  <c r="G101" i="7" s="1"/>
  <c r="G102" i="7" s="1"/>
  <c r="G103" i="7" s="1"/>
  <c r="G104" i="7" s="1"/>
  <c r="G105" i="7" s="1"/>
  <c r="G106" i="7" s="1"/>
  <c r="G107" i="7" s="1"/>
  <c r="G108" i="7" s="1"/>
  <c r="G109" i="7" s="1"/>
  <c r="Y11" i="1" s="1"/>
  <c r="I11" i="9" s="1"/>
  <c r="J145" i="7"/>
  <c r="J273" i="7"/>
  <c r="J277" i="7"/>
  <c r="J281" i="7"/>
  <c r="G293" i="7"/>
  <c r="G294" i="7" s="1"/>
  <c r="G295" i="7" s="1"/>
  <c r="G296" i="7" s="1"/>
  <c r="G297" i="7" s="1"/>
  <c r="G298" i="7" s="1"/>
  <c r="G299" i="7" s="1"/>
  <c r="G300" i="7" s="1"/>
  <c r="G301" i="7" s="1"/>
  <c r="G302" i="7" s="1"/>
  <c r="G303" i="7" s="1"/>
  <c r="G304" i="7" s="1"/>
  <c r="G305" i="7" s="1"/>
  <c r="G306" i="7" s="1"/>
  <c r="G307" i="7" s="1"/>
  <c r="Y20" i="1" s="1"/>
  <c r="I20" i="9" s="1"/>
  <c r="J358" i="7"/>
  <c r="K358" i="7" s="1"/>
  <c r="J408" i="7"/>
  <c r="J423" i="7" s="1"/>
  <c r="Z25" i="1" s="1"/>
  <c r="J25" i="9" s="1"/>
  <c r="K849" i="7"/>
  <c r="K850" i="7" s="1"/>
  <c r="K851" i="7" s="1"/>
  <c r="K852" i="7" s="1"/>
  <c r="K853" i="7" s="1"/>
  <c r="K854" i="7" s="1"/>
  <c r="K855" i="7" s="1"/>
  <c r="K856" i="7" s="1"/>
  <c r="K857" i="7" s="1"/>
  <c r="K858" i="7" s="1"/>
  <c r="K859" i="7" s="1"/>
  <c r="K860" i="7" s="1"/>
  <c r="K861" i="7" s="1"/>
  <c r="K862" i="7" s="1"/>
  <c r="K863" i="7" s="1"/>
  <c r="K891" i="7"/>
  <c r="K892" i="7" s="1"/>
  <c r="K893" i="7" s="1"/>
  <c r="K894" i="7" s="1"/>
  <c r="K895" i="7" s="1"/>
  <c r="K896" i="7" s="1"/>
  <c r="K897" i="7" s="1"/>
  <c r="K898" i="7" s="1"/>
  <c r="K899" i="7" s="1"/>
  <c r="K900" i="7" s="1"/>
  <c r="K901" i="7" s="1"/>
  <c r="K902" i="7" s="1"/>
  <c r="K903" i="7" s="1"/>
  <c r="K904" i="7" s="1"/>
  <c r="K905" i="7" s="1"/>
  <c r="I57" i="1"/>
  <c r="M54" i="1"/>
  <c r="O49" i="1"/>
  <c r="N58" i="1"/>
  <c r="O58" i="1" s="1"/>
  <c r="I83" i="1"/>
  <c r="Q83" i="1" s="1"/>
  <c r="R83" i="1" s="1"/>
  <c r="U83" i="1" s="1"/>
  <c r="N54" i="1"/>
  <c r="I34" i="1"/>
  <c r="I28" i="1"/>
  <c r="O48" i="1"/>
  <c r="O46" i="1"/>
  <c r="O42" i="1"/>
  <c r="O33" i="1"/>
  <c r="O31" i="1"/>
  <c r="I79" i="1"/>
  <c r="O62" i="1"/>
  <c r="O82" i="1"/>
  <c r="I54" i="1"/>
  <c r="I74" i="1"/>
  <c r="I44" i="1"/>
  <c r="O43" i="1"/>
  <c r="O41" i="1"/>
  <c r="O39" i="1"/>
  <c r="N17" i="1"/>
  <c r="O17" i="1" s="1"/>
  <c r="I78" i="1"/>
  <c r="O69" i="1"/>
  <c r="I63" i="1"/>
  <c r="I67" i="1"/>
  <c r="M10" i="1"/>
  <c r="O10" i="1" s="1"/>
  <c r="G9" i="1"/>
  <c r="G387" i="7"/>
  <c r="G388" i="7" s="1"/>
  <c r="G389" i="7" s="1"/>
  <c r="G390" i="7" s="1"/>
  <c r="G391" i="7" s="1"/>
  <c r="G392" i="7" s="1"/>
  <c r="G393" i="7" s="1"/>
  <c r="G394" i="7" s="1"/>
  <c r="G395" i="7" s="1"/>
  <c r="G396" i="7" s="1"/>
  <c r="G397" i="7" s="1"/>
  <c r="G398" i="7" s="1"/>
  <c r="G399" i="7" s="1"/>
  <c r="G400" i="7" s="1"/>
  <c r="G401" i="7" s="1"/>
  <c r="G402" i="7" s="1"/>
  <c r="Y24" i="1" s="1"/>
  <c r="I24" i="9" s="1"/>
  <c r="J230" i="7"/>
  <c r="G249" i="7"/>
  <c r="G250" i="7" s="1"/>
  <c r="G251" i="7" s="1"/>
  <c r="G252" i="7" s="1"/>
  <c r="G253" i="7" s="1"/>
  <c r="G254" i="7" s="1"/>
  <c r="G255" i="7" s="1"/>
  <c r="G256" i="7" s="1"/>
  <c r="G257" i="7" s="1"/>
  <c r="G258" i="7" s="1"/>
  <c r="G259" i="7" s="1"/>
  <c r="G260" i="7" s="1"/>
  <c r="G261" i="7" s="1"/>
  <c r="G262" i="7" s="1"/>
  <c r="G263" i="7" s="1"/>
  <c r="G264" i="7" s="1"/>
  <c r="Y18" i="1" s="1"/>
  <c r="I18" i="9" s="1"/>
  <c r="J75" i="7"/>
  <c r="J95" i="7"/>
  <c r="J137" i="7"/>
  <c r="J251" i="7"/>
  <c r="X20" i="1"/>
  <c r="H20" i="9" s="1"/>
  <c r="J294" i="7"/>
  <c r="G228" i="7"/>
  <c r="G229" i="7" s="1"/>
  <c r="G230" i="7" s="1"/>
  <c r="G231" i="7" s="1"/>
  <c r="G232" i="7" s="1"/>
  <c r="G233" i="7" s="1"/>
  <c r="G234" i="7" s="1"/>
  <c r="G235" i="7" s="1"/>
  <c r="G236" i="7" s="1"/>
  <c r="G237" i="7" s="1"/>
  <c r="G238" i="7" s="1"/>
  <c r="G239" i="7" s="1"/>
  <c r="G240" i="7" s="1"/>
  <c r="G241" i="7" s="1"/>
  <c r="G242" i="7" s="1"/>
  <c r="G243" i="7" s="1"/>
  <c r="Y17" i="1" s="1"/>
  <c r="I17" i="9" s="1"/>
  <c r="G429" i="7"/>
  <c r="G430" i="7" s="1"/>
  <c r="G431" i="7" s="1"/>
  <c r="G432" i="7" s="1"/>
  <c r="G433" i="7" s="1"/>
  <c r="G434" i="7" s="1"/>
  <c r="G435" i="7" s="1"/>
  <c r="G436" i="7" s="1"/>
  <c r="G437" i="7" s="1"/>
  <c r="G438" i="7" s="1"/>
  <c r="G439" i="7" s="1"/>
  <c r="G440" i="7" s="1"/>
  <c r="G441" i="7" s="1"/>
  <c r="G442" i="7" s="1"/>
  <c r="M442" i="7" s="1"/>
  <c r="G73" i="7"/>
  <c r="G74" i="7" s="1"/>
  <c r="G75" i="7" s="1"/>
  <c r="G76" i="7" s="1"/>
  <c r="G77" i="7" s="1"/>
  <c r="G78" i="7" s="1"/>
  <c r="G79" i="7" s="1"/>
  <c r="G80" i="7" s="1"/>
  <c r="G81" i="7" s="1"/>
  <c r="G82" i="7" s="1"/>
  <c r="G83" i="7" s="1"/>
  <c r="G84" i="7" s="1"/>
  <c r="G85" i="7" s="1"/>
  <c r="G86" i="7" s="1"/>
  <c r="G87" i="7" s="1"/>
  <c r="G88" i="7" s="1"/>
  <c r="Y10" i="1" s="1"/>
  <c r="I10" i="9" s="1"/>
  <c r="G162" i="7"/>
  <c r="G163" i="7" s="1"/>
  <c r="G164" i="7" s="1"/>
  <c r="G165" i="7" s="1"/>
  <c r="G166" i="7" s="1"/>
  <c r="G167" i="7" s="1"/>
  <c r="G168" i="7" s="1"/>
  <c r="G169" i="7" s="1"/>
  <c r="G170" i="7" s="1"/>
  <c r="G171" i="7" s="1"/>
  <c r="G172" i="7" s="1"/>
  <c r="G173" i="7" s="1"/>
  <c r="G174" i="7" s="1"/>
  <c r="G175" i="7" s="1"/>
  <c r="G176" i="7" s="1"/>
  <c r="Y14" i="1" s="1"/>
  <c r="I14" i="9" s="1"/>
  <c r="J162" i="7"/>
  <c r="J166" i="7"/>
  <c r="J206" i="7"/>
  <c r="J210" i="7"/>
  <c r="J214" i="7"/>
  <c r="J349" i="7"/>
  <c r="J439" i="7"/>
  <c r="F444" i="7"/>
  <c r="G471" i="7"/>
  <c r="G472" i="7" s="1"/>
  <c r="G473" i="7" s="1"/>
  <c r="G474" i="7" s="1"/>
  <c r="G475" i="7" s="1"/>
  <c r="G476" i="7" s="1"/>
  <c r="G477" i="7" s="1"/>
  <c r="G478" i="7" s="1"/>
  <c r="G479" i="7" s="1"/>
  <c r="G480" i="7" s="1"/>
  <c r="G481" i="7" s="1"/>
  <c r="G482" i="7" s="1"/>
  <c r="G483" i="7" s="1"/>
  <c r="G484" i="7" s="1"/>
  <c r="G485" i="7" s="1"/>
  <c r="G486" i="7" s="1"/>
  <c r="Y28" i="1" s="1"/>
  <c r="J34" i="7"/>
  <c r="J46" i="7" s="1"/>
  <c r="Z8" i="1" s="1"/>
  <c r="J8" i="9" s="1"/>
  <c r="K292" i="7"/>
  <c r="J387" i="7"/>
  <c r="K387" i="7" s="1"/>
  <c r="F24" i="7"/>
  <c r="M16" i="7" s="1"/>
  <c r="F46" i="7"/>
  <c r="G52" i="7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Y9" i="1" s="1"/>
  <c r="I9" i="9" s="1"/>
  <c r="F88" i="7"/>
  <c r="J138" i="7"/>
  <c r="J146" i="7"/>
  <c r="F222" i="7"/>
  <c r="G70" i="1"/>
  <c r="I70" i="1" s="1"/>
  <c r="G23" i="1"/>
  <c r="I49" i="1"/>
  <c r="I40" i="1"/>
  <c r="O30" i="1"/>
  <c r="O78" i="1"/>
  <c r="N25" i="1"/>
  <c r="O25" i="1" s="1"/>
  <c r="H23" i="1"/>
  <c r="M66" i="1"/>
  <c r="I55" i="1"/>
  <c r="O61" i="1"/>
  <c r="G25" i="1"/>
  <c r="I25" i="1" s="1"/>
  <c r="O34" i="1"/>
  <c r="I80" i="1"/>
  <c r="O63" i="1"/>
  <c r="I65" i="1"/>
  <c r="I68" i="1"/>
  <c r="I75" i="1"/>
  <c r="I72" i="1"/>
  <c r="O68" i="1"/>
  <c r="O80" i="1"/>
  <c r="O64" i="1"/>
  <c r="N26" i="1"/>
  <c r="O26" i="1" s="1"/>
  <c r="N66" i="1"/>
  <c r="I69" i="1"/>
  <c r="O67" i="1"/>
  <c r="I48" i="1"/>
  <c r="I42" i="1"/>
  <c r="I39" i="1"/>
  <c r="I38" i="1"/>
  <c r="I30" i="1"/>
  <c r="O45" i="1"/>
  <c r="O38" i="1"/>
  <c r="O35" i="1"/>
  <c r="O29" i="1"/>
  <c r="I77" i="1"/>
  <c r="I81" i="1"/>
  <c r="O81" i="1"/>
  <c r="I61" i="1"/>
  <c r="F87" i="1"/>
  <c r="I42" i="9"/>
  <c r="AV40" i="1"/>
  <c r="I37" i="9"/>
  <c r="AJ35" i="1"/>
  <c r="AC29" i="1"/>
  <c r="AV29" i="1"/>
  <c r="X12" i="1"/>
  <c r="H12" i="9" s="1"/>
  <c r="G115" i="7"/>
  <c r="G116" i="7" s="1"/>
  <c r="G117" i="7" s="1"/>
  <c r="G118" i="7" s="1"/>
  <c r="G119" i="7" s="1"/>
  <c r="G120" i="7" s="1"/>
  <c r="G121" i="7" s="1"/>
  <c r="G122" i="7" s="1"/>
  <c r="G123" i="7" s="1"/>
  <c r="G124" i="7" s="1"/>
  <c r="G125" i="7" s="1"/>
  <c r="G126" i="7" s="1"/>
  <c r="G127" i="7" s="1"/>
  <c r="G128" i="7" s="1"/>
  <c r="G129" i="7" s="1"/>
  <c r="G130" i="7" s="1"/>
  <c r="Y12" i="1" s="1"/>
  <c r="I12" i="9" s="1"/>
  <c r="X39" i="1"/>
  <c r="G702" i="7"/>
  <c r="G703" i="7" s="1"/>
  <c r="G704" i="7" s="1"/>
  <c r="G705" i="7" s="1"/>
  <c r="G706" i="7" s="1"/>
  <c r="G707" i="7" s="1"/>
  <c r="G708" i="7" s="1"/>
  <c r="G709" i="7" s="1"/>
  <c r="G710" i="7" s="1"/>
  <c r="G711" i="7" s="1"/>
  <c r="G712" i="7" s="1"/>
  <c r="G713" i="7" s="1"/>
  <c r="G714" i="7" s="1"/>
  <c r="G715" i="7" s="1"/>
  <c r="G716" i="7" s="1"/>
  <c r="G717" i="7" s="1"/>
  <c r="Y39" i="1" s="1"/>
  <c r="I41" i="9" s="1"/>
  <c r="AJ45" i="1"/>
  <c r="J76" i="7"/>
  <c r="G203" i="7"/>
  <c r="G204" i="7" s="1"/>
  <c r="G205" i="7" s="1"/>
  <c r="G206" i="7" s="1"/>
  <c r="G207" i="7" s="1"/>
  <c r="G208" i="7" s="1"/>
  <c r="G209" i="7" s="1"/>
  <c r="G210" i="7" s="1"/>
  <c r="G211" i="7" s="1"/>
  <c r="G212" i="7" s="1"/>
  <c r="G213" i="7" s="1"/>
  <c r="G214" i="7" s="1"/>
  <c r="G215" i="7" s="1"/>
  <c r="G216" i="7" s="1"/>
  <c r="G217" i="7" s="1"/>
  <c r="G218" i="7" s="1"/>
  <c r="G219" i="7" s="1"/>
  <c r="G220" i="7" s="1"/>
  <c r="G221" i="7" s="1"/>
  <c r="J270" i="7"/>
  <c r="X23" i="1"/>
  <c r="H23" i="9" s="1"/>
  <c r="G358" i="7"/>
  <c r="G359" i="7" s="1"/>
  <c r="G360" i="7" s="1"/>
  <c r="G361" i="7" s="1"/>
  <c r="G362" i="7" s="1"/>
  <c r="G363" i="7" s="1"/>
  <c r="G364" i="7" s="1"/>
  <c r="G365" i="7" s="1"/>
  <c r="G366" i="7" s="1"/>
  <c r="G367" i="7" s="1"/>
  <c r="G368" i="7" s="1"/>
  <c r="G369" i="7" s="1"/>
  <c r="G370" i="7" s="1"/>
  <c r="G371" i="7" s="1"/>
  <c r="G372" i="7" s="1"/>
  <c r="G373" i="7" s="1"/>
  <c r="G374" i="7" s="1"/>
  <c r="G375" i="7" s="1"/>
  <c r="G376" i="7" s="1"/>
  <c r="G377" i="7" s="1"/>
  <c r="X36" i="1"/>
  <c r="AV36" i="1" s="1"/>
  <c r="G31" i="7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Y8" i="1" s="1"/>
  <c r="I8" i="9" s="1"/>
  <c r="F154" i="7"/>
  <c r="AJ32" i="1"/>
  <c r="G870" i="7"/>
  <c r="G871" i="7" s="1"/>
  <c r="G872" i="7" s="1"/>
  <c r="G873" i="7" s="1"/>
  <c r="G874" i="7" s="1"/>
  <c r="G875" i="7" s="1"/>
  <c r="G876" i="7" s="1"/>
  <c r="G877" i="7" s="1"/>
  <c r="G878" i="7" s="1"/>
  <c r="G879" i="7" s="1"/>
  <c r="G880" i="7" s="1"/>
  <c r="G881" i="7" s="1"/>
  <c r="G882" i="7" s="1"/>
  <c r="G883" i="7" s="1"/>
  <c r="G884" i="7" s="1"/>
  <c r="G885" i="7" s="1"/>
  <c r="Y47" i="1" s="1"/>
  <c r="AJ47" i="1" s="1"/>
  <c r="J52" i="7"/>
  <c r="J67" i="7" s="1"/>
  <c r="Z9" i="1" s="1"/>
  <c r="J9" i="9" s="1"/>
  <c r="F67" i="7"/>
  <c r="X16" i="1"/>
  <c r="H16" i="9" s="1"/>
  <c r="J136" i="7"/>
  <c r="K136" i="7" s="1"/>
  <c r="X25" i="1"/>
  <c r="H25" i="9" s="1"/>
  <c r="G408" i="7"/>
  <c r="G409" i="7" s="1"/>
  <c r="G410" i="7" s="1"/>
  <c r="G411" i="7" s="1"/>
  <c r="G412" i="7" s="1"/>
  <c r="G413" i="7" s="1"/>
  <c r="G414" i="7" s="1"/>
  <c r="G415" i="7" s="1"/>
  <c r="G416" i="7" s="1"/>
  <c r="G417" i="7" s="1"/>
  <c r="G418" i="7" s="1"/>
  <c r="G419" i="7" s="1"/>
  <c r="G420" i="7" s="1"/>
  <c r="G421" i="7" s="1"/>
  <c r="G422" i="7" s="1"/>
  <c r="G423" i="7" s="1"/>
  <c r="Y25" i="1" s="1"/>
  <c r="I25" i="9" s="1"/>
  <c r="X7" i="1"/>
  <c r="G9" i="7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Y7" i="1" s="1"/>
  <c r="G681" i="7"/>
  <c r="G682" i="7" s="1"/>
  <c r="G683" i="7" s="1"/>
  <c r="G684" i="7" s="1"/>
  <c r="G685" i="7" s="1"/>
  <c r="G686" i="7" s="1"/>
  <c r="G687" i="7" s="1"/>
  <c r="G688" i="7" s="1"/>
  <c r="G689" i="7" s="1"/>
  <c r="G690" i="7" s="1"/>
  <c r="G691" i="7" s="1"/>
  <c r="G692" i="7" s="1"/>
  <c r="G693" i="7" s="1"/>
  <c r="G694" i="7" s="1"/>
  <c r="G695" i="7" s="1"/>
  <c r="G696" i="7" s="1"/>
  <c r="Y38" i="1" s="1"/>
  <c r="X38" i="1"/>
  <c r="H40" i="9" s="1"/>
  <c r="H31" i="9"/>
  <c r="AJ34" i="1"/>
  <c r="J12" i="7"/>
  <c r="J215" i="7"/>
  <c r="F176" i="7"/>
  <c r="F286" i="7"/>
  <c r="K31" i="7"/>
  <c r="X11" i="1"/>
  <c r="H11" i="9" s="1"/>
  <c r="X13" i="1"/>
  <c r="H13" i="9" s="1"/>
  <c r="AL5" i="7"/>
  <c r="AL6" i="7" s="1"/>
  <c r="AL7" i="7" s="1"/>
  <c r="J142" i="7"/>
  <c r="K555" i="7"/>
  <c r="K556" i="7" s="1"/>
  <c r="K557" i="7" s="1"/>
  <c r="K558" i="7" s="1"/>
  <c r="K559" i="7" s="1"/>
  <c r="K560" i="7" s="1"/>
  <c r="K561" i="7" s="1"/>
  <c r="K562" i="7" s="1"/>
  <c r="K563" i="7" s="1"/>
  <c r="K564" i="7" s="1"/>
  <c r="K565" i="7" s="1"/>
  <c r="K566" i="7" s="1"/>
  <c r="K567" i="7" s="1"/>
  <c r="K568" i="7" s="1"/>
  <c r="K569" i="7" s="1"/>
  <c r="J272" i="7"/>
  <c r="J284" i="7"/>
  <c r="J163" i="7"/>
  <c r="J183" i="7"/>
  <c r="J197" i="7" s="1"/>
  <c r="Z15" i="1" s="1"/>
  <c r="J15" i="9" s="1"/>
  <c r="J205" i="7"/>
  <c r="J209" i="7"/>
  <c r="J213" i="7"/>
  <c r="J274" i="7"/>
  <c r="J278" i="7"/>
  <c r="J282" i="7"/>
  <c r="J336" i="7"/>
  <c r="J341" i="7"/>
  <c r="J345" i="7"/>
  <c r="J361" i="7"/>
  <c r="J365" i="7"/>
  <c r="J369" i="7"/>
  <c r="J436" i="7"/>
  <c r="J285" i="7"/>
  <c r="J94" i="7"/>
  <c r="J115" i="7"/>
  <c r="K115" i="7" s="1"/>
  <c r="K116" i="7" s="1"/>
  <c r="K117" i="7" s="1"/>
  <c r="K118" i="7" s="1"/>
  <c r="K119" i="7" s="1"/>
  <c r="K120" i="7" s="1"/>
  <c r="K121" i="7" s="1"/>
  <c r="K122" i="7" s="1"/>
  <c r="K123" i="7" s="1"/>
  <c r="K124" i="7" s="1"/>
  <c r="K125" i="7" s="1"/>
  <c r="K126" i="7" s="1"/>
  <c r="K127" i="7" s="1"/>
  <c r="K128" i="7" s="1"/>
  <c r="K129" i="7" s="1"/>
  <c r="J140" i="7"/>
  <c r="J165" i="7"/>
  <c r="J203" i="7"/>
  <c r="K203" i="7" s="1"/>
  <c r="J207" i="7"/>
  <c r="J211" i="7"/>
  <c r="J276" i="7"/>
  <c r="J280" i="7"/>
  <c r="J338" i="7"/>
  <c r="J363" i="7"/>
  <c r="J367" i="7"/>
  <c r="J430" i="7"/>
  <c r="I60" i="1"/>
  <c r="I53" i="1"/>
  <c r="I71" i="1"/>
  <c r="O16" i="1"/>
  <c r="N7" i="1"/>
  <c r="H15" i="1"/>
  <c r="I15" i="1" s="1"/>
  <c r="H19" i="1"/>
  <c r="M21" i="1"/>
  <c r="O21" i="1" s="1"/>
  <c r="N65" i="1"/>
  <c r="O65" i="1" s="1"/>
  <c r="H10" i="1"/>
  <c r="I10" i="1" s="1"/>
  <c r="M8" i="1"/>
  <c r="N57" i="1"/>
  <c r="O57" i="1" s="1"/>
  <c r="G19" i="1"/>
  <c r="G8" i="1"/>
  <c r="I8" i="1" s="1"/>
  <c r="M7" i="1"/>
  <c r="N14" i="1"/>
  <c r="O14" i="1" s="1"/>
  <c r="N18" i="1"/>
  <c r="N8" i="1"/>
  <c r="G21" i="1"/>
  <c r="H21" i="1"/>
  <c r="G18" i="1"/>
  <c r="I18" i="1" s="1"/>
  <c r="AG37" i="8"/>
  <c r="AH37" i="8" s="1"/>
  <c r="AH38" i="8" s="1"/>
  <c r="AH39" i="8" s="1"/>
  <c r="AH40" i="8" s="1"/>
  <c r="AH41" i="8" s="1"/>
  <c r="AH42" i="8" s="1"/>
  <c r="AH43" i="8" s="1"/>
  <c r="AH44" i="8" s="1"/>
  <c r="AH45" i="8" s="1"/>
  <c r="AH46" i="8" s="1"/>
  <c r="AH47" i="8" s="1"/>
  <c r="H9" i="1"/>
  <c r="H22" i="1"/>
  <c r="I22" i="1" s="1"/>
  <c r="M18" i="1"/>
  <c r="G24" i="1"/>
  <c r="I24" i="1" s="1"/>
  <c r="M53" i="1"/>
  <c r="M85" i="1" s="1"/>
  <c r="G13" i="1"/>
  <c r="M56" i="1"/>
  <c r="O56" i="1" s="1"/>
  <c r="N53" i="1"/>
  <c r="J91" i="8"/>
  <c r="Z56" i="1" s="1"/>
  <c r="J59" i="9" s="1"/>
  <c r="J238" i="8"/>
  <c r="Z63" i="1" s="1"/>
  <c r="J66" i="9" s="1"/>
  <c r="K307" i="8"/>
  <c r="AJ43" i="1"/>
  <c r="J864" i="7"/>
  <c r="Z46" i="1" s="1"/>
  <c r="J48" i="9" s="1"/>
  <c r="J24" i="8"/>
  <c r="Z53" i="1" s="1"/>
  <c r="J175" i="8"/>
  <c r="Z60" i="1" s="1"/>
  <c r="J63" i="9" s="1"/>
  <c r="K412" i="8"/>
  <c r="K9" i="7"/>
  <c r="K450" i="7"/>
  <c r="K451" i="7" s="1"/>
  <c r="K452" i="7" s="1"/>
  <c r="K453" i="7" s="1"/>
  <c r="K454" i="7" s="1"/>
  <c r="K455" i="7" s="1"/>
  <c r="K456" i="7" s="1"/>
  <c r="K457" i="7" s="1"/>
  <c r="K458" i="7" s="1"/>
  <c r="K459" i="7" s="1"/>
  <c r="K460" i="7" s="1"/>
  <c r="K461" i="7" s="1"/>
  <c r="K462" i="7" s="1"/>
  <c r="K463" i="7" s="1"/>
  <c r="K464" i="7" s="1"/>
  <c r="J301" i="8"/>
  <c r="Z66" i="1" s="1"/>
  <c r="J69" i="9" s="1"/>
  <c r="H29" i="5"/>
  <c r="I32" i="5"/>
  <c r="K743" i="7"/>
  <c r="K744" i="7" s="1"/>
  <c r="K745" i="7" s="1"/>
  <c r="K746" i="7" s="1"/>
  <c r="K747" i="7" s="1"/>
  <c r="K748" i="7" s="1"/>
  <c r="K749" i="7" s="1"/>
  <c r="K750" i="7" s="1"/>
  <c r="K751" i="7" s="1"/>
  <c r="K752" i="7" s="1"/>
  <c r="K753" i="7" s="1"/>
  <c r="K754" i="7" s="1"/>
  <c r="K755" i="7" s="1"/>
  <c r="K756" i="7" s="1"/>
  <c r="K757" i="7" s="1"/>
  <c r="K758" i="7" s="1"/>
  <c r="J759" i="7"/>
  <c r="Z41" i="1" s="1"/>
  <c r="J43" i="9" s="1"/>
  <c r="K243" i="8"/>
  <c r="K244" i="8" s="1"/>
  <c r="K245" i="8" s="1"/>
  <c r="K246" i="8" s="1"/>
  <c r="K247" i="8" s="1"/>
  <c r="K248" i="8" s="1"/>
  <c r="K249" i="8" s="1"/>
  <c r="K250" i="8" s="1"/>
  <c r="K251" i="8" s="1"/>
  <c r="K252" i="8" s="1"/>
  <c r="K253" i="8" s="1"/>
  <c r="K254" i="8" s="1"/>
  <c r="K255" i="8" s="1"/>
  <c r="K256" i="8" s="1"/>
  <c r="K257" i="8" s="1"/>
  <c r="K258" i="8" s="1"/>
  <c r="J259" i="8"/>
  <c r="Z64" i="1" s="1"/>
  <c r="J67" i="9" s="1"/>
  <c r="K453" i="8"/>
  <c r="K181" i="7"/>
  <c r="K182" i="7" s="1"/>
  <c r="K369" i="8"/>
  <c r="K370" i="8" s="1"/>
  <c r="K371" i="8" s="1"/>
  <c r="K372" i="8" s="1"/>
  <c r="K373" i="8" s="1"/>
  <c r="K374" i="8" s="1"/>
  <c r="K375" i="8" s="1"/>
  <c r="K376" i="8" s="1"/>
  <c r="K377" i="8" s="1"/>
  <c r="K378" i="8" s="1"/>
  <c r="K379" i="8" s="1"/>
  <c r="K380" i="8" s="1"/>
  <c r="K381" i="8" s="1"/>
  <c r="K382" i="8" s="1"/>
  <c r="K383" i="8" s="1"/>
  <c r="K384" i="8" s="1"/>
  <c r="J385" i="8"/>
  <c r="Z70" i="1" s="1"/>
  <c r="J73" i="9" s="1"/>
  <c r="K51" i="7"/>
  <c r="K765" i="7"/>
  <c r="K766" i="7" s="1"/>
  <c r="K767" i="7" s="1"/>
  <c r="K768" i="7" s="1"/>
  <c r="K769" i="7" s="1"/>
  <c r="K770" i="7" s="1"/>
  <c r="K771" i="7" s="1"/>
  <c r="K772" i="7" s="1"/>
  <c r="K773" i="7" s="1"/>
  <c r="K774" i="7" s="1"/>
  <c r="K775" i="7" s="1"/>
  <c r="K776" i="7" s="1"/>
  <c r="K777" i="7" s="1"/>
  <c r="K778" i="7" s="1"/>
  <c r="K779" i="7" s="1"/>
  <c r="K118" i="8"/>
  <c r="K680" i="7"/>
  <c r="K681" i="7" s="1"/>
  <c r="K682" i="7" s="1"/>
  <c r="K683" i="7" s="1"/>
  <c r="K684" i="7" s="1"/>
  <c r="K685" i="7" s="1"/>
  <c r="K686" i="7" s="1"/>
  <c r="K687" i="7" s="1"/>
  <c r="K688" i="7" s="1"/>
  <c r="K689" i="7" s="1"/>
  <c r="K690" i="7" s="1"/>
  <c r="K691" i="7" s="1"/>
  <c r="K692" i="7" s="1"/>
  <c r="K693" i="7" s="1"/>
  <c r="K694" i="7" s="1"/>
  <c r="K695" i="7" s="1"/>
  <c r="J696" i="7"/>
  <c r="Z38" i="1" s="1"/>
  <c r="J40" i="9" s="1"/>
  <c r="K312" i="7"/>
  <c r="J591" i="7"/>
  <c r="Z33" i="1" s="1"/>
  <c r="J35" i="9" s="1"/>
  <c r="J133" i="8"/>
  <c r="Z58" i="1" s="1"/>
  <c r="J61" i="9" s="1"/>
  <c r="K701" i="7"/>
  <c r="K702" i="7" s="1"/>
  <c r="K703" i="7" s="1"/>
  <c r="K704" i="7" s="1"/>
  <c r="K705" i="7" s="1"/>
  <c r="K706" i="7" s="1"/>
  <c r="K707" i="7" s="1"/>
  <c r="K708" i="7" s="1"/>
  <c r="K709" i="7" s="1"/>
  <c r="K710" i="7" s="1"/>
  <c r="K711" i="7" s="1"/>
  <c r="K712" i="7" s="1"/>
  <c r="K713" i="7" s="1"/>
  <c r="K714" i="7" s="1"/>
  <c r="K715" i="7" s="1"/>
  <c r="K716" i="7" s="1"/>
  <c r="J717" i="7"/>
  <c r="Z39" i="1" s="1"/>
  <c r="J41" i="9" s="1"/>
  <c r="K806" i="7"/>
  <c r="K807" i="7" s="1"/>
  <c r="K808" i="7" s="1"/>
  <c r="K809" i="7" s="1"/>
  <c r="K810" i="7" s="1"/>
  <c r="K811" i="7" s="1"/>
  <c r="K812" i="7" s="1"/>
  <c r="K813" i="7" s="1"/>
  <c r="K814" i="7" s="1"/>
  <c r="K815" i="7" s="1"/>
  <c r="K816" i="7" s="1"/>
  <c r="K817" i="7" s="1"/>
  <c r="K818" i="7" s="1"/>
  <c r="K819" i="7" s="1"/>
  <c r="K820" i="7" s="1"/>
  <c r="K821" i="7" s="1"/>
  <c r="J822" i="7"/>
  <c r="Z44" i="1" s="1"/>
  <c r="J46" i="9" s="1"/>
  <c r="J343" i="8"/>
  <c r="Z68" i="1" s="1"/>
  <c r="J71" i="9" s="1"/>
  <c r="K328" i="8"/>
  <c r="K329" i="8" s="1"/>
  <c r="J511" i="8"/>
  <c r="Z76" i="1" s="1"/>
  <c r="J79" i="9" s="1"/>
  <c r="K496" i="8"/>
  <c r="K497" i="8" s="1"/>
  <c r="K498" i="8" s="1"/>
  <c r="K499" i="8" s="1"/>
  <c r="K500" i="8" s="1"/>
  <c r="K501" i="8" s="1"/>
  <c r="K502" i="8" s="1"/>
  <c r="K503" i="8" s="1"/>
  <c r="K504" i="8" s="1"/>
  <c r="K505" i="8" s="1"/>
  <c r="K506" i="8" s="1"/>
  <c r="K507" i="8" s="1"/>
  <c r="K508" i="8" s="1"/>
  <c r="K509" i="8" s="1"/>
  <c r="K510" i="8" s="1"/>
  <c r="AV45" i="1"/>
  <c r="AV78" i="1"/>
  <c r="AJ82" i="1"/>
  <c r="J465" i="7"/>
  <c r="J45" i="8"/>
  <c r="Z54" i="1" s="1"/>
  <c r="J57" i="9" s="1"/>
  <c r="AC35" i="1"/>
  <c r="AJ83" i="1"/>
  <c r="I45" i="9"/>
  <c r="H36" i="9"/>
  <c r="H30" i="9"/>
  <c r="AV35" i="1"/>
  <c r="J532" i="8"/>
  <c r="Z77" i="1" s="1"/>
  <c r="J80" i="9" s="1"/>
  <c r="H43" i="9"/>
  <c r="J616" i="8"/>
  <c r="Z81" i="1" s="1"/>
  <c r="J84" i="9" s="1"/>
  <c r="AV34" i="1"/>
  <c r="AC34" i="1"/>
  <c r="J906" i="7"/>
  <c r="Z48" i="1" s="1"/>
  <c r="J50" i="9" s="1"/>
  <c r="K786" i="7"/>
  <c r="K787" i="7" s="1"/>
  <c r="K788" i="7" s="1"/>
  <c r="K789" i="7" s="1"/>
  <c r="K790" i="7" s="1"/>
  <c r="K791" i="7" s="1"/>
  <c r="K792" i="7" s="1"/>
  <c r="K793" i="7" s="1"/>
  <c r="K794" i="7" s="1"/>
  <c r="K795" i="7" s="1"/>
  <c r="K796" i="7" s="1"/>
  <c r="K797" i="7" s="1"/>
  <c r="K798" i="7" s="1"/>
  <c r="K799" i="7" s="1"/>
  <c r="K800" i="7" s="1"/>
  <c r="J553" i="8"/>
  <c r="Z78" i="1" s="1"/>
  <c r="J81" i="9" s="1"/>
  <c r="AV80" i="1"/>
  <c r="AC80" i="1"/>
  <c r="AJ80" i="1"/>
  <c r="K228" i="7"/>
  <c r="K249" i="7"/>
  <c r="K407" i="7"/>
  <c r="J637" i="8"/>
  <c r="Z82" i="1" s="1"/>
  <c r="J85" i="9" s="1"/>
  <c r="K622" i="8"/>
  <c r="K623" i="8" s="1"/>
  <c r="K624" i="8" s="1"/>
  <c r="K625" i="8" s="1"/>
  <c r="K626" i="8" s="1"/>
  <c r="K627" i="8" s="1"/>
  <c r="K628" i="8" s="1"/>
  <c r="K629" i="8" s="1"/>
  <c r="K630" i="8" s="1"/>
  <c r="K631" i="8" s="1"/>
  <c r="K632" i="8" s="1"/>
  <c r="K633" i="8" s="1"/>
  <c r="K634" i="8" s="1"/>
  <c r="K635" i="8" s="1"/>
  <c r="K636" i="8" s="1"/>
  <c r="K32" i="7"/>
  <c r="K33" i="7" s="1"/>
  <c r="J486" i="7"/>
  <c r="Z28" i="1" s="1"/>
  <c r="K28" i="9" s="1"/>
  <c r="K470" i="7"/>
  <c r="K471" i="7" s="1"/>
  <c r="K472" i="7" s="1"/>
  <c r="K473" i="7" s="1"/>
  <c r="K474" i="7" s="1"/>
  <c r="K475" i="7" s="1"/>
  <c r="K476" i="7" s="1"/>
  <c r="K477" i="7" s="1"/>
  <c r="K478" i="7" s="1"/>
  <c r="K479" i="7" s="1"/>
  <c r="K480" i="7" s="1"/>
  <c r="K481" i="7" s="1"/>
  <c r="K482" i="7" s="1"/>
  <c r="K483" i="7" s="1"/>
  <c r="K484" i="7" s="1"/>
  <c r="K485" i="7" s="1"/>
  <c r="J528" i="7"/>
  <c r="Z30" i="1" s="1"/>
  <c r="J675" i="7"/>
  <c r="Z37" i="1" s="1"/>
  <c r="K659" i="7"/>
  <c r="K660" i="7" s="1"/>
  <c r="K661" i="7" s="1"/>
  <c r="K662" i="7" s="1"/>
  <c r="K663" i="7" s="1"/>
  <c r="K664" i="7" s="1"/>
  <c r="K665" i="7" s="1"/>
  <c r="K666" i="7" s="1"/>
  <c r="K667" i="7" s="1"/>
  <c r="K668" i="7" s="1"/>
  <c r="K669" i="7" s="1"/>
  <c r="K670" i="7" s="1"/>
  <c r="K671" i="7" s="1"/>
  <c r="K672" i="7" s="1"/>
  <c r="K673" i="7" s="1"/>
  <c r="K674" i="7" s="1"/>
  <c r="K827" i="7"/>
  <c r="K828" i="7" s="1"/>
  <c r="K829" i="7" s="1"/>
  <c r="K830" i="7" s="1"/>
  <c r="K831" i="7" s="1"/>
  <c r="K832" i="7" s="1"/>
  <c r="K833" i="7" s="1"/>
  <c r="K834" i="7" s="1"/>
  <c r="K835" i="7" s="1"/>
  <c r="K836" i="7" s="1"/>
  <c r="K837" i="7" s="1"/>
  <c r="K838" i="7" s="1"/>
  <c r="K839" i="7" s="1"/>
  <c r="K840" i="7" s="1"/>
  <c r="K841" i="7" s="1"/>
  <c r="K842" i="7" s="1"/>
  <c r="J843" i="7"/>
  <c r="Z45" i="1" s="1"/>
  <c r="AC42" i="1"/>
  <c r="AJ40" i="1"/>
  <c r="AC40" i="1"/>
  <c r="J549" i="7"/>
  <c r="Z31" i="1" s="1"/>
  <c r="K533" i="7"/>
  <c r="K534" i="7" s="1"/>
  <c r="K535" i="7" s="1"/>
  <c r="K536" i="7" s="1"/>
  <c r="K537" i="7" s="1"/>
  <c r="K538" i="7" s="1"/>
  <c r="K539" i="7" s="1"/>
  <c r="K540" i="7" s="1"/>
  <c r="K541" i="7" s="1"/>
  <c r="K542" i="7" s="1"/>
  <c r="K543" i="7" s="1"/>
  <c r="K544" i="7" s="1"/>
  <c r="K545" i="7" s="1"/>
  <c r="K546" i="7" s="1"/>
  <c r="K547" i="7" s="1"/>
  <c r="K548" i="7" s="1"/>
  <c r="K638" i="7"/>
  <c r="K639" i="7" s="1"/>
  <c r="K640" i="7" s="1"/>
  <c r="K641" i="7" s="1"/>
  <c r="K642" i="7" s="1"/>
  <c r="K643" i="7" s="1"/>
  <c r="K644" i="7" s="1"/>
  <c r="K645" i="7" s="1"/>
  <c r="K646" i="7" s="1"/>
  <c r="K647" i="7" s="1"/>
  <c r="K648" i="7" s="1"/>
  <c r="K649" i="7" s="1"/>
  <c r="K650" i="7" s="1"/>
  <c r="K651" i="7" s="1"/>
  <c r="K652" i="7" s="1"/>
  <c r="K653" i="7" s="1"/>
  <c r="J654" i="7"/>
  <c r="Z36" i="1" s="1"/>
  <c r="K869" i="7"/>
  <c r="K870" i="7" s="1"/>
  <c r="K871" i="7" s="1"/>
  <c r="K872" i="7" s="1"/>
  <c r="K873" i="7" s="1"/>
  <c r="K874" i="7" s="1"/>
  <c r="K875" i="7" s="1"/>
  <c r="K876" i="7" s="1"/>
  <c r="K877" i="7" s="1"/>
  <c r="K878" i="7" s="1"/>
  <c r="K879" i="7" s="1"/>
  <c r="K880" i="7" s="1"/>
  <c r="K881" i="7" s="1"/>
  <c r="K882" i="7" s="1"/>
  <c r="K883" i="7" s="1"/>
  <c r="K884" i="7" s="1"/>
  <c r="J885" i="7"/>
  <c r="Z47" i="1" s="1"/>
  <c r="H47" i="9"/>
  <c r="AC45" i="1"/>
  <c r="H51" i="9"/>
  <c r="K722" i="7"/>
  <c r="K723" i="7" s="1"/>
  <c r="K724" i="7" s="1"/>
  <c r="K725" i="7" s="1"/>
  <c r="K726" i="7" s="1"/>
  <c r="K727" i="7" s="1"/>
  <c r="K728" i="7" s="1"/>
  <c r="K729" i="7" s="1"/>
  <c r="K730" i="7" s="1"/>
  <c r="K731" i="7" s="1"/>
  <c r="K732" i="7" s="1"/>
  <c r="K733" i="7" s="1"/>
  <c r="K734" i="7" s="1"/>
  <c r="K735" i="7" s="1"/>
  <c r="K736" i="7" s="1"/>
  <c r="K737" i="7" s="1"/>
  <c r="J738" i="7"/>
  <c r="Z40" i="1" s="1"/>
  <c r="J780" i="7"/>
  <c r="Z42" i="1" s="1"/>
  <c r="K201" i="8"/>
  <c r="K428" i="7"/>
  <c r="AC32" i="1"/>
  <c r="H34" i="9"/>
  <c r="AV32" i="1"/>
  <c r="H49" i="9"/>
  <c r="K596" i="7"/>
  <c r="K597" i="7" s="1"/>
  <c r="K598" i="7" s="1"/>
  <c r="K599" i="7" s="1"/>
  <c r="K600" i="7" s="1"/>
  <c r="K601" i="7" s="1"/>
  <c r="K602" i="7" s="1"/>
  <c r="K603" i="7" s="1"/>
  <c r="K604" i="7" s="1"/>
  <c r="K605" i="7" s="1"/>
  <c r="K606" i="7" s="1"/>
  <c r="K607" i="7" s="1"/>
  <c r="K608" i="7" s="1"/>
  <c r="K609" i="7" s="1"/>
  <c r="K610" i="7" s="1"/>
  <c r="K611" i="7" s="1"/>
  <c r="J612" i="7"/>
  <c r="Z34" i="1" s="1"/>
  <c r="K617" i="7"/>
  <c r="K618" i="7" s="1"/>
  <c r="K619" i="7" s="1"/>
  <c r="K620" i="7" s="1"/>
  <c r="K621" i="7" s="1"/>
  <c r="K622" i="7" s="1"/>
  <c r="K623" i="7" s="1"/>
  <c r="K624" i="7" s="1"/>
  <c r="K625" i="7" s="1"/>
  <c r="K626" i="7" s="1"/>
  <c r="K627" i="7" s="1"/>
  <c r="K628" i="7" s="1"/>
  <c r="K629" i="7" s="1"/>
  <c r="K630" i="7" s="1"/>
  <c r="K631" i="7" s="1"/>
  <c r="K632" i="7" s="1"/>
  <c r="J633" i="7"/>
  <c r="Z35" i="1" s="1"/>
  <c r="H44" i="9"/>
  <c r="J507" i="7"/>
  <c r="Z29" i="1" s="1"/>
  <c r="J570" i="7"/>
  <c r="Z32" i="1" s="1"/>
  <c r="H50" i="9"/>
  <c r="H46" i="9"/>
  <c r="AJ44" i="1"/>
  <c r="J595" i="8"/>
  <c r="Z80" i="1" s="1"/>
  <c r="J83" i="9" s="1"/>
  <c r="K579" i="8"/>
  <c r="K580" i="8" s="1"/>
  <c r="K581" i="8" s="1"/>
  <c r="K582" i="8" s="1"/>
  <c r="K583" i="8" s="1"/>
  <c r="K584" i="8" s="1"/>
  <c r="K585" i="8" s="1"/>
  <c r="K586" i="8" s="1"/>
  <c r="K587" i="8" s="1"/>
  <c r="K588" i="8" s="1"/>
  <c r="K589" i="8" s="1"/>
  <c r="K590" i="8" s="1"/>
  <c r="K591" i="8" s="1"/>
  <c r="K592" i="8" s="1"/>
  <c r="K593" i="8" s="1"/>
  <c r="K594" i="8" s="1"/>
  <c r="K492" i="7"/>
  <c r="K493" i="7" s="1"/>
  <c r="K494" i="7" s="1"/>
  <c r="K495" i="7" s="1"/>
  <c r="K496" i="7" s="1"/>
  <c r="K497" i="7" s="1"/>
  <c r="K498" i="7" s="1"/>
  <c r="K499" i="7" s="1"/>
  <c r="K500" i="7" s="1"/>
  <c r="K501" i="7" s="1"/>
  <c r="K502" i="7" s="1"/>
  <c r="K503" i="7" s="1"/>
  <c r="K504" i="7" s="1"/>
  <c r="K505" i="7" s="1"/>
  <c r="K506" i="7" s="1"/>
  <c r="K513" i="7"/>
  <c r="K514" i="7" s="1"/>
  <c r="K515" i="7" s="1"/>
  <c r="K516" i="7" s="1"/>
  <c r="K517" i="7" s="1"/>
  <c r="K518" i="7" s="1"/>
  <c r="K519" i="7" s="1"/>
  <c r="K520" i="7" s="1"/>
  <c r="K521" i="7" s="1"/>
  <c r="K522" i="7" s="1"/>
  <c r="K523" i="7" s="1"/>
  <c r="K524" i="7" s="1"/>
  <c r="K525" i="7" s="1"/>
  <c r="K526" i="7" s="1"/>
  <c r="K527" i="7" s="1"/>
  <c r="H48" i="9"/>
  <c r="J801" i="7"/>
  <c r="Z43" i="1" s="1"/>
  <c r="K911" i="7"/>
  <c r="K912" i="7" s="1"/>
  <c r="K913" i="7" s="1"/>
  <c r="K914" i="7" s="1"/>
  <c r="K915" i="7" s="1"/>
  <c r="K916" i="7" s="1"/>
  <c r="K917" i="7" s="1"/>
  <c r="K918" i="7" s="1"/>
  <c r="K919" i="7" s="1"/>
  <c r="K920" i="7" s="1"/>
  <c r="K921" i="7" s="1"/>
  <c r="K922" i="7" s="1"/>
  <c r="K923" i="7" s="1"/>
  <c r="K924" i="7" s="1"/>
  <c r="K925" i="7" s="1"/>
  <c r="K926" i="7" s="1"/>
  <c r="J927" i="7"/>
  <c r="Z49" i="1" s="1"/>
  <c r="Z55" i="1"/>
  <c r="J58" i="9" s="1"/>
  <c r="AC82" i="1"/>
  <c r="AJ78" i="1"/>
  <c r="J364" i="8"/>
  <c r="Z69" i="1" s="1"/>
  <c r="J72" i="9" s="1"/>
  <c r="K348" i="8"/>
  <c r="K349" i="8" s="1"/>
  <c r="K350" i="8" s="1"/>
  <c r="K351" i="8" s="1"/>
  <c r="K352" i="8" s="1"/>
  <c r="K353" i="8" s="1"/>
  <c r="K354" i="8" s="1"/>
  <c r="K355" i="8" s="1"/>
  <c r="K356" i="8" s="1"/>
  <c r="K357" i="8" s="1"/>
  <c r="K358" i="8" s="1"/>
  <c r="K359" i="8" s="1"/>
  <c r="K360" i="8" s="1"/>
  <c r="K361" i="8" s="1"/>
  <c r="K362" i="8" s="1"/>
  <c r="K363" i="8" s="1"/>
  <c r="J574" i="8"/>
  <c r="Z79" i="1" s="1"/>
  <c r="J82" i="9" s="1"/>
  <c r="K432" i="8"/>
  <c r="I56" i="9" l="1"/>
  <c r="X51" i="1"/>
  <c r="G339" i="7"/>
  <c r="G340" i="7" s="1"/>
  <c r="G341" i="7" s="1"/>
  <c r="G342" i="7" s="1"/>
  <c r="G343" i="7" s="1"/>
  <c r="G344" i="7" s="1"/>
  <c r="G345" i="7" s="1"/>
  <c r="G346" i="7" s="1"/>
  <c r="G347" i="7" s="1"/>
  <c r="G348" i="7" s="1"/>
  <c r="G349" i="7" s="1"/>
  <c r="G350" i="7" s="1"/>
  <c r="G351" i="7" s="1"/>
  <c r="G352" i="7" s="1"/>
  <c r="Y22" i="1" s="1"/>
  <c r="I22" i="9" s="1"/>
  <c r="I19" i="9"/>
  <c r="K391" i="8"/>
  <c r="K392" i="8" s="1"/>
  <c r="K393" i="8" s="1"/>
  <c r="K394" i="8" s="1"/>
  <c r="K395" i="8" s="1"/>
  <c r="K396" i="8" s="1"/>
  <c r="K397" i="8" s="1"/>
  <c r="K398" i="8" s="1"/>
  <c r="K399" i="8" s="1"/>
  <c r="K400" i="8" s="1"/>
  <c r="K401" i="8" s="1"/>
  <c r="K402" i="8" s="1"/>
  <c r="K403" i="8" s="1"/>
  <c r="K404" i="8" s="1"/>
  <c r="K405" i="8" s="1"/>
  <c r="G415" i="8"/>
  <c r="G416" i="8" s="1"/>
  <c r="M412" i="8"/>
  <c r="K433" i="8"/>
  <c r="K434" i="8" s="1"/>
  <c r="K435" i="8" s="1"/>
  <c r="K436" i="8" s="1"/>
  <c r="K437" i="8" s="1"/>
  <c r="K438" i="8" s="1"/>
  <c r="K439" i="8" s="1"/>
  <c r="K440" i="8" s="1"/>
  <c r="K441" i="8" s="1"/>
  <c r="K442" i="8" s="1"/>
  <c r="K443" i="8" s="1"/>
  <c r="K444" i="8" s="1"/>
  <c r="K445" i="8" s="1"/>
  <c r="K446" i="8" s="1"/>
  <c r="K447" i="8" s="1"/>
  <c r="J490" i="8"/>
  <c r="Z75" i="1" s="1"/>
  <c r="J78" i="9" s="1"/>
  <c r="J280" i="8"/>
  <c r="Z65" i="1" s="1"/>
  <c r="J68" i="9" s="1"/>
  <c r="J196" i="8"/>
  <c r="Z61" i="1" s="1"/>
  <c r="J64" i="9" s="1"/>
  <c r="K119" i="8"/>
  <c r="K120" i="8" s="1"/>
  <c r="K121" i="8" s="1"/>
  <c r="K122" i="8" s="1"/>
  <c r="K123" i="8" s="1"/>
  <c r="K124" i="8" s="1"/>
  <c r="K125" i="8" s="1"/>
  <c r="K126" i="8" s="1"/>
  <c r="K127" i="8" s="1"/>
  <c r="K128" i="8" s="1"/>
  <c r="K129" i="8" s="1"/>
  <c r="K130" i="8" s="1"/>
  <c r="K131" i="8" s="1"/>
  <c r="K132" i="8" s="1"/>
  <c r="BD81" i="1"/>
  <c r="M84" i="9" s="1"/>
  <c r="AJ81" i="1"/>
  <c r="AX81" i="1"/>
  <c r="G265" i="8"/>
  <c r="G266" i="8" s="1"/>
  <c r="G267" i="8" s="1"/>
  <c r="G268" i="8" s="1"/>
  <c r="G269" i="8" s="1"/>
  <c r="G270" i="8" s="1"/>
  <c r="G271" i="8" s="1"/>
  <c r="G272" i="8" s="1"/>
  <c r="G273" i="8" s="1"/>
  <c r="G274" i="8" s="1"/>
  <c r="G275" i="8" s="1"/>
  <c r="G276" i="8" s="1"/>
  <c r="G277" i="8" s="1"/>
  <c r="G278" i="8" s="1"/>
  <c r="G279" i="8" s="1"/>
  <c r="G280" i="8" s="1"/>
  <c r="Y65" i="1" s="1"/>
  <c r="I68" i="9" s="1"/>
  <c r="AV81" i="1"/>
  <c r="AX79" i="1"/>
  <c r="K287" i="8"/>
  <c r="K288" i="8" s="1"/>
  <c r="K289" i="8" s="1"/>
  <c r="K290" i="8" s="1"/>
  <c r="K291" i="8" s="1"/>
  <c r="K292" i="8" s="1"/>
  <c r="K293" i="8" s="1"/>
  <c r="K294" i="8" s="1"/>
  <c r="K295" i="8" s="1"/>
  <c r="K296" i="8" s="1"/>
  <c r="K297" i="8" s="1"/>
  <c r="K298" i="8" s="1"/>
  <c r="K299" i="8" s="1"/>
  <c r="K300" i="8" s="1"/>
  <c r="H84" i="9"/>
  <c r="AG8" i="8"/>
  <c r="AH8" i="8" s="1"/>
  <c r="AH9" i="8" s="1"/>
  <c r="AH10" i="8" s="1"/>
  <c r="AH11" i="8" s="1"/>
  <c r="AH12" i="8" s="1"/>
  <c r="AH13" i="8" s="1"/>
  <c r="AH14" i="8" s="1"/>
  <c r="AH15" i="8" s="1"/>
  <c r="AH16" i="8" s="1"/>
  <c r="AH17" i="8" s="1"/>
  <c r="G189" i="8"/>
  <c r="G190" i="8" s="1"/>
  <c r="G191" i="8" s="1"/>
  <c r="G192" i="8" s="1"/>
  <c r="G193" i="8" s="1"/>
  <c r="G194" i="8" s="1"/>
  <c r="G195" i="8" s="1"/>
  <c r="G196" i="8" s="1"/>
  <c r="Y61" i="1" s="1"/>
  <c r="I64" i="9" s="1"/>
  <c r="AC81" i="1"/>
  <c r="AV79" i="1"/>
  <c r="AJ79" i="1"/>
  <c r="BD79" i="1"/>
  <c r="M82" i="9" s="1"/>
  <c r="AL79" i="1"/>
  <c r="AO79" i="1" s="1"/>
  <c r="J217" i="8"/>
  <c r="Z62" i="1" s="1"/>
  <c r="J65" i="9" s="1"/>
  <c r="K140" i="8"/>
  <c r="K141" i="8" s="1"/>
  <c r="K142" i="8" s="1"/>
  <c r="K143" i="8" s="1"/>
  <c r="K144" i="8" s="1"/>
  <c r="K145" i="8" s="1"/>
  <c r="K146" i="8" s="1"/>
  <c r="K147" i="8" s="1"/>
  <c r="K148" i="8" s="1"/>
  <c r="K149" i="8" s="1"/>
  <c r="K150" i="8" s="1"/>
  <c r="K151" i="8" s="1"/>
  <c r="K152" i="8" s="1"/>
  <c r="K153" i="8" s="1"/>
  <c r="K202" i="8"/>
  <c r="K203" i="8" s="1"/>
  <c r="K204" i="8" s="1"/>
  <c r="K205" i="8" s="1"/>
  <c r="K206" i="8" s="1"/>
  <c r="K207" i="8" s="1"/>
  <c r="K208" i="8" s="1"/>
  <c r="K209" i="8" s="1"/>
  <c r="K210" i="8" s="1"/>
  <c r="K211" i="8" s="1"/>
  <c r="K212" i="8" s="1"/>
  <c r="K213" i="8" s="1"/>
  <c r="K214" i="8" s="1"/>
  <c r="K215" i="8" s="1"/>
  <c r="K216" i="8" s="1"/>
  <c r="J406" i="8"/>
  <c r="Z71" i="1" s="1"/>
  <c r="J74" i="9" s="1"/>
  <c r="K265" i="8"/>
  <c r="K266" i="8" s="1"/>
  <c r="K267" i="8" s="1"/>
  <c r="K268" i="8" s="1"/>
  <c r="K269" i="8" s="1"/>
  <c r="K270" i="8" s="1"/>
  <c r="K271" i="8" s="1"/>
  <c r="K272" i="8" s="1"/>
  <c r="K273" i="8" s="1"/>
  <c r="K274" i="8" s="1"/>
  <c r="K275" i="8" s="1"/>
  <c r="K276" i="8" s="1"/>
  <c r="K277" i="8" s="1"/>
  <c r="K278" i="8" s="1"/>
  <c r="K279" i="8" s="1"/>
  <c r="N148" i="8"/>
  <c r="G147" i="8"/>
  <c r="G148" i="8" s="1"/>
  <c r="G149" i="8" s="1"/>
  <c r="G150" i="8" s="1"/>
  <c r="G151" i="8" s="1"/>
  <c r="G152" i="8" s="1"/>
  <c r="G153" i="8" s="1"/>
  <c r="G154" i="8" s="1"/>
  <c r="Y59" i="1" s="1"/>
  <c r="I62" i="9" s="1"/>
  <c r="K61" i="8"/>
  <c r="K62" i="8" s="1"/>
  <c r="K63" i="8" s="1"/>
  <c r="K64" i="8" s="1"/>
  <c r="K65" i="8" s="1"/>
  <c r="K66" i="8" s="1"/>
  <c r="K67" i="8" s="1"/>
  <c r="K68" i="8" s="1"/>
  <c r="K69" i="8" s="1"/>
  <c r="K475" i="8"/>
  <c r="K476" i="8" s="1"/>
  <c r="K477" i="8" s="1"/>
  <c r="K478" i="8" s="1"/>
  <c r="K479" i="8" s="1"/>
  <c r="K480" i="8" s="1"/>
  <c r="K481" i="8" s="1"/>
  <c r="K482" i="8" s="1"/>
  <c r="K483" i="8" s="1"/>
  <c r="K484" i="8" s="1"/>
  <c r="K485" i="8" s="1"/>
  <c r="K486" i="8" s="1"/>
  <c r="K487" i="8" s="1"/>
  <c r="K488" i="8" s="1"/>
  <c r="K489" i="8" s="1"/>
  <c r="J112" i="8"/>
  <c r="Z57" i="1" s="1"/>
  <c r="J60" i="9" s="1"/>
  <c r="K308" i="8"/>
  <c r="K309" i="8" s="1"/>
  <c r="K310" i="8" s="1"/>
  <c r="K311" i="8" s="1"/>
  <c r="K312" i="8" s="1"/>
  <c r="K313" i="8" s="1"/>
  <c r="K314" i="8" s="1"/>
  <c r="K315" i="8" s="1"/>
  <c r="K316" i="8" s="1"/>
  <c r="K317" i="8" s="1"/>
  <c r="K318" i="8" s="1"/>
  <c r="K319" i="8" s="1"/>
  <c r="K320" i="8" s="1"/>
  <c r="K321" i="8" s="1"/>
  <c r="K330" i="8"/>
  <c r="K331" i="8" s="1"/>
  <c r="K332" i="8" s="1"/>
  <c r="K333" i="8" s="1"/>
  <c r="K334" i="8" s="1"/>
  <c r="K335" i="8" s="1"/>
  <c r="K336" i="8" s="1"/>
  <c r="K337" i="8" s="1"/>
  <c r="K338" i="8" s="1"/>
  <c r="K339" i="8" s="1"/>
  <c r="K340" i="8" s="1"/>
  <c r="K341" i="8" s="1"/>
  <c r="K342" i="8" s="1"/>
  <c r="K413" i="8"/>
  <c r="K414" i="8" s="1"/>
  <c r="K415" i="8" s="1"/>
  <c r="K416" i="8" s="1"/>
  <c r="K417" i="8" s="1"/>
  <c r="K418" i="8" s="1"/>
  <c r="K419" i="8" s="1"/>
  <c r="K420" i="8" s="1"/>
  <c r="K421" i="8" s="1"/>
  <c r="K422" i="8" s="1"/>
  <c r="K423" i="8" s="1"/>
  <c r="K424" i="8" s="1"/>
  <c r="K425" i="8" s="1"/>
  <c r="K426" i="8" s="1"/>
  <c r="K162" i="8"/>
  <c r="K163" i="8" s="1"/>
  <c r="K164" i="8" s="1"/>
  <c r="K165" i="8" s="1"/>
  <c r="K166" i="8" s="1"/>
  <c r="K167" i="8" s="1"/>
  <c r="K168" i="8" s="1"/>
  <c r="K169" i="8" s="1"/>
  <c r="K170" i="8" s="1"/>
  <c r="K171" i="8" s="1"/>
  <c r="K172" i="8" s="1"/>
  <c r="K173" i="8" s="1"/>
  <c r="K174" i="8" s="1"/>
  <c r="Y55" i="1"/>
  <c r="Y85" i="1" s="1"/>
  <c r="G296" i="8"/>
  <c r="G297" i="8" s="1"/>
  <c r="G298" i="8" s="1"/>
  <c r="G299" i="8" s="1"/>
  <c r="G300" i="8" s="1"/>
  <c r="G301" i="8" s="1"/>
  <c r="Y66" i="1" s="1"/>
  <c r="I69" i="9" s="1"/>
  <c r="N292" i="8"/>
  <c r="K454" i="8"/>
  <c r="K455" i="8" s="1"/>
  <c r="K456" i="8" s="1"/>
  <c r="K457" i="8" s="1"/>
  <c r="K458" i="8" s="1"/>
  <c r="K459" i="8" s="1"/>
  <c r="K460" i="8" s="1"/>
  <c r="K461" i="8" s="1"/>
  <c r="K462" i="8" s="1"/>
  <c r="K463" i="8" s="1"/>
  <c r="K464" i="8" s="1"/>
  <c r="K465" i="8" s="1"/>
  <c r="K466" i="8" s="1"/>
  <c r="K467" i="8" s="1"/>
  <c r="K468" i="8" s="1"/>
  <c r="K97" i="8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429" i="7"/>
  <c r="K359" i="7"/>
  <c r="K360" i="7" s="1"/>
  <c r="K361" i="7" s="1"/>
  <c r="K362" i="7" s="1"/>
  <c r="K363" i="7" s="1"/>
  <c r="K364" i="7" s="1"/>
  <c r="K365" i="7" s="1"/>
  <c r="K366" i="7" s="1"/>
  <c r="K367" i="7" s="1"/>
  <c r="K368" i="7" s="1"/>
  <c r="K369" i="7" s="1"/>
  <c r="K370" i="7" s="1"/>
  <c r="K371" i="7" s="1"/>
  <c r="K372" i="7" s="1"/>
  <c r="K373" i="7" s="1"/>
  <c r="K374" i="7" s="1"/>
  <c r="K375" i="7" s="1"/>
  <c r="K376" i="7" s="1"/>
  <c r="K377" i="7" s="1"/>
  <c r="K378" i="7" s="1"/>
  <c r="K379" i="7" s="1"/>
  <c r="AC44" i="1"/>
  <c r="AV44" i="1"/>
  <c r="M46" i="9" s="1"/>
  <c r="H29" i="9"/>
  <c r="G222" i="7"/>
  <c r="Y16" i="1" s="1"/>
  <c r="I16" i="9" s="1"/>
  <c r="K204" i="7"/>
  <c r="AJ46" i="1"/>
  <c r="AC46" i="1"/>
  <c r="K388" i="7"/>
  <c r="K389" i="7" s="1"/>
  <c r="K390" i="7" s="1"/>
  <c r="K391" i="7" s="1"/>
  <c r="K392" i="7" s="1"/>
  <c r="K393" i="7" s="1"/>
  <c r="K394" i="7" s="1"/>
  <c r="K395" i="7" s="1"/>
  <c r="K396" i="7" s="1"/>
  <c r="K397" i="7" s="1"/>
  <c r="K398" i="7" s="1"/>
  <c r="K399" i="7" s="1"/>
  <c r="K400" i="7" s="1"/>
  <c r="K401" i="7" s="1"/>
  <c r="AV46" i="1"/>
  <c r="M48" i="9" s="1"/>
  <c r="AJ42" i="1"/>
  <c r="K313" i="7"/>
  <c r="K314" i="7" s="1"/>
  <c r="K315" i="7" s="1"/>
  <c r="K316" i="7" s="1"/>
  <c r="K317" i="7" s="1"/>
  <c r="K318" i="7" s="1"/>
  <c r="K319" i="7" s="1"/>
  <c r="K320" i="7" s="1"/>
  <c r="K321" i="7" s="1"/>
  <c r="K322" i="7" s="1"/>
  <c r="K323" i="7" s="1"/>
  <c r="K324" i="7" s="1"/>
  <c r="K325" i="7" s="1"/>
  <c r="K326" i="7" s="1"/>
  <c r="K327" i="7" s="1"/>
  <c r="K10" i="7"/>
  <c r="K11" i="7" s="1"/>
  <c r="K12" i="7" s="1"/>
  <c r="K13" i="7" s="1"/>
  <c r="AV42" i="1"/>
  <c r="M44" i="9" s="1"/>
  <c r="G151" i="7"/>
  <c r="G152" i="7" s="1"/>
  <c r="G153" i="7" s="1"/>
  <c r="G154" i="7" s="1"/>
  <c r="Y13" i="1" s="1"/>
  <c r="I13" i="9" s="1"/>
  <c r="K137" i="7"/>
  <c r="K138" i="7" s="1"/>
  <c r="K139" i="7" s="1"/>
  <c r="K140" i="7" s="1"/>
  <c r="K141" i="7" s="1"/>
  <c r="K142" i="7" s="1"/>
  <c r="K143" i="7" s="1"/>
  <c r="K144" i="7" s="1"/>
  <c r="K145" i="7" s="1"/>
  <c r="K146" i="7" s="1"/>
  <c r="K147" i="7" s="1"/>
  <c r="K148" i="7" s="1"/>
  <c r="K149" i="7" s="1"/>
  <c r="K150" i="7" s="1"/>
  <c r="K151" i="7" s="1"/>
  <c r="K152" i="7" s="1"/>
  <c r="K153" i="7" s="1"/>
  <c r="AV43" i="1"/>
  <c r="M45" i="9" s="1"/>
  <c r="M465" i="7"/>
  <c r="N465" i="7" s="1"/>
  <c r="AC43" i="1"/>
  <c r="G451" i="7"/>
  <c r="G452" i="7" s="1"/>
  <c r="G453" i="7" s="1"/>
  <c r="G454" i="7" s="1"/>
  <c r="G455" i="7" s="1"/>
  <c r="G456" i="7" s="1"/>
  <c r="G457" i="7" s="1"/>
  <c r="G458" i="7" s="1"/>
  <c r="G459" i="7" s="1"/>
  <c r="G460" i="7" s="1"/>
  <c r="G461" i="7" s="1"/>
  <c r="G462" i="7" s="1"/>
  <c r="G463" i="7" s="1"/>
  <c r="G464" i="7" s="1"/>
  <c r="G465" i="7" s="1"/>
  <c r="M453" i="7"/>
  <c r="J56" i="9"/>
  <c r="I85" i="1"/>
  <c r="N85" i="1"/>
  <c r="O7" i="1"/>
  <c r="X85" i="1"/>
  <c r="G85" i="1"/>
  <c r="Q35" i="1"/>
  <c r="R35" i="1" s="1"/>
  <c r="U35" i="1" s="1"/>
  <c r="Q46" i="1"/>
  <c r="E48" i="9" s="1"/>
  <c r="I7" i="9"/>
  <c r="H51" i="1"/>
  <c r="H87" i="1" s="1"/>
  <c r="G51" i="1"/>
  <c r="N51" i="1"/>
  <c r="M51" i="1"/>
  <c r="J29" i="9"/>
  <c r="Z50" i="1"/>
  <c r="Q75" i="1"/>
  <c r="E78" i="9" s="1"/>
  <c r="Q82" i="1"/>
  <c r="E85" i="9" s="1"/>
  <c r="Q79" i="1"/>
  <c r="E82" i="9" s="1"/>
  <c r="Q27" i="1"/>
  <c r="E27" i="9" s="1"/>
  <c r="I19" i="1"/>
  <c r="Q19" i="1" s="1"/>
  <c r="E19" i="9" s="1"/>
  <c r="I30" i="5"/>
  <c r="H30" i="5" s="1"/>
  <c r="H34" i="5" s="1"/>
  <c r="I33" i="5"/>
  <c r="K408" i="7"/>
  <c r="K409" i="7" s="1"/>
  <c r="K410" i="7" s="1"/>
  <c r="K411" i="7" s="1"/>
  <c r="K412" i="7" s="1"/>
  <c r="K413" i="7" s="1"/>
  <c r="K414" i="7" s="1"/>
  <c r="K415" i="7" s="1"/>
  <c r="K416" i="7" s="1"/>
  <c r="K417" i="7" s="1"/>
  <c r="K418" i="7" s="1"/>
  <c r="K419" i="7" s="1"/>
  <c r="K420" i="7" s="1"/>
  <c r="K421" i="7" s="1"/>
  <c r="K422" i="7" s="1"/>
  <c r="G417" i="8"/>
  <c r="G418" i="8" s="1"/>
  <c r="G419" i="8" s="1"/>
  <c r="G420" i="8" s="1"/>
  <c r="G421" i="8" s="1"/>
  <c r="G422" i="8" s="1"/>
  <c r="G423" i="8" s="1"/>
  <c r="G424" i="8" s="1"/>
  <c r="G425" i="8" s="1"/>
  <c r="G426" i="8" s="1"/>
  <c r="G427" i="8" s="1"/>
  <c r="Y72" i="1" s="1"/>
  <c r="M413" i="8"/>
  <c r="Q78" i="1"/>
  <c r="E81" i="9" s="1"/>
  <c r="I30" i="9"/>
  <c r="Q37" i="1"/>
  <c r="E39" i="9" s="1"/>
  <c r="J328" i="7"/>
  <c r="Z21" i="1" s="1"/>
  <c r="J21" i="9" s="1"/>
  <c r="N477" i="8"/>
  <c r="G478" i="8"/>
  <c r="G479" i="8" s="1"/>
  <c r="G480" i="8" s="1"/>
  <c r="G481" i="8" s="1"/>
  <c r="G482" i="8" s="1"/>
  <c r="G483" i="8" s="1"/>
  <c r="G484" i="8" s="1"/>
  <c r="G485" i="8" s="1"/>
  <c r="G486" i="8" s="1"/>
  <c r="G487" i="8" s="1"/>
  <c r="G488" i="8" s="1"/>
  <c r="G489" i="8" s="1"/>
  <c r="G490" i="8" s="1"/>
  <c r="Y75" i="1" s="1"/>
  <c r="I78" i="9" s="1"/>
  <c r="Q70" i="1"/>
  <c r="E73" i="9" s="1"/>
  <c r="Q20" i="1"/>
  <c r="E20" i="9" s="1"/>
  <c r="O73" i="1"/>
  <c r="Q73" i="1" s="1"/>
  <c r="E76" i="9" s="1"/>
  <c r="K229" i="7"/>
  <c r="K230" i="7" s="1"/>
  <c r="K231" i="7" s="1"/>
  <c r="K232" i="7" s="1"/>
  <c r="K233" i="7" s="1"/>
  <c r="K234" i="7" s="1"/>
  <c r="K235" i="7" s="1"/>
  <c r="K236" i="7" s="1"/>
  <c r="K237" i="7" s="1"/>
  <c r="K238" i="7" s="1"/>
  <c r="K239" i="7" s="1"/>
  <c r="K240" i="7" s="1"/>
  <c r="K241" i="7" s="1"/>
  <c r="K242" i="7" s="1"/>
  <c r="AJ41" i="1"/>
  <c r="K205" i="7"/>
  <c r="K206" i="7" s="1"/>
  <c r="K207" i="7" s="1"/>
  <c r="K208" i="7" s="1"/>
  <c r="K209" i="7" s="1"/>
  <c r="K210" i="7" s="1"/>
  <c r="K211" i="7" s="1"/>
  <c r="K212" i="7" s="1"/>
  <c r="K213" i="7" s="1"/>
  <c r="K214" i="7" s="1"/>
  <c r="K215" i="7" s="1"/>
  <c r="K216" i="7" s="1"/>
  <c r="K217" i="7" s="1"/>
  <c r="K218" i="7" s="1"/>
  <c r="K219" i="7" s="1"/>
  <c r="K220" i="7" s="1"/>
  <c r="K221" i="7" s="1"/>
  <c r="AV41" i="1"/>
  <c r="M43" i="9" s="1"/>
  <c r="K293" i="7"/>
  <c r="K294" i="7" s="1"/>
  <c r="K295" i="7" s="1"/>
  <c r="K296" i="7" s="1"/>
  <c r="K297" i="7" s="1"/>
  <c r="K298" i="7" s="1"/>
  <c r="K299" i="7" s="1"/>
  <c r="K300" i="7" s="1"/>
  <c r="K301" i="7" s="1"/>
  <c r="K302" i="7" s="1"/>
  <c r="K303" i="7" s="1"/>
  <c r="K304" i="7" s="1"/>
  <c r="K305" i="7" s="1"/>
  <c r="K306" i="7" s="1"/>
  <c r="J307" i="7"/>
  <c r="Z20" i="1" s="1"/>
  <c r="J20" i="9" s="1"/>
  <c r="AC41" i="1"/>
  <c r="J243" i="7"/>
  <c r="Z17" i="1" s="1"/>
  <c r="J17" i="9" s="1"/>
  <c r="K74" i="7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J264" i="7"/>
  <c r="Z18" i="1" s="1"/>
  <c r="J18" i="9" s="1"/>
  <c r="Q49" i="1"/>
  <c r="E51" i="9" s="1"/>
  <c r="Q77" i="1"/>
  <c r="E80" i="9" s="1"/>
  <c r="Q43" i="1"/>
  <c r="E45" i="9" s="1"/>
  <c r="Q58" i="1"/>
  <c r="E61" i="9" s="1"/>
  <c r="Q62" i="1"/>
  <c r="Q59" i="1"/>
  <c r="Q64" i="1"/>
  <c r="E67" i="9" s="1"/>
  <c r="Q76" i="1"/>
  <c r="AO82" i="1"/>
  <c r="M34" i="9"/>
  <c r="M36" i="9"/>
  <c r="M38" i="9"/>
  <c r="M31" i="9"/>
  <c r="M42" i="9"/>
  <c r="AO78" i="1"/>
  <c r="Q45" i="1"/>
  <c r="E47" i="9" s="1"/>
  <c r="I23" i="1"/>
  <c r="Q23" i="1" s="1"/>
  <c r="I9" i="1"/>
  <c r="Q9" i="1" s="1"/>
  <c r="E9" i="9" s="1"/>
  <c r="Q33" i="1"/>
  <c r="R33" i="1" s="1"/>
  <c r="U33" i="1" s="1"/>
  <c r="O60" i="1"/>
  <c r="Q60" i="1" s="1"/>
  <c r="Q32" i="1"/>
  <c r="E34" i="9" s="1"/>
  <c r="AO83" i="1"/>
  <c r="M37" i="9"/>
  <c r="M47" i="9"/>
  <c r="AO80" i="1"/>
  <c r="AV37" i="1"/>
  <c r="Q30" i="1"/>
  <c r="E32" i="9" s="1"/>
  <c r="AJ28" i="1"/>
  <c r="Q56" i="1"/>
  <c r="E59" i="9" s="1"/>
  <c r="AV30" i="1"/>
  <c r="Q41" i="1"/>
  <c r="E43" i="9" s="1"/>
  <c r="AJ30" i="1"/>
  <c r="Q29" i="1"/>
  <c r="R29" i="1" s="1"/>
  <c r="Q31" i="1"/>
  <c r="E33" i="9" s="1"/>
  <c r="Q22" i="1"/>
  <c r="E22" i="9" s="1"/>
  <c r="AV31" i="1"/>
  <c r="Q42" i="1"/>
  <c r="E44" i="9" s="1"/>
  <c r="Q40" i="1"/>
  <c r="Q47" i="1"/>
  <c r="E49" i="9" s="1"/>
  <c r="Q28" i="1"/>
  <c r="Q15" i="1"/>
  <c r="AJ37" i="1"/>
  <c r="Q68" i="1"/>
  <c r="E71" i="9" s="1"/>
  <c r="Q36" i="1"/>
  <c r="E38" i="9" s="1"/>
  <c r="AJ31" i="1"/>
  <c r="AC37" i="1"/>
  <c r="AC28" i="1"/>
  <c r="Q17" i="1"/>
  <c r="E17" i="9" s="1"/>
  <c r="Q44" i="1"/>
  <c r="R44" i="1" s="1"/>
  <c r="U44" i="1" s="1"/>
  <c r="H7" i="9"/>
  <c r="O55" i="1"/>
  <c r="Q55" i="1" s="1"/>
  <c r="E58" i="9" s="1"/>
  <c r="Q72" i="1"/>
  <c r="E75" i="9" s="1"/>
  <c r="AC48" i="1"/>
  <c r="Q48" i="1"/>
  <c r="R48" i="1" s="1"/>
  <c r="U48" i="1" s="1"/>
  <c r="I50" i="9"/>
  <c r="J109" i="7"/>
  <c r="Z11" i="1" s="1"/>
  <c r="J11" i="9" s="1"/>
  <c r="J352" i="7"/>
  <c r="Z22" i="1" s="1"/>
  <c r="J22" i="9" s="1"/>
  <c r="K250" i="7"/>
  <c r="K251" i="7" s="1"/>
  <c r="K252" i="7" s="1"/>
  <c r="K253" i="7" s="1"/>
  <c r="K254" i="7" s="1"/>
  <c r="K255" i="7" s="1"/>
  <c r="K256" i="7" s="1"/>
  <c r="K257" i="7" s="1"/>
  <c r="K258" i="7" s="1"/>
  <c r="K259" i="7" s="1"/>
  <c r="K260" i="7" s="1"/>
  <c r="K261" i="7" s="1"/>
  <c r="K262" i="7" s="1"/>
  <c r="K263" i="7" s="1"/>
  <c r="AC30" i="1"/>
  <c r="K14" i="7"/>
  <c r="K15" i="7" s="1"/>
  <c r="K16" i="7" s="1"/>
  <c r="K17" i="7" s="1"/>
  <c r="K18" i="7" s="1"/>
  <c r="K19" i="7" s="1"/>
  <c r="K20" i="7" s="1"/>
  <c r="K21" i="7" s="1"/>
  <c r="K22" i="7" s="1"/>
  <c r="K23" i="7" s="1"/>
  <c r="AV48" i="1"/>
  <c r="I33" i="9"/>
  <c r="K336" i="7"/>
  <c r="K337" i="7" s="1"/>
  <c r="K338" i="7" s="1"/>
  <c r="K339" i="7" s="1"/>
  <c r="K340" i="7" s="1"/>
  <c r="K341" i="7" s="1"/>
  <c r="K342" i="7" s="1"/>
  <c r="K343" i="7" s="1"/>
  <c r="K344" i="7" s="1"/>
  <c r="K345" i="7" s="1"/>
  <c r="K346" i="7" s="1"/>
  <c r="K347" i="7" s="1"/>
  <c r="K348" i="7" s="1"/>
  <c r="K349" i="7" s="1"/>
  <c r="K350" i="7" s="1"/>
  <c r="K351" i="7" s="1"/>
  <c r="J24" i="7"/>
  <c r="Z7" i="1" s="1"/>
  <c r="AV49" i="1"/>
  <c r="Q16" i="1"/>
  <c r="E16" i="9" s="1"/>
  <c r="Q71" i="1"/>
  <c r="E74" i="9" s="1"/>
  <c r="AC49" i="1"/>
  <c r="Q12" i="1"/>
  <c r="E12" i="9" s="1"/>
  <c r="AJ49" i="1"/>
  <c r="Q38" i="1"/>
  <c r="Q67" i="1"/>
  <c r="E70" i="9" s="1"/>
  <c r="Q25" i="1"/>
  <c r="Q11" i="1"/>
  <c r="AJ36" i="1"/>
  <c r="I21" i="1"/>
  <c r="Q21" i="1" s="1"/>
  <c r="E21" i="9" s="1"/>
  <c r="Q74" i="1"/>
  <c r="AV38" i="1"/>
  <c r="Q61" i="1"/>
  <c r="E64" i="9" s="1"/>
  <c r="Q63" i="1"/>
  <c r="O54" i="1"/>
  <c r="Q54" i="1" s="1"/>
  <c r="AC33" i="1"/>
  <c r="AJ33" i="1"/>
  <c r="J130" i="7"/>
  <c r="Z12" i="1" s="1"/>
  <c r="J12" i="9" s="1"/>
  <c r="J402" i="7"/>
  <c r="Z24" i="1" s="1"/>
  <c r="J24" i="9" s="1"/>
  <c r="AV28" i="1"/>
  <c r="J444" i="7"/>
  <c r="J222" i="7"/>
  <c r="Z16" i="1" s="1"/>
  <c r="J16" i="9" s="1"/>
  <c r="K162" i="7"/>
  <c r="K163" i="7" s="1"/>
  <c r="K164" i="7" s="1"/>
  <c r="K165" i="7" s="1"/>
  <c r="K166" i="7" s="1"/>
  <c r="K167" i="7" s="1"/>
  <c r="K168" i="7" s="1"/>
  <c r="K169" i="7" s="1"/>
  <c r="K170" i="7" s="1"/>
  <c r="K171" i="7" s="1"/>
  <c r="K172" i="7" s="1"/>
  <c r="K173" i="7" s="1"/>
  <c r="K174" i="7" s="1"/>
  <c r="K175" i="7" s="1"/>
  <c r="AV33" i="1"/>
  <c r="K183" i="7"/>
  <c r="K184" i="7" s="1"/>
  <c r="K185" i="7" s="1"/>
  <c r="K186" i="7" s="1"/>
  <c r="K187" i="7" s="1"/>
  <c r="K188" i="7" s="1"/>
  <c r="K189" i="7" s="1"/>
  <c r="K190" i="7" s="1"/>
  <c r="K191" i="7" s="1"/>
  <c r="K192" i="7" s="1"/>
  <c r="K193" i="7" s="1"/>
  <c r="K194" i="7" s="1"/>
  <c r="K195" i="7" s="1"/>
  <c r="K196" i="7" s="1"/>
  <c r="J380" i="7"/>
  <c r="Z23" i="1" s="1"/>
  <c r="J23" i="9" s="1"/>
  <c r="Q69" i="1"/>
  <c r="E72" i="9" s="1"/>
  <c r="Q24" i="1"/>
  <c r="E24" i="9" s="1"/>
  <c r="Q39" i="1"/>
  <c r="Q34" i="1"/>
  <c r="E36" i="9" s="1"/>
  <c r="I40" i="9"/>
  <c r="D87" i="1"/>
  <c r="O18" i="1"/>
  <c r="Q18" i="1" s="1"/>
  <c r="E18" i="9" s="1"/>
  <c r="Q57" i="1"/>
  <c r="Q65" i="1"/>
  <c r="J176" i="7"/>
  <c r="Z14" i="1" s="1"/>
  <c r="J14" i="9" s="1"/>
  <c r="K34" i="7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J286" i="7"/>
  <c r="Z19" i="1" s="1"/>
  <c r="J19" i="9" s="1"/>
  <c r="G443" i="7"/>
  <c r="G444" i="7" s="1"/>
  <c r="Y26" i="1" s="1"/>
  <c r="I26" i="9" s="1"/>
  <c r="AC47" i="1"/>
  <c r="J154" i="7"/>
  <c r="Z13" i="1" s="1"/>
  <c r="J13" i="9" s="1"/>
  <c r="J88" i="7"/>
  <c r="Z10" i="1" s="1"/>
  <c r="J10" i="9" s="1"/>
  <c r="Q26" i="1"/>
  <c r="AC36" i="1"/>
  <c r="AC38" i="1"/>
  <c r="AV47" i="1"/>
  <c r="AJ38" i="1"/>
  <c r="H38" i="9"/>
  <c r="E87" i="1"/>
  <c r="O8" i="1"/>
  <c r="I49" i="9"/>
  <c r="Q81" i="1"/>
  <c r="E84" i="9" s="1"/>
  <c r="L87" i="1"/>
  <c r="O66" i="1"/>
  <c r="Q66" i="1" s="1"/>
  <c r="E69" i="9" s="1"/>
  <c r="AJ39" i="1"/>
  <c r="Q10" i="1"/>
  <c r="E10" i="9" s="1"/>
  <c r="Q80" i="1"/>
  <c r="E83" i="9" s="1"/>
  <c r="M377" i="7"/>
  <c r="G378" i="7"/>
  <c r="G379" i="7" s="1"/>
  <c r="G380" i="7" s="1"/>
  <c r="Y23" i="1" s="1"/>
  <c r="I23" i="9" s="1"/>
  <c r="AC39" i="1"/>
  <c r="H41" i="9"/>
  <c r="AV39" i="1"/>
  <c r="K430" i="7"/>
  <c r="K431" i="7" s="1"/>
  <c r="K432" i="7" s="1"/>
  <c r="K433" i="7" s="1"/>
  <c r="K434" i="7" s="1"/>
  <c r="K435" i="7" s="1"/>
  <c r="K436" i="7" s="1"/>
  <c r="K437" i="7" s="1"/>
  <c r="K438" i="7" s="1"/>
  <c r="K439" i="7" s="1"/>
  <c r="K440" i="7" s="1"/>
  <c r="K441" i="7" s="1"/>
  <c r="K442" i="7" s="1"/>
  <c r="K443" i="7" s="1"/>
  <c r="K94" i="7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270" i="7"/>
  <c r="K271" i="7" s="1"/>
  <c r="K272" i="7" s="1"/>
  <c r="K273" i="7" s="1"/>
  <c r="K274" i="7" s="1"/>
  <c r="K275" i="7" s="1"/>
  <c r="K276" i="7" s="1"/>
  <c r="K277" i="7" s="1"/>
  <c r="K278" i="7" s="1"/>
  <c r="K279" i="7" s="1"/>
  <c r="K280" i="7" s="1"/>
  <c r="K281" i="7" s="1"/>
  <c r="K282" i="7" s="1"/>
  <c r="K283" i="7" s="1"/>
  <c r="K284" i="7" s="1"/>
  <c r="K285" i="7" s="1"/>
  <c r="K52" i="7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M8" i="7"/>
  <c r="O8" i="7" s="1"/>
  <c r="O53" i="1"/>
  <c r="I13" i="1"/>
  <c r="Q13" i="1" s="1"/>
  <c r="E13" i="9" s="1"/>
  <c r="Q14" i="1"/>
  <c r="E14" i="9" s="1"/>
  <c r="K87" i="1"/>
  <c r="J49" i="9"/>
  <c r="J47" i="9"/>
  <c r="J30" i="9"/>
  <c r="J51" i="9"/>
  <c r="J44" i="9"/>
  <c r="J39" i="9"/>
  <c r="H86" i="9"/>
  <c r="J42" i="9"/>
  <c r="J37" i="9"/>
  <c r="J38" i="9"/>
  <c r="J36" i="9"/>
  <c r="J45" i="9"/>
  <c r="J34" i="9"/>
  <c r="J31" i="9"/>
  <c r="J33" i="9"/>
  <c r="J32" i="9"/>
  <c r="I58" i="9" l="1"/>
  <c r="W54" i="1"/>
  <c r="Z85" i="1"/>
  <c r="X87" i="1"/>
  <c r="X92" i="1" s="1"/>
  <c r="I29" i="9"/>
  <c r="Y50" i="1"/>
  <c r="O85" i="1"/>
  <c r="R46" i="1"/>
  <c r="U46" i="1" s="1"/>
  <c r="Z26" i="1"/>
  <c r="J26" i="9" s="1"/>
  <c r="E37" i="9"/>
  <c r="R79" i="1"/>
  <c r="R58" i="1"/>
  <c r="U58" i="1" s="1"/>
  <c r="R75" i="1"/>
  <c r="U75" i="1" s="1"/>
  <c r="J27" i="9"/>
  <c r="K27" i="9" s="1"/>
  <c r="J7" i="9"/>
  <c r="H52" i="9"/>
  <c r="H88" i="9" s="1"/>
  <c r="E29" i="9"/>
  <c r="R70" i="1"/>
  <c r="U70" i="1" s="1"/>
  <c r="I51" i="1"/>
  <c r="I87" i="1" s="1"/>
  <c r="Q7" i="1"/>
  <c r="E7" i="9" s="1"/>
  <c r="O51" i="1"/>
  <c r="E26" i="9"/>
  <c r="R26" i="1"/>
  <c r="U26" i="1" s="1"/>
  <c r="R20" i="1"/>
  <c r="U20" i="1" s="1"/>
  <c r="R27" i="1"/>
  <c r="U27" i="1" s="1"/>
  <c r="R78" i="1"/>
  <c r="U78" i="1" s="1"/>
  <c r="R82" i="1"/>
  <c r="U82" i="1" s="1"/>
  <c r="R32" i="1"/>
  <c r="U32" i="1" s="1"/>
  <c r="R43" i="1"/>
  <c r="U43" i="1" s="1"/>
  <c r="R42" i="1"/>
  <c r="U42" i="1" s="1"/>
  <c r="I34" i="5"/>
  <c r="R57" i="1"/>
  <c r="U57" i="1" s="1"/>
  <c r="E60" i="9"/>
  <c r="R11" i="1"/>
  <c r="U11" i="1" s="1"/>
  <c r="E11" i="9"/>
  <c r="R62" i="1"/>
  <c r="U62" i="1" s="1"/>
  <c r="E65" i="9"/>
  <c r="R41" i="1"/>
  <c r="U41" i="1" s="1"/>
  <c r="R37" i="1"/>
  <c r="U37" i="1" s="1"/>
  <c r="R54" i="1"/>
  <c r="U54" i="1" s="1"/>
  <c r="E57" i="9"/>
  <c r="R74" i="1"/>
  <c r="U74" i="1" s="1"/>
  <c r="E77" i="9"/>
  <c r="R25" i="1"/>
  <c r="U25" i="1" s="1"/>
  <c r="E25" i="9"/>
  <c r="R15" i="1"/>
  <c r="U15" i="1" s="1"/>
  <c r="E15" i="9"/>
  <c r="R23" i="1"/>
  <c r="U23" i="1" s="1"/>
  <c r="E23" i="9"/>
  <c r="R76" i="1"/>
  <c r="U76" i="1" s="1"/>
  <c r="E79" i="9"/>
  <c r="I75" i="9"/>
  <c r="I86" i="9" s="1"/>
  <c r="R59" i="1"/>
  <c r="U59" i="1" s="1"/>
  <c r="E62" i="9"/>
  <c r="R65" i="1"/>
  <c r="U65" i="1" s="1"/>
  <c r="E68" i="9"/>
  <c r="R63" i="1"/>
  <c r="U63" i="1" s="1"/>
  <c r="E66" i="9"/>
  <c r="E30" i="9"/>
  <c r="R60" i="1"/>
  <c r="U60" i="1" s="1"/>
  <c r="E63" i="9"/>
  <c r="M17" i="7"/>
  <c r="R68" i="1"/>
  <c r="U68" i="1" s="1"/>
  <c r="R77" i="1"/>
  <c r="U77" i="1" s="1"/>
  <c r="R22" i="1"/>
  <c r="U22" i="1" s="1"/>
  <c r="R47" i="1"/>
  <c r="U47" i="1" s="1"/>
  <c r="R31" i="1"/>
  <c r="U31" i="1" s="1"/>
  <c r="R19" i="1"/>
  <c r="U19" i="1" s="1"/>
  <c r="E35" i="9"/>
  <c r="R49" i="1"/>
  <c r="U49" i="1" s="1"/>
  <c r="R64" i="1"/>
  <c r="U64" i="1" s="1"/>
  <c r="M35" i="9"/>
  <c r="M30" i="9"/>
  <c r="M50" i="9"/>
  <c r="M32" i="9"/>
  <c r="R45" i="1"/>
  <c r="U45" i="1" s="1"/>
  <c r="R30" i="1"/>
  <c r="U30" i="1" s="1"/>
  <c r="M51" i="9"/>
  <c r="M49" i="9"/>
  <c r="M40" i="9"/>
  <c r="M41" i="9"/>
  <c r="M33" i="9"/>
  <c r="M39" i="9"/>
  <c r="R17" i="1"/>
  <c r="U17" i="1" s="1"/>
  <c r="R71" i="1"/>
  <c r="U71" i="1" s="1"/>
  <c r="E31" i="9"/>
  <c r="R56" i="1"/>
  <c r="U56" i="1" s="1"/>
  <c r="R73" i="1"/>
  <c r="U73" i="1" s="1"/>
  <c r="R67" i="1"/>
  <c r="U67" i="1" s="1"/>
  <c r="E42" i="9"/>
  <c r="R40" i="1"/>
  <c r="U40" i="1" s="1"/>
  <c r="R28" i="1"/>
  <c r="U28" i="1" s="1"/>
  <c r="R34" i="1"/>
  <c r="U34" i="1" s="1"/>
  <c r="R12" i="1"/>
  <c r="U12" i="1" s="1"/>
  <c r="E46" i="9"/>
  <c r="R36" i="1"/>
  <c r="U36" i="1" s="1"/>
  <c r="R24" i="1"/>
  <c r="U24" i="1" s="1"/>
  <c r="R72" i="1"/>
  <c r="U72" i="1" s="1"/>
  <c r="E50" i="9"/>
  <c r="R16" i="1"/>
  <c r="U16" i="1" s="1"/>
  <c r="E40" i="9"/>
  <c r="R38" i="1"/>
  <c r="U38" i="1" s="1"/>
  <c r="R61" i="1"/>
  <c r="U61" i="1" s="1"/>
  <c r="R9" i="1"/>
  <c r="U9" i="1" s="1"/>
  <c r="N87" i="1"/>
  <c r="R69" i="1"/>
  <c r="U69" i="1" s="1"/>
  <c r="Q8" i="1"/>
  <c r="G87" i="1"/>
  <c r="E41" i="9"/>
  <c r="R39" i="1"/>
  <c r="U39" i="1" s="1"/>
  <c r="Q53" i="1"/>
  <c r="M12" i="7"/>
  <c r="R81" i="1"/>
  <c r="U81" i="1" s="1"/>
  <c r="R55" i="1"/>
  <c r="U55" i="1" s="1"/>
  <c r="R80" i="1"/>
  <c r="U80" i="1" s="1"/>
  <c r="R66" i="1"/>
  <c r="U66" i="1" s="1"/>
  <c r="R10" i="1"/>
  <c r="U10" i="1" s="1"/>
  <c r="M87" i="1"/>
  <c r="R18" i="1"/>
  <c r="R14" i="1"/>
  <c r="U79" i="1"/>
  <c r="R13" i="1"/>
  <c r="U29" i="1"/>
  <c r="R21" i="1"/>
  <c r="J86" i="9"/>
  <c r="Y51" i="1" l="1"/>
  <c r="Y87" i="1" s="1"/>
  <c r="Y92" i="1" s="1"/>
  <c r="I27" i="9"/>
  <c r="I52" i="9" s="1"/>
  <c r="I88" i="9" s="1"/>
  <c r="Z51" i="1"/>
  <c r="Z87" i="1" s="1"/>
  <c r="I37" i="5" s="1"/>
  <c r="I39" i="5" s="1"/>
  <c r="R53" i="1"/>
  <c r="R85" i="1" s="1"/>
  <c r="Q85" i="1"/>
  <c r="J52" i="9"/>
  <c r="J88" i="9" s="1"/>
  <c r="R7" i="1"/>
  <c r="Q51" i="1"/>
  <c r="E8" i="9"/>
  <c r="E52" i="9" s="1"/>
  <c r="R8" i="1"/>
  <c r="U8" i="1" s="1"/>
  <c r="O87" i="1"/>
  <c r="E56" i="9"/>
  <c r="E86" i="9" s="1"/>
  <c r="U21" i="1"/>
  <c r="U13" i="1"/>
  <c r="U14" i="1"/>
  <c r="U18" i="1"/>
  <c r="M9" i="7" l="1"/>
  <c r="M10" i="7" s="1"/>
  <c r="M13" i="7"/>
  <c r="M14" i="7" s="1"/>
  <c r="U53" i="1"/>
  <c r="U85" i="1" s="1"/>
  <c r="R51" i="1"/>
  <c r="R87" i="1" s="1"/>
  <c r="S85" i="1" s="1"/>
  <c r="U7" i="1"/>
  <c r="U51" i="1" s="1"/>
  <c r="Q87" i="1"/>
  <c r="E88" i="9"/>
  <c r="O13" i="7" l="1"/>
  <c r="S50" i="1"/>
  <c r="S84" i="1"/>
  <c r="S36" i="1"/>
  <c r="S62" i="1"/>
  <c r="S27" i="1"/>
  <c r="S54" i="1"/>
  <c r="S48" i="1"/>
  <c r="S23" i="1"/>
  <c r="S46" i="1"/>
  <c r="S49" i="1"/>
  <c r="S11" i="1"/>
  <c r="S55" i="1"/>
  <c r="S40" i="1"/>
  <c r="S41" i="1"/>
  <c r="S76" i="1"/>
  <c r="S83" i="1"/>
  <c r="S78" i="1"/>
  <c r="S39" i="1"/>
  <c r="S69" i="1"/>
  <c r="S87" i="1"/>
  <c r="F88" i="9" s="1"/>
  <c r="S44" i="1"/>
  <c r="S45" i="1"/>
  <c r="S38" i="1"/>
  <c r="S35" i="1"/>
  <c r="S64" i="1"/>
  <c r="S77" i="1"/>
  <c r="S42" i="1"/>
  <c r="S70" i="1"/>
  <c r="S43" i="1"/>
  <c r="S75" i="1"/>
  <c r="S81" i="1"/>
  <c r="S72" i="1"/>
  <c r="S28" i="1"/>
  <c r="S30" i="1"/>
  <c r="S37" i="1"/>
  <c r="S80" i="1"/>
  <c r="S73" i="1"/>
  <c r="S82" i="1"/>
  <c r="S33" i="1"/>
  <c r="S61" i="1"/>
  <c r="S67" i="1"/>
  <c r="S66" i="1"/>
  <c r="S12" i="1"/>
  <c r="S68" i="1"/>
  <c r="S16" i="1"/>
  <c r="S56" i="1"/>
  <c r="S32" i="1"/>
  <c r="S29" i="1"/>
  <c r="S31" i="1"/>
  <c r="S22" i="1"/>
  <c r="S26" i="1"/>
  <c r="S60" i="1"/>
  <c r="S7" i="1"/>
  <c r="S25" i="1"/>
  <c r="S71" i="1"/>
  <c r="S74" i="1"/>
  <c r="S24" i="1"/>
  <c r="S9" i="1"/>
  <c r="S47" i="1"/>
  <c r="S10" i="1"/>
  <c r="S58" i="1"/>
  <c r="S57" i="1"/>
  <c r="S63" i="1"/>
  <c r="S19" i="1"/>
  <c r="S79" i="1"/>
  <c r="S20" i="1"/>
  <c r="S17" i="1"/>
  <c r="S34" i="1"/>
  <c r="S65" i="1"/>
  <c r="S15" i="1"/>
  <c r="S59" i="1"/>
  <c r="S8" i="1"/>
  <c r="S13" i="1"/>
  <c r="S14" i="1"/>
  <c r="S53" i="1"/>
  <c r="S18" i="1"/>
  <c r="S21" i="1"/>
  <c r="U87" i="1"/>
  <c r="V85" i="1" s="1"/>
  <c r="V50" i="1" l="1"/>
  <c r="AA50" i="1" s="1"/>
  <c r="AB50" i="1" s="1"/>
  <c r="AC50" i="1" s="1"/>
  <c r="AG50" i="1" s="1"/>
  <c r="V84" i="1"/>
  <c r="S51" i="1"/>
  <c r="AP47" i="1"/>
  <c r="BA47" i="1" s="1"/>
  <c r="AP31" i="1"/>
  <c r="BA31" i="1" s="1"/>
  <c r="AP37" i="1"/>
  <c r="BA37" i="1" s="1"/>
  <c r="AP29" i="1"/>
  <c r="BA29" i="1" s="1"/>
  <c r="AP39" i="1"/>
  <c r="BA39" i="1" s="1"/>
  <c r="AP45" i="1"/>
  <c r="BA45" i="1" s="1"/>
  <c r="AP35" i="1"/>
  <c r="BA35" i="1" s="1"/>
  <c r="AP28" i="1"/>
  <c r="BA28" i="1" s="1"/>
  <c r="AP48" i="1"/>
  <c r="BA48" i="1" s="1"/>
  <c r="AP46" i="1"/>
  <c r="BA46" i="1" s="1"/>
  <c r="AP41" i="1"/>
  <c r="BA41" i="1" s="1"/>
  <c r="AP34" i="1"/>
  <c r="BA34" i="1" s="1"/>
  <c r="AP30" i="1"/>
  <c r="BA30" i="1" s="1"/>
  <c r="AP36" i="1"/>
  <c r="BA36" i="1" s="1"/>
  <c r="AP49" i="1"/>
  <c r="BA49" i="1" s="1"/>
  <c r="AP27" i="1"/>
  <c r="AP40" i="1"/>
  <c r="BA40" i="1" s="1"/>
  <c r="AP38" i="1"/>
  <c r="BA38" i="1" s="1"/>
  <c r="AP32" i="1"/>
  <c r="BA32" i="1" s="1"/>
  <c r="AP44" i="1"/>
  <c r="BA44" i="1" s="1"/>
  <c r="AP33" i="1"/>
  <c r="BA33" i="1" s="1"/>
  <c r="AP43" i="1"/>
  <c r="BA43" i="1" s="1"/>
  <c r="AP42" i="1"/>
  <c r="BA42" i="1" s="1"/>
  <c r="V69" i="1"/>
  <c r="F72" i="9" s="1"/>
  <c r="V44" i="1"/>
  <c r="V55" i="1"/>
  <c r="F58" i="9" s="1"/>
  <c r="V78" i="1"/>
  <c r="F81" i="9" s="1"/>
  <c r="V75" i="1"/>
  <c r="F78" i="9" s="1"/>
  <c r="V41" i="1"/>
  <c r="V49" i="1"/>
  <c r="V77" i="1"/>
  <c r="F80" i="9" s="1"/>
  <c r="V76" i="1"/>
  <c r="F79" i="9" s="1"/>
  <c r="V23" i="1"/>
  <c r="F23" i="9" s="1"/>
  <c r="V83" i="1"/>
  <c r="V48" i="1"/>
  <c r="V40" i="1"/>
  <c r="V35" i="1"/>
  <c r="V54" i="1"/>
  <c r="F57" i="9" s="1"/>
  <c r="V38" i="1"/>
  <c r="V36" i="1"/>
  <c r="V42" i="1"/>
  <c r="V87" i="1"/>
  <c r="V45" i="1"/>
  <c r="V64" i="1"/>
  <c r="F67" i="9" s="1"/>
  <c r="V46" i="1"/>
  <c r="V67" i="1"/>
  <c r="F70" i="9" s="1"/>
  <c r="V30" i="1"/>
  <c r="V11" i="1"/>
  <c r="F11" i="9" s="1"/>
  <c r="V70" i="1"/>
  <c r="F73" i="9" s="1"/>
  <c r="V39" i="1"/>
  <c r="V28" i="1"/>
  <c r="V43" i="1"/>
  <c r="V62" i="1"/>
  <c r="F65" i="9" s="1"/>
  <c r="V73" i="1"/>
  <c r="F76" i="9" s="1"/>
  <c r="V27" i="1"/>
  <c r="V66" i="1"/>
  <c r="F69" i="9" s="1"/>
  <c r="V82" i="1"/>
  <c r="F85" i="9" s="1"/>
  <c r="V72" i="1"/>
  <c r="F75" i="9" s="1"/>
  <c r="V80" i="1"/>
  <c r="F83" i="9" s="1"/>
  <c r="V61" i="1"/>
  <c r="F64" i="9" s="1"/>
  <c r="V81" i="1"/>
  <c r="F84" i="9" s="1"/>
  <c r="V33" i="1"/>
  <c r="V37" i="1"/>
  <c r="V63" i="1"/>
  <c r="F66" i="9" s="1"/>
  <c r="V32" i="1"/>
  <c r="V12" i="1"/>
  <c r="F12" i="9" s="1"/>
  <c r="V60" i="1"/>
  <c r="F63" i="9" s="1"/>
  <c r="V10" i="1"/>
  <c r="F10" i="9" s="1"/>
  <c r="V24" i="1"/>
  <c r="F24" i="9" s="1"/>
  <c r="V71" i="1"/>
  <c r="F74" i="9" s="1"/>
  <c r="V9" i="1"/>
  <c r="F9" i="9" s="1"/>
  <c r="V7" i="1"/>
  <c r="V25" i="1"/>
  <c r="F25" i="9" s="1"/>
  <c r="V20" i="1"/>
  <c r="F20" i="9" s="1"/>
  <c r="V56" i="1"/>
  <c r="F59" i="9" s="1"/>
  <c r="V47" i="1"/>
  <c r="V34" i="1"/>
  <c r="V26" i="1"/>
  <c r="F26" i="9" s="1"/>
  <c r="V29" i="1"/>
  <c r="V68" i="1"/>
  <c r="F71" i="9" s="1"/>
  <c r="V19" i="1"/>
  <c r="F19" i="9" s="1"/>
  <c r="V59" i="1"/>
  <c r="F62" i="9" s="1"/>
  <c r="V65" i="1"/>
  <c r="F68" i="9" s="1"/>
  <c r="V79" i="1"/>
  <c r="F82" i="9" s="1"/>
  <c r="V16" i="1"/>
  <c r="F16" i="9" s="1"/>
  <c r="V31" i="1"/>
  <c r="V57" i="1"/>
  <c r="F60" i="9" s="1"/>
  <c r="V74" i="1"/>
  <c r="F77" i="9" s="1"/>
  <c r="V17" i="1"/>
  <c r="F17" i="9" s="1"/>
  <c r="V15" i="1"/>
  <c r="F15" i="9" s="1"/>
  <c r="V22" i="1"/>
  <c r="F22" i="9" s="1"/>
  <c r="V58" i="1"/>
  <c r="F61" i="9" s="1"/>
  <c r="V21" i="1"/>
  <c r="F21" i="9" s="1"/>
  <c r="V53" i="1"/>
  <c r="V18" i="1"/>
  <c r="F18" i="9" s="1"/>
  <c r="V8" i="1"/>
  <c r="F8" i="9" s="1"/>
  <c r="V13" i="1"/>
  <c r="F13" i="9" s="1"/>
  <c r="V14" i="1"/>
  <c r="F14" i="9" s="1"/>
  <c r="F86" i="9"/>
  <c r="F27" i="9" l="1"/>
  <c r="AA27" i="1"/>
  <c r="AB27" i="1" s="1"/>
  <c r="AD27" i="1" s="1"/>
  <c r="AE27" i="1" s="1"/>
  <c r="AD50" i="1"/>
  <c r="AE50" i="1" s="1"/>
  <c r="AG84" i="1"/>
  <c r="AA84" i="1"/>
  <c r="AB84" i="1" s="1"/>
  <c r="AD84" i="1" s="1"/>
  <c r="AE84" i="1" s="1"/>
  <c r="V51" i="1"/>
  <c r="F52" i="9" s="1"/>
  <c r="AA18" i="1"/>
  <c r="AB18" i="1" s="1"/>
  <c r="AA74" i="1"/>
  <c r="AB74" i="1" s="1"/>
  <c r="AA19" i="1"/>
  <c r="AB19" i="1" s="1"/>
  <c r="AA25" i="1"/>
  <c r="AB25" i="1" s="1"/>
  <c r="F34" i="9"/>
  <c r="AS32" i="1"/>
  <c r="AG32" i="1"/>
  <c r="AA32" i="1"/>
  <c r="AB32" i="1" s="1"/>
  <c r="AD32" i="1" s="1"/>
  <c r="AE32" i="1" s="1"/>
  <c r="AA72" i="1"/>
  <c r="AB72" i="1" s="1"/>
  <c r="F30" i="9"/>
  <c r="AG28" i="1"/>
  <c r="AS28" i="1"/>
  <c r="AA28" i="1"/>
  <c r="AB28" i="1" s="1"/>
  <c r="AD28" i="1" s="1"/>
  <c r="AE28" i="1" s="1"/>
  <c r="AA64" i="1"/>
  <c r="AB64" i="1" s="1"/>
  <c r="F38" i="9"/>
  <c r="AS36" i="1"/>
  <c r="AG36" i="1"/>
  <c r="AA36" i="1"/>
  <c r="AB36" i="1" s="1"/>
  <c r="AD36" i="1" s="1"/>
  <c r="AE36" i="1" s="1"/>
  <c r="AA76" i="1"/>
  <c r="AB76" i="1" s="1"/>
  <c r="AA69" i="1"/>
  <c r="AB69" i="1" s="1"/>
  <c r="AA8" i="1"/>
  <c r="AB8" i="1" s="1"/>
  <c r="AA17" i="1"/>
  <c r="AB17" i="1" s="1"/>
  <c r="AA20" i="1"/>
  <c r="AB20" i="1" s="1"/>
  <c r="AA12" i="1"/>
  <c r="AB12" i="1" s="1"/>
  <c r="F35" i="9"/>
  <c r="AS33" i="1"/>
  <c r="AG33" i="1"/>
  <c r="AA33" i="1"/>
  <c r="AB33" i="1" s="1"/>
  <c r="AD33" i="1" s="1"/>
  <c r="AE33" i="1" s="1"/>
  <c r="F29" i="9"/>
  <c r="F45" i="9"/>
  <c r="AG43" i="1"/>
  <c r="AS43" i="1"/>
  <c r="AA43" i="1"/>
  <c r="AB43" i="1" s="1"/>
  <c r="F48" i="9"/>
  <c r="AG46" i="1"/>
  <c r="AS46" i="1"/>
  <c r="AA46" i="1"/>
  <c r="AB46" i="1" s="1"/>
  <c r="AD46" i="1" s="1"/>
  <c r="AE46" i="1" s="1"/>
  <c r="F44" i="9"/>
  <c r="AG42" i="1"/>
  <c r="AS42" i="1"/>
  <c r="AA42" i="1"/>
  <c r="AB42" i="1" s="1"/>
  <c r="AD42" i="1" s="1"/>
  <c r="AE42" i="1" s="1"/>
  <c r="AS35" i="1"/>
  <c r="F37" i="9"/>
  <c r="AG35" i="1"/>
  <c r="AA35" i="1"/>
  <c r="AB35" i="1" s="1"/>
  <c r="AD35" i="1" s="1"/>
  <c r="AE35" i="1" s="1"/>
  <c r="AA23" i="1"/>
  <c r="AB23" i="1" s="1"/>
  <c r="F43" i="9"/>
  <c r="AG41" i="1"/>
  <c r="AS41" i="1"/>
  <c r="AA41" i="1"/>
  <c r="AB41" i="1" s="1"/>
  <c r="AD41" i="1" s="1"/>
  <c r="AE41" i="1" s="1"/>
  <c r="F46" i="9"/>
  <c r="AG44" i="1"/>
  <c r="AS44" i="1"/>
  <c r="AA44" i="1"/>
  <c r="AB44" i="1" s="1"/>
  <c r="AA13" i="1"/>
  <c r="AB13" i="1" s="1"/>
  <c r="AA21" i="1"/>
  <c r="AB21" i="1" s="1"/>
  <c r="AA15" i="1"/>
  <c r="AB15" i="1" s="1"/>
  <c r="F33" i="9"/>
  <c r="AS31" i="1"/>
  <c r="AG31" i="1"/>
  <c r="AA31" i="1"/>
  <c r="AB31" i="1" s="1"/>
  <c r="AA59" i="1"/>
  <c r="AB59" i="1" s="1"/>
  <c r="AG29" i="1"/>
  <c r="F31" i="9"/>
  <c r="AS29" i="1"/>
  <c r="AA29" i="1"/>
  <c r="AB29" i="1" s="1"/>
  <c r="AA56" i="1"/>
  <c r="AB56" i="1" s="1"/>
  <c r="AA9" i="1"/>
  <c r="AB9" i="1" s="1"/>
  <c r="AA60" i="1"/>
  <c r="AB60" i="1" s="1"/>
  <c r="F39" i="9"/>
  <c r="AS37" i="1"/>
  <c r="AG37" i="1"/>
  <c r="AA37" i="1"/>
  <c r="AB37" i="1" s="1"/>
  <c r="AD37" i="1" s="1"/>
  <c r="AE37" i="1" s="1"/>
  <c r="AA61" i="1"/>
  <c r="AB61" i="1" s="1"/>
  <c r="AA66" i="1"/>
  <c r="AB66" i="1" s="1"/>
  <c r="AA62" i="1"/>
  <c r="AB62" i="1" s="1"/>
  <c r="AA70" i="1"/>
  <c r="AB70" i="1" s="1"/>
  <c r="AA54" i="1"/>
  <c r="AB54" i="1" s="1"/>
  <c r="AG83" i="1"/>
  <c r="AA83" i="1"/>
  <c r="AB83" i="1" s="1"/>
  <c r="F51" i="9"/>
  <c r="AS49" i="1"/>
  <c r="AG49" i="1"/>
  <c r="AA49" i="1"/>
  <c r="AB49" i="1" s="1"/>
  <c r="AD49" i="1" s="1"/>
  <c r="AE49" i="1" s="1"/>
  <c r="AA55" i="1"/>
  <c r="AB55" i="1" s="1"/>
  <c r="AG79" i="1"/>
  <c r="AA79" i="1"/>
  <c r="AB79" i="1" s="1"/>
  <c r="AD79" i="1" s="1"/>
  <c r="AE79" i="1" s="1"/>
  <c r="F36" i="9"/>
  <c r="AS34" i="1"/>
  <c r="AG34" i="1"/>
  <c r="AA34" i="1"/>
  <c r="AB34" i="1" s="1"/>
  <c r="AA24" i="1"/>
  <c r="AB24" i="1" s="1"/>
  <c r="AG81" i="1"/>
  <c r="AA81" i="1"/>
  <c r="AB81" i="1" s="1"/>
  <c r="AD81" i="1" s="1"/>
  <c r="AE81" i="1" s="1"/>
  <c r="AA73" i="1"/>
  <c r="AB73" i="1" s="1"/>
  <c r="F32" i="9"/>
  <c r="AG30" i="1"/>
  <c r="AS30" i="1"/>
  <c r="AA30" i="1"/>
  <c r="AB30" i="1" s="1"/>
  <c r="AD30" i="1" s="1"/>
  <c r="AE30" i="1" s="1"/>
  <c r="F42" i="9"/>
  <c r="AG40" i="1"/>
  <c r="AS40" i="1"/>
  <c r="AA40" i="1"/>
  <c r="AB40" i="1" s="1"/>
  <c r="AD40" i="1" s="1"/>
  <c r="AE40" i="1" s="1"/>
  <c r="AA75" i="1"/>
  <c r="AB75" i="1" s="1"/>
  <c r="AA58" i="1"/>
  <c r="AB58" i="1" s="1"/>
  <c r="AA16" i="1"/>
  <c r="AB16" i="1" s="1"/>
  <c r="AA26" i="1"/>
  <c r="AB26" i="1" s="1"/>
  <c r="AA71" i="1"/>
  <c r="AB71" i="1" s="1"/>
  <c r="AG80" i="1"/>
  <c r="AA80" i="1"/>
  <c r="AB80" i="1" s="1"/>
  <c r="AD80" i="1" s="1"/>
  <c r="AE80" i="1" s="1"/>
  <c r="AA11" i="1"/>
  <c r="AB11" i="1" s="1"/>
  <c r="AA14" i="1"/>
  <c r="AB14" i="1" s="1"/>
  <c r="F56" i="9"/>
  <c r="AA53" i="1"/>
  <c r="AA22" i="1"/>
  <c r="AB22" i="1" s="1"/>
  <c r="AA57" i="1"/>
  <c r="AB57" i="1" s="1"/>
  <c r="AA65" i="1"/>
  <c r="AB65" i="1" s="1"/>
  <c r="AA68" i="1"/>
  <c r="AB68" i="1" s="1"/>
  <c r="F49" i="9"/>
  <c r="AG47" i="1"/>
  <c r="AS47" i="1"/>
  <c r="AA47" i="1"/>
  <c r="AB47" i="1" s="1"/>
  <c r="AD47" i="1" s="1"/>
  <c r="AE47" i="1" s="1"/>
  <c r="F7" i="9"/>
  <c r="AA7" i="1"/>
  <c r="AA10" i="1"/>
  <c r="AB10" i="1" s="1"/>
  <c r="AA63" i="1"/>
  <c r="AB63" i="1" s="1"/>
  <c r="AG82" i="1"/>
  <c r="AA82" i="1"/>
  <c r="AB82" i="1" s="1"/>
  <c r="AD82" i="1" s="1"/>
  <c r="AE82" i="1" s="1"/>
  <c r="F41" i="9"/>
  <c r="AS39" i="1"/>
  <c r="AG39" i="1"/>
  <c r="AA39" i="1"/>
  <c r="AB39" i="1" s="1"/>
  <c r="AD39" i="1" s="1"/>
  <c r="AE39" i="1" s="1"/>
  <c r="AA67" i="1"/>
  <c r="AB67" i="1" s="1"/>
  <c r="F47" i="9"/>
  <c r="AS45" i="1"/>
  <c r="AG45" i="1"/>
  <c r="AA45" i="1"/>
  <c r="AB45" i="1" s="1"/>
  <c r="AD45" i="1" s="1"/>
  <c r="AE45" i="1" s="1"/>
  <c r="F40" i="9"/>
  <c r="AS38" i="1"/>
  <c r="AG38" i="1"/>
  <c r="AA38" i="1"/>
  <c r="AB38" i="1" s="1"/>
  <c r="AD38" i="1" s="1"/>
  <c r="AE38" i="1" s="1"/>
  <c r="F50" i="9"/>
  <c r="AG48" i="1"/>
  <c r="AS48" i="1"/>
  <c r="AA48" i="1"/>
  <c r="AB48" i="1" s="1"/>
  <c r="AD48" i="1" s="1"/>
  <c r="AE48" i="1" s="1"/>
  <c r="AA77" i="1"/>
  <c r="AB77" i="1" s="1"/>
  <c r="AG78" i="1"/>
  <c r="AA78" i="1"/>
  <c r="AB78" i="1" s="1"/>
  <c r="AD78" i="1" s="1"/>
  <c r="AE78" i="1" s="1"/>
  <c r="AC77" i="1" l="1"/>
  <c r="AG77" i="1" s="1"/>
  <c r="AA85" i="1"/>
  <c r="AA51" i="1"/>
  <c r="AG27" i="1"/>
  <c r="AB7" i="1"/>
  <c r="AB51" i="1" s="1"/>
  <c r="AC65" i="1"/>
  <c r="AC16" i="1"/>
  <c r="AD83" i="1"/>
  <c r="AE83" i="1" s="1"/>
  <c r="AC54" i="1"/>
  <c r="AC62" i="1"/>
  <c r="AD29" i="1"/>
  <c r="AE29" i="1" s="1"/>
  <c r="AC59" i="1"/>
  <c r="AC21" i="1"/>
  <c r="AD44" i="1"/>
  <c r="AE44" i="1" s="1"/>
  <c r="AC23" i="1"/>
  <c r="AC20" i="1"/>
  <c r="AC8" i="1"/>
  <c r="AC76" i="1"/>
  <c r="AC72" i="1"/>
  <c r="AC19" i="1"/>
  <c r="AC18" i="1"/>
  <c r="AC67" i="1"/>
  <c r="AC10" i="1"/>
  <c r="AC68" i="1"/>
  <c r="AC57" i="1"/>
  <c r="AB53" i="1"/>
  <c r="AB85" i="1" s="1"/>
  <c r="AC11" i="1"/>
  <c r="AC26" i="1"/>
  <c r="AD26" i="1" s="1"/>
  <c r="AC58" i="1"/>
  <c r="AC73" i="1"/>
  <c r="AD34" i="1"/>
  <c r="AE34" i="1" s="1"/>
  <c r="AC55" i="1"/>
  <c r="AC63" i="1"/>
  <c r="AC22" i="1"/>
  <c r="AC14" i="1"/>
  <c r="AC71" i="1"/>
  <c r="AC75" i="1"/>
  <c r="AC24" i="1"/>
  <c r="AC61" i="1"/>
  <c r="AC9" i="1"/>
  <c r="AC70" i="1"/>
  <c r="AC66" i="1"/>
  <c r="AC60" i="1"/>
  <c r="AC56" i="1"/>
  <c r="AD31" i="1"/>
  <c r="AE31" i="1" s="1"/>
  <c r="AC15" i="1"/>
  <c r="AC13" i="1"/>
  <c r="AD43" i="1"/>
  <c r="AE43" i="1" s="1"/>
  <c r="AC12" i="1"/>
  <c r="AC17" i="1"/>
  <c r="AC69" i="1"/>
  <c r="AC64" i="1"/>
  <c r="AC25" i="1"/>
  <c r="AC74" i="1"/>
  <c r="AD77" i="1" l="1"/>
  <c r="AE77" i="1" s="1"/>
  <c r="AD64" i="1"/>
  <c r="AE64" i="1" s="1"/>
  <c r="AG64" i="1"/>
  <c r="AG56" i="1"/>
  <c r="AD56" i="1"/>
  <c r="AE56" i="1" s="1"/>
  <c r="AD9" i="1"/>
  <c r="AE9" i="1" s="1"/>
  <c r="AG9" i="1"/>
  <c r="AG24" i="1"/>
  <c r="AD24" i="1"/>
  <c r="AE24" i="1" s="1"/>
  <c r="AD22" i="1"/>
  <c r="AE22" i="1" s="1"/>
  <c r="AG22" i="1"/>
  <c r="AG73" i="1"/>
  <c r="AD73" i="1"/>
  <c r="AE73" i="1" s="1"/>
  <c r="AC53" i="1"/>
  <c r="AD67" i="1"/>
  <c r="AE67" i="1" s="1"/>
  <c r="AG67" i="1"/>
  <c r="AD19" i="1"/>
  <c r="AE19" i="1" s="1"/>
  <c r="AG19" i="1"/>
  <c r="AD20" i="1"/>
  <c r="AE20" i="1" s="1"/>
  <c r="AG20" i="1"/>
  <c r="AD59" i="1"/>
  <c r="AE59" i="1" s="1"/>
  <c r="AG59" i="1"/>
  <c r="AG62" i="1"/>
  <c r="AD62" i="1"/>
  <c r="AE62" i="1" s="1"/>
  <c r="AD65" i="1"/>
  <c r="AE65" i="1" s="1"/>
  <c r="AG65" i="1"/>
  <c r="AD69" i="1"/>
  <c r="AE69" i="1" s="1"/>
  <c r="AG69" i="1"/>
  <c r="AD12" i="1"/>
  <c r="AE12" i="1" s="1"/>
  <c r="AG12" i="1"/>
  <c r="AG60" i="1"/>
  <c r="AD60" i="1"/>
  <c r="AE60" i="1" s="1"/>
  <c r="AD70" i="1"/>
  <c r="AE70" i="1" s="1"/>
  <c r="AG70" i="1"/>
  <c r="AD61" i="1"/>
  <c r="AE61" i="1" s="1"/>
  <c r="AG61" i="1"/>
  <c r="AD75" i="1"/>
  <c r="AE75" i="1" s="1"/>
  <c r="AG75" i="1"/>
  <c r="AD14" i="1"/>
  <c r="AE14" i="1" s="1"/>
  <c r="AG14" i="1"/>
  <c r="AD63" i="1"/>
  <c r="AE63" i="1" s="1"/>
  <c r="AG63" i="1"/>
  <c r="AD58" i="1"/>
  <c r="AE58" i="1" s="1"/>
  <c r="AG58" i="1"/>
  <c r="AG11" i="1"/>
  <c r="AD11" i="1"/>
  <c r="AE11" i="1" s="1"/>
  <c r="AG57" i="1"/>
  <c r="AD57" i="1"/>
  <c r="AE57" i="1" s="1"/>
  <c r="AD10" i="1"/>
  <c r="AE10" i="1" s="1"/>
  <c r="AG10" i="1"/>
  <c r="AD18" i="1"/>
  <c r="AE18" i="1" s="1"/>
  <c r="AG18" i="1"/>
  <c r="AD72" i="1"/>
  <c r="AE72" i="1" s="1"/>
  <c r="AG72" i="1"/>
  <c r="AD8" i="1"/>
  <c r="AE8" i="1" s="1"/>
  <c r="AG8" i="1"/>
  <c r="AD23" i="1"/>
  <c r="AE23" i="1" s="1"/>
  <c r="AG23" i="1"/>
  <c r="AG21" i="1"/>
  <c r="AD21" i="1"/>
  <c r="AE21" i="1" s="1"/>
  <c r="AD54" i="1"/>
  <c r="AE54" i="1" s="1"/>
  <c r="AG54" i="1"/>
  <c r="AG16" i="1"/>
  <c r="AD16" i="1"/>
  <c r="AE16" i="1" s="1"/>
  <c r="AC7" i="1"/>
  <c r="AD74" i="1"/>
  <c r="AE74" i="1" s="1"/>
  <c r="AG74" i="1"/>
  <c r="AD17" i="1"/>
  <c r="AE17" i="1" s="1"/>
  <c r="AG17" i="1"/>
  <c r="AG15" i="1"/>
  <c r="AD15" i="1"/>
  <c r="AE15" i="1" s="1"/>
  <c r="AD66" i="1"/>
  <c r="AE66" i="1" s="1"/>
  <c r="AG66" i="1"/>
  <c r="AG71" i="1"/>
  <c r="AD71" i="1"/>
  <c r="AE71" i="1" s="1"/>
  <c r="AG55" i="1"/>
  <c r="AD55" i="1"/>
  <c r="AE55" i="1" s="1"/>
  <c r="AE26" i="1"/>
  <c r="AG26" i="1"/>
  <c r="AG68" i="1"/>
  <c r="AD68" i="1"/>
  <c r="AE68" i="1" s="1"/>
  <c r="AG76" i="1"/>
  <c r="AD76" i="1"/>
  <c r="AE76" i="1" s="1"/>
  <c r="AD25" i="1"/>
  <c r="AE25" i="1" s="1"/>
  <c r="AG25" i="1"/>
  <c r="AG13" i="1"/>
  <c r="AD13" i="1"/>
  <c r="AE13" i="1" s="1"/>
  <c r="AA87" i="1"/>
  <c r="AB87" i="1" l="1"/>
  <c r="AG7" i="1"/>
  <c r="AG51" i="1" s="1"/>
  <c r="AD7" i="1"/>
  <c r="AD51" i="1" s="1"/>
  <c r="AD53" i="1"/>
  <c r="AD85" i="1" s="1"/>
  <c r="AG53" i="1"/>
  <c r="AG85" i="1" s="1"/>
  <c r="AG87" i="1" l="1"/>
  <c r="AE7" i="1"/>
  <c r="AE51" i="1" s="1"/>
  <c r="AE53" i="1"/>
  <c r="AE85" i="1" s="1"/>
  <c r="AD87" i="1" l="1"/>
  <c r="AE87" i="1"/>
  <c r="AH84" i="1" s="1"/>
  <c r="AI84" i="1" s="1"/>
  <c r="AH26" i="1" l="1"/>
  <c r="AI26" i="1" s="1"/>
  <c r="AK84" i="1"/>
  <c r="AM84" i="1" s="1"/>
  <c r="AH41" i="1"/>
  <c r="AI41" i="1" s="1"/>
  <c r="AK41" i="1" s="1"/>
  <c r="AM41" i="1" s="1"/>
  <c r="AH50" i="1"/>
  <c r="AI50" i="1" s="1"/>
  <c r="AE89" i="1"/>
  <c r="AH34" i="1"/>
  <c r="AI34" i="1" s="1"/>
  <c r="AK34" i="1" s="1"/>
  <c r="AM34" i="1" s="1"/>
  <c r="AH9" i="1"/>
  <c r="AI9" i="1" s="1"/>
  <c r="AJ9" i="1" s="1"/>
  <c r="AH68" i="1"/>
  <c r="AI68" i="1" s="1"/>
  <c r="AJ68" i="1" s="1"/>
  <c r="AH65" i="1"/>
  <c r="AI65" i="1" s="1"/>
  <c r="AJ65" i="1" s="1"/>
  <c r="AH22" i="1"/>
  <c r="AI22" i="1" s="1"/>
  <c r="AJ22" i="1" s="1"/>
  <c r="AH45" i="1"/>
  <c r="AI45" i="1" s="1"/>
  <c r="AK45" i="1" s="1"/>
  <c r="AM45" i="1" s="1"/>
  <c r="AH33" i="1"/>
  <c r="AI33" i="1" s="1"/>
  <c r="AK33" i="1" s="1"/>
  <c r="AM33" i="1" s="1"/>
  <c r="AH56" i="1"/>
  <c r="AI56" i="1" s="1"/>
  <c r="AJ56" i="1" s="1"/>
  <c r="AH43" i="1"/>
  <c r="AI43" i="1" s="1"/>
  <c r="AK43" i="1" s="1"/>
  <c r="AM43" i="1" s="1"/>
  <c r="AH39" i="1"/>
  <c r="AI39" i="1" s="1"/>
  <c r="AK39" i="1" s="1"/>
  <c r="AM39" i="1" s="1"/>
  <c r="AH47" i="1"/>
  <c r="AI47" i="1" s="1"/>
  <c r="AK47" i="1" s="1"/>
  <c r="AM47" i="1" s="1"/>
  <c r="AH67" i="1"/>
  <c r="AI67" i="1" s="1"/>
  <c r="AJ67" i="1" s="1"/>
  <c r="AH8" i="1"/>
  <c r="AI8" i="1" s="1"/>
  <c r="AJ8" i="1" s="1"/>
  <c r="AH38" i="1"/>
  <c r="AI38" i="1" s="1"/>
  <c r="AK38" i="1" s="1"/>
  <c r="AM38" i="1" s="1"/>
  <c r="AH7" i="1"/>
  <c r="AH24" i="1"/>
  <c r="AI24" i="1" s="1"/>
  <c r="AJ24" i="1" s="1"/>
  <c r="AH71" i="1"/>
  <c r="AI71" i="1" s="1"/>
  <c r="AJ71" i="1" s="1"/>
  <c r="AH70" i="1"/>
  <c r="AI70" i="1" s="1"/>
  <c r="AJ70" i="1" s="1"/>
  <c r="AH27" i="1"/>
  <c r="AI27" i="1" s="1"/>
  <c r="AH11" i="1"/>
  <c r="AI11" i="1" s="1"/>
  <c r="AJ11" i="1" s="1"/>
  <c r="AH23" i="1"/>
  <c r="AI23" i="1" s="1"/>
  <c r="AJ23" i="1" s="1"/>
  <c r="AH69" i="1"/>
  <c r="AI69" i="1" s="1"/>
  <c r="AJ69" i="1" s="1"/>
  <c r="AH54" i="1"/>
  <c r="AI54" i="1" s="1"/>
  <c r="AJ54" i="1" s="1"/>
  <c r="AH10" i="1"/>
  <c r="AI10" i="1" s="1"/>
  <c r="AJ10" i="1" s="1"/>
  <c r="AH66" i="1"/>
  <c r="AI66" i="1" s="1"/>
  <c r="AJ66" i="1" s="1"/>
  <c r="AH20" i="1"/>
  <c r="AI20" i="1" s="1"/>
  <c r="AJ20" i="1" s="1"/>
  <c r="AH15" i="1"/>
  <c r="AI15" i="1" s="1"/>
  <c r="AJ15" i="1" s="1"/>
  <c r="AH80" i="1"/>
  <c r="AI80" i="1" s="1"/>
  <c r="AH18" i="1"/>
  <c r="AI18" i="1" s="1"/>
  <c r="AJ18" i="1" s="1"/>
  <c r="AH32" i="1"/>
  <c r="AI32" i="1" s="1"/>
  <c r="AK32" i="1" s="1"/>
  <c r="AM32" i="1" s="1"/>
  <c r="AH81" i="1"/>
  <c r="AI81" i="1" s="1"/>
  <c r="AK81" i="1" s="1"/>
  <c r="AH37" i="1"/>
  <c r="AI37" i="1" s="1"/>
  <c r="AK37" i="1" s="1"/>
  <c r="AM37" i="1" s="1"/>
  <c r="AH59" i="1"/>
  <c r="AI59" i="1" s="1"/>
  <c r="AJ59" i="1" s="1"/>
  <c r="AH53" i="1"/>
  <c r="AH48" i="1"/>
  <c r="AI48" i="1" s="1"/>
  <c r="AK48" i="1" s="1"/>
  <c r="AM48" i="1" s="1"/>
  <c r="AH58" i="1"/>
  <c r="AI58" i="1" s="1"/>
  <c r="AJ58" i="1" s="1"/>
  <c r="AH77" i="1"/>
  <c r="AI77" i="1" s="1"/>
  <c r="AJ77" i="1" s="1"/>
  <c r="AH60" i="1"/>
  <c r="AI60" i="1" s="1"/>
  <c r="AJ60" i="1" s="1"/>
  <c r="AH55" i="1"/>
  <c r="AI55" i="1" s="1"/>
  <c r="AH13" i="1"/>
  <c r="AI13" i="1" s="1"/>
  <c r="AJ13" i="1" s="1"/>
  <c r="AH74" i="1"/>
  <c r="AI74" i="1" s="1"/>
  <c r="AJ74" i="1" s="1"/>
  <c r="AH25" i="1"/>
  <c r="AI25" i="1" s="1"/>
  <c r="AJ25" i="1" s="1"/>
  <c r="AH35" i="1"/>
  <c r="AI35" i="1" s="1"/>
  <c r="AK35" i="1" s="1"/>
  <c r="AM35" i="1" s="1"/>
  <c r="AH40" i="1"/>
  <c r="AI40" i="1" s="1"/>
  <c r="AK40" i="1" s="1"/>
  <c r="AM40" i="1" s="1"/>
  <c r="AH17" i="1"/>
  <c r="AI17" i="1" s="1"/>
  <c r="AJ17" i="1" s="1"/>
  <c r="AH49" i="1"/>
  <c r="AI49" i="1" s="1"/>
  <c r="AK49" i="1" s="1"/>
  <c r="AM49" i="1" s="1"/>
  <c r="AH72" i="1"/>
  <c r="AI72" i="1" s="1"/>
  <c r="AJ72" i="1" s="1"/>
  <c r="AH46" i="1"/>
  <c r="AI46" i="1" s="1"/>
  <c r="AK46" i="1" s="1"/>
  <c r="AM46" i="1" s="1"/>
  <c r="AH62" i="1"/>
  <c r="AI62" i="1" s="1"/>
  <c r="AJ62" i="1" s="1"/>
  <c r="AH75" i="1"/>
  <c r="AI75" i="1" s="1"/>
  <c r="AJ75" i="1" s="1"/>
  <c r="AH79" i="1"/>
  <c r="AI79" i="1" s="1"/>
  <c r="AH30" i="1"/>
  <c r="AI30" i="1" s="1"/>
  <c r="AH73" i="1"/>
  <c r="AI73" i="1" s="1"/>
  <c r="AJ73" i="1" s="1"/>
  <c r="AH21" i="1"/>
  <c r="AI21" i="1" s="1"/>
  <c r="AJ21" i="1" s="1"/>
  <c r="AH83" i="1"/>
  <c r="AI83" i="1" s="1"/>
  <c r="AH44" i="1"/>
  <c r="AI44" i="1" s="1"/>
  <c r="AK44" i="1" s="1"/>
  <c r="AM44" i="1" s="1"/>
  <c r="AH16" i="1"/>
  <c r="AI16" i="1" s="1"/>
  <c r="AH29" i="1"/>
  <c r="AI29" i="1" s="1"/>
  <c r="AK29" i="1" s="1"/>
  <c r="AM29" i="1" s="1"/>
  <c r="AH36" i="1"/>
  <c r="AI36" i="1" s="1"/>
  <c r="AK36" i="1" s="1"/>
  <c r="AM36" i="1" s="1"/>
  <c r="AH42" i="1"/>
  <c r="AI42" i="1" s="1"/>
  <c r="AK42" i="1" s="1"/>
  <c r="AM42" i="1" s="1"/>
  <c r="AH82" i="1"/>
  <c r="AI82" i="1" s="1"/>
  <c r="AH57" i="1"/>
  <c r="AI57" i="1" s="1"/>
  <c r="AJ57" i="1" s="1"/>
  <c r="AH78" i="1"/>
  <c r="AI78" i="1" s="1"/>
  <c r="AH14" i="1"/>
  <c r="AI14" i="1" s="1"/>
  <c r="AJ14" i="1" s="1"/>
  <c r="AH63" i="1"/>
  <c r="AI63" i="1" s="1"/>
  <c r="AJ63" i="1" s="1"/>
  <c r="AH64" i="1"/>
  <c r="AI64" i="1" s="1"/>
  <c r="AJ64" i="1" s="1"/>
  <c r="AH31" i="1"/>
  <c r="AI31" i="1" s="1"/>
  <c r="AK31" i="1" s="1"/>
  <c r="AM31" i="1" s="1"/>
  <c r="AH76" i="1"/>
  <c r="AI76" i="1" s="1"/>
  <c r="AJ76" i="1" s="1"/>
  <c r="AH19" i="1"/>
  <c r="AI19" i="1" s="1"/>
  <c r="AJ19" i="1" s="1"/>
  <c r="AH12" i="1"/>
  <c r="AI12" i="1" s="1"/>
  <c r="AJ12" i="1" s="1"/>
  <c r="AH28" i="1"/>
  <c r="AI28" i="1" s="1"/>
  <c r="AK28" i="1" s="1"/>
  <c r="AM28" i="1" s="1"/>
  <c r="AH61" i="1"/>
  <c r="AI61" i="1" s="1"/>
  <c r="AJ61" i="1" s="1"/>
  <c r="AJ16" i="1"/>
  <c r="AJ26" i="1" l="1"/>
  <c r="AK26" i="1" s="1"/>
  <c r="AL26" i="1" s="1"/>
  <c r="AI53" i="1"/>
  <c r="AH85" i="1"/>
  <c r="AI7" i="1"/>
  <c r="AH51" i="1"/>
  <c r="AJ50" i="1"/>
  <c r="AK50" i="1" s="1"/>
  <c r="AL50" i="1" s="1"/>
  <c r="AJ27" i="1"/>
  <c r="AS27" i="1" s="1"/>
  <c r="AM81" i="1"/>
  <c r="AK65" i="1"/>
  <c r="AK20" i="1"/>
  <c r="AK15" i="1"/>
  <c r="AK16" i="1"/>
  <c r="AK19" i="1"/>
  <c r="AK63" i="1"/>
  <c r="AL63" i="1" s="1"/>
  <c r="AK82" i="1"/>
  <c r="AM82" i="1" s="1"/>
  <c r="AK73" i="1"/>
  <c r="AL73" i="1" s="1"/>
  <c r="AK62" i="1"/>
  <c r="AK17" i="1"/>
  <c r="AL17" i="1" s="1"/>
  <c r="AK60" i="1"/>
  <c r="AK69" i="1"/>
  <c r="AK70" i="1"/>
  <c r="AK22" i="1"/>
  <c r="AK9" i="1"/>
  <c r="AL9" i="1" s="1"/>
  <c r="AK12" i="1"/>
  <c r="AL12" i="1" s="1"/>
  <c r="AK11" i="1"/>
  <c r="AK56" i="1"/>
  <c r="AK78" i="1"/>
  <c r="AM78" i="1" s="1"/>
  <c r="AK83" i="1"/>
  <c r="AM83" i="1" s="1"/>
  <c r="AK79" i="1"/>
  <c r="AM79" i="1" s="1"/>
  <c r="AK72" i="1"/>
  <c r="AK13" i="1"/>
  <c r="AL13" i="1" s="1"/>
  <c r="AK58" i="1"/>
  <c r="AK80" i="1"/>
  <c r="AM80" i="1" s="1"/>
  <c r="AK10" i="1"/>
  <c r="AK24" i="1"/>
  <c r="AL24" i="1" s="1"/>
  <c r="AK67" i="1"/>
  <c r="AL67" i="1" s="1"/>
  <c r="AK68" i="1"/>
  <c r="AK61" i="1"/>
  <c r="AL61" i="1" s="1"/>
  <c r="AK76" i="1"/>
  <c r="AK14" i="1"/>
  <c r="AK74" i="1"/>
  <c r="AL74" i="1" s="1"/>
  <c r="AK77" i="1"/>
  <c r="AK59" i="1"/>
  <c r="AK18" i="1"/>
  <c r="AK66" i="1"/>
  <c r="AK23" i="1"/>
  <c r="AL23" i="1" s="1"/>
  <c r="AK71" i="1"/>
  <c r="AK8" i="1"/>
  <c r="AK64" i="1"/>
  <c r="AL64" i="1" s="1"/>
  <c r="AK57" i="1"/>
  <c r="AK21" i="1"/>
  <c r="AK75" i="1"/>
  <c r="AK25" i="1"/>
  <c r="AL25" i="1" s="1"/>
  <c r="AK54" i="1"/>
  <c r="AK30" i="1"/>
  <c r="AM30" i="1" s="1"/>
  <c r="AJ55" i="1"/>
  <c r="AM26" i="1" l="1"/>
  <c r="AM77" i="1"/>
  <c r="AL77" i="1"/>
  <c r="AO77" i="1" s="1"/>
  <c r="AJ53" i="1"/>
  <c r="AK53" i="1" s="1"/>
  <c r="AM53" i="1" s="1"/>
  <c r="AI85" i="1"/>
  <c r="AM50" i="1"/>
  <c r="AO50" i="1"/>
  <c r="AS50" i="1"/>
  <c r="AJ7" i="1"/>
  <c r="AK7" i="1" s="1"/>
  <c r="AM7" i="1" s="1"/>
  <c r="AI51" i="1"/>
  <c r="AK27" i="1"/>
  <c r="AM27" i="1" s="1"/>
  <c r="AM25" i="1"/>
  <c r="AM73" i="1"/>
  <c r="AM67" i="1"/>
  <c r="AM74" i="1"/>
  <c r="AO23" i="1"/>
  <c r="AO61" i="1"/>
  <c r="AO24" i="1"/>
  <c r="AO13" i="1"/>
  <c r="AO9" i="1"/>
  <c r="AS9" i="1"/>
  <c r="AO12" i="1"/>
  <c r="AO17" i="1"/>
  <c r="AS17" i="1"/>
  <c r="AO63" i="1"/>
  <c r="AO67" i="1"/>
  <c r="AM23" i="1"/>
  <c r="AO25" i="1"/>
  <c r="AS25" i="1"/>
  <c r="AO64" i="1"/>
  <c r="AO74" i="1"/>
  <c r="AO73" i="1"/>
  <c r="AM13" i="1"/>
  <c r="AM9" i="1"/>
  <c r="AM61" i="1"/>
  <c r="AM54" i="1"/>
  <c r="AL54" i="1"/>
  <c r="AM57" i="1"/>
  <c r="AL57" i="1"/>
  <c r="AM59" i="1"/>
  <c r="AL59" i="1"/>
  <c r="AM72" i="1"/>
  <c r="AL72" i="1"/>
  <c r="AM19" i="1"/>
  <c r="AL19" i="1"/>
  <c r="AM8" i="1"/>
  <c r="AL8" i="1"/>
  <c r="AM18" i="1"/>
  <c r="AL18" i="1"/>
  <c r="AM14" i="1"/>
  <c r="AL14" i="1"/>
  <c r="AM10" i="1"/>
  <c r="AL10" i="1"/>
  <c r="AM69" i="1"/>
  <c r="AL69" i="1"/>
  <c r="AM20" i="1"/>
  <c r="AL20" i="1"/>
  <c r="AM75" i="1"/>
  <c r="AL75" i="1"/>
  <c r="AM66" i="1"/>
  <c r="AL66" i="1"/>
  <c r="AM68" i="1"/>
  <c r="AL68" i="1"/>
  <c r="AM58" i="1"/>
  <c r="AL58" i="1"/>
  <c r="AM11" i="1"/>
  <c r="AL11" i="1"/>
  <c r="AM70" i="1"/>
  <c r="AL70" i="1"/>
  <c r="AM15" i="1"/>
  <c r="AL15" i="1"/>
  <c r="AM17" i="1"/>
  <c r="AM12" i="1"/>
  <c r="AM64" i="1"/>
  <c r="AM24" i="1"/>
  <c r="AM71" i="1"/>
  <c r="AL71" i="1"/>
  <c r="AM76" i="1"/>
  <c r="AL76" i="1"/>
  <c r="AM62" i="1"/>
  <c r="AL62" i="1"/>
  <c r="AM65" i="1"/>
  <c r="AL65" i="1"/>
  <c r="AM21" i="1"/>
  <c r="AL21" i="1"/>
  <c r="AM56" i="1"/>
  <c r="AL56" i="1"/>
  <c r="AM22" i="1"/>
  <c r="AL22" i="1"/>
  <c r="AM60" i="1"/>
  <c r="AL60" i="1"/>
  <c r="AM16" i="1"/>
  <c r="AL16" i="1"/>
  <c r="AM63" i="1"/>
  <c r="AK55" i="1"/>
  <c r="AL55" i="1" s="1"/>
  <c r="AH87" i="1"/>
  <c r="AI87" i="1" l="1"/>
  <c r="AL53" i="1"/>
  <c r="AO53" i="1" s="1"/>
  <c r="AK85" i="1"/>
  <c r="AM51" i="1"/>
  <c r="AL7" i="1"/>
  <c r="AO7" i="1" s="1"/>
  <c r="AK51" i="1"/>
  <c r="AO16" i="1"/>
  <c r="AO22" i="1"/>
  <c r="AO21" i="1"/>
  <c r="AO62" i="1"/>
  <c r="AO71" i="1"/>
  <c r="AO26" i="1"/>
  <c r="AO11" i="1"/>
  <c r="AS68" i="1"/>
  <c r="AO68" i="1"/>
  <c r="AO75" i="1"/>
  <c r="AO69" i="1"/>
  <c r="AO14" i="1"/>
  <c r="AO8" i="1"/>
  <c r="AO72" i="1"/>
  <c r="AO57" i="1"/>
  <c r="AO55" i="1"/>
  <c r="AO60" i="1"/>
  <c r="AO56" i="1"/>
  <c r="AO65" i="1"/>
  <c r="AS76" i="1"/>
  <c r="AO76" i="1"/>
  <c r="AO15" i="1"/>
  <c r="AO70" i="1"/>
  <c r="AO58" i="1"/>
  <c r="AO66" i="1"/>
  <c r="AO20" i="1"/>
  <c r="AO10" i="1"/>
  <c r="AO18" i="1"/>
  <c r="AO19" i="1"/>
  <c r="AO59" i="1"/>
  <c r="AO54" i="1"/>
  <c r="AM55" i="1"/>
  <c r="AM85" i="1" s="1"/>
  <c r="AO51" i="1" l="1"/>
  <c r="AK87" i="1"/>
  <c r="AO85" i="1"/>
  <c r="AM87" i="1"/>
  <c r="AO87" i="1" l="1"/>
  <c r="AP84" i="1" s="1"/>
  <c r="AM89" i="1"/>
  <c r="AS84" i="1" l="1"/>
  <c r="BA84" i="1"/>
  <c r="AP85" i="1"/>
  <c r="AP50" i="1"/>
  <c r="AP87" i="1"/>
  <c r="AP77" i="1"/>
  <c r="AP79" i="1"/>
  <c r="AP81" i="1"/>
  <c r="AP82" i="1"/>
  <c r="AP80" i="1"/>
  <c r="AP78" i="1"/>
  <c r="AP83" i="1"/>
  <c r="AP13" i="1"/>
  <c r="AS13" i="1" s="1"/>
  <c r="AP9" i="1"/>
  <c r="AP12" i="1"/>
  <c r="AS12" i="1" s="1"/>
  <c r="AP53" i="1"/>
  <c r="AS53" i="1" s="1"/>
  <c r="AP63" i="1"/>
  <c r="AS63" i="1" s="1"/>
  <c r="AP17" i="1"/>
  <c r="AP24" i="1"/>
  <c r="AS24" i="1" s="1"/>
  <c r="AP73" i="1"/>
  <c r="AS73" i="1" s="1"/>
  <c r="AP67" i="1"/>
  <c r="AS67" i="1" s="1"/>
  <c r="AP64" i="1"/>
  <c r="AS64" i="1" s="1"/>
  <c r="AP25" i="1"/>
  <c r="AP7" i="1"/>
  <c r="AP74" i="1"/>
  <c r="AS74" i="1" s="1"/>
  <c r="AP23" i="1"/>
  <c r="AS23" i="1" s="1"/>
  <c r="AP61" i="1"/>
  <c r="AS61" i="1" s="1"/>
  <c r="AP66" i="1"/>
  <c r="AS66" i="1" s="1"/>
  <c r="AP75" i="1"/>
  <c r="AS75" i="1" s="1"/>
  <c r="AP19" i="1"/>
  <c r="AS19" i="1" s="1"/>
  <c r="AP59" i="1"/>
  <c r="AS59" i="1" s="1"/>
  <c r="AP69" i="1"/>
  <c r="AS69" i="1" s="1"/>
  <c r="AP57" i="1"/>
  <c r="AS57" i="1" s="1"/>
  <c r="AP62" i="1"/>
  <c r="AS62" i="1" s="1"/>
  <c r="AP72" i="1"/>
  <c r="AS72" i="1" s="1"/>
  <c r="AP54" i="1"/>
  <c r="AS54" i="1" s="1"/>
  <c r="AP15" i="1"/>
  <c r="AS15" i="1" s="1"/>
  <c r="AP16" i="1"/>
  <c r="AS16" i="1" s="1"/>
  <c r="AP60" i="1"/>
  <c r="AS60" i="1" s="1"/>
  <c r="AP55" i="1"/>
  <c r="AS55" i="1" s="1"/>
  <c r="AP26" i="1"/>
  <c r="AS26" i="1" s="1"/>
  <c r="AP76" i="1"/>
  <c r="AP21" i="1"/>
  <c r="AS21" i="1" s="1"/>
  <c r="AP20" i="1"/>
  <c r="AS20" i="1" s="1"/>
  <c r="AP11" i="1"/>
  <c r="AS11" i="1" s="1"/>
  <c r="AP65" i="1"/>
  <c r="AS65" i="1" s="1"/>
  <c r="AP56" i="1"/>
  <c r="AS56" i="1" s="1"/>
  <c r="AP68" i="1"/>
  <c r="AP70" i="1"/>
  <c r="AS70" i="1" s="1"/>
  <c r="AP71" i="1"/>
  <c r="AS71" i="1" s="1"/>
  <c r="AP10" i="1"/>
  <c r="AS10" i="1" s="1"/>
  <c r="AP14" i="1"/>
  <c r="AS14" i="1" s="1"/>
  <c r="AP58" i="1"/>
  <c r="AS58" i="1" s="1"/>
  <c r="AP18" i="1"/>
  <c r="AS18" i="1" s="1"/>
  <c r="AP8" i="1"/>
  <c r="AS8" i="1" s="1"/>
  <c r="AP22" i="1"/>
  <c r="AS22" i="1" s="1"/>
  <c r="AS7" i="1" l="1"/>
  <c r="AS51" i="1" s="1"/>
  <c r="AP51" i="1"/>
  <c r="AS81" i="1"/>
  <c r="BA81" i="1"/>
  <c r="BB81" i="1" s="1"/>
  <c r="AS80" i="1"/>
  <c r="BA80" i="1"/>
  <c r="BB80" i="1" s="1"/>
  <c r="AS77" i="1"/>
  <c r="AS83" i="1"/>
  <c r="BA83" i="1"/>
  <c r="BB83" i="1" s="1"/>
  <c r="AS82" i="1"/>
  <c r="BA82" i="1"/>
  <c r="BB82" i="1" s="1"/>
  <c r="AS78" i="1"/>
  <c r="BA78" i="1"/>
  <c r="BB78" i="1" s="1"/>
  <c r="AS79" i="1"/>
  <c r="BA79" i="1"/>
  <c r="BB79" i="1" s="1"/>
  <c r="AS85" i="1" l="1"/>
  <c r="AS87" i="1" s="1"/>
  <c r="AT84" i="1" s="1"/>
  <c r="AU84" i="1" s="1"/>
  <c r="AW84" i="1" s="1"/>
  <c r="AY84" i="1" l="1"/>
  <c r="AT18" i="1"/>
  <c r="AU18" i="1" s="1"/>
  <c r="AV18" i="1" s="1"/>
  <c r="AT50" i="1"/>
  <c r="AU50" i="1" s="1"/>
  <c r="AV50" i="1" s="1"/>
  <c r="AT69" i="1"/>
  <c r="AU69" i="1" s="1"/>
  <c r="AV69" i="1" s="1"/>
  <c r="BA69" i="1" s="1"/>
  <c r="BB69" i="1" s="1"/>
  <c r="AT67" i="1"/>
  <c r="AU67" i="1" s="1"/>
  <c r="AV67" i="1" s="1"/>
  <c r="BA67" i="1" s="1"/>
  <c r="BB67" i="1" s="1"/>
  <c r="AT73" i="1"/>
  <c r="AU73" i="1" s="1"/>
  <c r="AV73" i="1" s="1"/>
  <c r="BA73" i="1" s="1"/>
  <c r="BB73" i="1" s="1"/>
  <c r="AT80" i="1"/>
  <c r="AU80" i="1" s="1"/>
  <c r="AT45" i="1"/>
  <c r="AU45" i="1" s="1"/>
  <c r="L47" i="9" s="1"/>
  <c r="K47" i="9" s="1"/>
  <c r="AT23" i="1"/>
  <c r="AU23" i="1" s="1"/>
  <c r="AV23" i="1" s="1"/>
  <c r="AT43" i="1"/>
  <c r="AU43" i="1" s="1"/>
  <c r="L45" i="9" s="1"/>
  <c r="K45" i="9" s="1"/>
  <c r="AT7" i="1"/>
  <c r="AT34" i="1"/>
  <c r="AU34" i="1" s="1"/>
  <c r="L36" i="9" s="1"/>
  <c r="K36" i="9" s="1"/>
  <c r="AT29" i="1"/>
  <c r="AU29" i="1" s="1"/>
  <c r="L31" i="9" s="1"/>
  <c r="K31" i="9" s="1"/>
  <c r="AT66" i="1"/>
  <c r="AU66" i="1" s="1"/>
  <c r="AT54" i="1"/>
  <c r="AU54" i="1" s="1"/>
  <c r="AT62" i="1"/>
  <c r="AU62" i="1" s="1"/>
  <c r="AT59" i="1"/>
  <c r="AU59" i="1" s="1"/>
  <c r="AV59" i="1" s="1"/>
  <c r="BA59" i="1" s="1"/>
  <c r="BB59" i="1" s="1"/>
  <c r="AT31" i="1"/>
  <c r="AU31" i="1" s="1"/>
  <c r="L33" i="9" s="1"/>
  <c r="K33" i="9" s="1"/>
  <c r="AT19" i="1"/>
  <c r="AU19" i="1" s="1"/>
  <c r="AV19" i="1" s="1"/>
  <c r="AT26" i="1"/>
  <c r="AU26" i="1" s="1"/>
  <c r="AV26" i="1" s="1"/>
  <c r="AT8" i="1"/>
  <c r="AU8" i="1" s="1"/>
  <c r="AT11" i="1"/>
  <c r="AU11" i="1" s="1"/>
  <c r="AT79" i="1"/>
  <c r="AU79" i="1" s="1"/>
  <c r="AT13" i="1"/>
  <c r="AU13" i="1" s="1"/>
  <c r="AV13" i="1" s="1"/>
  <c r="AT15" i="1"/>
  <c r="AU15" i="1" s="1"/>
  <c r="AT42" i="1"/>
  <c r="AU42" i="1" s="1"/>
  <c r="L44" i="9" s="1"/>
  <c r="K44" i="9" s="1"/>
  <c r="AT71" i="1"/>
  <c r="AU71" i="1" s="1"/>
  <c r="AV71" i="1" s="1"/>
  <c r="BA71" i="1" s="1"/>
  <c r="AT55" i="1"/>
  <c r="AU55" i="1" s="1"/>
  <c r="AV55" i="1" s="1"/>
  <c r="BA55" i="1" s="1"/>
  <c r="AT64" i="1"/>
  <c r="AU64" i="1" s="1"/>
  <c r="AT24" i="1"/>
  <c r="AU24" i="1" s="1"/>
  <c r="AT41" i="1"/>
  <c r="AU41" i="1" s="1"/>
  <c r="L43" i="9" s="1"/>
  <c r="K43" i="9" s="1"/>
  <c r="AT77" i="1"/>
  <c r="AU77" i="1" s="1"/>
  <c r="AV77" i="1" s="1"/>
  <c r="BA77" i="1" s="1"/>
  <c r="BB77" i="1" s="1"/>
  <c r="AT76" i="1"/>
  <c r="AU76" i="1" s="1"/>
  <c r="AV76" i="1" s="1"/>
  <c r="BA76" i="1" s="1"/>
  <c r="BB76" i="1" s="1"/>
  <c r="AT12" i="1"/>
  <c r="AU12" i="1" s="1"/>
  <c r="AV12" i="1" s="1"/>
  <c r="AT81" i="1"/>
  <c r="AU81" i="1" s="1"/>
  <c r="AW81" i="1" s="1"/>
  <c r="BC81" i="1" s="1"/>
  <c r="BE81" i="1" s="1"/>
  <c r="AT16" i="1"/>
  <c r="AU16" i="1" s="1"/>
  <c r="AT35" i="1"/>
  <c r="AU35" i="1" s="1"/>
  <c r="L37" i="9" s="1"/>
  <c r="K37" i="9" s="1"/>
  <c r="AT39" i="1"/>
  <c r="AU39" i="1" s="1"/>
  <c r="L41" i="9" s="1"/>
  <c r="K41" i="9" s="1"/>
  <c r="AT44" i="1"/>
  <c r="AU44" i="1" s="1"/>
  <c r="L46" i="9" s="1"/>
  <c r="K46" i="9" s="1"/>
  <c r="AT65" i="1"/>
  <c r="AU65" i="1" s="1"/>
  <c r="AT27" i="1"/>
  <c r="AU27" i="1" s="1"/>
  <c r="AT22" i="1"/>
  <c r="AU22" i="1" s="1"/>
  <c r="AV22" i="1" s="1"/>
  <c r="AT56" i="1"/>
  <c r="AU56" i="1" s="1"/>
  <c r="AV56" i="1" s="1"/>
  <c r="BA56" i="1" s="1"/>
  <c r="AT17" i="1"/>
  <c r="AU17" i="1" s="1"/>
  <c r="AT63" i="1"/>
  <c r="AU63" i="1" s="1"/>
  <c r="AV63" i="1" s="1"/>
  <c r="BA63" i="1" s="1"/>
  <c r="BB63" i="1" s="1"/>
  <c r="AT68" i="1"/>
  <c r="AU68" i="1" s="1"/>
  <c r="AT61" i="1"/>
  <c r="AU61" i="1" s="1"/>
  <c r="AV61" i="1" s="1"/>
  <c r="BA61" i="1" s="1"/>
  <c r="BB61" i="1" s="1"/>
  <c r="AT82" i="1"/>
  <c r="AU82" i="1" s="1"/>
  <c r="AT9" i="1"/>
  <c r="AU9" i="1" s="1"/>
  <c r="AT33" i="1"/>
  <c r="AU33" i="1" s="1"/>
  <c r="L35" i="9" s="1"/>
  <c r="K35" i="9" s="1"/>
  <c r="AT46" i="1"/>
  <c r="AU46" i="1" s="1"/>
  <c r="L48" i="9" s="1"/>
  <c r="K48" i="9" s="1"/>
  <c r="AT72" i="1"/>
  <c r="AU72" i="1" s="1"/>
  <c r="AT60" i="1"/>
  <c r="AU60" i="1" s="1"/>
  <c r="AT83" i="1"/>
  <c r="AU83" i="1" s="1"/>
  <c r="AW83" i="1" s="1"/>
  <c r="BC83" i="1" s="1"/>
  <c r="BE83" i="1" s="1"/>
  <c r="BF83" i="1" s="1"/>
  <c r="AT57" i="1"/>
  <c r="AU57" i="1" s="1"/>
  <c r="AV57" i="1" s="1"/>
  <c r="BA57" i="1" s="1"/>
  <c r="AT14" i="1"/>
  <c r="AU14" i="1" s="1"/>
  <c r="AT30" i="1"/>
  <c r="AU30" i="1" s="1"/>
  <c r="L32" i="9" s="1"/>
  <c r="K32" i="9" s="1"/>
  <c r="AT74" i="1"/>
  <c r="AU74" i="1" s="1"/>
  <c r="AV74" i="1" s="1"/>
  <c r="BA74" i="1" s="1"/>
  <c r="BB74" i="1" s="1"/>
  <c r="AT20" i="1"/>
  <c r="AU20" i="1" s="1"/>
  <c r="AV20" i="1" s="1"/>
  <c r="AT21" i="1"/>
  <c r="AU21" i="1" s="1"/>
  <c r="AV21" i="1" s="1"/>
  <c r="AT38" i="1"/>
  <c r="AU38" i="1" s="1"/>
  <c r="L40" i="9" s="1"/>
  <c r="K40" i="9" s="1"/>
  <c r="AT37" i="1"/>
  <c r="AU37" i="1" s="1"/>
  <c r="L39" i="9" s="1"/>
  <c r="K39" i="9" s="1"/>
  <c r="AT58" i="1"/>
  <c r="AU58" i="1" s="1"/>
  <c r="AV58" i="1" s="1"/>
  <c r="BA58" i="1" s="1"/>
  <c r="AT70" i="1"/>
  <c r="AU70" i="1" s="1"/>
  <c r="AT25" i="1"/>
  <c r="AU25" i="1" s="1"/>
  <c r="AV25" i="1" s="1"/>
  <c r="AT78" i="1"/>
  <c r="AU78" i="1" s="1"/>
  <c r="AW78" i="1" s="1"/>
  <c r="BC78" i="1" s="1"/>
  <c r="BE78" i="1" s="1"/>
  <c r="AT32" i="1"/>
  <c r="AU32" i="1" s="1"/>
  <c r="L34" i="9" s="1"/>
  <c r="K34" i="9" s="1"/>
  <c r="AT47" i="1"/>
  <c r="AU47" i="1" s="1"/>
  <c r="L49" i="9" s="1"/>
  <c r="K49" i="9" s="1"/>
  <c r="AT10" i="1"/>
  <c r="AU10" i="1" s="1"/>
  <c r="AV10" i="1" s="1"/>
  <c r="AT40" i="1"/>
  <c r="AU40" i="1" s="1"/>
  <c r="L42" i="9" s="1"/>
  <c r="K42" i="9" s="1"/>
  <c r="AT48" i="1"/>
  <c r="AU48" i="1" s="1"/>
  <c r="L50" i="9" s="1"/>
  <c r="K50" i="9" s="1"/>
  <c r="AT36" i="1"/>
  <c r="AU36" i="1" s="1"/>
  <c r="L38" i="9" s="1"/>
  <c r="K38" i="9" s="1"/>
  <c r="AT28" i="1"/>
  <c r="AU28" i="1" s="1"/>
  <c r="L30" i="9" s="1"/>
  <c r="K30" i="9" s="1"/>
  <c r="AT75" i="1"/>
  <c r="AU75" i="1" s="1"/>
  <c r="AT53" i="1"/>
  <c r="AT49" i="1"/>
  <c r="AU49" i="1" s="1"/>
  <c r="L51" i="9" s="1"/>
  <c r="K51" i="9" s="1"/>
  <c r="AU53" i="1" l="1"/>
  <c r="AU85" i="1" s="1"/>
  <c r="AV85" i="1" s="1"/>
  <c r="AT85" i="1"/>
  <c r="BA50" i="1"/>
  <c r="BB50" i="1" s="1"/>
  <c r="AW50" i="1"/>
  <c r="AU7" i="1"/>
  <c r="AU51" i="1" s="1"/>
  <c r="AT51" i="1"/>
  <c r="L29" i="9"/>
  <c r="K29" i="9" s="1"/>
  <c r="AV27" i="1"/>
  <c r="BF78" i="1"/>
  <c r="L81" i="9"/>
  <c r="K81" i="9" s="1"/>
  <c r="BF81" i="1"/>
  <c r="L84" i="9"/>
  <c r="K84" i="9" s="1"/>
  <c r="AW79" i="1"/>
  <c r="BC79" i="1" s="1"/>
  <c r="BE79" i="1" s="1"/>
  <c r="AV54" i="1"/>
  <c r="BA54" i="1" s="1"/>
  <c r="AW80" i="1"/>
  <c r="BC80" i="1" s="1"/>
  <c r="BE80" i="1" s="1"/>
  <c r="AV66" i="1"/>
  <c r="BA66" i="1" s="1"/>
  <c r="AV11" i="1"/>
  <c r="AV15" i="1"/>
  <c r="AW15" i="1" s="1"/>
  <c r="AX15" i="1" s="1"/>
  <c r="AV8" i="1"/>
  <c r="AW8" i="1" s="1"/>
  <c r="AX8" i="1" s="1"/>
  <c r="AV24" i="1"/>
  <c r="AW24" i="1" s="1"/>
  <c r="AX24" i="1" s="1"/>
  <c r="AV16" i="1"/>
  <c r="BA16" i="1" s="1"/>
  <c r="AV64" i="1"/>
  <c r="BA64" i="1" s="1"/>
  <c r="BB64" i="1" s="1"/>
  <c r="AV62" i="1"/>
  <c r="BA62" i="1" s="1"/>
  <c r="BB62" i="1" s="1"/>
  <c r="AV72" i="1"/>
  <c r="BA72" i="1" s="1"/>
  <c r="BB72" i="1" s="1"/>
  <c r="AV17" i="1"/>
  <c r="AW17" i="1" s="1"/>
  <c r="AX17" i="1" s="1"/>
  <c r="AV14" i="1"/>
  <c r="AW14" i="1" s="1"/>
  <c r="AX14" i="1" s="1"/>
  <c r="AV60" i="1"/>
  <c r="BA60" i="1" s="1"/>
  <c r="AV65" i="1"/>
  <c r="BA65" i="1" s="1"/>
  <c r="BB65" i="1" s="1"/>
  <c r="AW77" i="1"/>
  <c r="AV70" i="1"/>
  <c r="AW82" i="1"/>
  <c r="BC82" i="1" s="1"/>
  <c r="BE82" i="1" s="1"/>
  <c r="AV9" i="1"/>
  <c r="BA9" i="1" s="1"/>
  <c r="BB9" i="1" s="1"/>
  <c r="AV75" i="1"/>
  <c r="BA75" i="1" s="1"/>
  <c r="BB75" i="1" s="1"/>
  <c r="AV68" i="1"/>
  <c r="AW71" i="1"/>
  <c r="AX71" i="1" s="1"/>
  <c r="BA10" i="1"/>
  <c r="AW10" i="1"/>
  <c r="AX10" i="1" s="1"/>
  <c r="AW69" i="1"/>
  <c r="AX69" i="1" s="1"/>
  <c r="AW74" i="1"/>
  <c r="AX74" i="1" s="1"/>
  <c r="BA12" i="1"/>
  <c r="AW12" i="1"/>
  <c r="AX12" i="1" s="1"/>
  <c r="BA13" i="1"/>
  <c r="BB13" i="1" s="1"/>
  <c r="AW13" i="1"/>
  <c r="AX13" i="1" s="1"/>
  <c r="AW55" i="1"/>
  <c r="AX55" i="1" s="1"/>
  <c r="BA18" i="1"/>
  <c r="AW18" i="1"/>
  <c r="AX18" i="1" s="1"/>
  <c r="AW59" i="1"/>
  <c r="AX59" i="1" s="1"/>
  <c r="AW58" i="1"/>
  <c r="AX58" i="1" s="1"/>
  <c r="BA20" i="1"/>
  <c r="AW20" i="1"/>
  <c r="AX20" i="1" s="1"/>
  <c r="AW57" i="1"/>
  <c r="AX57" i="1" s="1"/>
  <c r="AW63" i="1"/>
  <c r="AX63" i="1" s="1"/>
  <c r="BA22" i="1"/>
  <c r="AW22" i="1"/>
  <c r="AX22" i="1" s="1"/>
  <c r="BA23" i="1"/>
  <c r="AW23" i="1"/>
  <c r="AX23" i="1" s="1"/>
  <c r="AW67" i="1"/>
  <c r="AX67" i="1" s="1"/>
  <c r="AW73" i="1"/>
  <c r="AX73" i="1" s="1"/>
  <c r="AW76" i="1"/>
  <c r="AX76" i="1" s="1"/>
  <c r="BA19" i="1"/>
  <c r="AW19" i="1"/>
  <c r="AX19" i="1" s="1"/>
  <c r="BA25" i="1"/>
  <c r="BB25" i="1" s="1"/>
  <c r="AW25" i="1"/>
  <c r="AX25" i="1" s="1"/>
  <c r="BA21" i="1"/>
  <c r="AW21" i="1"/>
  <c r="AX21" i="1" s="1"/>
  <c r="AW61" i="1"/>
  <c r="AX61" i="1" s="1"/>
  <c r="AW56" i="1"/>
  <c r="AX56" i="1" s="1"/>
  <c r="BA26" i="1"/>
  <c r="AW26" i="1"/>
  <c r="AX26" i="1" s="1"/>
  <c r="AY83" i="1"/>
  <c r="AY78" i="1"/>
  <c r="AY81" i="1"/>
  <c r="BC77" i="1" l="1"/>
  <c r="AX77" i="1"/>
  <c r="AV53" i="1"/>
  <c r="BA53" i="1" s="1"/>
  <c r="AY80" i="1"/>
  <c r="AY50" i="1"/>
  <c r="AX50" i="1"/>
  <c r="BC50" i="1"/>
  <c r="BD50" i="1" s="1"/>
  <c r="BE50" i="1" s="1"/>
  <c r="BF50" i="1" s="1"/>
  <c r="AV7" i="1"/>
  <c r="BA7" i="1" s="1"/>
  <c r="M29" i="9"/>
  <c r="BA27" i="1"/>
  <c r="BA15" i="1"/>
  <c r="AW54" i="1"/>
  <c r="AX54" i="1" s="1"/>
  <c r="BF82" i="1"/>
  <c r="L85" i="9"/>
  <c r="K85" i="9" s="1"/>
  <c r="BF80" i="1"/>
  <c r="L83" i="9"/>
  <c r="K83" i="9" s="1"/>
  <c r="BA24" i="1"/>
  <c r="AW66" i="1"/>
  <c r="AX66" i="1" s="1"/>
  <c r="BF79" i="1"/>
  <c r="L82" i="9"/>
  <c r="K82" i="9" s="1"/>
  <c r="BA11" i="1"/>
  <c r="AW11" i="1"/>
  <c r="AX11" i="1" s="1"/>
  <c r="AY79" i="1"/>
  <c r="AY82" i="1"/>
  <c r="AW16" i="1"/>
  <c r="AX16" i="1" s="1"/>
  <c r="BA8" i="1"/>
  <c r="AW9" i="1"/>
  <c r="AX9" i="1" s="1"/>
  <c r="AW65" i="1"/>
  <c r="AX65" i="1" s="1"/>
  <c r="AW75" i="1"/>
  <c r="AX75" i="1" s="1"/>
  <c r="BA14" i="1"/>
  <c r="AW60" i="1"/>
  <c r="AX60" i="1" s="1"/>
  <c r="AW64" i="1"/>
  <c r="AX64" i="1" s="1"/>
  <c r="BA17" i="1"/>
  <c r="BB17" i="1" s="1"/>
  <c r="BC17" i="1" s="1"/>
  <c r="BD17" i="1" s="1"/>
  <c r="AW62" i="1"/>
  <c r="AX62" i="1" s="1"/>
  <c r="AW70" i="1"/>
  <c r="AX70" i="1" s="1"/>
  <c r="BA70" i="1"/>
  <c r="BB70" i="1" s="1"/>
  <c r="AW72" i="1"/>
  <c r="AX72" i="1" s="1"/>
  <c r="BA68" i="1"/>
  <c r="BB68" i="1" s="1"/>
  <c r="AT87" i="1"/>
  <c r="AW68" i="1"/>
  <c r="AY77" i="1"/>
  <c r="AY56" i="1"/>
  <c r="AY22" i="1"/>
  <c r="AY57" i="1"/>
  <c r="BC13" i="1"/>
  <c r="BD13" i="1" s="1"/>
  <c r="AY13" i="1"/>
  <c r="BC69" i="1"/>
  <c r="BD69" i="1" s="1"/>
  <c r="AY69" i="1"/>
  <c r="AY14" i="1"/>
  <c r="BC61" i="1"/>
  <c r="BD61" i="1" s="1"/>
  <c r="AY61" i="1"/>
  <c r="AY19" i="1"/>
  <c r="AY17" i="1"/>
  <c r="AY20" i="1"/>
  <c r="AY24" i="1"/>
  <c r="AY8" i="1"/>
  <c r="AY10" i="1"/>
  <c r="AY71" i="1"/>
  <c r="AY21" i="1"/>
  <c r="AY15" i="1"/>
  <c r="BC76" i="1"/>
  <c r="BD76" i="1" s="1"/>
  <c r="AY76" i="1"/>
  <c r="BC67" i="1"/>
  <c r="BD67" i="1" s="1"/>
  <c r="AY67" i="1"/>
  <c r="BC63" i="1"/>
  <c r="BD63" i="1" s="1"/>
  <c r="AY63" i="1"/>
  <c r="AY58" i="1"/>
  <c r="AY55" i="1"/>
  <c r="AY12" i="1"/>
  <c r="AY26" i="1"/>
  <c r="AY25" i="1"/>
  <c r="BC25" i="1"/>
  <c r="BD25" i="1" s="1"/>
  <c r="BC73" i="1"/>
  <c r="BD73" i="1" s="1"/>
  <c r="AY73" i="1"/>
  <c r="AY23" i="1"/>
  <c r="BC59" i="1"/>
  <c r="BD59" i="1" s="1"/>
  <c r="AY59" i="1"/>
  <c r="AY18" i="1"/>
  <c r="BC74" i="1"/>
  <c r="BD74" i="1" s="1"/>
  <c r="AY74" i="1"/>
  <c r="AU87" i="1"/>
  <c r="BD77" i="1" l="1"/>
  <c r="M80" i="9" s="1"/>
  <c r="AW53" i="1"/>
  <c r="AX53" i="1" s="1"/>
  <c r="BA85" i="1"/>
  <c r="BA51" i="1"/>
  <c r="AW7" i="1"/>
  <c r="AY7" i="1" s="1"/>
  <c r="AY54" i="1"/>
  <c r="AY9" i="1"/>
  <c r="AY62" i="1"/>
  <c r="AY65" i="1"/>
  <c r="BC65" i="1"/>
  <c r="BD65" i="1" s="1"/>
  <c r="M68" i="9" s="1"/>
  <c r="BC68" i="1"/>
  <c r="BD68" i="1" s="1"/>
  <c r="M71" i="9" s="1"/>
  <c r="AY66" i="1"/>
  <c r="BC64" i="1"/>
  <c r="BD64" i="1" s="1"/>
  <c r="M67" i="9" s="1"/>
  <c r="BE69" i="1"/>
  <c r="M72" i="9"/>
  <c r="BE74" i="1"/>
  <c r="M77" i="9"/>
  <c r="BE59" i="1"/>
  <c r="M62" i="9"/>
  <c r="BE73" i="1"/>
  <c r="M76" i="9"/>
  <c r="BE67" i="1"/>
  <c r="M70" i="9"/>
  <c r="BE61" i="1"/>
  <c r="M64" i="9"/>
  <c r="AY16" i="1"/>
  <c r="BE17" i="1"/>
  <c r="M17" i="9"/>
  <c r="BE63" i="1"/>
  <c r="M66" i="9"/>
  <c r="BE76" i="1"/>
  <c r="M79" i="9"/>
  <c r="BE25" i="1"/>
  <c r="M25" i="9"/>
  <c r="BE13" i="1"/>
  <c r="M13" i="9"/>
  <c r="AY11" i="1"/>
  <c r="AY60" i="1"/>
  <c r="BC9" i="1"/>
  <c r="BD9" i="1" s="1"/>
  <c r="BC70" i="1"/>
  <c r="BD70" i="1" s="1"/>
  <c r="BC75" i="1"/>
  <c r="BD75" i="1" s="1"/>
  <c r="AY75" i="1"/>
  <c r="BC62" i="1"/>
  <c r="BD62" i="1" s="1"/>
  <c r="BC72" i="1"/>
  <c r="BD72" i="1" s="1"/>
  <c r="AY72" i="1"/>
  <c r="AY64" i="1"/>
  <c r="AY68" i="1"/>
  <c r="AX68" i="1"/>
  <c r="AY70" i="1"/>
  <c r="BE77" i="1" l="1"/>
  <c r="AY53" i="1"/>
  <c r="AY85" i="1" s="1"/>
  <c r="AW85" i="1"/>
  <c r="AY51" i="1"/>
  <c r="AX7" i="1"/>
  <c r="AW51" i="1"/>
  <c r="BE64" i="1"/>
  <c r="BF64" i="1" s="1"/>
  <c r="BE65" i="1"/>
  <c r="L68" i="9" s="1"/>
  <c r="K68" i="9" s="1"/>
  <c r="BE68" i="1"/>
  <c r="L71" i="9" s="1"/>
  <c r="K71" i="9" s="1"/>
  <c r="BF67" i="1"/>
  <c r="L70" i="9"/>
  <c r="K70" i="9" s="1"/>
  <c r="BF73" i="1"/>
  <c r="L76" i="9"/>
  <c r="K76" i="9" s="1"/>
  <c r="BF74" i="1"/>
  <c r="L77" i="9"/>
  <c r="K77" i="9" s="1"/>
  <c r="BE9" i="1"/>
  <c r="M9" i="9"/>
  <c r="BF63" i="1"/>
  <c r="L66" i="9"/>
  <c r="K66" i="9" s="1"/>
  <c r="BE75" i="1"/>
  <c r="M78" i="9"/>
  <c r="BF13" i="1"/>
  <c r="L13" i="9"/>
  <c r="K13" i="9" s="1"/>
  <c r="BF25" i="1"/>
  <c r="L25" i="9"/>
  <c r="K25" i="9" s="1"/>
  <c r="BF76" i="1"/>
  <c r="L79" i="9"/>
  <c r="K79" i="9" s="1"/>
  <c r="BF17" i="1"/>
  <c r="L17" i="9"/>
  <c r="K17" i="9" s="1"/>
  <c r="BE62" i="1"/>
  <c r="M65" i="9"/>
  <c r="BA87" i="1"/>
  <c r="BE72" i="1"/>
  <c r="M75" i="9"/>
  <c r="BE70" i="1"/>
  <c r="M73" i="9"/>
  <c r="BF61" i="1"/>
  <c r="L64" i="9"/>
  <c r="K64" i="9" s="1"/>
  <c r="BF59" i="1"/>
  <c r="L62" i="9"/>
  <c r="K62" i="9" s="1"/>
  <c r="BF69" i="1"/>
  <c r="L72" i="9"/>
  <c r="K72" i="9" s="1"/>
  <c r="BF77" i="1" l="1"/>
  <c r="L80" i="9"/>
  <c r="K80" i="9" s="1"/>
  <c r="AW87" i="1"/>
  <c r="L67" i="9"/>
  <c r="K67" i="9" s="1"/>
  <c r="BF65" i="1"/>
  <c r="BF68" i="1"/>
  <c r="BF70" i="1"/>
  <c r="L73" i="9"/>
  <c r="K73" i="9" s="1"/>
  <c r="BF75" i="1"/>
  <c r="L78" i="9"/>
  <c r="K78" i="9" s="1"/>
  <c r="BF9" i="1"/>
  <c r="L9" i="9"/>
  <c r="K9" i="9" s="1"/>
  <c r="AY87" i="1"/>
  <c r="BB55" i="1" s="1"/>
  <c r="BF72" i="1"/>
  <c r="L75" i="9"/>
  <c r="K75" i="9" s="1"/>
  <c r="BF62" i="1"/>
  <c r="L65" i="9"/>
  <c r="K65" i="9" s="1"/>
  <c r="BB84" i="1" l="1"/>
  <c r="BC84" i="1" s="1"/>
  <c r="BE84" i="1" s="1"/>
  <c r="BF84" i="1" s="1"/>
  <c r="BB24" i="1"/>
  <c r="BC24" i="1" s="1"/>
  <c r="BD24" i="1" s="1"/>
  <c r="BB14" i="1"/>
  <c r="BC14" i="1" s="1"/>
  <c r="BB22" i="1"/>
  <c r="BC22" i="1" s="1"/>
  <c r="BD22" i="1" s="1"/>
  <c r="BB11" i="1"/>
  <c r="BC11" i="1" s="1"/>
  <c r="BB23" i="1"/>
  <c r="BC23" i="1" s="1"/>
  <c r="BB20" i="1"/>
  <c r="BC20" i="1" s="1"/>
  <c r="BB21" i="1"/>
  <c r="BC21" i="1" s="1"/>
  <c r="BD21" i="1" s="1"/>
  <c r="BB15" i="1"/>
  <c r="BC15" i="1" s="1"/>
  <c r="BB16" i="1"/>
  <c r="BC16" i="1" s="1"/>
  <c r="BD16" i="1" s="1"/>
  <c r="BE16" i="1" s="1"/>
  <c r="BB26" i="1"/>
  <c r="BC26" i="1" s="1"/>
  <c r="BB18" i="1"/>
  <c r="BC18" i="1" s="1"/>
  <c r="BD18" i="1" s="1"/>
  <c r="BB10" i="1"/>
  <c r="BC10" i="1" s="1"/>
  <c r="BB7" i="1"/>
  <c r="BB19" i="1"/>
  <c r="BC19" i="1" s="1"/>
  <c r="BB54" i="1"/>
  <c r="BC54" i="1" s="1"/>
  <c r="BD54" i="1" s="1"/>
  <c r="BB56" i="1"/>
  <c r="BC56" i="1" s="1"/>
  <c r="BD56" i="1" s="1"/>
  <c r="BB58" i="1"/>
  <c r="BC58" i="1" s="1"/>
  <c r="BD58" i="1" s="1"/>
  <c r="BB57" i="1"/>
  <c r="BC57" i="1" s="1"/>
  <c r="BD57" i="1" s="1"/>
  <c r="BB60" i="1"/>
  <c r="BC60" i="1" s="1"/>
  <c r="BB8" i="1"/>
  <c r="BC8" i="1" s="1"/>
  <c r="BB12" i="1"/>
  <c r="BB66" i="1"/>
  <c r="BC66" i="1" s="1"/>
  <c r="BB53" i="1"/>
  <c r="BB71" i="1"/>
  <c r="BC71" i="1" s="1"/>
  <c r="BC55" i="1"/>
  <c r="AY89" i="1"/>
  <c r="BC53" i="1" l="1"/>
  <c r="BB85" i="1"/>
  <c r="BC7" i="1"/>
  <c r="BB51" i="1"/>
  <c r="BD14" i="1"/>
  <c r="BE24" i="1"/>
  <c r="M24" i="9"/>
  <c r="BD23" i="1"/>
  <c r="BD11" i="1"/>
  <c r="BD20" i="1"/>
  <c r="BE22" i="1"/>
  <c r="M22" i="9"/>
  <c r="M16" i="9"/>
  <c r="BD26" i="1"/>
  <c r="BD15" i="1"/>
  <c r="M21" i="9"/>
  <c r="BE21" i="1"/>
  <c r="L16" i="9"/>
  <c r="K16" i="9" s="1"/>
  <c r="BF16" i="1"/>
  <c r="BD10" i="1"/>
  <c r="M18" i="9"/>
  <c r="BE18" i="1"/>
  <c r="BD19" i="1"/>
  <c r="M60" i="9"/>
  <c r="BE57" i="1"/>
  <c r="BE56" i="1"/>
  <c r="M59" i="9"/>
  <c r="BD60" i="1"/>
  <c r="BE54" i="1"/>
  <c r="M57" i="9"/>
  <c r="BE58" i="1"/>
  <c r="M61" i="9"/>
  <c r="BD8" i="1"/>
  <c r="BC12" i="1"/>
  <c r="BD71" i="1"/>
  <c r="BD66" i="1"/>
  <c r="BD55" i="1"/>
  <c r="BE55" i="1" s="1"/>
  <c r="L58" i="9" s="1"/>
  <c r="BD53" i="1" l="1"/>
  <c r="BC85" i="1"/>
  <c r="BD85" i="1" s="1"/>
  <c r="BD7" i="1"/>
  <c r="BC51" i="1"/>
  <c r="L24" i="9"/>
  <c r="K24" i="9" s="1"/>
  <c r="BF24" i="1"/>
  <c r="M14" i="9"/>
  <c r="BE14" i="1"/>
  <c r="M11" i="9"/>
  <c r="BE11" i="1"/>
  <c r="BE23" i="1"/>
  <c r="M23" i="9"/>
  <c r="L22" i="9"/>
  <c r="K22" i="9" s="1"/>
  <c r="BF22" i="1"/>
  <c r="BE20" i="1"/>
  <c r="M20" i="9"/>
  <c r="M15" i="9"/>
  <c r="BE15" i="1"/>
  <c r="BE26" i="1"/>
  <c r="M26" i="9"/>
  <c r="L21" i="9"/>
  <c r="K21" i="9" s="1"/>
  <c r="BF21" i="1"/>
  <c r="L18" i="9"/>
  <c r="K18" i="9" s="1"/>
  <c r="BF18" i="1"/>
  <c r="BE10" i="1"/>
  <c r="M10" i="9"/>
  <c r="M19" i="9"/>
  <c r="BE19" i="1"/>
  <c r="L57" i="9"/>
  <c r="K57" i="9" s="1"/>
  <c r="BF54" i="1"/>
  <c r="L59" i="9"/>
  <c r="K59" i="9" s="1"/>
  <c r="BF56" i="1"/>
  <c r="L60" i="9"/>
  <c r="K60" i="9" s="1"/>
  <c r="BF57" i="1"/>
  <c r="L61" i="9"/>
  <c r="K61" i="9" s="1"/>
  <c r="BF58" i="1"/>
  <c r="BE60" i="1"/>
  <c r="M63" i="9"/>
  <c r="BB87" i="1"/>
  <c r="M8" i="9"/>
  <c r="BE8" i="1"/>
  <c r="BD12" i="1"/>
  <c r="BE66" i="1"/>
  <c r="M69" i="9"/>
  <c r="M74" i="9"/>
  <c r="BE71" i="1"/>
  <c r="M58" i="9"/>
  <c r="BF55" i="1"/>
  <c r="K58" i="9"/>
  <c r="M56" i="9" l="1"/>
  <c r="BE53" i="1"/>
  <c r="BE7" i="1"/>
  <c r="M7" i="9"/>
  <c r="L14" i="9"/>
  <c r="K14" i="9" s="1"/>
  <c r="BF14" i="1"/>
  <c r="L23" i="9"/>
  <c r="K23" i="9" s="1"/>
  <c r="BF23" i="1"/>
  <c r="L11" i="9"/>
  <c r="K11" i="9" s="1"/>
  <c r="BF11" i="1"/>
  <c r="L20" i="9"/>
  <c r="K20" i="9" s="1"/>
  <c r="BF20" i="1"/>
  <c r="L26" i="9"/>
  <c r="K26" i="9" s="1"/>
  <c r="BF26" i="1"/>
  <c r="L15" i="9"/>
  <c r="K15" i="9" s="1"/>
  <c r="BF15" i="1"/>
  <c r="L10" i="9"/>
  <c r="K10" i="9" s="1"/>
  <c r="BF10" i="1"/>
  <c r="L19" i="9"/>
  <c r="K19" i="9" s="1"/>
  <c r="BF19" i="1"/>
  <c r="L63" i="9"/>
  <c r="K63" i="9" s="1"/>
  <c r="BF60" i="1"/>
  <c r="L8" i="9"/>
  <c r="K8" i="9" s="1"/>
  <c r="BF8" i="1"/>
  <c r="BE12" i="1"/>
  <c r="M12" i="9"/>
  <c r="BC87" i="1"/>
  <c r="L69" i="9"/>
  <c r="BF66" i="1"/>
  <c r="L74" i="9"/>
  <c r="K74" i="9" s="1"/>
  <c r="BF71" i="1"/>
  <c r="BE85" i="1" l="1"/>
  <c r="L56" i="9"/>
  <c r="K56" i="9" s="1"/>
  <c r="BF53" i="1"/>
  <c r="BF85" i="1" s="1"/>
  <c r="BF7" i="1"/>
  <c r="BE51" i="1"/>
  <c r="L7" i="9"/>
  <c r="K7" i="9" s="1"/>
  <c r="L12" i="9"/>
  <c r="BF12" i="1"/>
  <c r="K69" i="9"/>
  <c r="BE87" i="1" l="1"/>
  <c r="L86" i="9"/>
  <c r="K86" i="9"/>
  <c r="BF51" i="1"/>
  <c r="BF87" i="1" s="1"/>
  <c r="K12" i="9"/>
  <c r="K52" i="9" s="1"/>
  <c r="L52" i="9"/>
  <c r="L88" i="9" l="1"/>
  <c r="L90" i="9" s="1"/>
  <c r="BF89" i="1"/>
  <c r="K88" i="9"/>
</calcChain>
</file>

<file path=xl/sharedStrings.xml><?xml version="1.0" encoding="utf-8"?>
<sst xmlns="http://schemas.openxmlformats.org/spreadsheetml/2006/main" count="1673" uniqueCount="279">
  <si>
    <t>Siniestros Pagados y en Reserva</t>
  </si>
  <si>
    <t>Primas Netas</t>
  </si>
  <si>
    <t>Gastos Operación</t>
  </si>
  <si>
    <t>Resultado Obtenido del Ejercicio:</t>
  </si>
  <si>
    <t xml:space="preserve"> - Reserva Social</t>
  </si>
  <si>
    <t xml:space="preserve"> - Reserva Legal (10% s/Result. Ejerc.)</t>
  </si>
  <si>
    <t>Menos (Reservas de Ley):</t>
  </si>
  <si>
    <t>I. Parámetros</t>
  </si>
  <si>
    <t>ACACSEMERSA</t>
  </si>
  <si>
    <t>ACODJAR</t>
  </si>
  <si>
    <t>ACACME</t>
  </si>
  <si>
    <t>ACECENTA</t>
  </si>
  <si>
    <t>ACOPACTO</t>
  </si>
  <si>
    <t>ACOPUS</t>
  </si>
  <si>
    <t>ACACEMIHA</t>
  </si>
  <si>
    <t>ACOCOMET</t>
  </si>
  <si>
    <t>FEDECACES</t>
  </si>
  <si>
    <t>COANDES</t>
  </si>
  <si>
    <t>CODEZA</t>
  </si>
  <si>
    <t>ACOPACC</t>
  </si>
  <si>
    <t xml:space="preserve"> - Reserva Catastrófica (20% s/Result. Ejerc.)</t>
  </si>
  <si>
    <t>TOTALES</t>
  </si>
  <si>
    <t>%</t>
  </si>
  <si>
    <t>Monto</t>
  </si>
  <si>
    <t>ACAYCCOMAC</t>
  </si>
  <si>
    <t>ACACCI</t>
  </si>
  <si>
    <t>ACONAC</t>
  </si>
  <si>
    <t>ACUDE</t>
  </si>
  <si>
    <t>ACACRESCO</t>
  </si>
  <si>
    <t>COOSMO</t>
  </si>
  <si>
    <t>ACAL</t>
  </si>
  <si>
    <t>ACEISRI</t>
  </si>
  <si>
    <t>ACACPIU</t>
  </si>
  <si>
    <t>ACACCIBA</t>
  </si>
  <si>
    <t>ACODEZO</t>
  </si>
  <si>
    <t>EL HORIZONTE</t>
  </si>
  <si>
    <t>FIDECOOP</t>
  </si>
  <si>
    <t>ACAPRODUSCA</t>
  </si>
  <si>
    <t>EL ROBLE</t>
  </si>
  <si>
    <t>EL AMATE</t>
  </si>
  <si>
    <t xml:space="preserve">Siniestros Pagados </t>
  </si>
  <si>
    <t>Siniestros  en  Reserva</t>
  </si>
  <si>
    <t>Otros costos Técnicos (Rea y Res)</t>
  </si>
  <si>
    <t xml:space="preserve">COOPERATIVA </t>
  </si>
  <si>
    <t>Personas Naturales</t>
  </si>
  <si>
    <t>ACACCEANTEL</t>
  </si>
  <si>
    <t>ACACMA</t>
  </si>
  <si>
    <t>ACACU DE R.L.</t>
  </si>
  <si>
    <t>Criterios para distribuir Excedentes sobre el Capital</t>
  </si>
  <si>
    <t xml:space="preserve">Tasa de rentabilidad máxima a obtener por cooperativa </t>
  </si>
  <si>
    <t xml:space="preserve"> - Reserva de Educación  (10% s/Result. Ejerc.)</t>
  </si>
  <si>
    <t>Resultado</t>
  </si>
  <si>
    <t>Suma solo Resultados Positivos</t>
  </si>
  <si>
    <t>Resultados Totales</t>
  </si>
  <si>
    <t xml:space="preserve"> --&gt; EXCEDENTE RESTANTE A DISTRIBUIR EN FUNCION DEL PATROCINIO</t>
  </si>
  <si>
    <t xml:space="preserve">COSTISSS </t>
  </si>
  <si>
    <t>Héctor David Córdova</t>
  </si>
  <si>
    <t>José Alberto Magaña</t>
  </si>
  <si>
    <t>Jorge Alberto Heredia</t>
  </si>
  <si>
    <t>José Rigoberto Alegría</t>
  </si>
  <si>
    <t>Jorge Alberto Argueta</t>
  </si>
  <si>
    <t>Rosa Nelys Parada</t>
  </si>
  <si>
    <t>Elizabeth  de Meléndez</t>
  </si>
  <si>
    <t xml:space="preserve">Ana Ester Galindo </t>
  </si>
  <si>
    <t xml:space="preserve">Daysi  Rosales </t>
  </si>
  <si>
    <t>Alirio  Henríquez</t>
  </si>
  <si>
    <t xml:space="preserve">  - Diferencia </t>
  </si>
  <si>
    <t>Salvador González</t>
  </si>
  <si>
    <t>Hermann Montalvo</t>
  </si>
  <si>
    <t>Ana Mercedes Vásquez</t>
  </si>
  <si>
    <t>María Gertrudis Molina</t>
  </si>
  <si>
    <t>Claudio Eugenio Barahona</t>
  </si>
  <si>
    <t>SEGUROS FUTURO,A.C. DE R.L.</t>
  </si>
  <si>
    <t>N° días intereses</t>
  </si>
  <si>
    <t>Intereses sobre</t>
  </si>
  <si>
    <t>Intereses a</t>
  </si>
  <si>
    <t>FECHA</t>
  </si>
  <si>
    <t>COMPROBANTE</t>
  </si>
  <si>
    <t>CONCEPTO</t>
  </si>
  <si>
    <t xml:space="preserve">DEBE </t>
  </si>
  <si>
    <t>HABER</t>
  </si>
  <si>
    <t>SALDO</t>
  </si>
  <si>
    <t>ganados</t>
  </si>
  <si>
    <t>cada aporte</t>
  </si>
  <si>
    <t>pagar</t>
  </si>
  <si>
    <t>Excedentes Netos del ejercicio:</t>
  </si>
  <si>
    <t>EXCEDENTE POR DISTRIBUIR</t>
  </si>
  <si>
    <t>ACACYPAC</t>
  </si>
  <si>
    <t>Aportes</t>
  </si>
  <si>
    <t>ACACESPSA</t>
  </si>
  <si>
    <t>Lucila Guadalupe Vásquez</t>
  </si>
  <si>
    <t>José Hedilberto Martínez</t>
  </si>
  <si>
    <t>María Luisa Girón</t>
  </si>
  <si>
    <t>Oscar Eduardo Lima</t>
  </si>
  <si>
    <t>Marcos Antonio González</t>
  </si>
  <si>
    <t xml:space="preserve"> 1a Redistri- bución de excesos</t>
  </si>
  <si>
    <t>Romelia Contreras</t>
  </si>
  <si>
    <t>Oscar Humberto Pérez</t>
  </si>
  <si>
    <t>Dinora Romero</t>
  </si>
  <si>
    <t>SEGUROS FUTURO, A.C. DE R.L.</t>
  </si>
  <si>
    <t xml:space="preserve"> - Tasa a reconocer sobre capital </t>
  </si>
  <si>
    <t>PRIMAS TOTALES Polizas con Exced positivos</t>
  </si>
  <si>
    <t xml:space="preserve">    Programas (Conceptos) Distribución "Diferencia" </t>
  </si>
  <si>
    <t xml:space="preserve">    Concepto</t>
  </si>
  <si>
    <t>Totales</t>
  </si>
  <si>
    <t>CA-1</t>
  </si>
  <si>
    <t>CA-2</t>
  </si>
  <si>
    <t>CA-3</t>
  </si>
  <si>
    <t>CA-4</t>
  </si>
  <si>
    <t>CA-5</t>
  </si>
  <si>
    <t>CA-6</t>
  </si>
  <si>
    <t>CA-7</t>
  </si>
  <si>
    <t>CA-8</t>
  </si>
  <si>
    <t>CA-9</t>
  </si>
  <si>
    <t>CA-10</t>
  </si>
  <si>
    <t>CA-11</t>
  </si>
  <si>
    <t>CA-12</t>
  </si>
  <si>
    <t>CA-13</t>
  </si>
  <si>
    <t>CA-14</t>
  </si>
  <si>
    <t>CA-15</t>
  </si>
  <si>
    <t>CA-16</t>
  </si>
  <si>
    <t>CA-17</t>
  </si>
  <si>
    <t>CA-18</t>
  </si>
  <si>
    <t>CA-19</t>
  </si>
  <si>
    <t>CA-20</t>
  </si>
  <si>
    <t>CA-28</t>
  </si>
  <si>
    <t>CA-29</t>
  </si>
  <si>
    <t>CA-30</t>
  </si>
  <si>
    <t>CA-31</t>
  </si>
  <si>
    <t>CA-32</t>
  </si>
  <si>
    <t>CA-33</t>
  </si>
  <si>
    <t>CA-34</t>
  </si>
  <si>
    <t>CA-35</t>
  </si>
  <si>
    <t>CA-36</t>
  </si>
  <si>
    <t>CA-37</t>
  </si>
  <si>
    <t>CA-38</t>
  </si>
  <si>
    <t>CA-39</t>
  </si>
  <si>
    <t>CA-40</t>
  </si>
  <si>
    <t>CA-41</t>
  </si>
  <si>
    <t>CA-42</t>
  </si>
  <si>
    <t>CA-43</t>
  </si>
  <si>
    <t>CA-44</t>
  </si>
  <si>
    <t>CA-45</t>
  </si>
  <si>
    <t>CA-46</t>
  </si>
  <si>
    <t>CA-47</t>
  </si>
  <si>
    <t>CA-48</t>
  </si>
  <si>
    <t>CA-49</t>
  </si>
  <si>
    <t>CA-50</t>
  </si>
  <si>
    <t>PN-1</t>
  </si>
  <si>
    <t>PN-2</t>
  </si>
  <si>
    <t>PN-3</t>
  </si>
  <si>
    <t>PN-4</t>
  </si>
  <si>
    <t>PN-5</t>
  </si>
  <si>
    <t>PN-6</t>
  </si>
  <si>
    <t>PN-7</t>
  </si>
  <si>
    <t>PN-8</t>
  </si>
  <si>
    <t>PN-9</t>
  </si>
  <si>
    <t>PN-10</t>
  </si>
  <si>
    <t>PN-11</t>
  </si>
  <si>
    <t>PN-12</t>
  </si>
  <si>
    <t>PN-13</t>
  </si>
  <si>
    <t>PN-14</t>
  </si>
  <si>
    <t>PN-15</t>
  </si>
  <si>
    <t>PN-16</t>
  </si>
  <si>
    <t>PN-17</t>
  </si>
  <si>
    <t>PN-18</t>
  </si>
  <si>
    <t>PN-19</t>
  </si>
  <si>
    <t>PN-20</t>
  </si>
  <si>
    <t>PN-21</t>
  </si>
  <si>
    <t>PN-22</t>
  </si>
  <si>
    <t>PN-23</t>
  </si>
  <si>
    <t>PN-24</t>
  </si>
  <si>
    <t>PN-25</t>
  </si>
  <si>
    <t>PN-26</t>
  </si>
  <si>
    <t>PN-27</t>
  </si>
  <si>
    <t>PN-28</t>
  </si>
  <si>
    <t>PN-29</t>
  </si>
  <si>
    <t>PN-30</t>
  </si>
  <si>
    <t>SUBTOTALES PER NAT</t>
  </si>
  <si>
    <t>SUBTOTALES COOPS.</t>
  </si>
  <si>
    <t>N° ID Coop</t>
  </si>
  <si>
    <t>%               (Resul +)</t>
  </si>
  <si>
    <t>Resultados  Totales</t>
  </si>
  <si>
    <t>PRIMAS TOTALES Polizas Exc +</t>
  </si>
  <si>
    <t>Fecha de término Período Pago de Excentes</t>
  </si>
  <si>
    <t>cada Operación</t>
  </si>
  <si>
    <t>N° ID Asoc:</t>
  </si>
  <si>
    <t>Aportante (Socio):</t>
  </si>
  <si>
    <r>
      <t xml:space="preserve">REGISTRO DE INGRESO O EGRESO DE APORTACIONES DE </t>
    </r>
    <r>
      <rPr>
        <b/>
        <u/>
        <sz val="11"/>
        <rFont val="Arial"/>
        <family val="2"/>
      </rPr>
      <t>PERSONAS NATURALES</t>
    </r>
    <r>
      <rPr>
        <b/>
        <sz val="10"/>
        <rFont val="Arial"/>
        <family val="2"/>
      </rPr>
      <t xml:space="preserve"> SOCIAS</t>
    </r>
  </si>
  <si>
    <r>
      <t xml:space="preserve">REGISTRO DE INGRESO O EGRESO DE APORTACIONES DE </t>
    </r>
    <r>
      <rPr>
        <b/>
        <u/>
        <sz val="11"/>
        <rFont val="Arial"/>
        <family val="2"/>
      </rPr>
      <t xml:space="preserve">COOPERATIVAS </t>
    </r>
    <r>
      <rPr>
        <b/>
        <sz val="10"/>
        <rFont val="Arial"/>
        <family val="2"/>
      </rPr>
      <t xml:space="preserve"> SOCIAS</t>
    </r>
  </si>
  <si>
    <t>Saldo Aportes Capital INICIO año</t>
  </si>
  <si>
    <t>Saldo Aportes Capital FINAL año</t>
  </si>
  <si>
    <t>Intereses ganados s/Aportes Capital</t>
  </si>
  <si>
    <t>Excedentes por Seguros  Comprados</t>
  </si>
  <si>
    <t>Intereses + Excedentes Preliminares</t>
  </si>
  <si>
    <t>Tasa rentabilidad preliminar</t>
  </si>
  <si>
    <t>Excedentes limitados a la tasa máxima de rentabilidad</t>
  </si>
  <si>
    <t>Excesos de excentes para redistribución</t>
  </si>
  <si>
    <t>% para hacer 1a redistribución</t>
  </si>
  <si>
    <t>Excedentes post 1a redistribución</t>
  </si>
  <si>
    <t>Exced post 1a  redistr limitados a tasa máxima</t>
  </si>
  <si>
    <t>Excesos de excentes para 2a redistrib.</t>
  </si>
  <si>
    <t>Tasa rentabilidad post 1a redistr</t>
  </si>
  <si>
    <t>% para hacer 2a redistribución</t>
  </si>
  <si>
    <t xml:space="preserve"> 2a Redistri- bución de excesos</t>
  </si>
  <si>
    <t>Excedentes post 2a redistribución</t>
  </si>
  <si>
    <t>Tasa rentabilidad post 2a redistr</t>
  </si>
  <si>
    <t xml:space="preserve">  - EXCEDENTES A DISTRIBUIR SOBRE EL CAPITAL</t>
  </si>
  <si>
    <t>CAPITAL TOTAL PAGADO (Al final de Período)</t>
  </si>
  <si>
    <t>Tasa máxima de excedentes a distribuir sobre el capital pagado</t>
  </si>
  <si>
    <t>NOTA: INSERTAR SOLO PARÁMETROS DE LAS CELDAS CELESTES</t>
  </si>
  <si>
    <t>NOTA: Insertar solo parámetros celdas celestes</t>
  </si>
  <si>
    <t>CALCULO EXCEDENTES GANADOS SOBRE LOS APORTES DE CAPITAL EN FUNCIÓN DE TASA DE INTERÉS Y PATROCINIO (SEGUROS COMPRADOS)</t>
  </si>
  <si>
    <t>Seguros Comprados ( PPPA/PROTEGER y Directivos y Empleados)</t>
  </si>
  <si>
    <t>Seguros Comprados (INCENDIO, ROBO, FIDELIDAD, OTROS)</t>
  </si>
  <si>
    <t>Resultados Totales s/Seguros Comprados</t>
  </si>
  <si>
    <t>Ponderación en base a primas de seguros con Excedentes positivos</t>
  </si>
  <si>
    <t xml:space="preserve">Cálculo Excedentes Preliminares </t>
  </si>
  <si>
    <t>Cálculo Excedentes posteriores a Primera Redistribución de Excesos sobre Tasa Máxima</t>
  </si>
  <si>
    <t>Cálculo Excedentes posteriores a Segunda Redistribución de Excesos sobre Tasa Máxima</t>
  </si>
  <si>
    <t>Primas Totales (seguros comprados)</t>
  </si>
  <si>
    <t>Resultados Técnicos</t>
  </si>
  <si>
    <t>%  Primas con Resul positivo</t>
  </si>
  <si>
    <t>Excedentes por Patrocinio</t>
  </si>
  <si>
    <t>Tasa rentabilidad Total sobre aportes</t>
  </si>
  <si>
    <t>Intereses + Patrocinio ganados</t>
  </si>
  <si>
    <t xml:space="preserve">Excedentes Ganados sobre Aportes de Capital y Patrocinio por seguros comprados </t>
  </si>
  <si>
    <t>Deben ingresarse previamente, en las hojas CALCULO INTERESES COOPS y CALCULO INTERESES PERS NAT, los saldos</t>
  </si>
  <si>
    <t>de aportaciones al inicio del ejercicio y aportaciones realizadas durante el ejercicio, de cada cooperativa o persona natural socia.</t>
  </si>
  <si>
    <t xml:space="preserve">MODELO PARA DETERMINAR LA DISTRIBUCIÓN  DE EXCEDENTES SOBRE LOS APORTES DE CAPITAL </t>
  </si>
  <si>
    <r>
      <t>EN FUNCIÓN DE TASA DE INTERÉS Y PATROCINIO (</t>
    </r>
    <r>
      <rPr>
        <b/>
        <i/>
        <sz val="10"/>
        <rFont val="Arial"/>
        <family val="2"/>
      </rPr>
      <t>SEGUROS COMPRADOS EN EL AÑO DE DISTRIBUCIÓN</t>
    </r>
    <r>
      <rPr>
        <b/>
        <sz val="10"/>
        <rFont val="Arial"/>
        <family val="2"/>
      </rPr>
      <t>)</t>
    </r>
  </si>
  <si>
    <t>RENDIMIENTO POR INVERSIONES</t>
  </si>
  <si>
    <t>RENDIMIENTO POR PRESTAMOS</t>
  </si>
  <si>
    <t>ELECTRA</t>
  </si>
  <si>
    <t xml:space="preserve"> SUB-TOTAL</t>
  </si>
  <si>
    <t>DIFERENCIA</t>
  </si>
  <si>
    <t>Capitalización exc.</t>
  </si>
  <si>
    <t>Leticia Ramírez de Sanabria</t>
  </si>
  <si>
    <t>Capitalización aportes</t>
  </si>
  <si>
    <t>Capitalización excedentes</t>
  </si>
  <si>
    <t>Aportes pendientes</t>
  </si>
  <si>
    <t>Leticia de Sanabria</t>
  </si>
  <si>
    <t>Provisión inmueble</t>
  </si>
  <si>
    <t>Provisión campaña publicitaria</t>
  </si>
  <si>
    <r>
      <t xml:space="preserve">Más: </t>
    </r>
    <r>
      <rPr>
        <sz val="10"/>
        <rFont val="Arial"/>
        <family val="2"/>
      </rPr>
      <t>Intereses por cobrar al 31-12-13 Art.18 LSS</t>
    </r>
  </si>
  <si>
    <r>
      <t>Menos:</t>
    </r>
    <r>
      <rPr>
        <sz val="10"/>
        <rFont val="Arial"/>
        <family val="2"/>
      </rPr>
      <t xml:space="preserve"> Intereses por cobrar al 31-12-14  Art. 18 LSS</t>
    </r>
  </si>
  <si>
    <t>Aporte</t>
  </si>
  <si>
    <t>Balance 31-12-2013</t>
  </si>
  <si>
    <t>Capitlización exc.</t>
  </si>
  <si>
    <t>Capatalización exc.</t>
  </si>
  <si>
    <t>Menos:</t>
  </si>
  <si>
    <t>Retiro Equidad O.C:</t>
  </si>
  <si>
    <t>Cálculo Excedentes posteriores a Tercera Redistribución de Excesos sobre Tasa Máxima</t>
  </si>
  <si>
    <t>Exced post 2a  redistr limitados a tasa máxima</t>
  </si>
  <si>
    <t>Excesos de excentes para 3a redistrib.</t>
  </si>
  <si>
    <t>% para hacer 3a redistribución</t>
  </si>
  <si>
    <t xml:space="preserve"> 3a Redistri- bución de excesos</t>
  </si>
  <si>
    <t>Excedentes post 3a redistribución</t>
  </si>
  <si>
    <t>Tasa rentabilidad post 3a redistr</t>
  </si>
  <si>
    <t>Exced post 3a  redistr limitados a tasa máxima</t>
  </si>
  <si>
    <t>Tasa rentabilidad post Ajuste 1a redistr</t>
  </si>
  <si>
    <t>Ponderación en base a primas de seguros (sin considerar exc +)</t>
  </si>
  <si>
    <t>Tasa rentabilidad post Ajuste 2a redistr</t>
  </si>
  <si>
    <t>Excesos de excentes para 4a redistrib.</t>
  </si>
  <si>
    <t>PN-31</t>
  </si>
  <si>
    <t>PN-32</t>
  </si>
  <si>
    <t>CA-21</t>
  </si>
  <si>
    <t>DEETKEN GROUP</t>
  </si>
  <si>
    <t>Depósito</t>
  </si>
  <si>
    <t>aporte</t>
  </si>
  <si>
    <t>aportes</t>
  </si>
  <si>
    <t>Aportes?????</t>
  </si>
  <si>
    <t>Reversión aplicación</t>
  </si>
  <si>
    <t>Remanenente aportes</t>
  </si>
  <si>
    <t>Aportes???????</t>
  </si>
  <si>
    <t>Capitalización excede</t>
  </si>
  <si>
    <t>Fredy Edgardo Fuentes</t>
  </si>
  <si>
    <t>Aporte inicial</t>
  </si>
  <si>
    <t>Balance 31-14-2014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</si>
</sst>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0.0%"/>
    <numFmt numFmtId="166" formatCode="#,##0.000"/>
    <numFmt numFmtId="167" formatCode="#,##0.0"/>
    <numFmt numFmtId="168" formatCode="#,##0.00_ ;\-#,##0.00\ "/>
    <numFmt numFmtId="169" formatCode="#,##0.000000000000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i/>
      <sz val="1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name val="Century Gothic"/>
      <family val="2"/>
    </font>
    <font>
      <sz val="10"/>
      <name val="Century Gothic"/>
      <family val="2"/>
    </font>
    <font>
      <b/>
      <i/>
      <sz val="10"/>
      <name val="Century Gothic"/>
      <family val="2"/>
    </font>
    <font>
      <b/>
      <sz val="8"/>
      <name val="Arial"/>
      <family val="2"/>
    </font>
    <font>
      <sz val="12"/>
      <name val="Arial"/>
      <family val="2"/>
    </font>
    <font>
      <sz val="10"/>
      <color indexed="1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u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8"/>
      <color rgb="FFFF0000"/>
      <name val="Arial"/>
      <family val="2"/>
    </font>
    <font>
      <b/>
      <sz val="10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Fill="1" applyBorder="1"/>
    <xf numFmtId="0" fontId="2" fillId="0" borderId="0" xfId="0" applyFont="1" applyFill="1" applyBorder="1"/>
    <xf numFmtId="3" fontId="0" fillId="0" borderId="0" xfId="0" applyNumberFormat="1"/>
    <xf numFmtId="3" fontId="2" fillId="0" borderId="0" xfId="0" applyNumberFormat="1" applyFont="1"/>
    <xf numFmtId="0" fontId="0" fillId="0" borderId="1" xfId="0" applyBorder="1"/>
    <xf numFmtId="4" fontId="0" fillId="0" borderId="1" xfId="0" applyNumberFormat="1" applyBorder="1"/>
    <xf numFmtId="3" fontId="0" fillId="0" borderId="1" xfId="0" applyNumberFormat="1" applyFill="1" applyBorder="1"/>
    <xf numFmtId="4" fontId="0" fillId="0" borderId="0" xfId="0" applyNumberFormat="1"/>
    <xf numFmtId="10" fontId="0" fillId="0" borderId="0" xfId="2" applyNumberFormat="1" applyFont="1"/>
    <xf numFmtId="0" fontId="0" fillId="0" borderId="0" xfId="0" applyFill="1"/>
    <xf numFmtId="0" fontId="2" fillId="0" borderId="0" xfId="0" applyFont="1" applyFill="1"/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0" fillId="0" borderId="3" xfId="0" applyBorder="1"/>
    <xf numFmtId="0" fontId="2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2" fillId="0" borderId="5" xfId="0" applyFont="1" applyBorder="1"/>
    <xf numFmtId="0" fontId="2" fillId="0" borderId="0" xfId="0" applyFont="1" applyBorder="1"/>
    <xf numFmtId="0" fontId="0" fillId="0" borderId="7" xfId="0" applyBorder="1"/>
    <xf numFmtId="0" fontId="0" fillId="0" borderId="8" xfId="0" applyBorder="1"/>
    <xf numFmtId="164" fontId="0" fillId="0" borderId="9" xfId="0" applyNumberFormat="1" applyBorder="1"/>
    <xf numFmtId="0" fontId="0" fillId="0" borderId="5" xfId="0" applyFill="1" applyBorder="1"/>
    <xf numFmtId="0" fontId="0" fillId="0" borderId="0" xfId="0" applyFill="1" applyBorder="1"/>
    <xf numFmtId="10" fontId="0" fillId="0" borderId="0" xfId="2" applyNumberFormat="1" applyFont="1" applyFill="1" applyBorder="1"/>
    <xf numFmtId="164" fontId="0" fillId="0" borderId="6" xfId="0" applyNumberFormat="1" applyFill="1" applyBorder="1"/>
    <xf numFmtId="0" fontId="5" fillId="0" borderId="10" xfId="0" applyFont="1" applyBorder="1"/>
    <xf numFmtId="0" fontId="5" fillId="0" borderId="11" xfId="0" applyFont="1" applyBorder="1"/>
    <xf numFmtId="164" fontId="0" fillId="0" borderId="6" xfId="0" applyNumberFormat="1" applyBorder="1"/>
    <xf numFmtId="43" fontId="0" fillId="0" borderId="6" xfId="0" applyNumberFormat="1" applyBorder="1"/>
    <xf numFmtId="164" fontId="0" fillId="0" borderId="1" xfId="1" applyFont="1" applyFill="1" applyBorder="1"/>
    <xf numFmtId="164" fontId="0" fillId="0" borderId="0" xfId="0" applyNumberFormat="1" applyFill="1" applyBorder="1"/>
    <xf numFmtId="4" fontId="0" fillId="0" borderId="0" xfId="0" applyNumberFormat="1" applyBorder="1"/>
    <xf numFmtId="4" fontId="0" fillId="0" borderId="0" xfId="2" applyNumberFormat="1" applyFont="1" applyBorder="1"/>
    <xf numFmtId="0" fontId="9" fillId="0" borderId="12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0" borderId="0" xfId="0" applyFont="1"/>
    <xf numFmtId="0" fontId="9" fillId="0" borderId="13" xfId="0" applyFont="1" applyBorder="1" applyAlignment="1">
      <alignment horizontal="center"/>
    </xf>
    <xf numFmtId="14" fontId="11" fillId="0" borderId="1" xfId="0" applyNumberFormat="1" applyFont="1" applyBorder="1"/>
    <xf numFmtId="0" fontId="11" fillId="0" borderId="1" xfId="0" applyFont="1" applyBorder="1" applyAlignment="1">
      <alignment horizontal="center"/>
    </xf>
    <xf numFmtId="0" fontId="11" fillId="0" borderId="1" xfId="0" applyFont="1" applyBorder="1"/>
    <xf numFmtId="44" fontId="11" fillId="0" borderId="1" xfId="0" applyNumberFormat="1" applyFont="1" applyBorder="1"/>
    <xf numFmtId="43" fontId="11" fillId="0" borderId="1" xfId="0" applyNumberFormat="1" applyFont="1" applyBorder="1"/>
    <xf numFmtId="3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11" fillId="0" borderId="14" xfId="0" applyFont="1" applyBorder="1" applyAlignment="1">
      <alignment horizontal="center"/>
    </xf>
    <xf numFmtId="14" fontId="11" fillId="0" borderId="0" xfId="0" applyNumberFormat="1" applyFont="1" applyBorder="1"/>
    <xf numFmtId="0" fontId="12" fillId="0" borderId="1" xfId="0" applyFont="1" applyBorder="1"/>
    <xf numFmtId="0" fontId="11" fillId="0" borderId="0" xfId="0" applyFont="1" applyBorder="1"/>
    <xf numFmtId="44" fontId="11" fillId="0" borderId="0" xfId="0" applyNumberFormat="1" applyFont="1" applyBorder="1"/>
    <xf numFmtId="3" fontId="0" fillId="0" borderId="0" xfId="0" applyNumberFormat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164" fontId="2" fillId="2" borderId="1" xfId="0" applyNumberFormat="1" applyFont="1" applyFill="1" applyBorder="1"/>
    <xf numFmtId="164" fontId="0" fillId="2" borderId="15" xfId="0" applyNumberFormat="1" applyFill="1" applyBorder="1"/>
    <xf numFmtId="0" fontId="4" fillId="0" borderId="0" xfId="0" applyFont="1"/>
    <xf numFmtId="0" fontId="11" fillId="0" borderId="16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3" fillId="0" borderId="0" xfId="0" applyFont="1" applyAlignment="1">
      <alignment horizontal="center" wrapText="1"/>
    </xf>
    <xf numFmtId="164" fontId="0" fillId="0" borderId="0" xfId="0" applyNumberFormat="1"/>
    <xf numFmtId="166" fontId="0" fillId="0" borderId="0" xfId="0" applyNumberFormat="1"/>
    <xf numFmtId="43" fontId="0" fillId="0" borderId="0" xfId="0" applyNumberFormat="1"/>
    <xf numFmtId="43" fontId="2" fillId="0" borderId="0" xfId="0" applyNumberFormat="1" applyFont="1"/>
    <xf numFmtId="0" fontId="4" fillId="0" borderId="0" xfId="0" applyFont="1" applyBorder="1"/>
    <xf numFmtId="4" fontId="0" fillId="0" borderId="1" xfId="0" applyNumberFormat="1" applyFill="1" applyBorder="1"/>
    <xf numFmtId="0" fontId="2" fillId="0" borderId="1" xfId="0" applyFont="1" applyFill="1" applyBorder="1" applyAlignment="1">
      <alignment horizontal="center" vertical="center" wrapText="1"/>
    </xf>
    <xf numFmtId="3" fontId="0" fillId="0" borderId="0" xfId="0" applyNumberFormat="1" applyFill="1"/>
    <xf numFmtId="4" fontId="0" fillId="0" borderId="0" xfId="0" applyNumberFormat="1" applyFill="1"/>
    <xf numFmtId="3" fontId="2" fillId="0" borderId="0" xfId="0" applyNumberFormat="1" applyFont="1" applyFill="1"/>
    <xf numFmtId="4" fontId="2" fillId="0" borderId="1" xfId="0" applyNumberFormat="1" applyFont="1" applyBorder="1"/>
    <xf numFmtId="0" fontId="8" fillId="0" borderId="0" xfId="0" applyFont="1" applyFill="1" applyBorder="1"/>
    <xf numFmtId="4" fontId="2" fillId="0" borderId="1" xfId="0" applyNumberFormat="1" applyFont="1" applyBorder="1" applyAlignment="1">
      <alignment horizontal="right"/>
    </xf>
    <xf numFmtId="4" fontId="4" fillId="0" borderId="1" xfId="0" applyNumberFormat="1" applyFont="1" applyBorder="1"/>
    <xf numFmtId="14" fontId="0" fillId="0" borderId="0" xfId="0" applyNumberFormat="1"/>
    <xf numFmtId="4" fontId="4" fillId="0" borderId="1" xfId="0" applyNumberFormat="1" applyFont="1" applyBorder="1" applyAlignment="1">
      <alignment horizontal="right"/>
    </xf>
    <xf numFmtId="43" fontId="8" fillId="0" borderId="0" xfId="0" applyNumberFormat="1" applyFont="1"/>
    <xf numFmtId="43" fontId="0" fillId="0" borderId="0" xfId="0" applyNumberFormat="1" applyBorder="1"/>
    <xf numFmtId="43" fontId="11" fillId="0" borderId="1" xfId="0" applyNumberFormat="1" applyFont="1" applyFill="1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43" fontId="11" fillId="0" borderId="0" xfId="0" applyNumberFormat="1" applyFont="1" applyFill="1" applyBorder="1"/>
    <xf numFmtId="14" fontId="11" fillId="0" borderId="13" xfId="0" applyNumberFormat="1" applyFont="1" applyBorder="1"/>
    <xf numFmtId="14" fontId="11" fillId="0" borderId="1" xfId="0" applyNumberFormat="1" applyFont="1" applyFill="1" applyBorder="1"/>
    <xf numFmtId="4" fontId="0" fillId="0" borderId="13" xfId="0" applyNumberFormat="1" applyBorder="1" applyAlignment="1">
      <alignment horizontal="center"/>
    </xf>
    <xf numFmtId="3" fontId="0" fillId="0" borderId="13" xfId="0" applyNumberFormat="1" applyFill="1" applyBorder="1" applyAlignment="1">
      <alignment horizontal="center"/>
    </xf>
    <xf numFmtId="4" fontId="0" fillId="0" borderId="13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4" fontId="0" fillId="0" borderId="1" xfId="0" applyNumberFormat="1" applyFill="1" applyBorder="1" applyAlignment="1">
      <alignment horizontal="center"/>
    </xf>
    <xf numFmtId="4" fontId="0" fillId="0" borderId="0" xfId="0" applyNumberFormat="1" applyFill="1" applyBorder="1"/>
    <xf numFmtId="0" fontId="0" fillId="0" borderId="0" xfId="0" applyNumberFormat="1" applyBorder="1"/>
    <xf numFmtId="44" fontId="0" fillId="0" borderId="0" xfId="0" applyNumberFormat="1"/>
    <xf numFmtId="0" fontId="0" fillId="0" borderId="0" xfId="0" applyAlignment="1">
      <alignment horizontal="center"/>
    </xf>
    <xf numFmtId="4" fontId="2" fillId="0" borderId="0" xfId="0" applyNumberFormat="1" applyFont="1" applyFill="1"/>
    <xf numFmtId="164" fontId="7" fillId="0" borderId="0" xfId="0" applyNumberFormat="1" applyFont="1" applyFill="1" applyBorder="1"/>
    <xf numFmtId="43" fontId="15" fillId="0" borderId="0" xfId="0" applyNumberFormat="1" applyFont="1" applyFill="1" applyBorder="1"/>
    <xf numFmtId="165" fontId="0" fillId="4" borderId="1" xfId="0" applyNumberFormat="1" applyFill="1" applyBorder="1"/>
    <xf numFmtId="9" fontId="0" fillId="4" borderId="12" xfId="0" applyNumberFormat="1" applyFill="1" applyBorder="1"/>
    <xf numFmtId="164" fontId="18" fillId="4" borderId="1" xfId="1" applyFont="1" applyFill="1" applyBorder="1"/>
    <xf numFmtId="164" fontId="0" fillId="4" borderId="1" xfId="0" applyNumberFormat="1" applyFill="1" applyBorder="1"/>
    <xf numFmtId="0" fontId="6" fillId="0" borderId="1" xfId="0" applyFont="1" applyFill="1" applyBorder="1" applyAlignment="1">
      <alignment horizontal="center"/>
    </xf>
    <xf numFmtId="10" fontId="2" fillId="5" borderId="1" xfId="0" applyNumberFormat="1" applyFont="1" applyFill="1" applyBorder="1" applyAlignment="1">
      <alignment horizontal="center"/>
    </xf>
    <xf numFmtId="0" fontId="0" fillId="5" borderId="1" xfId="0" applyFill="1" applyBorder="1"/>
    <xf numFmtId="168" fontId="7" fillId="0" borderId="18" xfId="0" applyNumberFormat="1" applyFont="1" applyFill="1" applyBorder="1" applyAlignment="1">
      <alignment horizontal="center"/>
    </xf>
    <xf numFmtId="164" fontId="0" fillId="0" borderId="18" xfId="1" applyFont="1" applyBorder="1"/>
    <xf numFmtId="0" fontId="2" fillId="0" borderId="7" xfId="0" applyFont="1" applyFill="1" applyBorder="1" applyAlignment="1">
      <alignment horizontal="left"/>
    </xf>
    <xf numFmtId="0" fontId="2" fillId="0" borderId="8" xfId="0" applyFont="1" applyFill="1" applyBorder="1" applyAlignment="1">
      <alignment horizontal="left"/>
    </xf>
    <xf numFmtId="0" fontId="2" fillId="0" borderId="19" xfId="0" applyFont="1" applyFill="1" applyBorder="1" applyAlignment="1">
      <alignment horizontal="left"/>
    </xf>
    <xf numFmtId="10" fontId="2" fillId="0" borderId="19" xfId="0" applyNumberFormat="1" applyFont="1" applyFill="1" applyBorder="1" applyAlignment="1">
      <alignment horizontal="center"/>
    </xf>
    <xf numFmtId="164" fontId="0" fillId="0" borderId="20" xfId="1" applyFont="1" applyBorder="1"/>
    <xf numFmtId="0" fontId="6" fillId="0" borderId="2" xfId="0" applyFont="1" applyBorder="1"/>
    <xf numFmtId="0" fontId="6" fillId="0" borderId="3" xfId="0" applyFont="1" applyBorder="1"/>
    <xf numFmtId="0" fontId="14" fillId="0" borderId="3" xfId="0" applyFont="1" applyBorder="1"/>
    <xf numFmtId="0" fontId="2" fillId="0" borderId="4" xfId="0" applyFont="1" applyBorder="1" applyAlignment="1">
      <alignment horizontal="center"/>
    </xf>
    <xf numFmtId="0" fontId="5" fillId="0" borderId="21" xfId="0" applyFont="1" applyBorder="1"/>
    <xf numFmtId="0" fontId="7" fillId="0" borderId="10" xfId="0" applyFont="1" applyBorder="1"/>
    <xf numFmtId="0" fontId="0" fillId="0" borderId="11" xfId="0" applyBorder="1"/>
    <xf numFmtId="0" fontId="0" fillId="0" borderId="21" xfId="0" applyBorder="1"/>
    <xf numFmtId="0" fontId="0" fillId="3" borderId="22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9" fontId="0" fillId="0" borderId="0" xfId="2" applyFont="1" applyFill="1"/>
    <xf numFmtId="3" fontId="0" fillId="5" borderId="1" xfId="0" applyNumberFormat="1" applyFill="1" applyBorder="1"/>
    <xf numFmtId="0" fontId="0" fillId="5" borderId="1" xfId="0" applyNumberFormat="1" applyFill="1" applyBorder="1"/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5" borderId="1" xfId="0" applyFont="1" applyFill="1" applyBorder="1"/>
    <xf numFmtId="0" fontId="6" fillId="6" borderId="1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3" fontId="0" fillId="5" borderId="25" xfId="0" applyNumberFormat="1" applyFill="1" applyBorder="1"/>
    <xf numFmtId="3" fontId="0" fillId="0" borderId="18" xfId="0" applyNumberFormat="1" applyFill="1" applyBorder="1"/>
    <xf numFmtId="0" fontId="2" fillId="0" borderId="0" xfId="0" applyFont="1" applyFill="1" applyAlignment="1">
      <alignment horizontal="center" vertical="center"/>
    </xf>
    <xf numFmtId="0" fontId="2" fillId="7" borderId="1" xfId="0" applyFont="1" applyFill="1" applyBorder="1"/>
    <xf numFmtId="3" fontId="2" fillId="7" borderId="26" xfId="0" applyNumberFormat="1" applyFont="1" applyFill="1" applyBorder="1"/>
    <xf numFmtId="0" fontId="2" fillId="2" borderId="27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165" fontId="0" fillId="0" borderId="6" xfId="2" applyNumberFormat="1" applyFont="1" applyBorder="1"/>
    <xf numFmtId="3" fontId="0" fillId="0" borderId="25" xfId="0" applyNumberFormat="1" applyFill="1" applyBorder="1"/>
    <xf numFmtId="10" fontId="0" fillId="0" borderId="18" xfId="2" applyNumberFormat="1" applyFont="1" applyFill="1" applyBorder="1"/>
    <xf numFmtId="10" fontId="2" fillId="7" borderId="20" xfId="2" applyNumberFormat="1" applyFont="1" applyFill="1" applyBorder="1"/>
    <xf numFmtId="10" fontId="17" fillId="0" borderId="18" xfId="2" applyNumberFormat="1" applyFont="1" applyFill="1" applyBorder="1"/>
    <xf numFmtId="10" fontId="0" fillId="0" borderId="0" xfId="0" applyNumberFormat="1"/>
    <xf numFmtId="0" fontId="2" fillId="6" borderId="30" xfId="0" applyFont="1" applyFill="1" applyBorder="1"/>
    <xf numFmtId="3" fontId="2" fillId="6" borderId="31" xfId="0" applyNumberFormat="1" applyFont="1" applyFill="1" applyBorder="1"/>
    <xf numFmtId="3" fontId="2" fillId="6" borderId="32" xfId="0" applyNumberFormat="1" applyFont="1" applyFill="1" applyBorder="1"/>
    <xf numFmtId="3" fontId="2" fillId="6" borderId="33" xfId="0" applyNumberFormat="1" applyFont="1" applyFill="1" applyBorder="1"/>
    <xf numFmtId="10" fontId="2" fillId="6" borderId="33" xfId="2" applyNumberFormat="1" applyFont="1" applyFill="1" applyBorder="1"/>
    <xf numFmtId="0" fontId="5" fillId="0" borderId="7" xfId="0" applyFont="1" applyBorder="1"/>
    <xf numFmtId="0" fontId="5" fillId="0" borderId="8" xfId="0" applyFont="1" applyBorder="1"/>
    <xf numFmtId="164" fontId="6" fillId="2" borderId="34" xfId="0" applyNumberFormat="1" applyFont="1" applyFill="1" applyBorder="1"/>
    <xf numFmtId="14" fontId="5" fillId="4" borderId="1" xfId="2" applyNumberFormat="1" applyFont="1" applyFill="1" applyBorder="1" applyAlignment="1">
      <alignment horizontal="center"/>
    </xf>
    <xf numFmtId="10" fontId="5" fillId="4" borderId="30" xfId="2" applyNumberFormat="1" applyFont="1" applyFill="1" applyBorder="1"/>
    <xf numFmtId="14" fontId="11" fillId="6" borderId="1" xfId="0" applyNumberFormat="1" applyFont="1" applyFill="1" applyBorder="1"/>
    <xf numFmtId="44" fontId="11" fillId="5" borderId="1" xfId="0" applyNumberFormat="1" applyFont="1" applyFill="1" applyBorder="1"/>
    <xf numFmtId="14" fontId="11" fillId="5" borderId="1" xfId="0" applyNumberFormat="1" applyFont="1" applyFill="1" applyBorder="1"/>
    <xf numFmtId="0" fontId="11" fillId="5" borderId="1" xfId="0" applyFont="1" applyFill="1" applyBorder="1" applyAlignment="1">
      <alignment horizontal="center"/>
    </xf>
    <xf numFmtId="0" fontId="11" fillId="5" borderId="1" xfId="0" applyFont="1" applyFill="1" applyBorder="1"/>
    <xf numFmtId="0" fontId="12" fillId="5" borderId="1" xfId="0" applyFont="1" applyFill="1" applyBorder="1"/>
    <xf numFmtId="0" fontId="2" fillId="0" borderId="13" xfId="0" applyFont="1" applyBorder="1" applyAlignment="1">
      <alignment horizontal="center"/>
    </xf>
    <xf numFmtId="44" fontId="11" fillId="7" borderId="1" xfId="0" applyNumberFormat="1" applyFont="1" applyFill="1" applyBorder="1"/>
    <xf numFmtId="43" fontId="12" fillId="7" borderId="1" xfId="0" applyNumberFormat="1" applyFont="1" applyFill="1" applyBorder="1"/>
    <xf numFmtId="3" fontId="0" fillId="7" borderId="1" xfId="0" applyNumberFormat="1" applyFill="1" applyBorder="1" applyAlignment="1">
      <alignment horizontal="center"/>
    </xf>
    <xf numFmtId="4" fontId="0" fillId="7" borderId="1" xfId="0" applyNumberFormat="1" applyFill="1" applyBorder="1" applyAlignment="1">
      <alignment horizontal="center"/>
    </xf>
    <xf numFmtId="4" fontId="0" fillId="7" borderId="1" xfId="0" applyNumberFormat="1" applyFill="1" applyBorder="1"/>
    <xf numFmtId="43" fontId="12" fillId="6" borderId="1" xfId="0" applyNumberFormat="1" applyFont="1" applyFill="1" applyBorder="1"/>
    <xf numFmtId="0" fontId="11" fillId="0" borderId="14" xfId="0" applyFont="1" applyBorder="1" applyAlignment="1">
      <alignment horizontal="right"/>
    </xf>
    <xf numFmtId="14" fontId="10" fillId="0" borderId="0" xfId="0" applyNumberFormat="1" applyFont="1" applyBorder="1"/>
    <xf numFmtId="14" fontId="11" fillId="7" borderId="1" xfId="0" applyNumberFormat="1" applyFont="1" applyFill="1" applyBorder="1" applyAlignment="1">
      <alignment horizontal="center"/>
    </xf>
    <xf numFmtId="44" fontId="10" fillId="6" borderId="16" xfId="0" applyNumberFormat="1" applyFont="1" applyFill="1" applyBorder="1"/>
    <xf numFmtId="44" fontId="10" fillId="6" borderId="17" xfId="0" applyNumberFormat="1" applyFont="1" applyFill="1" applyBorder="1"/>
    <xf numFmtId="0" fontId="10" fillId="6" borderId="16" xfId="0" applyNumberFormat="1" applyFont="1" applyFill="1" applyBorder="1"/>
    <xf numFmtId="0" fontId="2" fillId="0" borderId="0" xfId="0" applyFont="1" applyFill="1" applyAlignment="1">
      <alignment horizontal="center" vertical="center" wrapText="1"/>
    </xf>
    <xf numFmtId="3" fontId="2" fillId="0" borderId="26" xfId="0" applyNumberFormat="1" applyFont="1" applyFill="1" applyBorder="1"/>
    <xf numFmtId="3" fontId="2" fillId="0" borderId="1" xfId="0" applyNumberFormat="1" applyFont="1" applyFill="1" applyBorder="1"/>
    <xf numFmtId="0" fontId="13" fillId="0" borderId="1" xfId="0" applyFont="1" applyFill="1" applyBorder="1" applyAlignment="1">
      <alignment horizontal="center" vertical="center" wrapText="1"/>
    </xf>
    <xf numFmtId="10" fontId="0" fillId="0" borderId="1" xfId="2" applyNumberFormat="1" applyFont="1" applyFill="1" applyBorder="1" applyAlignment="1">
      <alignment horizontal="center"/>
    </xf>
    <xf numFmtId="10" fontId="2" fillId="0" borderId="26" xfId="2" applyNumberFormat="1" applyFont="1" applyFill="1" applyBorder="1" applyAlignment="1">
      <alignment horizontal="center"/>
    </xf>
    <xf numFmtId="10" fontId="0" fillId="0" borderId="0" xfId="2" applyNumberFormat="1" applyFont="1" applyFill="1" applyAlignment="1">
      <alignment horizontal="center"/>
    </xf>
    <xf numFmtId="10" fontId="2" fillId="0" borderId="1" xfId="2" applyNumberFormat="1" applyFont="1" applyFill="1" applyBorder="1" applyAlignment="1">
      <alignment horizontal="center"/>
    </xf>
    <xf numFmtId="10" fontId="2" fillId="6" borderId="31" xfId="2" applyNumberFormat="1" applyFont="1" applyFill="1" applyBorder="1" applyAlignment="1">
      <alignment horizontal="center"/>
    </xf>
    <xf numFmtId="164" fontId="18" fillId="4" borderId="1" xfId="1" applyFont="1" applyFill="1" applyBorder="1"/>
    <xf numFmtId="0" fontId="7" fillId="0" borderId="16" xfId="0" applyFont="1" applyFill="1" applyBorder="1"/>
    <xf numFmtId="0" fontId="7" fillId="0" borderId="17" xfId="0" applyFont="1" applyFill="1" applyBorder="1"/>
    <xf numFmtId="9" fontId="7" fillId="0" borderId="17" xfId="2" applyFont="1" applyFill="1" applyBorder="1"/>
    <xf numFmtId="0" fontId="7" fillId="0" borderId="35" xfId="0" applyFont="1" applyFill="1" applyBorder="1"/>
    <xf numFmtId="164" fontId="7" fillId="2" borderId="34" xfId="0" applyNumberFormat="1" applyFont="1" applyFill="1" applyBorder="1"/>
    <xf numFmtId="10" fontId="7" fillId="4" borderId="34" xfId="2" applyNumberFormat="1" applyFont="1" applyFill="1" applyBorder="1" applyAlignment="1">
      <alignment horizontal="center"/>
    </xf>
    <xf numFmtId="168" fontId="7" fillId="2" borderId="34" xfId="0" applyNumberFormat="1" applyFont="1" applyFill="1" applyBorder="1"/>
    <xf numFmtId="9" fontId="0" fillId="5" borderId="12" xfId="0" applyNumberFormat="1" applyFill="1" applyBorder="1"/>
    <xf numFmtId="0" fontId="3" fillId="6" borderId="0" xfId="0" applyFont="1" applyFill="1"/>
    <xf numFmtId="0" fontId="0" fillId="6" borderId="0" xfId="0" applyFill="1"/>
    <xf numFmtId="0" fontId="23" fillId="6" borderId="0" xfId="0" applyFont="1" applyFill="1"/>
    <xf numFmtId="0" fontId="13" fillId="0" borderId="13" xfId="0" applyFont="1" applyFill="1" applyBorder="1" applyAlignment="1">
      <alignment horizontal="center" vertical="center" wrapText="1"/>
    </xf>
    <xf numFmtId="0" fontId="2" fillId="0" borderId="25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center" vertical="center" wrapText="1"/>
    </xf>
    <xf numFmtId="0" fontId="20" fillId="0" borderId="0" xfId="0" applyFont="1" applyFill="1"/>
    <xf numFmtId="4" fontId="2" fillId="0" borderId="0" xfId="0" applyNumberFormat="1" applyFont="1" applyFill="1" applyAlignment="1">
      <alignment horizontal="center" vertical="center" wrapText="1"/>
    </xf>
    <xf numFmtId="0" fontId="4" fillId="0" borderId="1" xfId="0" applyFont="1" applyFill="1" applyBorder="1"/>
    <xf numFmtId="0" fontId="6" fillId="6" borderId="11" xfId="0" applyFont="1" applyFill="1" applyBorder="1" applyAlignment="1">
      <alignment vertical="top"/>
    </xf>
    <xf numFmtId="0" fontId="2" fillId="6" borderId="11" xfId="0" applyFont="1" applyFill="1" applyBorder="1" applyAlignment="1">
      <alignment vertical="top" wrapText="1"/>
    </xf>
    <xf numFmtId="0" fontId="2" fillId="6" borderId="21" xfId="0" applyFont="1" applyFill="1" applyBorder="1" applyAlignment="1">
      <alignment vertical="top" wrapText="1"/>
    </xf>
    <xf numFmtId="0" fontId="22" fillId="6" borderId="10" xfId="0" applyFont="1" applyFill="1" applyBorder="1" applyAlignment="1">
      <alignment vertical="center"/>
    </xf>
    <xf numFmtId="0" fontId="22" fillId="6" borderId="11" xfId="0" applyFont="1" applyFill="1" applyBorder="1" applyAlignment="1">
      <alignment vertical="center"/>
    </xf>
    <xf numFmtId="0" fontId="22" fillId="6" borderId="21" xfId="0" applyFont="1" applyFill="1" applyBorder="1" applyAlignment="1">
      <alignment vertical="center"/>
    </xf>
    <xf numFmtId="0" fontId="21" fillId="6" borderId="10" xfId="0" applyFont="1" applyFill="1" applyBorder="1" applyAlignment="1">
      <alignment vertical="center"/>
    </xf>
    <xf numFmtId="10" fontId="2" fillId="7" borderId="1" xfId="2" applyNumberFormat="1" applyFont="1" applyFill="1" applyBorder="1" applyAlignment="1">
      <alignment horizontal="center"/>
    </xf>
    <xf numFmtId="10" fontId="5" fillId="4" borderId="30" xfId="2" applyNumberFormat="1" applyFont="1" applyFill="1" applyBorder="1" applyAlignment="1">
      <alignment horizontal="center"/>
    </xf>
    <xf numFmtId="0" fontId="26" fillId="0" borderId="0" xfId="0" applyFont="1"/>
    <xf numFmtId="4" fontId="13" fillId="0" borderId="0" xfId="0" applyNumberFormat="1" applyFont="1" applyFill="1"/>
    <xf numFmtId="4" fontId="26" fillId="0" borderId="0" xfId="0" applyNumberFormat="1" applyFont="1" applyFill="1"/>
    <xf numFmtId="0" fontId="26" fillId="0" borderId="0" xfId="0" applyFont="1" applyFill="1" applyBorder="1"/>
    <xf numFmtId="4" fontId="26" fillId="0" borderId="30" xfId="0" applyNumberFormat="1" applyFont="1" applyFill="1" applyBorder="1"/>
    <xf numFmtId="14" fontId="11" fillId="5" borderId="1" xfId="0" applyNumberFormat="1" applyFont="1" applyFill="1" applyBorder="1" applyAlignment="1">
      <alignment horizontal="center"/>
    </xf>
    <xf numFmtId="44" fontId="2" fillId="0" borderId="0" xfId="0" applyNumberFormat="1" applyFont="1"/>
    <xf numFmtId="3" fontId="21" fillId="0" borderId="0" xfId="0" applyNumberFormat="1" applyFont="1" applyFill="1"/>
    <xf numFmtId="3" fontId="0" fillId="5" borderId="36" xfId="0" applyNumberFormat="1" applyFill="1" applyBorder="1"/>
    <xf numFmtId="3" fontId="0" fillId="5" borderId="12" xfId="0" applyNumberFormat="1" applyFill="1" applyBorder="1"/>
    <xf numFmtId="0" fontId="0" fillId="5" borderId="12" xfId="0" applyNumberFormat="1" applyFill="1" applyBorder="1"/>
    <xf numFmtId="3" fontId="0" fillId="5" borderId="37" xfId="0" applyNumberFormat="1" applyFill="1" applyBorder="1"/>
    <xf numFmtId="167" fontId="26" fillId="0" borderId="0" xfId="0" applyNumberFormat="1" applyFont="1" applyFill="1"/>
    <xf numFmtId="0" fontId="0" fillId="5" borderId="37" xfId="0" applyNumberFormat="1" applyFill="1" applyBorder="1"/>
    <xf numFmtId="3" fontId="0" fillId="0" borderId="37" xfId="0" applyNumberFormat="1" applyFill="1" applyBorder="1"/>
    <xf numFmtId="3" fontId="0" fillId="0" borderId="38" xfId="0" applyNumberFormat="1" applyFill="1" applyBorder="1"/>
    <xf numFmtId="3" fontId="0" fillId="0" borderId="36" xfId="0" applyNumberFormat="1" applyFill="1" applyBorder="1"/>
    <xf numFmtId="44" fontId="0" fillId="0" borderId="0" xfId="0" applyNumberFormat="1" applyBorder="1"/>
    <xf numFmtId="3" fontId="0" fillId="0" borderId="0" xfId="0" applyNumberFormat="1" applyBorder="1"/>
    <xf numFmtId="9" fontId="4" fillId="0" borderId="0" xfId="0" applyNumberFormat="1" applyFont="1"/>
    <xf numFmtId="10" fontId="17" fillId="8" borderId="18" xfId="2" applyNumberFormat="1" applyFont="1" applyFill="1" applyBorder="1"/>
    <xf numFmtId="3" fontId="27" fillId="5" borderId="1" xfId="0" applyNumberFormat="1" applyFont="1" applyFill="1" applyBorder="1"/>
    <xf numFmtId="3" fontId="27" fillId="5" borderId="25" xfId="0" applyNumberFormat="1" applyFont="1" applyFill="1" applyBorder="1"/>
    <xf numFmtId="44" fontId="4" fillId="0" borderId="0" xfId="0" applyNumberFormat="1" applyFont="1"/>
    <xf numFmtId="169" fontId="4" fillId="0" borderId="0" xfId="0" applyNumberFormat="1" applyFont="1"/>
    <xf numFmtId="10" fontId="18" fillId="0" borderId="18" xfId="2" applyNumberFormat="1" applyFont="1" applyFill="1" applyBorder="1"/>
    <xf numFmtId="10" fontId="18" fillId="0" borderId="1" xfId="2" applyNumberFormat="1" applyFont="1" applyFill="1" applyBorder="1" applyAlignment="1">
      <alignment horizontal="center"/>
    </xf>
    <xf numFmtId="10" fontId="25" fillId="0" borderId="1" xfId="2" applyNumberFormat="1" applyFont="1" applyFill="1" applyBorder="1" applyAlignment="1">
      <alignment horizontal="center"/>
    </xf>
    <xf numFmtId="10" fontId="2" fillId="0" borderId="20" xfId="2" applyNumberFormat="1" applyFont="1" applyFill="1" applyBorder="1"/>
    <xf numFmtId="10" fontId="2" fillId="0" borderId="29" xfId="0" applyNumberFormat="1" applyFont="1" applyFill="1" applyBorder="1" applyAlignment="1">
      <alignment horizontal="center" vertical="center" wrapText="1"/>
    </xf>
    <xf numFmtId="39" fontId="0" fillId="0" borderId="1" xfId="0" applyNumberFormat="1" applyFill="1" applyBorder="1"/>
    <xf numFmtId="10" fontId="2" fillId="0" borderId="26" xfId="2" applyNumberFormat="1" applyFont="1" applyFill="1" applyBorder="1"/>
    <xf numFmtId="0" fontId="4" fillId="5" borderId="1" xfId="0" applyFont="1" applyFill="1" applyBorder="1" applyAlignment="1">
      <alignment horizontal="center" vertical="center"/>
    </xf>
    <xf numFmtId="3" fontId="0" fillId="10" borderId="0" xfId="0" applyNumberFormat="1" applyFill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/>
    <xf numFmtId="165" fontId="2" fillId="7" borderId="26" xfId="2" applyNumberFormat="1" applyFont="1" applyFill="1" applyBorder="1"/>
    <xf numFmtId="9" fontId="2" fillId="0" borderId="0" xfId="0" applyNumberFormat="1" applyFont="1"/>
    <xf numFmtId="0" fontId="6" fillId="6" borderId="13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 wrapText="1"/>
    </xf>
    <xf numFmtId="165" fontId="0" fillId="5" borderId="12" xfId="0" applyNumberFormat="1" applyFill="1" applyBorder="1"/>
    <xf numFmtId="3" fontId="0" fillId="5" borderId="30" xfId="0" applyNumberFormat="1" applyFill="1" applyBorder="1"/>
    <xf numFmtId="0" fontId="0" fillId="5" borderId="30" xfId="0" applyNumberFormat="1" applyFill="1" applyBorder="1"/>
    <xf numFmtId="1" fontId="0" fillId="5" borderId="30" xfId="0" applyNumberFormat="1" applyFill="1" applyBorder="1"/>
    <xf numFmtId="3" fontId="2" fillId="7" borderId="30" xfId="0" applyNumberFormat="1" applyFont="1" applyFill="1" applyBorder="1"/>
    <xf numFmtId="3" fontId="0" fillId="0" borderId="30" xfId="0" applyNumberFormat="1" applyFill="1" applyBorder="1"/>
    <xf numFmtId="165" fontId="2" fillId="0" borderId="26" xfId="2" applyNumberFormat="1" applyFont="1" applyFill="1" applyBorder="1"/>
    <xf numFmtId="165" fontId="2" fillId="0" borderId="26" xfId="2" applyNumberFormat="1" applyFont="1" applyFill="1" applyBorder="1" applyAlignment="1">
      <alignment horizontal="center"/>
    </xf>
    <xf numFmtId="43" fontId="0" fillId="0" borderId="0" xfId="0" applyNumberFormat="1" applyFill="1"/>
    <xf numFmtId="167" fontId="2" fillId="7" borderId="26" xfId="0" applyNumberFormat="1" applyFont="1" applyFill="1" applyBorder="1"/>
    <xf numFmtId="10" fontId="2" fillId="0" borderId="18" xfId="2" applyNumberFormat="1" applyFont="1" applyFill="1" applyBorder="1"/>
    <xf numFmtId="0" fontId="1" fillId="0" borderId="1" xfId="0" applyFont="1" applyFill="1" applyBorder="1"/>
    <xf numFmtId="4" fontId="0" fillId="6" borderId="1" xfId="0" applyNumberFormat="1" applyFill="1" applyBorder="1"/>
    <xf numFmtId="0" fontId="2" fillId="5" borderId="25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16" fillId="0" borderId="0" xfId="0" applyFont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25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2" fillId="9" borderId="7" xfId="0" applyFont="1" applyFill="1" applyBorder="1" applyAlignment="1">
      <alignment horizontal="center"/>
    </xf>
    <xf numFmtId="0" fontId="2" fillId="9" borderId="8" xfId="0" applyFont="1" applyFill="1" applyBorder="1" applyAlignment="1">
      <alignment horizontal="center"/>
    </xf>
    <xf numFmtId="0" fontId="2" fillId="9" borderId="9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 vertical="top" wrapText="1"/>
    </xf>
    <xf numFmtId="0" fontId="2" fillId="6" borderId="11" xfId="0" applyFont="1" applyFill="1" applyBorder="1" applyAlignment="1">
      <alignment horizontal="center" vertical="top" wrapText="1"/>
    </xf>
    <xf numFmtId="0" fontId="2" fillId="6" borderId="21" xfId="0" applyFont="1" applyFill="1" applyBorder="1" applyAlignment="1">
      <alignment horizontal="center" vertical="top" wrapText="1"/>
    </xf>
    <xf numFmtId="0" fontId="20" fillId="6" borderId="10" xfId="0" applyFont="1" applyFill="1" applyBorder="1" applyAlignment="1">
      <alignment horizontal="center" vertical="top" wrapText="1"/>
    </xf>
    <xf numFmtId="0" fontId="20" fillId="6" borderId="21" xfId="0" applyFont="1" applyFill="1" applyBorder="1" applyAlignment="1">
      <alignment horizontal="center" vertical="top" wrapText="1"/>
    </xf>
    <xf numFmtId="0" fontId="6" fillId="6" borderId="10" xfId="0" applyFont="1" applyFill="1" applyBorder="1" applyAlignment="1">
      <alignment horizontal="center" vertical="top"/>
    </xf>
    <xf numFmtId="0" fontId="6" fillId="6" borderId="11" xfId="0" applyFont="1" applyFill="1" applyBorder="1" applyAlignment="1">
      <alignment horizontal="center" vertical="top"/>
    </xf>
    <xf numFmtId="0" fontId="6" fillId="6" borderId="21" xfId="0" applyFont="1" applyFill="1" applyBorder="1" applyAlignment="1">
      <alignment horizontal="center" vertical="top"/>
    </xf>
    <xf numFmtId="0" fontId="2" fillId="6" borderId="39" xfId="0" applyFont="1" applyFill="1" applyBorder="1" applyAlignment="1">
      <alignment horizontal="center"/>
    </xf>
    <xf numFmtId="0" fontId="2" fillId="6" borderId="40" xfId="0" applyFont="1" applyFill="1" applyBorder="1" applyAlignment="1">
      <alignment horizontal="center"/>
    </xf>
    <xf numFmtId="0" fontId="2" fillId="6" borderId="41" xfId="0" applyFont="1" applyFill="1" applyBorder="1" applyAlignment="1">
      <alignment horizontal="center"/>
    </xf>
    <xf numFmtId="0" fontId="22" fillId="6" borderId="10" xfId="0" applyFont="1" applyFill="1" applyBorder="1" applyAlignment="1">
      <alignment horizontal="center"/>
    </xf>
    <xf numFmtId="0" fontId="22" fillId="6" borderId="11" xfId="0" applyFont="1" applyFill="1" applyBorder="1" applyAlignment="1">
      <alignment horizontal="center"/>
    </xf>
    <xf numFmtId="0" fontId="22" fillId="6" borderId="21" xfId="0" applyFont="1" applyFill="1" applyBorder="1" applyAlignment="1">
      <alignment horizontal="center"/>
    </xf>
    <xf numFmtId="10" fontId="0" fillId="6" borderId="18" xfId="2" applyNumberFormat="1" applyFont="1" applyFill="1" applyBorder="1"/>
    <xf numFmtId="3" fontId="0" fillId="6" borderId="25" xfId="0" applyNumberFormat="1" applyFill="1" applyBorder="1"/>
    <xf numFmtId="10" fontId="0" fillId="11" borderId="1" xfId="2" applyNumberFormat="1" applyFont="1" applyFill="1" applyBorder="1" applyAlignment="1">
      <alignment horizontal="center"/>
    </xf>
    <xf numFmtId="10" fontId="0" fillId="11" borderId="18" xfId="2" applyNumberFormat="1" applyFont="1" applyFill="1" applyBorder="1"/>
    <xf numFmtId="3" fontId="2" fillId="6" borderId="26" xfId="0" applyNumberFormat="1" applyFont="1" applyFill="1" applyBorder="1"/>
    <xf numFmtId="10" fontId="0" fillId="12" borderId="1" xfId="2" applyNumberFormat="1" applyFont="1" applyFill="1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inanciero\Desktop\Copia%20de%20DISTR%20%20EXCEDENTES%2020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a&#250;l\Downloads\produccion%20cooperativas%20asociadas%20201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ernardo\AppData\Local\Temp\Rar$DI00.401\DISTRIBUCION%20EXCEDENTES%202014\3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Hoja3"/>
    </sheetNames>
    <sheetDataSet>
      <sheetData sheetId="0">
        <row r="8">
          <cell r="H8">
            <v>1061450.98</v>
          </cell>
        </row>
        <row r="13">
          <cell r="H13">
            <v>78106.509999999995</v>
          </cell>
        </row>
        <row r="15">
          <cell r="H15">
            <v>9165.5</v>
          </cell>
        </row>
        <row r="16">
          <cell r="H16">
            <v>21751.23</v>
          </cell>
        </row>
        <row r="19">
          <cell r="I19">
            <v>3392743.59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cion cooperativas asociad"/>
    </sheetNames>
    <sheetDataSet>
      <sheetData sheetId="0">
        <row r="2">
          <cell r="E2">
            <v>112628.56</v>
          </cell>
          <cell r="M2">
            <v>334668.01</v>
          </cell>
        </row>
        <row r="3">
          <cell r="E3">
            <v>91771.44</v>
          </cell>
          <cell r="M3">
            <v>115993.09</v>
          </cell>
        </row>
        <row r="4">
          <cell r="E4">
            <v>11428.57</v>
          </cell>
          <cell r="M4">
            <v>265931.55</v>
          </cell>
        </row>
        <row r="5">
          <cell r="E5">
            <v>66799.929999999993</v>
          </cell>
          <cell r="M5">
            <v>92879.91</v>
          </cell>
        </row>
        <row r="6">
          <cell r="E6">
            <v>119199.99</v>
          </cell>
          <cell r="M6">
            <v>389444.88</v>
          </cell>
        </row>
        <row r="7">
          <cell r="E7">
            <v>1529028.58</v>
          </cell>
          <cell r="M7">
            <v>62346.5</v>
          </cell>
        </row>
        <row r="8">
          <cell r="E8">
            <v>57855.17</v>
          </cell>
          <cell r="M8">
            <v>330924.48</v>
          </cell>
        </row>
        <row r="9">
          <cell r="E9">
            <v>60763.5</v>
          </cell>
          <cell r="M9">
            <v>164201.96</v>
          </cell>
        </row>
        <row r="10">
          <cell r="E10">
            <v>74800.100000000006</v>
          </cell>
          <cell r="M10">
            <v>148133.01999999999</v>
          </cell>
        </row>
        <row r="11">
          <cell r="E11">
            <v>58111.12</v>
          </cell>
          <cell r="M11">
            <v>72838.81</v>
          </cell>
        </row>
        <row r="12">
          <cell r="E12">
            <v>5644.0099999999993</v>
          </cell>
          <cell r="M12">
            <v>108987.95</v>
          </cell>
        </row>
        <row r="13">
          <cell r="E13">
            <v>93317.27</v>
          </cell>
          <cell r="M13">
            <v>294940.26</v>
          </cell>
        </row>
        <row r="14">
          <cell r="E14">
            <v>29942.65</v>
          </cell>
          <cell r="M14">
            <v>62296.03</v>
          </cell>
        </row>
        <row r="15">
          <cell r="E15">
            <v>48972.800000000003</v>
          </cell>
          <cell r="M15">
            <v>78199.16</v>
          </cell>
        </row>
        <row r="16">
          <cell r="E16">
            <v>49938.36</v>
          </cell>
          <cell r="M16">
            <v>49823.31</v>
          </cell>
        </row>
        <row r="17">
          <cell r="E17">
            <v>62573.7</v>
          </cell>
          <cell r="M17">
            <v>80481.149999999994</v>
          </cell>
        </row>
        <row r="18">
          <cell r="E18">
            <v>61201.32</v>
          </cell>
          <cell r="M18">
            <v>128784.82</v>
          </cell>
        </row>
        <row r="19">
          <cell r="E19">
            <v>72688.03</v>
          </cell>
          <cell r="M19">
            <v>208167.67999999999</v>
          </cell>
        </row>
        <row r="20">
          <cell r="E20">
            <v>11428.57</v>
          </cell>
          <cell r="M20">
            <v>52572.53</v>
          </cell>
        </row>
        <row r="21">
          <cell r="E21">
            <v>36114.720000000001</v>
          </cell>
          <cell r="M21">
            <v>33925.75</v>
          </cell>
        </row>
        <row r="41">
          <cell r="M41">
            <v>0</v>
          </cell>
        </row>
        <row r="42">
          <cell r="M42">
            <v>0</v>
          </cell>
        </row>
        <row r="43">
          <cell r="M43">
            <v>0</v>
          </cell>
        </row>
        <row r="44">
          <cell r="M4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3">
          <cell r="AA13">
            <v>94.27</v>
          </cell>
        </row>
        <row r="555">
          <cell r="AA555">
            <v>114.28</v>
          </cell>
        </row>
        <row r="773">
          <cell r="AA773">
            <v>228.58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V53"/>
  <sheetViews>
    <sheetView tabSelected="1" topLeftCell="B25" zoomScale="110" zoomScaleNormal="110" workbookViewId="0">
      <selection activeCell="I39" sqref="I39"/>
    </sheetView>
  </sheetViews>
  <sheetFormatPr baseColWidth="10" defaultRowHeight="13.2" x14ac:dyDescent="0.25"/>
  <cols>
    <col min="1" max="1" width="3" style="95" customWidth="1"/>
    <col min="6" max="6" width="12" bestFit="1" customWidth="1"/>
    <col min="7" max="7" width="16.44140625" customWidth="1"/>
    <col min="8" max="8" width="16.6640625" customWidth="1"/>
    <col min="9" max="9" width="16.109375" customWidth="1"/>
    <col min="10" max="10" width="13.5546875" bestFit="1" customWidth="1"/>
    <col min="11" max="11" width="14" customWidth="1"/>
  </cols>
  <sheetData>
    <row r="2" spans="1:12" ht="21" x14ac:dyDescent="0.4">
      <c r="A2" s="271" t="s">
        <v>99</v>
      </c>
      <c r="B2" s="271"/>
      <c r="C2" s="271"/>
      <c r="D2" s="271"/>
      <c r="E2" s="271"/>
      <c r="F2" s="271"/>
      <c r="G2" s="271"/>
      <c r="H2" s="271"/>
      <c r="I2" s="271"/>
    </row>
    <row r="3" spans="1:12" ht="13.8" thickBot="1" x14ac:dyDescent="0.3"/>
    <row r="4" spans="1:12" x14ac:dyDescent="0.25">
      <c r="B4" s="272" t="s">
        <v>229</v>
      </c>
      <c r="C4" s="273"/>
      <c r="D4" s="273"/>
      <c r="E4" s="273"/>
      <c r="F4" s="273"/>
      <c r="G4" s="273"/>
      <c r="H4" s="273"/>
      <c r="I4" s="274"/>
    </row>
    <row r="5" spans="1:12" ht="13.8" thickBot="1" x14ac:dyDescent="0.3">
      <c r="B5" s="280" t="s">
        <v>230</v>
      </c>
      <c r="C5" s="281"/>
      <c r="D5" s="281"/>
      <c r="E5" s="281"/>
      <c r="F5" s="281"/>
      <c r="G5" s="281"/>
      <c r="H5" s="281"/>
      <c r="I5" s="282"/>
    </row>
    <row r="6" spans="1:12" x14ac:dyDescent="0.25">
      <c r="A6"/>
      <c r="B6" s="197" t="s">
        <v>211</v>
      </c>
      <c r="C6" s="197"/>
      <c r="D6" s="197"/>
      <c r="E6" s="197"/>
      <c r="F6" s="196"/>
      <c r="G6" s="196"/>
      <c r="H6" s="196"/>
      <c r="I6" s="196"/>
    </row>
    <row r="7" spans="1:12" x14ac:dyDescent="0.25">
      <c r="A7"/>
      <c r="B7" s="197" t="s">
        <v>227</v>
      </c>
      <c r="C7" s="197"/>
      <c r="D7" s="197"/>
      <c r="E7" s="197"/>
      <c r="F7" s="196"/>
      <c r="G7" s="196"/>
      <c r="H7" s="196"/>
      <c r="I7" s="196"/>
    </row>
    <row r="8" spans="1:12" x14ac:dyDescent="0.25">
      <c r="A8"/>
      <c r="B8" s="197" t="s">
        <v>228</v>
      </c>
      <c r="C8" s="197"/>
      <c r="D8" s="197"/>
      <c r="E8" s="197"/>
      <c r="F8" s="196"/>
      <c r="G8" s="196"/>
      <c r="H8" s="196"/>
      <c r="I8" s="196"/>
    </row>
    <row r="9" spans="1:12" ht="13.8" thickBot="1" x14ac:dyDescent="0.3">
      <c r="D9" s="12"/>
      <c r="E9" s="12"/>
      <c r="F9" s="12"/>
      <c r="G9" s="12"/>
    </row>
    <row r="10" spans="1:12" ht="13.8" x14ac:dyDescent="0.25">
      <c r="A10" s="121"/>
      <c r="B10" s="15" t="s">
        <v>7</v>
      </c>
      <c r="C10" s="16"/>
      <c r="D10" s="16"/>
      <c r="E10" s="16"/>
      <c r="F10" s="16"/>
      <c r="G10" s="16"/>
      <c r="H10" s="17" t="s">
        <v>23</v>
      </c>
      <c r="I10" s="18"/>
    </row>
    <row r="11" spans="1:12" ht="18" thickBot="1" x14ac:dyDescent="0.35">
      <c r="A11" s="123"/>
      <c r="B11" s="153" t="s">
        <v>184</v>
      </c>
      <c r="C11" s="154"/>
      <c r="D11" s="154"/>
      <c r="E11" s="154"/>
      <c r="F11" s="154"/>
      <c r="G11" s="154"/>
      <c r="H11" s="156">
        <v>42369</v>
      </c>
      <c r="I11" s="21"/>
    </row>
    <row r="12" spans="1:12" x14ac:dyDescent="0.25">
      <c r="A12" s="122"/>
      <c r="B12" s="19" t="s">
        <v>3</v>
      </c>
      <c r="C12" s="20"/>
      <c r="D12" s="20"/>
      <c r="E12" s="20"/>
      <c r="F12" s="20"/>
      <c r="G12" s="20"/>
      <c r="H12" s="101">
        <f>+[1]Hoja1!$H$8</f>
        <v>1061450.98</v>
      </c>
      <c r="I12" s="21"/>
    </row>
    <row r="13" spans="1:12" x14ac:dyDescent="0.25">
      <c r="A13" s="122"/>
      <c r="B13" s="19" t="s">
        <v>6</v>
      </c>
      <c r="C13" s="20"/>
      <c r="D13" s="20"/>
      <c r="E13" s="20"/>
      <c r="F13" s="20"/>
      <c r="G13" s="20"/>
      <c r="H13" s="28"/>
      <c r="I13" s="21"/>
    </row>
    <row r="14" spans="1:12" x14ac:dyDescent="0.25">
      <c r="A14" s="122"/>
      <c r="B14" s="19" t="s">
        <v>5</v>
      </c>
      <c r="C14" s="20"/>
      <c r="D14" s="20"/>
      <c r="E14" s="20"/>
      <c r="F14" s="20"/>
      <c r="G14" s="20"/>
      <c r="H14" s="35">
        <f>+$H$12*0.1</f>
        <v>106145.098</v>
      </c>
      <c r="I14" s="21"/>
    </row>
    <row r="15" spans="1:12" x14ac:dyDescent="0.25">
      <c r="A15" s="122"/>
      <c r="B15" s="19" t="s">
        <v>50</v>
      </c>
      <c r="C15" s="20"/>
      <c r="D15" s="20"/>
      <c r="E15" s="20"/>
      <c r="F15" s="20"/>
      <c r="G15" s="20"/>
      <c r="H15" s="35">
        <f>+$H$12*0.1</f>
        <v>106145.098</v>
      </c>
      <c r="I15" s="21"/>
    </row>
    <row r="16" spans="1:12" x14ac:dyDescent="0.25">
      <c r="A16" s="122"/>
      <c r="B16" s="19" t="s">
        <v>20</v>
      </c>
      <c r="C16" s="20"/>
      <c r="D16" s="20"/>
      <c r="E16" s="20"/>
      <c r="F16" s="20"/>
      <c r="G16" s="20"/>
      <c r="H16" s="35">
        <f>+$H$12*0.2</f>
        <v>212290.196</v>
      </c>
      <c r="I16" s="21"/>
      <c r="K16" s="23"/>
      <c r="L16" s="20"/>
    </row>
    <row r="17" spans="1:256" x14ac:dyDescent="0.25">
      <c r="A17" s="122"/>
      <c r="B17" s="19" t="s">
        <v>4</v>
      </c>
      <c r="C17" s="20"/>
      <c r="D17" s="20"/>
      <c r="E17" s="20"/>
      <c r="F17" s="20"/>
      <c r="G17" s="20"/>
      <c r="H17" s="186">
        <f>+[1]Hoja1!$H$13</f>
        <v>78106.509999999995</v>
      </c>
      <c r="I17" s="33"/>
      <c r="K17" s="20"/>
      <c r="L17" s="37"/>
      <c r="U17" t="s">
        <v>231</v>
      </c>
      <c r="X17">
        <v>5996.05</v>
      </c>
    </row>
    <row r="18" spans="1:256" x14ac:dyDescent="0.25">
      <c r="A18" s="122"/>
      <c r="B18" s="22" t="s">
        <v>85</v>
      </c>
      <c r="C18" s="23"/>
      <c r="D18" s="23"/>
      <c r="E18" s="20"/>
      <c r="F18" s="20"/>
      <c r="G18" s="20"/>
      <c r="H18" s="57">
        <f>+H12-H14-H15-H16-H17</f>
        <v>558764.07799999998</v>
      </c>
      <c r="I18" s="34"/>
      <c r="K18" s="20"/>
      <c r="L18" s="37"/>
      <c r="U18" t="s">
        <v>232</v>
      </c>
      <c r="X18">
        <v>2303.58</v>
      </c>
    </row>
    <row r="19" spans="1:256" x14ac:dyDescent="0.25">
      <c r="A19" s="122"/>
      <c r="B19" s="22" t="s">
        <v>244</v>
      </c>
      <c r="C19" s="23"/>
      <c r="D19" s="23"/>
      <c r="E19" s="20"/>
      <c r="F19" s="20"/>
      <c r="G19" s="20"/>
      <c r="H19" s="102">
        <f>+[1]Hoja1!$H$15</f>
        <v>9165.5</v>
      </c>
      <c r="I19" s="34"/>
      <c r="K19" s="80"/>
      <c r="L19" s="37"/>
      <c r="X19">
        <f>SUM(X17:X18)</f>
        <v>8299.630000000001</v>
      </c>
    </row>
    <row r="20" spans="1:256" x14ac:dyDescent="0.25">
      <c r="A20" s="122"/>
      <c r="B20" s="22" t="s">
        <v>245</v>
      </c>
      <c r="C20" s="23"/>
      <c r="D20" s="23"/>
      <c r="E20" s="20"/>
      <c r="F20" s="20"/>
      <c r="G20" s="20"/>
      <c r="H20" s="102">
        <f>+[1]Hoja1!$H$16</f>
        <v>21751.23</v>
      </c>
      <c r="I20" s="34"/>
      <c r="K20" s="20"/>
      <c r="L20" s="93"/>
    </row>
    <row r="21" spans="1:256" ht="13.8" thickBot="1" x14ac:dyDescent="0.3">
      <c r="A21" s="122"/>
      <c r="B21" s="22" t="s">
        <v>86</v>
      </c>
      <c r="C21" s="23"/>
      <c r="D21" s="23"/>
      <c r="E21" s="20"/>
      <c r="F21" s="20"/>
      <c r="G21" s="20"/>
      <c r="H21" s="58">
        <f>+H18+H19-H20</f>
        <v>546178.348</v>
      </c>
      <c r="I21" s="34"/>
      <c r="K21" s="20"/>
      <c r="L21" s="93"/>
    </row>
    <row r="22" spans="1:256" ht="13.8" thickTop="1" x14ac:dyDescent="0.25">
      <c r="A22" s="122"/>
      <c r="B22" s="22"/>
      <c r="C22" s="23"/>
      <c r="D22" s="23"/>
      <c r="E22" s="20"/>
      <c r="F22" s="20"/>
      <c r="G22" s="20"/>
      <c r="H22" s="20"/>
      <c r="I22" s="21"/>
      <c r="K22" s="20"/>
      <c r="L22" s="38"/>
    </row>
    <row r="23" spans="1:256" ht="13.8" x14ac:dyDescent="0.25">
      <c r="A23" s="122"/>
      <c r="B23" s="190" t="s">
        <v>208</v>
      </c>
      <c r="C23" s="187"/>
      <c r="D23" s="187"/>
      <c r="E23" s="187"/>
      <c r="F23" s="187"/>
      <c r="G23" s="187"/>
      <c r="H23" s="188"/>
      <c r="I23" s="191">
        <f>+[1]Hoja1!$I$19</f>
        <v>3392743.59</v>
      </c>
      <c r="K23" s="20"/>
      <c r="L23" s="37"/>
    </row>
    <row r="24" spans="1:256" ht="13.8" x14ac:dyDescent="0.25">
      <c r="A24" s="123">
        <v>1</v>
      </c>
      <c r="B24" s="190" t="s">
        <v>209</v>
      </c>
      <c r="C24" s="187"/>
      <c r="D24" s="187"/>
      <c r="E24" s="187"/>
      <c r="F24" s="187"/>
      <c r="G24" s="187"/>
      <c r="H24" s="188"/>
      <c r="I24" s="192">
        <v>7.0000000000000007E-2</v>
      </c>
      <c r="K24" s="20"/>
      <c r="L24" s="37"/>
      <c r="IV24">
        <f>SUM(IV20:IV22)</f>
        <v>0</v>
      </c>
    </row>
    <row r="25" spans="1:256" ht="13.8" x14ac:dyDescent="0.25">
      <c r="A25" s="122"/>
      <c r="B25" s="190" t="s">
        <v>207</v>
      </c>
      <c r="C25" s="187"/>
      <c r="D25" s="187"/>
      <c r="E25" s="187"/>
      <c r="F25" s="187"/>
      <c r="G25" s="187"/>
      <c r="H25" s="188"/>
      <c r="I25" s="191">
        <f>+I23*I24</f>
        <v>237492.05130000002</v>
      </c>
      <c r="J25" s="5"/>
      <c r="K25" s="97"/>
      <c r="L25" s="92"/>
      <c r="M25" s="36"/>
      <c r="N25" s="28"/>
    </row>
    <row r="26" spans="1:256" ht="16.5" customHeight="1" x14ac:dyDescent="0.25">
      <c r="A26" s="122"/>
      <c r="B26" s="190" t="s">
        <v>66</v>
      </c>
      <c r="C26" s="187"/>
      <c r="D26" s="187"/>
      <c r="E26" s="187"/>
      <c r="F26" s="187"/>
      <c r="G26" s="187"/>
      <c r="H26" s="189"/>
      <c r="I26" s="193">
        <f>+H21-I25</f>
        <v>308686.29669999995</v>
      </c>
      <c r="J26" s="79"/>
      <c r="K26" s="98"/>
      <c r="L26" s="28"/>
      <c r="M26" s="28"/>
      <c r="N26" s="28"/>
    </row>
    <row r="27" spans="1:256" ht="13.8" x14ac:dyDescent="0.25">
      <c r="A27" s="122"/>
      <c r="B27" s="275" t="s">
        <v>102</v>
      </c>
      <c r="C27" s="276"/>
      <c r="D27" s="276"/>
      <c r="E27" s="276"/>
      <c r="F27" s="276"/>
      <c r="G27" s="276"/>
      <c r="H27" s="276"/>
      <c r="I27" s="277"/>
      <c r="J27" s="79"/>
      <c r="K27" s="98"/>
      <c r="L27" s="28"/>
      <c r="M27" s="28"/>
      <c r="N27" s="28"/>
    </row>
    <row r="28" spans="1:256" ht="15.6" x14ac:dyDescent="0.3">
      <c r="A28" s="122"/>
      <c r="B28" s="278" t="s">
        <v>103</v>
      </c>
      <c r="C28" s="279"/>
      <c r="D28" s="279"/>
      <c r="E28" s="279"/>
      <c r="F28" s="279"/>
      <c r="G28" s="279"/>
      <c r="H28" s="103" t="s">
        <v>22</v>
      </c>
      <c r="I28" s="106" t="s">
        <v>23</v>
      </c>
      <c r="J28" s="79"/>
      <c r="K28" s="98"/>
      <c r="L28" s="28"/>
      <c r="M28" s="28"/>
      <c r="N28" s="28"/>
    </row>
    <row r="29" spans="1:256" x14ac:dyDescent="0.25">
      <c r="A29" s="122"/>
      <c r="B29" s="269" t="s">
        <v>242</v>
      </c>
      <c r="C29" s="270"/>
      <c r="D29" s="270"/>
      <c r="E29" s="270"/>
      <c r="F29" s="270"/>
      <c r="G29" s="270"/>
      <c r="H29" s="104">
        <f>+I29/I26</f>
        <v>0.64790695971312295</v>
      </c>
      <c r="I29" s="107">
        <v>200000</v>
      </c>
      <c r="K29" s="28"/>
      <c r="L29" s="28"/>
      <c r="M29" s="28"/>
      <c r="N29" s="28"/>
    </row>
    <row r="30" spans="1:256" x14ac:dyDescent="0.25">
      <c r="A30" s="122"/>
      <c r="B30" s="269" t="s">
        <v>243</v>
      </c>
      <c r="C30" s="270"/>
      <c r="D30" s="270"/>
      <c r="E30" s="270"/>
      <c r="F30" s="270"/>
      <c r="G30" s="270"/>
      <c r="H30" s="104">
        <f>+I30/I26</f>
        <v>0.35209304028687699</v>
      </c>
      <c r="I30" s="107">
        <f>+I26-I29</f>
        <v>108686.29669999995</v>
      </c>
      <c r="J30" s="63"/>
      <c r="K30" s="28"/>
      <c r="L30" s="28"/>
      <c r="M30" s="28"/>
      <c r="N30" s="28"/>
    </row>
    <row r="31" spans="1:256" x14ac:dyDescent="0.25">
      <c r="A31" s="122"/>
      <c r="B31" s="269"/>
      <c r="C31" s="270"/>
      <c r="D31" s="270"/>
      <c r="E31" s="270"/>
      <c r="F31" s="270"/>
      <c r="G31" s="270"/>
      <c r="H31" s="104"/>
      <c r="I31" s="107">
        <f>+$I$26*H31</f>
        <v>0</v>
      </c>
      <c r="K31" s="28"/>
      <c r="L31" s="28"/>
      <c r="M31" s="28"/>
      <c r="N31" s="28"/>
    </row>
    <row r="32" spans="1:256" x14ac:dyDescent="0.25">
      <c r="A32" s="122"/>
      <c r="B32" s="269"/>
      <c r="C32" s="270"/>
      <c r="D32" s="270"/>
      <c r="E32" s="270"/>
      <c r="F32" s="270"/>
      <c r="G32" s="270"/>
      <c r="H32" s="105"/>
      <c r="I32" s="107">
        <f>+$I$26*H32</f>
        <v>0</v>
      </c>
      <c r="K32" s="28"/>
      <c r="L32" s="28"/>
      <c r="M32" s="28"/>
      <c r="N32" s="28"/>
    </row>
    <row r="33" spans="1:14" x14ac:dyDescent="0.25">
      <c r="A33" s="122"/>
      <c r="B33" s="269"/>
      <c r="C33" s="270"/>
      <c r="D33" s="270"/>
      <c r="E33" s="270"/>
      <c r="F33" s="270"/>
      <c r="G33" s="270"/>
      <c r="H33" s="105"/>
      <c r="I33" s="107">
        <f>+$I$26*H33</f>
        <v>0</v>
      </c>
      <c r="K33" s="28"/>
      <c r="L33" s="28"/>
      <c r="M33" s="28"/>
      <c r="N33" s="28"/>
    </row>
    <row r="34" spans="1:14" ht="13.8" thickBot="1" x14ac:dyDescent="0.3">
      <c r="A34" s="122"/>
      <c r="B34" s="108"/>
      <c r="C34" s="109"/>
      <c r="D34" s="109"/>
      <c r="E34" s="109"/>
      <c r="F34" s="109"/>
      <c r="G34" s="110" t="s">
        <v>104</v>
      </c>
      <c r="H34" s="111">
        <f>+SUM(H29:H33)</f>
        <v>1</v>
      </c>
      <c r="I34" s="112">
        <f>+SUM(I29:I33)</f>
        <v>308686.29669999995</v>
      </c>
      <c r="K34" s="28"/>
      <c r="L34" s="28"/>
      <c r="M34" s="28"/>
      <c r="N34" s="28"/>
    </row>
    <row r="35" spans="1:14" ht="13.8" thickBot="1" x14ac:dyDescent="0.3">
      <c r="A35" s="122"/>
      <c r="B35" s="22"/>
      <c r="C35" s="23"/>
      <c r="D35" s="23"/>
      <c r="E35" s="20"/>
      <c r="F35" s="20"/>
      <c r="G35" s="20"/>
      <c r="H35" s="20"/>
      <c r="I35" s="21"/>
      <c r="K35" s="28"/>
      <c r="L35" s="28"/>
      <c r="M35" s="28"/>
      <c r="N35" s="28"/>
    </row>
    <row r="36" spans="1:14" ht="16.2" thickBot="1" x14ac:dyDescent="0.35">
      <c r="A36" s="122"/>
      <c r="B36" s="113" t="s">
        <v>48</v>
      </c>
      <c r="C36" s="114"/>
      <c r="D36" s="114"/>
      <c r="E36" s="115"/>
      <c r="F36" s="115"/>
      <c r="G36" s="115"/>
      <c r="H36" s="17" t="s">
        <v>22</v>
      </c>
      <c r="I36" s="116" t="s">
        <v>23</v>
      </c>
      <c r="K36" s="28"/>
      <c r="L36" s="28"/>
      <c r="M36" s="28"/>
      <c r="N36" s="28"/>
    </row>
    <row r="37" spans="1:14" ht="23.25" customHeight="1" thickBot="1" x14ac:dyDescent="0.35">
      <c r="A37" s="123">
        <v>2</v>
      </c>
      <c r="B37" s="31" t="s">
        <v>100</v>
      </c>
      <c r="C37" s="32"/>
      <c r="D37" s="32"/>
      <c r="E37" s="32"/>
      <c r="F37" s="32"/>
      <c r="G37" s="117"/>
      <c r="H37" s="157">
        <v>5.5E-2</v>
      </c>
      <c r="I37" s="155">
        <f>+'Calculo Excedentes'!Z87</f>
        <v>181579.54482712326</v>
      </c>
      <c r="J37" s="65">
        <v>201000.56</v>
      </c>
      <c r="K37" s="36"/>
      <c r="L37" s="28"/>
      <c r="M37" s="28"/>
      <c r="N37" s="28"/>
    </row>
    <row r="38" spans="1:14" ht="9" customHeight="1" thickBot="1" x14ac:dyDescent="0.3">
      <c r="A38" s="122"/>
      <c r="B38" s="27"/>
      <c r="C38" s="28"/>
      <c r="D38" s="28"/>
      <c r="E38" s="28"/>
      <c r="F38" s="28"/>
      <c r="G38" s="28"/>
      <c r="H38" s="29"/>
      <c r="I38" s="30"/>
      <c r="K38" s="28"/>
      <c r="L38" s="28"/>
      <c r="M38" s="28"/>
      <c r="N38" s="28"/>
    </row>
    <row r="39" spans="1:14" ht="16.2" thickBot="1" x14ac:dyDescent="0.35">
      <c r="A39" s="123">
        <v>3</v>
      </c>
      <c r="B39" s="118" t="s">
        <v>54</v>
      </c>
      <c r="C39" s="119"/>
      <c r="D39" s="119"/>
      <c r="E39" s="119"/>
      <c r="F39" s="119"/>
      <c r="G39" s="119"/>
      <c r="H39" s="120"/>
      <c r="I39" s="155">
        <f>+I25-I37</f>
        <v>55912.506472876761</v>
      </c>
      <c r="J39" s="63"/>
      <c r="K39" s="28"/>
      <c r="L39" s="28"/>
      <c r="M39" s="28"/>
      <c r="N39" s="28"/>
    </row>
    <row r="40" spans="1:14" ht="13.8" thickBot="1" x14ac:dyDescent="0.3">
      <c r="A40" s="122"/>
      <c r="B40" s="19"/>
      <c r="C40" s="20"/>
      <c r="D40" s="20"/>
      <c r="E40" s="20"/>
      <c r="F40" s="20"/>
      <c r="G40" s="20"/>
      <c r="H40" s="20"/>
      <c r="I40" s="21"/>
    </row>
    <row r="41" spans="1:14" ht="18" thickBot="1" x14ac:dyDescent="0.35">
      <c r="A41" s="123">
        <v>4</v>
      </c>
      <c r="B41" s="31" t="s">
        <v>49</v>
      </c>
      <c r="C41" s="32"/>
      <c r="D41" s="32"/>
      <c r="E41" s="32"/>
      <c r="F41" s="32"/>
      <c r="G41" s="32"/>
      <c r="H41" s="215">
        <v>7.6999999999999999E-2</v>
      </c>
      <c r="I41" s="21"/>
    </row>
    <row r="42" spans="1:14" ht="13.8" thickBot="1" x14ac:dyDescent="0.3">
      <c r="A42" s="124"/>
      <c r="B42" s="24"/>
      <c r="C42" s="25"/>
      <c r="D42" s="25"/>
      <c r="E42" s="25"/>
      <c r="F42" s="25"/>
      <c r="G42" s="25"/>
      <c r="H42" s="25"/>
      <c r="I42" s="26"/>
    </row>
    <row r="43" spans="1:14" x14ac:dyDescent="0.25">
      <c r="I43" s="11"/>
    </row>
    <row r="46" spans="1:14" ht="30" customHeight="1" x14ac:dyDescent="0.25">
      <c r="G46" s="62"/>
      <c r="H46" s="62"/>
      <c r="I46" s="62"/>
      <c r="J46" s="62"/>
      <c r="K46" s="62"/>
      <c r="L46" s="62"/>
    </row>
    <row r="47" spans="1:14" x14ac:dyDescent="0.25">
      <c r="F47" s="10"/>
      <c r="G47" s="10"/>
      <c r="I47" s="63"/>
      <c r="J47" s="64"/>
      <c r="K47" s="63"/>
      <c r="L47" s="65"/>
      <c r="M47" s="65"/>
    </row>
    <row r="48" spans="1:14" ht="210" customHeight="1" x14ac:dyDescent="0.25">
      <c r="B48" s="20"/>
      <c r="F48" s="10"/>
      <c r="G48" s="10"/>
      <c r="I48" s="10"/>
      <c r="J48" s="10"/>
      <c r="K48" s="63"/>
      <c r="L48" s="65"/>
    </row>
    <row r="49" spans="2:12" x14ac:dyDescent="0.25">
      <c r="B49" s="67"/>
      <c r="G49" s="10"/>
      <c r="J49" s="10"/>
      <c r="K49" s="63"/>
      <c r="L49" s="65"/>
    </row>
    <row r="50" spans="2:12" ht="180" customHeight="1" x14ac:dyDescent="0.25">
      <c r="B50" s="67"/>
      <c r="G50" s="10"/>
      <c r="J50" s="10"/>
      <c r="K50" s="63"/>
      <c r="L50" s="65"/>
    </row>
    <row r="51" spans="2:12" x14ac:dyDescent="0.25">
      <c r="B51" s="3"/>
      <c r="L51" s="66"/>
    </row>
    <row r="52" spans="2:12" ht="255" customHeight="1" x14ac:dyDescent="0.25">
      <c r="B52" s="3"/>
      <c r="L52" s="10"/>
    </row>
    <row r="53" spans="2:12" x14ac:dyDescent="0.25">
      <c r="L53" s="66"/>
    </row>
  </sheetData>
  <mergeCells count="10">
    <mergeCell ref="B30:G30"/>
    <mergeCell ref="B31:G31"/>
    <mergeCell ref="B32:G32"/>
    <mergeCell ref="B33:G33"/>
    <mergeCell ref="A2:I2"/>
    <mergeCell ref="B4:I4"/>
    <mergeCell ref="B27:I27"/>
    <mergeCell ref="B28:G28"/>
    <mergeCell ref="B5:I5"/>
    <mergeCell ref="B29:G29"/>
  </mergeCells>
  <phoneticPr fontId="0" type="noConversion"/>
  <printOptions horizontalCentered="1" verticalCentered="1"/>
  <pageMargins left="0" right="0" top="0" bottom="0" header="0" footer="0"/>
  <pageSetup scale="9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0"/>
  <sheetViews>
    <sheetView zoomScaleNormal="100" workbookViewId="0">
      <pane xSplit="3" ySplit="5" topLeftCell="D77" activePane="bottomRight" state="frozen"/>
      <selection pane="topRight" activeCell="D1" sqref="D1"/>
      <selection pane="bottomLeft" activeCell="A5" sqref="A5"/>
      <selection pane="bottomRight" activeCell="E7" sqref="E7"/>
    </sheetView>
  </sheetViews>
  <sheetFormatPr baseColWidth="10" defaultRowHeight="13.2" x14ac:dyDescent="0.25"/>
  <cols>
    <col min="1" max="1" width="7.33203125" customWidth="1"/>
    <col min="2" max="2" width="25.109375" customWidth="1"/>
    <col min="3" max="3" width="2.33203125" customWidth="1"/>
    <col min="4" max="5" width="12.44140625" customWidth="1"/>
    <col min="6" max="6" width="10" customWidth="1"/>
    <col min="7" max="7" width="2" customWidth="1"/>
    <col min="8" max="8" width="12.33203125" style="12" customWidth="1"/>
    <col min="9" max="10" width="11.6640625" style="12" customWidth="1"/>
    <col min="11" max="11" width="13.5546875" style="12" customWidth="1"/>
    <col min="12" max="13" width="11.6640625" style="12" customWidth="1"/>
    <col min="14" max="14" width="2" style="12" customWidth="1"/>
  </cols>
  <sheetData>
    <row r="1" spans="1:13" ht="13.8" x14ac:dyDescent="0.25">
      <c r="B1" s="2" t="s">
        <v>212</v>
      </c>
    </row>
    <row r="2" spans="1:13" ht="13.8" x14ac:dyDescent="0.25">
      <c r="B2" s="195" t="s">
        <v>210</v>
      </c>
      <c r="C2" s="196"/>
      <c r="D2" s="196"/>
      <c r="E2" s="196"/>
      <c r="F2" s="196"/>
      <c r="G2" s="196"/>
      <c r="H2" s="196"/>
    </row>
    <row r="3" spans="1:13" ht="13.8" thickBot="1" x14ac:dyDescent="0.3"/>
    <row r="4" spans="1:13" ht="24.75" customHeight="1" thickBot="1" x14ac:dyDescent="0.3">
      <c r="D4" s="210" t="s">
        <v>215</v>
      </c>
      <c r="E4" s="211"/>
      <c r="F4" s="212"/>
      <c r="H4" s="213" t="s">
        <v>226</v>
      </c>
      <c r="I4" s="207"/>
      <c r="J4" s="207"/>
      <c r="K4" s="208"/>
      <c r="L4" s="208"/>
      <c r="M4" s="209"/>
    </row>
    <row r="5" spans="1:13" s="177" customFormat="1" ht="55.5" customHeight="1" x14ac:dyDescent="0.25">
      <c r="A5" s="69" t="s">
        <v>180</v>
      </c>
      <c r="B5" s="69" t="s">
        <v>43</v>
      </c>
      <c r="D5" s="201" t="s">
        <v>220</v>
      </c>
      <c r="E5" s="202" t="s">
        <v>221</v>
      </c>
      <c r="F5" s="203" t="s">
        <v>222</v>
      </c>
      <c r="H5" s="198" t="s">
        <v>190</v>
      </c>
      <c r="I5" s="198" t="s">
        <v>191</v>
      </c>
      <c r="J5" s="198" t="s">
        <v>192</v>
      </c>
      <c r="K5" s="198" t="s">
        <v>223</v>
      </c>
      <c r="L5" s="198" t="s">
        <v>225</v>
      </c>
      <c r="M5" s="198" t="s">
        <v>224</v>
      </c>
    </row>
    <row r="6" spans="1:13" x14ac:dyDescent="0.25">
      <c r="A6" s="59"/>
      <c r="B6" s="59"/>
      <c r="D6" s="19"/>
      <c r="E6" s="20"/>
      <c r="F6" s="142"/>
    </row>
    <row r="7" spans="1:13" s="12" customFormat="1" x14ac:dyDescent="0.25">
      <c r="A7" s="128" t="str">
        <f>+'Calculo Excedentes'!A7</f>
        <v>CA-1</v>
      </c>
      <c r="B7" s="206" t="str">
        <f>+'Calculo Excedentes'!B7</f>
        <v>ACECENTA</v>
      </c>
      <c r="D7" s="143">
        <f>+'Calculo Excedentes'!D7+'Calculo Excedentes'!K7</f>
        <v>334668.01</v>
      </c>
      <c r="E7" s="9">
        <f>+'Calculo Excedentes'!Q7</f>
        <v>-44186.233900000007</v>
      </c>
      <c r="F7" s="241">
        <f>+'Calculo Excedentes'!V7</f>
        <v>0</v>
      </c>
      <c r="H7" s="9">
        <f>+'Calculo Excedentes'!X7</f>
        <v>112628.56</v>
      </c>
      <c r="I7" s="268">
        <f>+'Calculo Excedentes'!Y7</f>
        <v>132742.84999999998</v>
      </c>
      <c r="J7" s="268">
        <f>+'Calculo Excedentes'!Z7</f>
        <v>6799.8077972602732</v>
      </c>
      <c r="K7" s="68">
        <f>+L7-J7</f>
        <v>2646.9914877397259</v>
      </c>
      <c r="L7" s="68">
        <f>+'Calculo Excedentes'!BE7</f>
        <v>9446.7992849999991</v>
      </c>
      <c r="M7" s="242">
        <f>+'Calculo Excedentes'!BD7</f>
        <v>7.6999999999999999E-2</v>
      </c>
    </row>
    <row r="8" spans="1:13" s="12" customFormat="1" x14ac:dyDescent="0.25">
      <c r="A8" s="128" t="str">
        <f>+'Calculo Excedentes'!A8</f>
        <v>CA-2</v>
      </c>
      <c r="B8" s="206" t="str">
        <f>+'Calculo Excedentes'!B8</f>
        <v>ACACSEMERSA</v>
      </c>
      <c r="D8" s="143">
        <f>+'Calculo Excedentes'!D8+'Calculo Excedentes'!K8</f>
        <v>115993.09</v>
      </c>
      <c r="E8" s="9">
        <f>+'Calculo Excedentes'!Q8</f>
        <v>58011.934899999993</v>
      </c>
      <c r="F8" s="241">
        <f>+'Calculo Excedentes'!V8</f>
        <v>4.8615412189832063E-2</v>
      </c>
      <c r="H8" s="9">
        <f>+'Calculo Excedentes'!X8</f>
        <v>91771.44</v>
      </c>
      <c r="I8" s="268">
        <f>+'Calculo Excedentes'!Y8</f>
        <v>110671.44</v>
      </c>
      <c r="J8" s="268">
        <f>+'Calculo Excedentes'!Z8</f>
        <v>5542.5045424657546</v>
      </c>
      <c r="K8" s="68">
        <f t="shared" ref="K8:K28" si="0">+L8-J8</f>
        <v>2251.5463375342451</v>
      </c>
      <c r="L8" s="68">
        <f>+'Calculo Excedentes'!BE8</f>
        <v>7794.0508799999998</v>
      </c>
      <c r="M8" s="242">
        <f>+'Calculo Excedentes'!BD8</f>
        <v>7.6999999999999999E-2</v>
      </c>
    </row>
    <row r="9" spans="1:13" s="12" customFormat="1" x14ac:dyDescent="0.25">
      <c r="A9" s="128" t="str">
        <f>+'Calculo Excedentes'!A9</f>
        <v>CA-3</v>
      </c>
      <c r="B9" s="206" t="str">
        <f>+'Calculo Excedentes'!B9</f>
        <v>ACACCIBA</v>
      </c>
      <c r="D9" s="143">
        <f>+'Calculo Excedentes'!D9+'Calculo Excedentes'!K9</f>
        <v>265931.55</v>
      </c>
      <c r="E9" s="9">
        <f>+'Calculo Excedentes'!Q9</f>
        <v>44863.475499999971</v>
      </c>
      <c r="F9" s="241">
        <f>+'Calculo Excedentes'!V9</f>
        <v>0.11145812149267628</v>
      </c>
      <c r="H9" s="9">
        <f>+'Calculo Excedentes'!X9</f>
        <v>11428.57</v>
      </c>
      <c r="I9" s="268">
        <f>+'Calculo Excedentes'!Y9</f>
        <v>15085.84</v>
      </c>
      <c r="J9" s="268">
        <f>+'Calculo Excedentes'!Z9</f>
        <v>730.02437863013699</v>
      </c>
      <c r="K9" s="68">
        <f t="shared" si="0"/>
        <v>290.78040636986293</v>
      </c>
      <c r="L9" s="68">
        <f>+'Calculo Excedentes'!BE9</f>
        <v>1020.8047849999999</v>
      </c>
      <c r="M9" s="242">
        <f>+'Calculo Excedentes'!BD9</f>
        <v>7.6999999999999999E-2</v>
      </c>
    </row>
    <row r="10" spans="1:13" s="12" customFormat="1" x14ac:dyDescent="0.25">
      <c r="A10" s="128" t="str">
        <f>+'Calculo Excedentes'!A10</f>
        <v>CA-4</v>
      </c>
      <c r="B10" s="206" t="str">
        <f>+'Calculo Excedentes'!B10</f>
        <v>ACACME</v>
      </c>
      <c r="D10" s="143">
        <f>+'Calculo Excedentes'!D10+'Calculo Excedentes'!K10</f>
        <v>92879.91</v>
      </c>
      <c r="E10" s="9">
        <f>+'Calculo Excedentes'!Q10</f>
        <v>14611.545100000003</v>
      </c>
      <c r="F10" s="241">
        <f>+'Calculo Excedentes'!V10</f>
        <v>3.8928138812445681E-2</v>
      </c>
      <c r="H10" s="9">
        <f>+'Calculo Excedentes'!X10</f>
        <v>66799.929999999993</v>
      </c>
      <c r="I10" s="268">
        <f>+'Calculo Excedentes'!Y10</f>
        <v>92168.079999999987</v>
      </c>
      <c r="J10" s="268">
        <f>+'Calculo Excedentes'!Z10</f>
        <v>4280.1801719178075</v>
      </c>
      <c r="K10" s="68">
        <f t="shared" si="0"/>
        <v>1840.0882130821919</v>
      </c>
      <c r="L10" s="68">
        <f>+'Calculo Excedentes'!BE10</f>
        <v>6120.2683849999994</v>
      </c>
      <c r="M10" s="242">
        <f>+'Calculo Excedentes'!BD10</f>
        <v>7.6999999999999999E-2</v>
      </c>
    </row>
    <row r="11" spans="1:13" s="12" customFormat="1" x14ac:dyDescent="0.25">
      <c r="A11" s="128" t="str">
        <f>+'Calculo Excedentes'!A11</f>
        <v>CA-5</v>
      </c>
      <c r="B11" s="206" t="str">
        <f>+'Calculo Excedentes'!B11</f>
        <v>ACODJAR</v>
      </c>
      <c r="D11" s="143">
        <f>+'Calculo Excedentes'!D11+'Calculo Excedentes'!K11</f>
        <v>389444.88</v>
      </c>
      <c r="E11" s="9">
        <f>+'Calculo Excedentes'!Q11</f>
        <v>82350.546800000011</v>
      </c>
      <c r="F11" s="241">
        <f>+'Calculo Excedentes'!V11</f>
        <v>0.16322544184674867</v>
      </c>
      <c r="H11" s="9">
        <f>+'Calculo Excedentes'!X11</f>
        <v>119199.99</v>
      </c>
      <c r="I11" s="268">
        <f>+'Calculo Excedentes'!Y11</f>
        <v>147885.71000000002</v>
      </c>
      <c r="J11" s="268">
        <f>+'Calculo Excedentes'!Z11</f>
        <v>7363.5848527397256</v>
      </c>
      <c r="K11" s="68">
        <f t="shared" si="0"/>
        <v>2919.2145972602748</v>
      </c>
      <c r="L11" s="68">
        <f>+'Calculo Excedentes'!BE11</f>
        <v>10282.79945</v>
      </c>
      <c r="M11" s="242">
        <f>+'Calculo Excedentes'!BD11</f>
        <v>7.6999999999999999E-2</v>
      </c>
    </row>
    <row r="12" spans="1:13" s="12" customFormat="1" x14ac:dyDescent="0.25">
      <c r="A12" s="128" t="str">
        <f>+'Calculo Excedentes'!A12</f>
        <v>CA-6</v>
      </c>
      <c r="B12" s="206" t="str">
        <f>+'Calculo Excedentes'!B12</f>
        <v>FEDECACES</v>
      </c>
      <c r="D12" s="143">
        <f>+'Calculo Excedentes'!D12+'Calculo Excedentes'!K12</f>
        <v>62346.5</v>
      </c>
      <c r="E12" s="9">
        <f>+'Calculo Excedentes'!Q12</f>
        <v>32853.894999999997</v>
      </c>
      <c r="F12" s="241">
        <f>+'Calculo Excedentes'!V12</f>
        <v>2.6130873796821559E-2</v>
      </c>
      <c r="H12" s="9">
        <f>+'Calculo Excedentes'!X12</f>
        <v>1529028.58</v>
      </c>
      <c r="I12" s="268">
        <f>+'Calculo Excedentes'!Y12</f>
        <v>1632342.87</v>
      </c>
      <c r="J12" s="268">
        <f>+'Calculo Excedentes'!Z12</f>
        <v>89078.30204794521</v>
      </c>
      <c r="K12" s="68">
        <f t="shared" si="0"/>
        <v>32634.498777054789</v>
      </c>
      <c r="L12" s="68">
        <f>+'Calculo Excedentes'!BE12</f>
        <v>121712.800825</v>
      </c>
      <c r="M12" s="242">
        <f>+'Calculo Excedentes'!BD12</f>
        <v>7.6999999999999999E-2</v>
      </c>
    </row>
    <row r="13" spans="1:13" s="12" customFormat="1" x14ac:dyDescent="0.25">
      <c r="A13" s="128" t="str">
        <f>+'Calculo Excedentes'!A13</f>
        <v>CA-7</v>
      </c>
      <c r="B13" s="206" t="str">
        <f>+'Calculo Excedentes'!B13</f>
        <v>ACACESPSA</v>
      </c>
      <c r="D13" s="143">
        <f>+'Calculo Excedentes'!D13+'Calculo Excedentes'!K13</f>
        <v>330924.48</v>
      </c>
      <c r="E13" s="9">
        <f>+'Calculo Excedentes'!Q13</f>
        <v>142133.00279999999</v>
      </c>
      <c r="F13" s="241">
        <f>+'Calculo Excedentes'!V13</f>
        <v>0.13869817589052794</v>
      </c>
      <c r="H13" s="9">
        <f>+'Calculo Excedentes'!X13</f>
        <v>57855.17</v>
      </c>
      <c r="I13" s="268">
        <f>+'Calculo Excedentes'!Y13</f>
        <v>73937.379999999976</v>
      </c>
      <c r="J13" s="268">
        <f>+'Calculo Excedentes'!Z13</f>
        <v>3629.6589758904111</v>
      </c>
      <c r="K13" s="68">
        <f t="shared" si="0"/>
        <v>1444.3541991095881</v>
      </c>
      <c r="L13" s="68">
        <f>+'Calculo Excedentes'!BE13</f>
        <v>5074.0131749999991</v>
      </c>
      <c r="M13" s="242">
        <f>+'Calculo Excedentes'!BD13</f>
        <v>7.6999999999999999E-2</v>
      </c>
    </row>
    <row r="14" spans="1:13" s="12" customFormat="1" x14ac:dyDescent="0.25">
      <c r="A14" s="128" t="str">
        <f>+'Calculo Excedentes'!A14</f>
        <v>CA-8</v>
      </c>
      <c r="B14" s="206" t="str">
        <f>+'Calculo Excedentes'!B14</f>
        <v>ACAYCCOMAC</v>
      </c>
      <c r="D14" s="143">
        <f>+'Calculo Excedentes'!D14+'Calculo Excedentes'!K14</f>
        <v>164201.96</v>
      </c>
      <c r="E14" s="9">
        <f>+'Calculo Excedentes'!Q14</f>
        <v>63985.475599999991</v>
      </c>
      <c r="F14" s="241">
        <f>+'Calculo Excedentes'!V14</f>
        <v>6.8820875172635854E-2</v>
      </c>
      <c r="H14" s="9">
        <f>+'Calculo Excedentes'!X14</f>
        <v>60763.5</v>
      </c>
      <c r="I14" s="268">
        <f>+'Calculo Excedentes'!Y14</f>
        <v>76720.649999999994</v>
      </c>
      <c r="J14" s="268">
        <f>+'Calculo Excedentes'!Z14</f>
        <v>3775.3952484931501</v>
      </c>
      <c r="K14" s="68">
        <f t="shared" si="0"/>
        <v>1517.7445265068495</v>
      </c>
      <c r="L14" s="68">
        <f>+'Calculo Excedentes'!BE14</f>
        <v>5293.1397749999996</v>
      </c>
      <c r="M14" s="242">
        <f>+'Calculo Excedentes'!BD14</f>
        <v>7.6999999999999999E-2</v>
      </c>
    </row>
    <row r="15" spans="1:13" s="12" customFormat="1" x14ac:dyDescent="0.25">
      <c r="A15" s="128" t="str">
        <f>+'Calculo Excedentes'!A15</f>
        <v>CA-9</v>
      </c>
      <c r="B15" s="206" t="str">
        <f>+'Calculo Excedentes'!B15</f>
        <v>ACOPACC</v>
      </c>
      <c r="D15" s="143">
        <f>+'Calculo Excedentes'!D15+'Calculo Excedentes'!K15</f>
        <v>148133.01999999999</v>
      </c>
      <c r="E15" s="9">
        <f>+'Calculo Excedentes'!Q15</f>
        <v>37656.962200000002</v>
      </c>
      <c r="F15" s="241">
        <f>+'Calculo Excedentes'!V15</f>
        <v>6.2086007245988846E-2</v>
      </c>
      <c r="H15" s="9">
        <f>+'Calculo Excedentes'!X15</f>
        <v>74800.100000000006</v>
      </c>
      <c r="I15" s="268">
        <f>+'Calculo Excedentes'!Y15</f>
        <v>91371.959999999992</v>
      </c>
      <c r="J15" s="268">
        <f>+'Calculo Excedentes'!Z15</f>
        <v>4452.9158510958905</v>
      </c>
      <c r="K15" s="68">
        <f t="shared" si="0"/>
        <v>1944.7084589041096</v>
      </c>
      <c r="L15" s="68">
        <f>+'Calculo Excedentes'!BE15</f>
        <v>6397.6243100000002</v>
      </c>
      <c r="M15" s="242">
        <f>+'Calculo Excedentes'!BD15</f>
        <v>7.6999999999999999E-2</v>
      </c>
    </row>
    <row r="16" spans="1:13" s="12" customFormat="1" x14ac:dyDescent="0.25">
      <c r="A16" s="128" t="str">
        <f>+'Calculo Excedentes'!A16</f>
        <v>CA-10</v>
      </c>
      <c r="B16" s="206" t="str">
        <f>+'Calculo Excedentes'!B16</f>
        <v>ACACEMIHA</v>
      </c>
      <c r="D16" s="143">
        <f>+'Calculo Excedentes'!D16+'Calculo Excedentes'!K16</f>
        <v>72838.81</v>
      </c>
      <c r="E16" s="9">
        <f>+'Calculo Excedentes'!Q16</f>
        <v>38972.814099999996</v>
      </c>
      <c r="F16" s="241">
        <f>+'Calculo Excedentes'!V16</f>
        <v>3.0528445889034091E-2</v>
      </c>
      <c r="H16" s="9">
        <f>+'Calculo Excedentes'!X16</f>
        <v>58111.12</v>
      </c>
      <c r="I16" s="268">
        <f>+'Calculo Excedentes'!Y16</f>
        <v>78558.719999999958</v>
      </c>
      <c r="J16" s="268">
        <f>+'Calculo Excedentes'!Z16</f>
        <v>3751.3059973972604</v>
      </c>
      <c r="K16" s="68">
        <f t="shared" si="0"/>
        <v>1510.4828426027379</v>
      </c>
      <c r="L16" s="68">
        <f>+'Calculo Excedentes'!BE16</f>
        <v>5261.7888399999983</v>
      </c>
      <c r="M16" s="242">
        <f>+'Calculo Excedentes'!BD16</f>
        <v>7.6999999999999999E-2</v>
      </c>
    </row>
    <row r="17" spans="1:13" s="12" customFormat="1" x14ac:dyDescent="0.25">
      <c r="A17" s="128" t="str">
        <f>+'Calculo Excedentes'!A17</f>
        <v>CA-11</v>
      </c>
      <c r="B17" s="206" t="str">
        <f>+'Calculo Excedentes'!B17</f>
        <v>ACAPRODUSCA</v>
      </c>
      <c r="D17" s="143">
        <f>+'Calculo Excedentes'!D17+'Calculo Excedentes'!K17</f>
        <v>108987.95</v>
      </c>
      <c r="E17" s="9">
        <f>+'Calculo Excedentes'!Q17</f>
        <v>12802.1495</v>
      </c>
      <c r="F17" s="241">
        <f>+'Calculo Excedentes'!V17</f>
        <v>4.5679394461987412E-2</v>
      </c>
      <c r="H17" s="9">
        <f>+'Calculo Excedentes'!X17</f>
        <v>5644.0099999999993</v>
      </c>
      <c r="I17" s="268">
        <f>+'Calculo Excedentes'!Y17</f>
        <v>11771.42</v>
      </c>
      <c r="J17" s="268">
        <f>+'Calculo Excedentes'!Z17</f>
        <v>606.75086849315062</v>
      </c>
      <c r="K17" s="68">
        <f t="shared" si="0"/>
        <v>63.743186506849383</v>
      </c>
      <c r="L17" s="68">
        <f>+'Calculo Excedentes'!BE17</f>
        <v>670.494055</v>
      </c>
      <c r="M17" s="242">
        <f>+'Calculo Excedentes'!BD17</f>
        <v>7.6999999999999999E-2</v>
      </c>
    </row>
    <row r="18" spans="1:13" s="12" customFormat="1" x14ac:dyDescent="0.25">
      <c r="A18" s="128" t="str">
        <f>+'Calculo Excedentes'!A18</f>
        <v>CA-12</v>
      </c>
      <c r="B18" s="206" t="str">
        <f>+'Calculo Excedentes'!B18</f>
        <v>ACACYPAC</v>
      </c>
      <c r="D18" s="143">
        <f>+'Calculo Excedentes'!D18+'Calculo Excedentes'!K18</f>
        <v>294940.26</v>
      </c>
      <c r="E18" s="9">
        <f>+'Calculo Excedentes'!Q18</f>
        <v>-1505.7413999999844</v>
      </c>
      <c r="F18" s="241">
        <f>+'Calculo Excedentes'!V18</f>
        <v>0</v>
      </c>
      <c r="H18" s="9">
        <f>+'Calculo Excedentes'!X18</f>
        <v>93317.27</v>
      </c>
      <c r="I18" s="268">
        <f>+'Calculo Excedentes'!Y18</f>
        <v>114023.39</v>
      </c>
      <c r="J18" s="268">
        <f>+'Calculo Excedentes'!Z18</f>
        <v>5784.8492327397253</v>
      </c>
      <c r="K18" s="68">
        <f t="shared" si="0"/>
        <v>2197.7661772602751</v>
      </c>
      <c r="L18" s="68">
        <f>+'Calculo Excedentes'!BE18</f>
        <v>7982.6154100000003</v>
      </c>
      <c r="M18" s="242">
        <f>+'Calculo Excedentes'!BD18</f>
        <v>7.6999999999999999E-2</v>
      </c>
    </row>
    <row r="19" spans="1:13" s="12" customFormat="1" x14ac:dyDescent="0.25">
      <c r="A19" s="128" t="str">
        <f>+'Calculo Excedentes'!A19</f>
        <v>CA-13</v>
      </c>
      <c r="B19" s="206" t="str">
        <f>+'Calculo Excedentes'!B19</f>
        <v>COANDES</v>
      </c>
      <c r="D19" s="143">
        <f>+'Calculo Excedentes'!D19+'Calculo Excedentes'!K19</f>
        <v>62296.03</v>
      </c>
      <c r="E19" s="9">
        <f>+'Calculo Excedentes'!Q19</f>
        <v>-32845.541700000002</v>
      </c>
      <c r="F19" s="241">
        <f>+'Calculo Excedentes'!V19</f>
        <v>0</v>
      </c>
      <c r="H19" s="9">
        <f>+'Calculo Excedentes'!X19</f>
        <v>29942.65</v>
      </c>
      <c r="I19" s="268">
        <f>+'Calculo Excedentes'!Y19</f>
        <v>33485.439999999988</v>
      </c>
      <c r="J19" s="268">
        <f>+'Calculo Excedentes'!Z19</f>
        <v>1788.6772305479453</v>
      </c>
      <c r="K19" s="68">
        <f t="shared" si="0"/>
        <v>653.30423445205406</v>
      </c>
      <c r="L19" s="68">
        <f>+'Calculo Excedentes'!BE19</f>
        <v>2441.9814649999994</v>
      </c>
      <c r="M19" s="242">
        <f>+'Calculo Excedentes'!BD19</f>
        <v>7.6999999999999999E-2</v>
      </c>
    </row>
    <row r="20" spans="1:13" s="12" customFormat="1" x14ac:dyDescent="0.25">
      <c r="A20" s="128" t="str">
        <f>+'Calculo Excedentes'!A20</f>
        <v>CA-14</v>
      </c>
      <c r="B20" s="206" t="str">
        <f>+'Calculo Excedentes'!B20</f>
        <v>ACACU DE R.L.</v>
      </c>
      <c r="D20" s="143">
        <f>+'Calculo Excedentes'!D20+'Calculo Excedentes'!K20</f>
        <v>78199.16</v>
      </c>
      <c r="E20" s="9">
        <f>+'Calculo Excedentes'!Q20</f>
        <v>36961.387599999995</v>
      </c>
      <c r="F20" s="241">
        <f>+'Calculo Excedentes'!V20</f>
        <v>3.2775093725829943E-2</v>
      </c>
      <c r="H20" s="9">
        <f>+'Calculo Excedentes'!X20</f>
        <v>48972.800000000003</v>
      </c>
      <c r="I20" s="268">
        <f>+'Calculo Excedentes'!Y20</f>
        <v>65772.850000000006</v>
      </c>
      <c r="J20" s="268">
        <f>+'Calculo Excedentes'!Z20</f>
        <v>3215.4094936986307</v>
      </c>
      <c r="K20" s="68">
        <f t="shared" si="0"/>
        <v>1202.29803130137</v>
      </c>
      <c r="L20" s="68">
        <f>+'Calculo Excedentes'!BE20</f>
        <v>4417.7075250000007</v>
      </c>
      <c r="M20" s="242">
        <f>+'Calculo Excedentes'!BD20</f>
        <v>7.6999999999999999E-2</v>
      </c>
    </row>
    <row r="21" spans="1:13" s="12" customFormat="1" x14ac:dyDescent="0.25">
      <c r="A21" s="128" t="str">
        <f>+'Calculo Excedentes'!A21</f>
        <v>CA-15</v>
      </c>
      <c r="B21" s="206" t="str">
        <f>+'Calculo Excedentes'!B21</f>
        <v>ACOPUS</v>
      </c>
      <c r="D21" s="143">
        <f>+'Calculo Excedentes'!D21+'Calculo Excedentes'!K21</f>
        <v>49823.31</v>
      </c>
      <c r="E21" s="9">
        <f>+'Calculo Excedentes'!Q21</f>
        <v>13945.5491</v>
      </c>
      <c r="F21" s="241">
        <f>+'Calculo Excedentes'!V21</f>
        <v>2.0882112480250174E-2</v>
      </c>
      <c r="H21" s="9">
        <f>+'Calculo Excedentes'!X21</f>
        <v>49938.36</v>
      </c>
      <c r="I21" s="268">
        <f>+'Calculo Excedentes'!Y21</f>
        <v>58201.26</v>
      </c>
      <c r="J21" s="268">
        <f>+'Calculo Excedentes'!Z21</f>
        <v>2904.6975808219181</v>
      </c>
      <c r="K21" s="68">
        <f t="shared" si="0"/>
        <v>1258.6777891780816</v>
      </c>
      <c r="L21" s="68">
        <f>+'Calculo Excedentes'!BE21</f>
        <v>4163.3753699999997</v>
      </c>
      <c r="M21" s="242">
        <f>+'Calculo Excedentes'!BD21</f>
        <v>7.6999999999999999E-2</v>
      </c>
    </row>
    <row r="22" spans="1:13" s="12" customFormat="1" x14ac:dyDescent="0.25">
      <c r="A22" s="128" t="str">
        <f>+'Calculo Excedentes'!A22</f>
        <v>CA-16</v>
      </c>
      <c r="B22" s="206" t="str">
        <f>+'Calculo Excedentes'!B22</f>
        <v>ACOPACTO</v>
      </c>
      <c r="D22" s="143">
        <f>+'Calculo Excedentes'!D22+'Calculo Excedentes'!K22</f>
        <v>80481.149999999994</v>
      </c>
      <c r="E22" s="9">
        <f>+'Calculo Excedentes'!Q22</f>
        <v>6371.2414999999928</v>
      </c>
      <c r="F22" s="241">
        <f>+'Calculo Excedentes'!V22</f>
        <v>3.3731529014027498E-2</v>
      </c>
      <c r="H22" s="9">
        <f>+'Calculo Excedentes'!X22</f>
        <v>62573.7</v>
      </c>
      <c r="I22" s="268">
        <f>+'Calculo Excedentes'!Y22</f>
        <v>88888.37</v>
      </c>
      <c r="J22" s="268">
        <f>+'Calculo Excedentes'!Z22</f>
        <v>4139.9116241095899</v>
      </c>
      <c r="K22" s="68">
        <f t="shared" si="0"/>
        <v>1691.3780708904105</v>
      </c>
      <c r="L22" s="68">
        <f>+'Calculo Excedentes'!BE22</f>
        <v>5831.2896950000004</v>
      </c>
      <c r="M22" s="242">
        <f>+'Calculo Excedentes'!BD22</f>
        <v>7.6999999999999999E-2</v>
      </c>
    </row>
    <row r="23" spans="1:13" s="12" customFormat="1" x14ac:dyDescent="0.25">
      <c r="A23" s="128" t="str">
        <f>+'Calculo Excedentes'!A23</f>
        <v>CA-17</v>
      </c>
      <c r="B23" s="206" t="str">
        <f>+'Calculo Excedentes'!B23</f>
        <v>CODEZA</v>
      </c>
      <c r="D23" s="143">
        <f>+'Calculo Excedentes'!D23+'Calculo Excedentes'!K23</f>
        <v>128784.82</v>
      </c>
      <c r="E23" s="9">
        <f>+'Calculo Excedentes'!Q23</f>
        <v>27048.030200000008</v>
      </c>
      <c r="F23" s="241">
        <f>+'Calculo Excedentes'!V23</f>
        <v>5.397672489019241E-2</v>
      </c>
      <c r="H23" s="9">
        <f>+'Calculo Excedentes'!X23</f>
        <v>61201.32</v>
      </c>
      <c r="I23" s="268">
        <f>+'Calculo Excedentes'!Y23</f>
        <v>78220.520000000019</v>
      </c>
      <c r="J23" s="268">
        <f>+'Calculo Excedentes'!Z23</f>
        <v>3893.5409579452057</v>
      </c>
      <c r="K23" s="68">
        <f t="shared" si="0"/>
        <v>1474.1998820547956</v>
      </c>
      <c r="L23" s="68">
        <f>+'Calculo Excedentes'!BE23</f>
        <v>5367.7408400000013</v>
      </c>
      <c r="M23" s="242">
        <f>+'Calculo Excedentes'!BD23</f>
        <v>7.6999999999999999E-2</v>
      </c>
    </row>
    <row r="24" spans="1:13" s="12" customFormat="1" x14ac:dyDescent="0.25">
      <c r="A24" s="128" t="str">
        <f>+'Calculo Excedentes'!A24</f>
        <v>CA-18</v>
      </c>
      <c r="B24" s="206" t="str">
        <f>+'Calculo Excedentes'!B24</f>
        <v>ACOCOMET</v>
      </c>
      <c r="D24" s="143">
        <f>+'Calculo Excedentes'!D24+'Calculo Excedentes'!K24</f>
        <v>208167.67999999999</v>
      </c>
      <c r="E24" s="9">
        <f>+'Calculo Excedentes'!Q24</f>
        <v>69705.604800000001</v>
      </c>
      <c r="F24" s="241">
        <f>+'Calculo Excedentes'!V24</f>
        <v>8.7247934922684275E-2</v>
      </c>
      <c r="H24" s="9">
        <f>+'Calculo Excedentes'!X24</f>
        <v>72688.03</v>
      </c>
      <c r="I24" s="268">
        <f>+'Calculo Excedentes'!Y24</f>
        <v>98423.219999999987</v>
      </c>
      <c r="J24" s="268">
        <f>+'Calculo Excedentes'!Z24</f>
        <v>5226.7701034246566</v>
      </c>
      <c r="K24" s="68">
        <f t="shared" si="0"/>
        <v>1361.0130215753434</v>
      </c>
      <c r="L24" s="68">
        <f>+'Calculo Excedentes'!BE24</f>
        <v>6587.7831249999999</v>
      </c>
      <c r="M24" s="242">
        <f>+'Calculo Excedentes'!BD24</f>
        <v>7.6999999999999999E-2</v>
      </c>
    </row>
    <row r="25" spans="1:13" s="12" customFormat="1" x14ac:dyDescent="0.25">
      <c r="A25" s="128" t="str">
        <f>+'Calculo Excedentes'!A25</f>
        <v>CA-19</v>
      </c>
      <c r="B25" s="206" t="str">
        <f>+'Calculo Excedentes'!B25</f>
        <v>ACODEZO</v>
      </c>
      <c r="D25" s="143">
        <f>+'Calculo Excedentes'!D25+'Calculo Excedentes'!K25</f>
        <v>52572.53</v>
      </c>
      <c r="E25" s="9">
        <f>+'Calculo Excedentes'!Q25</f>
        <v>20822.583299999995</v>
      </c>
      <c r="F25" s="241">
        <f>+'Calculo Excedentes'!V25</f>
        <v>2.2034374770189429E-2</v>
      </c>
      <c r="H25" s="9">
        <f>+'Calculo Excedentes'!X25</f>
        <v>11428.57</v>
      </c>
      <c r="I25" s="268">
        <f>+'Calculo Excedentes'!Y25</f>
        <v>21885.72</v>
      </c>
      <c r="J25" s="268">
        <f>+'Calculo Excedentes'!Z25</f>
        <v>882.66954178082187</v>
      </c>
      <c r="K25" s="68">
        <f t="shared" si="0"/>
        <v>399.93062321917819</v>
      </c>
      <c r="L25" s="68">
        <f>+'Calculo Excedentes'!BE25</f>
        <v>1282.6001650000001</v>
      </c>
      <c r="M25" s="242">
        <f>+'Calculo Excedentes'!BD25</f>
        <v>7.6999999999999999E-2</v>
      </c>
    </row>
    <row r="26" spans="1:13" s="12" customFormat="1" x14ac:dyDescent="0.25">
      <c r="A26" s="128" t="str">
        <f>+'Calculo Excedentes'!A26</f>
        <v>CA-20</v>
      </c>
      <c r="B26" s="206" t="str">
        <f>+'Calculo Excedentes'!B26</f>
        <v>ELECTRA</v>
      </c>
      <c r="D26" s="143">
        <f>+'Calculo Excedentes'!D26+'Calculo Excedentes'!K26</f>
        <v>33925.75</v>
      </c>
      <c r="E26" s="9">
        <f>+'Calculo Excedentes'!Q26</f>
        <v>13837.557499999999</v>
      </c>
      <c r="F26" s="241">
        <f>+'Calculo Excedentes'!V26</f>
        <v>1.4219073912930461E-2</v>
      </c>
      <c r="H26" s="9">
        <f>+'Calculo Excedentes'!X26</f>
        <v>36114.720000000001</v>
      </c>
      <c r="I26" s="268">
        <f>+'Calculo Excedentes'!Y26</f>
        <v>38743.29</v>
      </c>
      <c r="J26" s="268">
        <f>+'Calculo Excedentes'!Z26</f>
        <v>2113.0570849315068</v>
      </c>
      <c r="K26" s="68">
        <f t="shared" si="0"/>
        <v>768.9763000684934</v>
      </c>
      <c r="L26" s="68">
        <f>+'Calculo Excedentes'!BE26</f>
        <v>2882.0333850000002</v>
      </c>
      <c r="M26" s="242">
        <f>+'Calculo Excedentes'!BD26</f>
        <v>7.6999999999999999E-2</v>
      </c>
    </row>
    <row r="27" spans="1:13" s="12" customFormat="1" x14ac:dyDescent="0.25">
      <c r="A27" s="128" t="str">
        <f>+'Calculo Excedentes'!A50</f>
        <v>CA-21</v>
      </c>
      <c r="B27" s="206" t="str">
        <f>+'Calculo Excedentes'!B50</f>
        <v>DEETKEN GROUP</v>
      </c>
      <c r="D27" s="143">
        <f>+'Calculo Excedentes'!D27+'Calculo Excedentes'!K27</f>
        <v>0</v>
      </c>
      <c r="E27" s="9">
        <f>+'Calculo Excedentes'!Q27</f>
        <v>0</v>
      </c>
      <c r="F27" s="241">
        <f>+'Calculo Excedentes'!V27</f>
        <v>0</v>
      </c>
      <c r="H27" s="9">
        <f>+'Calculo Excedentes'!X27</f>
        <v>0</v>
      </c>
      <c r="I27" s="268">
        <f>+'Calculo Excedentes'!Y27</f>
        <v>0</v>
      </c>
      <c r="J27" s="268">
        <f>+'Calculo Excedentes'!Z27</f>
        <v>0</v>
      </c>
      <c r="K27" s="68">
        <f>+L27-J27</f>
        <v>0</v>
      </c>
      <c r="L27" s="68">
        <f>+'Calculo Excedentes'!BE27</f>
        <v>0</v>
      </c>
      <c r="M27" s="242">
        <f>+'Calculo Excedentes'!BD27</f>
        <v>0</v>
      </c>
    </row>
    <row r="28" spans="1:13" s="12" customFormat="1" x14ac:dyDescent="0.25">
      <c r="A28" s="128" t="str">
        <f>+'Calculo Excedentes'!A28</f>
        <v>CA-29</v>
      </c>
      <c r="B28" s="206" t="str">
        <f>+'Calculo Excedentes'!B28</f>
        <v xml:space="preserve">COSTISSS </v>
      </c>
      <c r="D28" s="143">
        <v>0</v>
      </c>
      <c r="E28" s="9">
        <v>0</v>
      </c>
      <c r="F28" s="241">
        <v>0</v>
      </c>
      <c r="H28" s="9">
        <v>0</v>
      </c>
      <c r="I28" s="68">
        <v>0</v>
      </c>
      <c r="J28" s="68">
        <v>0</v>
      </c>
      <c r="K28" s="68">
        <f t="shared" si="0"/>
        <v>0</v>
      </c>
      <c r="L28" s="68">
        <f>+'Calculo Excedentes'!BE28</f>
        <v>0</v>
      </c>
      <c r="M28" s="242">
        <f>+'Calculo Excedentes'!BD28</f>
        <v>0</v>
      </c>
    </row>
    <row r="29" spans="1:13" s="12" customFormat="1" hidden="1" x14ac:dyDescent="0.25">
      <c r="A29" s="128" t="s">
        <v>125</v>
      </c>
      <c r="B29" s="206" t="str">
        <f>+'Calculo Excedentes'!B27</f>
        <v>ACACCI</v>
      </c>
      <c r="D29" s="143">
        <f>+'Calculo Excedentes'!D27+'Calculo Excedentes'!K27</f>
        <v>0</v>
      </c>
      <c r="E29" s="9">
        <f>+'Calculo Excedentes'!Q27</f>
        <v>0</v>
      </c>
      <c r="F29" s="144">
        <f>+'Calculo Excedentes'!V27</f>
        <v>0</v>
      </c>
      <c r="H29" s="9">
        <f>+'Calculo Excedentes'!X27</f>
        <v>0</v>
      </c>
      <c r="I29" s="68">
        <f>+'Calculo Excedentes'!Y27</f>
        <v>0</v>
      </c>
      <c r="J29" s="68">
        <f>+'Calculo Excedentes'!Z27</f>
        <v>0</v>
      </c>
      <c r="K29" s="68">
        <f t="shared" ref="K29:K51" si="1">+L29-J29</f>
        <v>0</v>
      </c>
      <c r="L29" s="68">
        <f>+'Calculo Excedentes'!AU27</f>
        <v>0</v>
      </c>
      <c r="M29" s="181">
        <f>+'Calculo Excedentes'!AV27</f>
        <v>0</v>
      </c>
    </row>
    <row r="30" spans="1:13" s="12" customFormat="1" hidden="1" x14ac:dyDescent="0.25">
      <c r="A30" s="128" t="s">
        <v>126</v>
      </c>
      <c r="B30" s="206" t="str">
        <f>+'Calculo Excedentes'!B28</f>
        <v xml:space="preserve">COSTISSS </v>
      </c>
      <c r="D30" s="143">
        <f>+'Calculo Excedentes'!D28+'Calculo Excedentes'!K28</f>
        <v>0</v>
      </c>
      <c r="E30" s="9">
        <f>+'Calculo Excedentes'!Q28</f>
        <v>0</v>
      </c>
      <c r="F30" s="144">
        <f>+'Calculo Excedentes'!V28</f>
        <v>0</v>
      </c>
      <c r="H30" s="9">
        <f>+'Calculo Excedentes'!X28</f>
        <v>0</v>
      </c>
      <c r="I30" s="68">
        <f>+'Calculo Excedentes'!Y28</f>
        <v>0</v>
      </c>
      <c r="J30" s="68">
        <f>+'Calculo Excedentes'!Z28</f>
        <v>0</v>
      </c>
      <c r="K30" s="68">
        <f t="shared" si="1"/>
        <v>0</v>
      </c>
      <c r="L30" s="68">
        <f>+'Calculo Excedentes'!AU28</f>
        <v>0</v>
      </c>
      <c r="M30" s="181">
        <f>+'Calculo Excedentes'!AV28</f>
        <v>0</v>
      </c>
    </row>
    <row r="31" spans="1:13" s="12" customFormat="1" hidden="1" x14ac:dyDescent="0.25">
      <c r="A31" s="128" t="s">
        <v>127</v>
      </c>
      <c r="B31" s="206" t="str">
        <f>+'Calculo Excedentes'!B29</f>
        <v>FIDECOOP</v>
      </c>
      <c r="D31" s="143">
        <f>+'Calculo Excedentes'!D29+'Calculo Excedentes'!K29</f>
        <v>0</v>
      </c>
      <c r="E31" s="9">
        <f>+'Calculo Excedentes'!Q29</f>
        <v>0</v>
      </c>
      <c r="F31" s="144">
        <f>+'Calculo Excedentes'!V29</f>
        <v>0</v>
      </c>
      <c r="H31" s="9">
        <f>+'Calculo Excedentes'!X29</f>
        <v>0</v>
      </c>
      <c r="I31" s="68">
        <f>+'Calculo Excedentes'!Y29</f>
        <v>0</v>
      </c>
      <c r="J31" s="68">
        <f>+'Calculo Excedentes'!Z29</f>
        <v>0</v>
      </c>
      <c r="K31" s="68">
        <f t="shared" si="1"/>
        <v>0</v>
      </c>
      <c r="L31" s="68">
        <f>+'Calculo Excedentes'!AU29</f>
        <v>0</v>
      </c>
      <c r="M31" s="181">
        <f>+'Calculo Excedentes'!AV29</f>
        <v>0</v>
      </c>
    </row>
    <row r="32" spans="1:13" s="12" customFormat="1" hidden="1" x14ac:dyDescent="0.25">
      <c r="A32" s="128" t="s">
        <v>128</v>
      </c>
      <c r="B32" s="206" t="str">
        <f>+'Calculo Excedentes'!B30</f>
        <v>ACONAC</v>
      </c>
      <c r="D32" s="143">
        <f>+'Calculo Excedentes'!D30+'Calculo Excedentes'!K30</f>
        <v>0</v>
      </c>
      <c r="E32" s="9">
        <f>+'Calculo Excedentes'!Q30</f>
        <v>0</v>
      </c>
      <c r="F32" s="144">
        <f>+'Calculo Excedentes'!V30</f>
        <v>0</v>
      </c>
      <c r="H32" s="9">
        <f>+'Calculo Excedentes'!X30</f>
        <v>0</v>
      </c>
      <c r="I32" s="68">
        <f>+'Calculo Excedentes'!Y30</f>
        <v>0</v>
      </c>
      <c r="J32" s="68">
        <f>+'Calculo Excedentes'!Z30</f>
        <v>0</v>
      </c>
      <c r="K32" s="68">
        <f t="shared" si="1"/>
        <v>0</v>
      </c>
      <c r="L32" s="68">
        <f>+'Calculo Excedentes'!AU30</f>
        <v>0</v>
      </c>
      <c r="M32" s="181">
        <f>+'Calculo Excedentes'!AV30</f>
        <v>0</v>
      </c>
    </row>
    <row r="33" spans="1:13" s="12" customFormat="1" hidden="1" x14ac:dyDescent="0.25">
      <c r="A33" s="128" t="s">
        <v>129</v>
      </c>
      <c r="B33" s="206" t="str">
        <f>+'Calculo Excedentes'!B31</f>
        <v>ACUDE</v>
      </c>
      <c r="D33" s="143">
        <f>+'Calculo Excedentes'!D31+'Calculo Excedentes'!K31</f>
        <v>0</v>
      </c>
      <c r="E33" s="9">
        <f>+'Calculo Excedentes'!Q31</f>
        <v>0</v>
      </c>
      <c r="F33" s="144">
        <f>+'Calculo Excedentes'!V31</f>
        <v>0</v>
      </c>
      <c r="H33" s="9">
        <f>+'Calculo Excedentes'!X31</f>
        <v>0</v>
      </c>
      <c r="I33" s="68">
        <f>+'Calculo Excedentes'!Y31</f>
        <v>0</v>
      </c>
      <c r="J33" s="68">
        <f>+'Calculo Excedentes'!Z31</f>
        <v>0</v>
      </c>
      <c r="K33" s="68">
        <f t="shared" si="1"/>
        <v>0</v>
      </c>
      <c r="L33" s="68">
        <f>+'Calculo Excedentes'!AU31</f>
        <v>0</v>
      </c>
      <c r="M33" s="181">
        <f>+'Calculo Excedentes'!AV31</f>
        <v>0</v>
      </c>
    </row>
    <row r="34" spans="1:13" s="12" customFormat="1" hidden="1" x14ac:dyDescent="0.25">
      <c r="A34" s="128" t="s">
        <v>130</v>
      </c>
      <c r="B34" s="206" t="str">
        <f>+'Calculo Excedentes'!B32</f>
        <v>ACACCEANTEL</v>
      </c>
      <c r="D34" s="143">
        <f>+'Calculo Excedentes'!D32+'Calculo Excedentes'!K32</f>
        <v>0</v>
      </c>
      <c r="E34" s="9">
        <f>+'Calculo Excedentes'!Q32</f>
        <v>0</v>
      </c>
      <c r="F34" s="144">
        <f>+'Calculo Excedentes'!V32</f>
        <v>0</v>
      </c>
      <c r="H34" s="9">
        <f>+'Calculo Excedentes'!X32</f>
        <v>0</v>
      </c>
      <c r="I34" s="68">
        <f>+'Calculo Excedentes'!Y32</f>
        <v>0</v>
      </c>
      <c r="J34" s="68">
        <f>+'Calculo Excedentes'!Z32</f>
        <v>0</v>
      </c>
      <c r="K34" s="68">
        <f t="shared" si="1"/>
        <v>0</v>
      </c>
      <c r="L34" s="68">
        <f>+'Calculo Excedentes'!AU32</f>
        <v>0</v>
      </c>
      <c r="M34" s="181">
        <f>+'Calculo Excedentes'!AV32</f>
        <v>0</v>
      </c>
    </row>
    <row r="35" spans="1:13" s="12" customFormat="1" hidden="1" x14ac:dyDescent="0.25">
      <c r="A35" s="128" t="s">
        <v>131</v>
      </c>
      <c r="B35" s="206" t="str">
        <f>+'Calculo Excedentes'!B33</f>
        <v>ACACRESCO</v>
      </c>
      <c r="D35" s="143">
        <f>+'Calculo Excedentes'!D33+'Calculo Excedentes'!K33</f>
        <v>0</v>
      </c>
      <c r="E35" s="9">
        <f>+'Calculo Excedentes'!Q33</f>
        <v>0</v>
      </c>
      <c r="F35" s="144">
        <f>+'Calculo Excedentes'!V33</f>
        <v>0</v>
      </c>
      <c r="H35" s="9">
        <f>+'Calculo Excedentes'!X33</f>
        <v>0</v>
      </c>
      <c r="I35" s="68">
        <f>+'Calculo Excedentes'!Y33</f>
        <v>0</v>
      </c>
      <c r="J35" s="68">
        <f>+'Calculo Excedentes'!Z33</f>
        <v>0</v>
      </c>
      <c r="K35" s="68">
        <f t="shared" si="1"/>
        <v>0</v>
      </c>
      <c r="L35" s="68">
        <f>+'Calculo Excedentes'!AU33</f>
        <v>0</v>
      </c>
      <c r="M35" s="181">
        <f>+'Calculo Excedentes'!AV33</f>
        <v>0</v>
      </c>
    </row>
    <row r="36" spans="1:13" s="12" customFormat="1" hidden="1" x14ac:dyDescent="0.25">
      <c r="A36" s="128" t="s">
        <v>132</v>
      </c>
      <c r="B36" s="206" t="str">
        <f>+'Calculo Excedentes'!B34</f>
        <v>COOSMO</v>
      </c>
      <c r="D36" s="143">
        <f>+'Calculo Excedentes'!D34+'Calculo Excedentes'!K34</f>
        <v>0</v>
      </c>
      <c r="E36" s="9">
        <f>+'Calculo Excedentes'!Q34</f>
        <v>0</v>
      </c>
      <c r="F36" s="144">
        <f>+'Calculo Excedentes'!V34</f>
        <v>0</v>
      </c>
      <c r="H36" s="9">
        <f>+'Calculo Excedentes'!X34</f>
        <v>0</v>
      </c>
      <c r="I36" s="68">
        <f>+'Calculo Excedentes'!Y34</f>
        <v>0</v>
      </c>
      <c r="J36" s="68">
        <f>+'Calculo Excedentes'!Z34</f>
        <v>0</v>
      </c>
      <c r="K36" s="68">
        <f t="shared" si="1"/>
        <v>0</v>
      </c>
      <c r="L36" s="68">
        <f>+'Calculo Excedentes'!AU34</f>
        <v>0</v>
      </c>
      <c r="M36" s="181">
        <f>+'Calculo Excedentes'!AV34</f>
        <v>0</v>
      </c>
    </row>
    <row r="37" spans="1:13" s="12" customFormat="1" hidden="1" x14ac:dyDescent="0.25">
      <c r="A37" s="128" t="s">
        <v>133</v>
      </c>
      <c r="B37" s="206" t="str">
        <f>+'Calculo Excedentes'!B35</f>
        <v>ACAL</v>
      </c>
      <c r="D37" s="143">
        <f>+'Calculo Excedentes'!D35+'Calculo Excedentes'!K35</f>
        <v>0</v>
      </c>
      <c r="E37" s="9">
        <f>+'Calculo Excedentes'!Q35</f>
        <v>0</v>
      </c>
      <c r="F37" s="144">
        <f>+'Calculo Excedentes'!V35</f>
        <v>0</v>
      </c>
      <c r="H37" s="9">
        <f>+'Calculo Excedentes'!X35</f>
        <v>0</v>
      </c>
      <c r="I37" s="68">
        <f>+'Calculo Excedentes'!Y35</f>
        <v>0</v>
      </c>
      <c r="J37" s="68">
        <f>+'Calculo Excedentes'!Z35</f>
        <v>0</v>
      </c>
      <c r="K37" s="68">
        <f t="shared" si="1"/>
        <v>0</v>
      </c>
      <c r="L37" s="68">
        <f>+'Calculo Excedentes'!AU35</f>
        <v>0</v>
      </c>
      <c r="M37" s="181">
        <f>+'Calculo Excedentes'!AV35</f>
        <v>0</v>
      </c>
    </row>
    <row r="38" spans="1:13" s="12" customFormat="1" hidden="1" x14ac:dyDescent="0.25">
      <c r="A38" s="128" t="s">
        <v>134</v>
      </c>
      <c r="B38" s="206" t="str">
        <f>+'Calculo Excedentes'!B36</f>
        <v>ACEISRI</v>
      </c>
      <c r="D38" s="143">
        <f>+'Calculo Excedentes'!D36+'Calculo Excedentes'!K36</f>
        <v>0</v>
      </c>
      <c r="E38" s="9">
        <f>+'Calculo Excedentes'!Q36</f>
        <v>0</v>
      </c>
      <c r="F38" s="144">
        <f>+'Calculo Excedentes'!V36</f>
        <v>0</v>
      </c>
      <c r="H38" s="9">
        <f>+'Calculo Excedentes'!X36</f>
        <v>0</v>
      </c>
      <c r="I38" s="68">
        <f>+'Calculo Excedentes'!Y36</f>
        <v>0</v>
      </c>
      <c r="J38" s="68">
        <f>+'Calculo Excedentes'!Z36</f>
        <v>0</v>
      </c>
      <c r="K38" s="68">
        <f t="shared" si="1"/>
        <v>0</v>
      </c>
      <c r="L38" s="68">
        <f>+'Calculo Excedentes'!AU36</f>
        <v>0</v>
      </c>
      <c r="M38" s="181">
        <f>+'Calculo Excedentes'!AV36</f>
        <v>0</v>
      </c>
    </row>
    <row r="39" spans="1:13" s="12" customFormat="1" hidden="1" x14ac:dyDescent="0.25">
      <c r="A39" s="128" t="s">
        <v>135</v>
      </c>
      <c r="B39" s="206" t="str">
        <f>+'Calculo Excedentes'!B37</f>
        <v>ACACPIU</v>
      </c>
      <c r="D39" s="143">
        <f>+'Calculo Excedentes'!D37+'Calculo Excedentes'!K37</f>
        <v>0</v>
      </c>
      <c r="E39" s="9">
        <f>+'Calculo Excedentes'!Q37</f>
        <v>0</v>
      </c>
      <c r="F39" s="144">
        <f>+'Calculo Excedentes'!V37</f>
        <v>0</v>
      </c>
      <c r="H39" s="9">
        <f>+'Calculo Excedentes'!X37</f>
        <v>0</v>
      </c>
      <c r="I39" s="68">
        <f>+'Calculo Excedentes'!Y37</f>
        <v>0</v>
      </c>
      <c r="J39" s="68">
        <f>+'Calculo Excedentes'!Z37</f>
        <v>0</v>
      </c>
      <c r="K39" s="68">
        <f t="shared" si="1"/>
        <v>0</v>
      </c>
      <c r="L39" s="68">
        <f>+'Calculo Excedentes'!AU37</f>
        <v>0</v>
      </c>
      <c r="M39" s="181">
        <f>+'Calculo Excedentes'!AV37</f>
        <v>0</v>
      </c>
    </row>
    <row r="40" spans="1:13" s="12" customFormat="1" hidden="1" x14ac:dyDescent="0.25">
      <c r="A40" s="128" t="s">
        <v>136</v>
      </c>
      <c r="B40" s="206" t="str">
        <f>+'Calculo Excedentes'!B38</f>
        <v>ACACCIBA</v>
      </c>
      <c r="D40" s="143">
        <f>+'Calculo Excedentes'!D38+'Calculo Excedentes'!K38</f>
        <v>0</v>
      </c>
      <c r="E40" s="9">
        <f>+'Calculo Excedentes'!Q38</f>
        <v>0</v>
      </c>
      <c r="F40" s="144">
        <f>+'Calculo Excedentes'!V38</f>
        <v>0</v>
      </c>
      <c r="H40" s="9">
        <f>+'Calculo Excedentes'!X38</f>
        <v>0</v>
      </c>
      <c r="I40" s="68">
        <f>+'Calculo Excedentes'!Y38</f>
        <v>0</v>
      </c>
      <c r="J40" s="68">
        <f>+'Calculo Excedentes'!Z38</f>
        <v>0</v>
      </c>
      <c r="K40" s="68">
        <f t="shared" si="1"/>
        <v>0</v>
      </c>
      <c r="L40" s="68">
        <f>+'Calculo Excedentes'!AU38</f>
        <v>0</v>
      </c>
      <c r="M40" s="181">
        <f>+'Calculo Excedentes'!AV38</f>
        <v>0</v>
      </c>
    </row>
    <row r="41" spans="1:13" s="12" customFormat="1" hidden="1" x14ac:dyDescent="0.25">
      <c r="A41" s="128" t="s">
        <v>137</v>
      </c>
      <c r="B41" s="206" t="str">
        <f>+'Calculo Excedentes'!B39</f>
        <v>ACODEZO</v>
      </c>
      <c r="D41" s="143">
        <f>+'Calculo Excedentes'!D39+'Calculo Excedentes'!K39</f>
        <v>0</v>
      </c>
      <c r="E41" s="9">
        <f>+'Calculo Excedentes'!Q39</f>
        <v>0</v>
      </c>
      <c r="F41" s="144">
        <f>+'Calculo Excedentes'!V39</f>
        <v>0</v>
      </c>
      <c r="H41" s="9">
        <f>+'Calculo Excedentes'!X39</f>
        <v>0</v>
      </c>
      <c r="I41" s="68">
        <f>+'Calculo Excedentes'!Y39</f>
        <v>0</v>
      </c>
      <c r="J41" s="68">
        <f>+'Calculo Excedentes'!Z39</f>
        <v>0</v>
      </c>
      <c r="K41" s="68">
        <f t="shared" si="1"/>
        <v>0</v>
      </c>
      <c r="L41" s="68">
        <f>+'Calculo Excedentes'!AU39</f>
        <v>0</v>
      </c>
      <c r="M41" s="181">
        <f>+'Calculo Excedentes'!AV39</f>
        <v>0</v>
      </c>
    </row>
    <row r="42" spans="1:13" s="12" customFormat="1" hidden="1" x14ac:dyDescent="0.25">
      <c r="A42" s="128" t="s">
        <v>138</v>
      </c>
      <c r="B42" s="206" t="str">
        <f>+'Calculo Excedentes'!B40</f>
        <v>EL HORIZONTE</v>
      </c>
      <c r="D42" s="143">
        <f>+'Calculo Excedentes'!D40+'Calculo Excedentes'!K40</f>
        <v>0</v>
      </c>
      <c r="E42" s="9">
        <f>+'Calculo Excedentes'!Q40</f>
        <v>0</v>
      </c>
      <c r="F42" s="144">
        <f>+'Calculo Excedentes'!V40</f>
        <v>0</v>
      </c>
      <c r="H42" s="9">
        <f>+'Calculo Excedentes'!X40</f>
        <v>0</v>
      </c>
      <c r="I42" s="68">
        <f>+'Calculo Excedentes'!Y40</f>
        <v>0</v>
      </c>
      <c r="J42" s="68">
        <f>+'Calculo Excedentes'!Z40</f>
        <v>0</v>
      </c>
      <c r="K42" s="68">
        <f t="shared" si="1"/>
        <v>0</v>
      </c>
      <c r="L42" s="68">
        <f>+'Calculo Excedentes'!AU40</f>
        <v>0</v>
      </c>
      <c r="M42" s="181">
        <f>+'Calculo Excedentes'!AV40</f>
        <v>0</v>
      </c>
    </row>
    <row r="43" spans="1:13" s="12" customFormat="1" hidden="1" x14ac:dyDescent="0.25">
      <c r="A43" s="128" t="s">
        <v>139</v>
      </c>
      <c r="B43" s="206" t="str">
        <f>+'Calculo Excedentes'!B41</f>
        <v>ACAPRODUSCA</v>
      </c>
      <c r="D43" s="143">
        <f>+'Calculo Excedentes'!D41+'Calculo Excedentes'!K41</f>
        <v>0</v>
      </c>
      <c r="E43" s="9">
        <f>+'Calculo Excedentes'!Q41</f>
        <v>0</v>
      </c>
      <c r="F43" s="144">
        <f>+'Calculo Excedentes'!V41</f>
        <v>0</v>
      </c>
      <c r="H43" s="9">
        <f>+'Calculo Excedentes'!X41</f>
        <v>0</v>
      </c>
      <c r="I43" s="68">
        <f>+'Calculo Excedentes'!Y41</f>
        <v>0</v>
      </c>
      <c r="J43" s="68">
        <f>+'Calculo Excedentes'!Z41</f>
        <v>0</v>
      </c>
      <c r="K43" s="68">
        <f t="shared" si="1"/>
        <v>0</v>
      </c>
      <c r="L43" s="68">
        <f>+'Calculo Excedentes'!AU41</f>
        <v>0</v>
      </c>
      <c r="M43" s="181">
        <f>+'Calculo Excedentes'!AV41</f>
        <v>0</v>
      </c>
    </row>
    <row r="44" spans="1:13" s="12" customFormat="1" hidden="1" x14ac:dyDescent="0.25">
      <c r="A44" s="128" t="s">
        <v>140</v>
      </c>
      <c r="B44" s="206" t="str">
        <f>+'Calculo Excedentes'!B42</f>
        <v>EL ROBLE</v>
      </c>
      <c r="D44" s="143">
        <f>+'Calculo Excedentes'!D42+'Calculo Excedentes'!K42</f>
        <v>0</v>
      </c>
      <c r="E44" s="9">
        <f>+'Calculo Excedentes'!Q42</f>
        <v>0</v>
      </c>
      <c r="F44" s="144">
        <f>+'Calculo Excedentes'!V42</f>
        <v>0</v>
      </c>
      <c r="H44" s="9">
        <f>+'Calculo Excedentes'!X42</f>
        <v>0</v>
      </c>
      <c r="I44" s="68">
        <f>+'Calculo Excedentes'!Y42</f>
        <v>0</v>
      </c>
      <c r="J44" s="68">
        <f>+'Calculo Excedentes'!Z42</f>
        <v>0</v>
      </c>
      <c r="K44" s="68">
        <f t="shared" si="1"/>
        <v>0</v>
      </c>
      <c r="L44" s="68">
        <f>+'Calculo Excedentes'!AU42</f>
        <v>0</v>
      </c>
      <c r="M44" s="181">
        <f>+'Calculo Excedentes'!AV42</f>
        <v>0</v>
      </c>
    </row>
    <row r="45" spans="1:13" s="12" customFormat="1" hidden="1" x14ac:dyDescent="0.25">
      <c r="A45" s="128" t="s">
        <v>141</v>
      </c>
      <c r="B45" s="206" t="str">
        <f>+'Calculo Excedentes'!B43</f>
        <v>EL AMATE</v>
      </c>
      <c r="D45" s="143">
        <f>+'Calculo Excedentes'!D43+'Calculo Excedentes'!K43</f>
        <v>0</v>
      </c>
      <c r="E45" s="9">
        <f>+'Calculo Excedentes'!Q43</f>
        <v>0</v>
      </c>
      <c r="F45" s="144">
        <f>+'Calculo Excedentes'!V43</f>
        <v>0</v>
      </c>
      <c r="H45" s="9">
        <f>+'Calculo Excedentes'!X43</f>
        <v>0</v>
      </c>
      <c r="I45" s="68">
        <f>+'Calculo Excedentes'!Y43</f>
        <v>0</v>
      </c>
      <c r="J45" s="68">
        <f>+'Calculo Excedentes'!Z43</f>
        <v>0</v>
      </c>
      <c r="K45" s="68">
        <f t="shared" si="1"/>
        <v>0</v>
      </c>
      <c r="L45" s="68">
        <f>+'Calculo Excedentes'!AU43</f>
        <v>0</v>
      </c>
      <c r="M45" s="181">
        <f>+'Calculo Excedentes'!AV43</f>
        <v>0</v>
      </c>
    </row>
    <row r="46" spans="1:13" s="12" customFormat="1" hidden="1" x14ac:dyDescent="0.25">
      <c r="A46" s="128" t="s">
        <v>142</v>
      </c>
      <c r="B46" s="206" t="str">
        <f>+'Calculo Excedentes'!B44</f>
        <v>ACACMA</v>
      </c>
      <c r="D46" s="143">
        <f>+'Calculo Excedentes'!D44+'Calculo Excedentes'!K44</f>
        <v>0</v>
      </c>
      <c r="E46" s="9">
        <f>+'Calculo Excedentes'!Q44</f>
        <v>0</v>
      </c>
      <c r="F46" s="144">
        <f>+'Calculo Excedentes'!V44</f>
        <v>0</v>
      </c>
      <c r="H46" s="9">
        <f>+'Calculo Excedentes'!X44</f>
        <v>0</v>
      </c>
      <c r="I46" s="68">
        <f>+'Calculo Excedentes'!Y44</f>
        <v>0</v>
      </c>
      <c r="J46" s="68">
        <f>+'Calculo Excedentes'!Z44</f>
        <v>0</v>
      </c>
      <c r="K46" s="68">
        <f t="shared" si="1"/>
        <v>0</v>
      </c>
      <c r="L46" s="68">
        <f>+'Calculo Excedentes'!AU44</f>
        <v>0</v>
      </c>
      <c r="M46" s="181">
        <f>+'Calculo Excedentes'!AV44</f>
        <v>0</v>
      </c>
    </row>
    <row r="47" spans="1:13" s="12" customFormat="1" hidden="1" x14ac:dyDescent="0.25">
      <c r="A47" s="128" t="s">
        <v>143</v>
      </c>
      <c r="B47" s="206">
        <f>+'Calculo Excedentes'!B45</f>
        <v>0</v>
      </c>
      <c r="D47" s="143">
        <f>+'Calculo Excedentes'!D45+'Calculo Excedentes'!K45</f>
        <v>0</v>
      </c>
      <c r="E47" s="9">
        <f>+'Calculo Excedentes'!Q45</f>
        <v>0</v>
      </c>
      <c r="F47" s="144">
        <f>+'Calculo Excedentes'!V45</f>
        <v>0</v>
      </c>
      <c r="H47" s="9">
        <f>+'Calculo Excedentes'!X45</f>
        <v>0</v>
      </c>
      <c r="I47" s="68">
        <f>+'Calculo Excedentes'!Y45</f>
        <v>0</v>
      </c>
      <c r="J47" s="68">
        <f>+'Calculo Excedentes'!Z45</f>
        <v>0</v>
      </c>
      <c r="K47" s="68">
        <f t="shared" si="1"/>
        <v>0</v>
      </c>
      <c r="L47" s="68">
        <f>+'Calculo Excedentes'!AU45</f>
        <v>0</v>
      </c>
      <c r="M47" s="181">
        <f>+'Calculo Excedentes'!AV45</f>
        <v>0</v>
      </c>
    </row>
    <row r="48" spans="1:13" s="12" customFormat="1" hidden="1" x14ac:dyDescent="0.25">
      <c r="A48" s="128" t="s">
        <v>144</v>
      </c>
      <c r="B48" s="206">
        <f>+'Calculo Excedentes'!B46</f>
        <v>0</v>
      </c>
      <c r="D48" s="143">
        <f>+'Calculo Excedentes'!D46+'Calculo Excedentes'!K46</f>
        <v>0</v>
      </c>
      <c r="E48" s="9">
        <f>+'Calculo Excedentes'!Q46</f>
        <v>0</v>
      </c>
      <c r="F48" s="144">
        <f>+'Calculo Excedentes'!V46</f>
        <v>0</v>
      </c>
      <c r="H48" s="9">
        <f>+'Calculo Excedentes'!X46</f>
        <v>0</v>
      </c>
      <c r="I48" s="68">
        <f>+'Calculo Excedentes'!Y46</f>
        <v>0</v>
      </c>
      <c r="J48" s="68">
        <f>+'Calculo Excedentes'!Z46</f>
        <v>0</v>
      </c>
      <c r="K48" s="68">
        <f t="shared" si="1"/>
        <v>0</v>
      </c>
      <c r="L48" s="68">
        <f>+'Calculo Excedentes'!AU46</f>
        <v>0</v>
      </c>
      <c r="M48" s="181">
        <f>+'Calculo Excedentes'!AV46</f>
        <v>0</v>
      </c>
    </row>
    <row r="49" spans="1:13" s="12" customFormat="1" hidden="1" x14ac:dyDescent="0.25">
      <c r="A49" s="128" t="s">
        <v>145</v>
      </c>
      <c r="B49" s="206">
        <f>+'Calculo Excedentes'!B47</f>
        <v>0</v>
      </c>
      <c r="D49" s="143">
        <f>+'Calculo Excedentes'!D47+'Calculo Excedentes'!K47</f>
        <v>0</v>
      </c>
      <c r="E49" s="9">
        <f>+'Calculo Excedentes'!Q47</f>
        <v>0</v>
      </c>
      <c r="F49" s="144">
        <f>+'Calculo Excedentes'!V47</f>
        <v>0</v>
      </c>
      <c r="H49" s="9">
        <f>+'Calculo Excedentes'!X47</f>
        <v>0</v>
      </c>
      <c r="I49" s="68">
        <f>+'Calculo Excedentes'!Y47</f>
        <v>0</v>
      </c>
      <c r="J49" s="68">
        <f>+'Calculo Excedentes'!Z47</f>
        <v>0</v>
      </c>
      <c r="K49" s="68">
        <f t="shared" si="1"/>
        <v>0</v>
      </c>
      <c r="L49" s="68">
        <f>+'Calculo Excedentes'!AU47</f>
        <v>0</v>
      </c>
      <c r="M49" s="181">
        <f>+'Calculo Excedentes'!AV47</f>
        <v>0</v>
      </c>
    </row>
    <row r="50" spans="1:13" s="12" customFormat="1" hidden="1" x14ac:dyDescent="0.25">
      <c r="A50" s="128" t="s">
        <v>146</v>
      </c>
      <c r="B50" s="206">
        <f>+'Calculo Excedentes'!B48</f>
        <v>0</v>
      </c>
      <c r="D50" s="143">
        <f>+'Calculo Excedentes'!D48+'Calculo Excedentes'!K48</f>
        <v>0</v>
      </c>
      <c r="E50" s="9">
        <f>+'Calculo Excedentes'!Q48</f>
        <v>0</v>
      </c>
      <c r="F50" s="144">
        <f>+'Calculo Excedentes'!V48</f>
        <v>0</v>
      </c>
      <c r="H50" s="9">
        <f>+'Calculo Excedentes'!X48</f>
        <v>0</v>
      </c>
      <c r="I50" s="68">
        <f>+'Calculo Excedentes'!Y48</f>
        <v>0</v>
      </c>
      <c r="J50" s="68">
        <f>+'Calculo Excedentes'!Z48</f>
        <v>0</v>
      </c>
      <c r="K50" s="68">
        <f t="shared" si="1"/>
        <v>0</v>
      </c>
      <c r="L50" s="68">
        <f>+'Calculo Excedentes'!AU48</f>
        <v>0</v>
      </c>
      <c r="M50" s="181">
        <f>+'Calculo Excedentes'!AV48</f>
        <v>0</v>
      </c>
    </row>
    <row r="51" spans="1:13" s="12" customFormat="1" hidden="1" x14ac:dyDescent="0.25">
      <c r="A51" s="128" t="s">
        <v>147</v>
      </c>
      <c r="B51" s="206">
        <f>+'Calculo Excedentes'!B49</f>
        <v>0</v>
      </c>
      <c r="D51" s="143">
        <f>+'Calculo Excedentes'!D49+'Calculo Excedentes'!K49</f>
        <v>0</v>
      </c>
      <c r="E51" s="9">
        <f>+'Calculo Excedentes'!Q49</f>
        <v>0</v>
      </c>
      <c r="F51" s="144">
        <f>+'Calculo Excedentes'!V49</f>
        <v>0</v>
      </c>
      <c r="H51" s="9">
        <f>+'Calculo Excedentes'!X49</f>
        <v>0</v>
      </c>
      <c r="I51" s="68">
        <f>+'Calculo Excedentes'!Y49</f>
        <v>0</v>
      </c>
      <c r="J51" s="68">
        <f>+'Calculo Excedentes'!Z49</f>
        <v>0</v>
      </c>
      <c r="K51" s="68">
        <f t="shared" si="1"/>
        <v>0</v>
      </c>
      <c r="L51" s="68">
        <f>+'Calculo Excedentes'!AU49</f>
        <v>0</v>
      </c>
      <c r="M51" s="181">
        <f>+'Calculo Excedentes'!AV49</f>
        <v>0</v>
      </c>
    </row>
    <row r="52" spans="1:13" s="13" customFormat="1" ht="13.8" thickBot="1" x14ac:dyDescent="0.3">
      <c r="A52" s="136"/>
      <c r="B52" s="137" t="s">
        <v>179</v>
      </c>
      <c r="D52" s="138">
        <f>+SUM(D7:D51)</f>
        <v>3075540.8499999996</v>
      </c>
      <c r="E52" s="138">
        <f>+SUM(E7:E51)</f>
        <v>638396.23849999998</v>
      </c>
      <c r="F52" s="145">
        <f>+'Calculo Excedentes'!V51</f>
        <v>0.99903773051480282</v>
      </c>
      <c r="H52" s="138">
        <f>+SUM(H7:H51)</f>
        <v>2654208.3899999992</v>
      </c>
      <c r="I52" s="138">
        <f t="shared" ref="I52:L52" si="2">+SUM(I7:I51)</f>
        <v>3060900.98</v>
      </c>
      <c r="J52" s="138">
        <f t="shared" si="2"/>
        <v>159960.01358232874</v>
      </c>
      <c r="K52" s="138">
        <f t="shared" si="2"/>
        <v>60071.697162671226</v>
      </c>
      <c r="L52" s="138">
        <f t="shared" si="2"/>
        <v>220031.71074499999</v>
      </c>
      <c r="M52" s="178"/>
    </row>
    <row r="53" spans="1:13" x14ac:dyDescent="0.25">
      <c r="D53" s="5"/>
      <c r="E53" s="5"/>
    </row>
    <row r="54" spans="1:13" ht="13.8" thickBot="1" x14ac:dyDescent="0.3"/>
    <row r="55" spans="1:13" ht="40.799999999999997" x14ac:dyDescent="0.25">
      <c r="A55" s="14" t="s">
        <v>180</v>
      </c>
      <c r="B55" s="131" t="s">
        <v>44</v>
      </c>
      <c r="D55" s="139" t="s">
        <v>53</v>
      </c>
      <c r="E55" s="140" t="s">
        <v>52</v>
      </c>
      <c r="F55" s="141" t="s">
        <v>181</v>
      </c>
      <c r="H55" s="180" t="s">
        <v>190</v>
      </c>
      <c r="I55" s="180" t="s">
        <v>191</v>
      </c>
      <c r="J55" s="180" t="s">
        <v>192</v>
      </c>
      <c r="K55" s="180" t="s">
        <v>205</v>
      </c>
      <c r="L55" s="198" t="s">
        <v>225</v>
      </c>
      <c r="M55" s="180" t="s">
        <v>206</v>
      </c>
    </row>
    <row r="56" spans="1:13" x14ac:dyDescent="0.25">
      <c r="A56" s="128" t="str">
        <f>+'Calculo Excedentes'!A53</f>
        <v>PN-1</v>
      </c>
      <c r="B56" s="206" t="str">
        <f>+'Calculo Excedentes'!B53</f>
        <v>Héctor David Córdova</v>
      </c>
      <c r="C56" s="12"/>
      <c r="D56" s="143">
        <f>+'Calculo Excedentes'!D53+'Calculo Excedentes'!K53</f>
        <v>603.75</v>
      </c>
      <c r="E56" s="9">
        <f>+'Calculo Excedentes'!Q53</f>
        <v>-3852.0324999999998</v>
      </c>
      <c r="F56" s="144">
        <f>+'Calculo Excedentes'!V53</f>
        <v>0</v>
      </c>
      <c r="G56" s="12"/>
      <c r="H56" s="9">
        <f>+'Calculo Excedentes'!X53</f>
        <v>1828.57</v>
      </c>
      <c r="I56" s="268">
        <f>+'Calculo Excedentes'!Y53</f>
        <v>2056.5</v>
      </c>
      <c r="J56" s="268">
        <f>+'Calculo Excedentes'!Z53</f>
        <v>111.56194726027395</v>
      </c>
      <c r="K56" s="68">
        <f t="shared" ref="K56:K85" si="3">+L56-J56</f>
        <v>38.013247739726026</v>
      </c>
      <c r="L56" s="68">
        <f>+'Calculo Excedentes'!BE53</f>
        <v>149.57519499999998</v>
      </c>
      <c r="M56" s="242">
        <f>+'Calculo Excedentes'!BD53</f>
        <v>7.6999999999999999E-2</v>
      </c>
    </row>
    <row r="57" spans="1:13" x14ac:dyDescent="0.25">
      <c r="A57" s="128" t="str">
        <f>+'Calculo Excedentes'!A54</f>
        <v>PN-2</v>
      </c>
      <c r="B57" s="206" t="str">
        <f>+'Calculo Excedentes'!B54</f>
        <v>Alirio  Henríquez</v>
      </c>
      <c r="C57" s="12"/>
      <c r="D57" s="143">
        <f>+'Calculo Excedentes'!D54+'Calculo Excedentes'!K54</f>
        <v>136.93</v>
      </c>
      <c r="E57" s="9">
        <f>+'Calculo Excedentes'!Q54</f>
        <v>83.527299999999997</v>
      </c>
      <c r="F57" s="144">
        <f>+'Calculo Excedentes'!V54</f>
        <v>5.7390559999338796E-5</v>
      </c>
      <c r="G57" s="12"/>
      <c r="H57" s="9">
        <f>+'Calculo Excedentes'!X54</f>
        <v>1828.57</v>
      </c>
      <c r="I57" s="268">
        <f>+'Calculo Excedentes'!Y54</f>
        <v>2042.08</v>
      </c>
      <c r="J57" s="268">
        <f>+'Calculo Excedentes'!Z54</f>
        <v>110.86662671232875</v>
      </c>
      <c r="K57" s="68">
        <f t="shared" si="3"/>
        <v>38.153398287671223</v>
      </c>
      <c r="L57" s="68">
        <f>+'Calculo Excedentes'!BE54</f>
        <v>149.02002499999998</v>
      </c>
      <c r="M57" s="242">
        <f>+'Calculo Excedentes'!BD54</f>
        <v>7.6999999999999999E-2</v>
      </c>
    </row>
    <row r="58" spans="1:13" x14ac:dyDescent="0.25">
      <c r="A58" s="128" t="str">
        <f>+'Calculo Excedentes'!A55</f>
        <v>PN-3</v>
      </c>
      <c r="B58" s="206" t="str">
        <f>+'Calculo Excedentes'!B55</f>
        <v xml:space="preserve">Daysi  Rosales </v>
      </c>
      <c r="C58" s="12"/>
      <c r="D58" s="143">
        <f>+'Calculo Excedentes'!D55+'Calculo Excedentes'!K55</f>
        <v>1087.56</v>
      </c>
      <c r="E58" s="9">
        <f>+'Calculo Excedentes'!Q55</f>
        <v>-530.65840000000003</v>
      </c>
      <c r="F58" s="144">
        <f>+'Calculo Excedentes'!V55</f>
        <v>0</v>
      </c>
      <c r="G58" s="12"/>
      <c r="H58" s="9">
        <f>+'Calculo Excedentes'!X55</f>
        <v>2742.85</v>
      </c>
      <c r="I58" s="268">
        <f>+'Calculo Excedentes'!Y55</f>
        <v>4836.17</v>
      </c>
      <c r="J58" s="268">
        <f>+'Calculo Excedentes'!Z55</f>
        <v>227.39157205479449</v>
      </c>
      <c r="K58" s="68">
        <f t="shared" si="3"/>
        <v>64.400697945205536</v>
      </c>
      <c r="L58" s="68">
        <f>+'Calculo Excedentes'!BE55</f>
        <v>291.79227000000003</v>
      </c>
      <c r="M58" s="242">
        <f>+'Calculo Excedentes'!BD55</f>
        <v>7.6999999999999999E-2</v>
      </c>
    </row>
    <row r="59" spans="1:13" x14ac:dyDescent="0.25">
      <c r="A59" s="128" t="str">
        <f>+'Calculo Excedentes'!A56</f>
        <v>PN-4</v>
      </c>
      <c r="B59" s="206" t="str">
        <f>+'Calculo Excedentes'!B56</f>
        <v>Rosa Nelys Parada</v>
      </c>
      <c r="C59" s="12"/>
      <c r="D59" s="143">
        <f>+'Calculo Excedentes'!D56+'Calculo Excedentes'!K56</f>
        <v>516.1</v>
      </c>
      <c r="E59" s="9">
        <f>+'Calculo Excedentes'!Q56</f>
        <v>314.82100000000003</v>
      </c>
      <c r="F59" s="144">
        <f>+'Calculo Excedentes'!V56</f>
        <v>2.163095597433634E-4</v>
      </c>
      <c r="G59" s="12"/>
      <c r="H59" s="9">
        <f>+'Calculo Excedentes'!X56</f>
        <v>1942.86</v>
      </c>
      <c r="I59" s="268">
        <f>+'Calculo Excedentes'!Y56</f>
        <v>2093.5299999999997</v>
      </c>
      <c r="J59" s="268">
        <f>+'Calculo Excedentes'!Z56</f>
        <v>114.12248356164383</v>
      </c>
      <c r="K59" s="68">
        <f t="shared" si="3"/>
        <v>41.27853143835614</v>
      </c>
      <c r="L59" s="68">
        <f>+'Calculo Excedentes'!BE56</f>
        <v>155.40101499999997</v>
      </c>
      <c r="M59" s="242">
        <f>+'Calculo Excedentes'!BD56</f>
        <v>7.6999999999999999E-2</v>
      </c>
    </row>
    <row r="60" spans="1:13" x14ac:dyDescent="0.25">
      <c r="A60" s="128" t="str">
        <f>+'Calculo Excedentes'!A57</f>
        <v>PN-5</v>
      </c>
      <c r="B60" s="206" t="str">
        <f>+'Calculo Excedentes'!B57</f>
        <v>José Alberto Magaña</v>
      </c>
      <c r="C60" s="12"/>
      <c r="D60" s="143">
        <f>+'Calculo Excedentes'!D57+'Calculo Excedentes'!K57</f>
        <v>275.75</v>
      </c>
      <c r="E60" s="9">
        <f>+'Calculo Excedentes'!Q57</f>
        <v>168.20749999999998</v>
      </c>
      <c r="F60" s="144">
        <f>+'Calculo Excedentes'!V57</f>
        <v>1.1557326312581371E-4</v>
      </c>
      <c r="G60" s="12"/>
      <c r="H60" s="9">
        <f>+'Calculo Excedentes'!X57</f>
        <v>298.7</v>
      </c>
      <c r="I60" s="268">
        <f>+'Calculo Excedentes'!Y57</f>
        <v>319.25</v>
      </c>
      <c r="J60" s="268">
        <f>+'Calculo Excedentes'!Z57</f>
        <v>17.419404109589042</v>
      </c>
      <c r="K60" s="68">
        <f t="shared" si="3"/>
        <v>6.3716708904109609</v>
      </c>
      <c r="L60" s="68">
        <f>+'Calculo Excedentes'!BE57</f>
        <v>23.791075000000003</v>
      </c>
      <c r="M60" s="242">
        <f>+'Calculo Excedentes'!BD57</f>
        <v>7.6999999999999999E-2</v>
      </c>
    </row>
    <row r="61" spans="1:13" x14ac:dyDescent="0.25">
      <c r="A61" s="128" t="str">
        <f>+'Calculo Excedentes'!A58</f>
        <v>PN-6</v>
      </c>
      <c r="B61" s="206" t="str">
        <f>+'Calculo Excedentes'!B58</f>
        <v>Jorge Alberto Heredia</v>
      </c>
      <c r="C61" s="12"/>
      <c r="D61" s="143">
        <f>+'Calculo Excedentes'!D58+'Calculo Excedentes'!K58</f>
        <v>193.95</v>
      </c>
      <c r="E61" s="9">
        <f>+'Calculo Excedentes'!Q58</f>
        <v>118.30949999999999</v>
      </c>
      <c r="F61" s="144">
        <f>+'Calculo Excedentes'!V58</f>
        <v>8.1288973284683843E-5</v>
      </c>
      <c r="G61" s="12"/>
      <c r="H61" s="9">
        <f>+'Calculo Excedentes'!X58</f>
        <v>1526.08</v>
      </c>
      <c r="I61" s="268">
        <f>+'Calculo Excedentes'!Y58</f>
        <v>1597.8799999999999</v>
      </c>
      <c r="J61" s="268">
        <f>+'Calculo Excedentes'!Z58</f>
        <v>87.396536986301371</v>
      </c>
      <c r="K61" s="68">
        <f t="shared" si="3"/>
        <v>32.875923013698625</v>
      </c>
      <c r="L61" s="68">
        <f>+'Calculo Excedentes'!BE58</f>
        <v>120.27246</v>
      </c>
      <c r="M61" s="242">
        <f>+'Calculo Excedentes'!BD58</f>
        <v>7.6999999999999999E-2</v>
      </c>
    </row>
    <row r="62" spans="1:13" x14ac:dyDescent="0.25">
      <c r="A62" s="128" t="str">
        <f>+'Calculo Excedentes'!A59</f>
        <v>PN-7</v>
      </c>
      <c r="B62" s="206" t="str">
        <f>+'Calculo Excedentes'!B59</f>
        <v>Lucila Guadalupe Vásquez</v>
      </c>
      <c r="C62" s="12"/>
      <c r="D62" s="143">
        <f>+'Calculo Excedentes'!D59+'Calculo Excedentes'!K59</f>
        <v>0</v>
      </c>
      <c r="E62" s="9">
        <f>+'Calculo Excedentes'!Q59</f>
        <v>0</v>
      </c>
      <c r="F62" s="144">
        <f>+'Calculo Excedentes'!V59</f>
        <v>0</v>
      </c>
      <c r="G62" s="12"/>
      <c r="H62" s="9">
        <f>+'Calculo Excedentes'!X59</f>
        <v>1046.0899999999999</v>
      </c>
      <c r="I62" s="268">
        <f>+'Calculo Excedentes'!Y59</f>
        <v>1117.58</v>
      </c>
      <c r="J62" s="268">
        <f>+'Calculo Excedentes'!Z59</f>
        <v>60.982139041095884</v>
      </c>
      <c r="K62" s="68">
        <f t="shared" si="3"/>
        <v>0</v>
      </c>
      <c r="L62" s="68">
        <f>+'Calculo Excedentes'!BE59</f>
        <v>60.982139041095884</v>
      </c>
      <c r="M62" s="242">
        <f>+'Calculo Excedentes'!BD59</f>
        <v>5.6369168164365067E-2</v>
      </c>
    </row>
    <row r="63" spans="1:13" x14ac:dyDescent="0.25">
      <c r="A63" s="128" t="str">
        <f>+'Calculo Excedentes'!A60</f>
        <v>PN-8</v>
      </c>
      <c r="B63" s="206" t="str">
        <f>+'Calculo Excedentes'!B60</f>
        <v>José Rigoberto Alegría</v>
      </c>
      <c r="C63" s="12"/>
      <c r="D63" s="143">
        <f>+'Calculo Excedentes'!D60+'Calculo Excedentes'!K60</f>
        <v>397.81</v>
      </c>
      <c r="E63" s="9">
        <f>+'Calculo Excedentes'!Q60</f>
        <v>242.66409999999999</v>
      </c>
      <c r="F63" s="144">
        <f>+'Calculo Excedentes'!V60</f>
        <v>1.6673145894498622E-4</v>
      </c>
      <c r="G63" s="12"/>
      <c r="H63" s="9">
        <f>+'Calculo Excedentes'!X60</f>
        <v>2009.8</v>
      </c>
      <c r="I63" s="268">
        <f>+'Calculo Excedentes'!Y60</f>
        <v>2152.4</v>
      </c>
      <c r="J63" s="268">
        <f>+'Calculo Excedentes'!Z60</f>
        <v>117.41505479452056</v>
      </c>
      <c r="K63" s="68">
        <f t="shared" si="3"/>
        <v>42.829645205479437</v>
      </c>
      <c r="L63" s="68">
        <f>+'Calculo Excedentes'!BE60</f>
        <v>160.24469999999999</v>
      </c>
      <c r="M63" s="242">
        <f>+'Calculo Excedentes'!BD60</f>
        <v>7.6999999999999999E-2</v>
      </c>
    </row>
    <row r="64" spans="1:13" x14ac:dyDescent="0.25">
      <c r="A64" s="128" t="str">
        <f>+'Calculo Excedentes'!A61</f>
        <v>PN-9</v>
      </c>
      <c r="B64" s="206" t="str">
        <f>+'Calculo Excedentes'!B61</f>
        <v>Marcos Antonio González</v>
      </c>
      <c r="C64" s="12"/>
      <c r="D64" s="143">
        <f>+'Calculo Excedentes'!D61+'Calculo Excedentes'!K61</f>
        <v>0</v>
      </c>
      <c r="E64" s="9">
        <f>+'Calculo Excedentes'!Q61</f>
        <v>0</v>
      </c>
      <c r="F64" s="144">
        <f>+'Calculo Excedentes'!V61</f>
        <v>0</v>
      </c>
      <c r="G64" s="12"/>
      <c r="H64" s="9">
        <f>+'Calculo Excedentes'!X61</f>
        <v>1234.93</v>
      </c>
      <c r="I64" s="268">
        <f>+'Calculo Excedentes'!Y61</f>
        <v>1295.8</v>
      </c>
      <c r="J64" s="268">
        <f>+'Calculo Excedentes'!Z61</f>
        <v>70.856251369863017</v>
      </c>
      <c r="K64" s="68">
        <f t="shared" si="3"/>
        <v>0</v>
      </c>
      <c r="L64" s="68">
        <f>+'Calculo Excedentes'!BE61</f>
        <v>70.856251369863017</v>
      </c>
      <c r="M64" s="242">
        <f>+'Calculo Excedentes'!BD61</f>
        <v>5.5996689785052546E-2</v>
      </c>
    </row>
    <row r="65" spans="1:13" x14ac:dyDescent="0.25">
      <c r="A65" s="128" t="str">
        <f>+'Calculo Excedentes'!A62</f>
        <v>PN-10</v>
      </c>
      <c r="B65" s="206" t="str">
        <f>+'Calculo Excedentes'!B62</f>
        <v>Elizabeth  de Meléndez</v>
      </c>
      <c r="C65" s="12"/>
      <c r="D65" s="143">
        <f>+'Calculo Excedentes'!D62+'Calculo Excedentes'!K62</f>
        <v>0</v>
      </c>
      <c r="E65" s="9">
        <f>+'Calculo Excedentes'!Q62</f>
        <v>0</v>
      </c>
      <c r="F65" s="144">
        <f>+'Calculo Excedentes'!V62</f>
        <v>0</v>
      </c>
      <c r="G65" s="12"/>
      <c r="H65" s="9">
        <f>+'Calculo Excedentes'!X62</f>
        <v>228.58</v>
      </c>
      <c r="I65" s="268">
        <f>+'Calculo Excedentes'!Y62</f>
        <v>256.91000000000003</v>
      </c>
      <c r="J65" s="268">
        <f>+'Calculo Excedentes'!Z62</f>
        <v>13.937949315068494</v>
      </c>
      <c r="K65" s="68">
        <f t="shared" si="3"/>
        <v>0</v>
      </c>
      <c r="L65" s="68">
        <f>+'Calculo Excedentes'!BE62</f>
        <v>13.937949315068494</v>
      </c>
      <c r="M65" s="242">
        <f>+'Calculo Excedentes'!BD62</f>
        <v>5.741806964126344E-2</v>
      </c>
    </row>
    <row r="66" spans="1:13" x14ac:dyDescent="0.25">
      <c r="A66" s="128" t="str">
        <f>+'Calculo Excedentes'!A63</f>
        <v>PN-11</v>
      </c>
      <c r="B66" s="206" t="str">
        <f>+'Calculo Excedentes'!B63</f>
        <v>Jorge Alberto Argueta</v>
      </c>
      <c r="C66" s="12"/>
      <c r="D66" s="143">
        <f>+'Calculo Excedentes'!D63+'Calculo Excedentes'!K63</f>
        <v>0</v>
      </c>
      <c r="E66" s="9">
        <f>+'Calculo Excedentes'!Q63</f>
        <v>0</v>
      </c>
      <c r="F66" s="144">
        <f>+'Calculo Excedentes'!V63</f>
        <v>0</v>
      </c>
      <c r="G66" s="12"/>
      <c r="H66" s="9">
        <f>+'Calculo Excedentes'!X63</f>
        <v>457.15</v>
      </c>
      <c r="I66" s="268">
        <f>+'Calculo Excedentes'!Y63</f>
        <v>494.26</v>
      </c>
      <c r="J66" s="268">
        <f>+'Calculo Excedentes'!Z63</f>
        <v>26.932663698630133</v>
      </c>
      <c r="K66" s="68">
        <f t="shared" si="3"/>
        <v>0</v>
      </c>
      <c r="L66" s="68">
        <f>+'Calculo Excedentes'!BE63</f>
        <v>26.932663698630133</v>
      </c>
      <c r="M66" s="242">
        <f>+'Calculo Excedentes'!BD63</f>
        <v>5.6616314099347566E-2</v>
      </c>
    </row>
    <row r="67" spans="1:13" x14ac:dyDescent="0.25">
      <c r="A67" s="128" t="str">
        <f>+'Calculo Excedentes'!A64</f>
        <v>PN-12</v>
      </c>
      <c r="B67" s="206" t="str">
        <f>+'Calculo Excedentes'!B64</f>
        <v xml:space="preserve">Ana Ester Galindo </v>
      </c>
      <c r="C67" s="12"/>
      <c r="D67" s="143">
        <f>+'Calculo Excedentes'!D64+'Calculo Excedentes'!K64</f>
        <v>0</v>
      </c>
      <c r="E67" s="9">
        <f>+'Calculo Excedentes'!Q64</f>
        <v>0</v>
      </c>
      <c r="F67" s="144">
        <f>+'Calculo Excedentes'!V64</f>
        <v>0</v>
      </c>
      <c r="G67" s="12"/>
      <c r="H67" s="9">
        <f>+'Calculo Excedentes'!X64</f>
        <v>114.28</v>
      </c>
      <c r="I67" s="268">
        <f>+'Calculo Excedentes'!Y64</f>
        <v>170.32</v>
      </c>
      <c r="J67" s="268">
        <f>+'Calculo Excedentes'!Z64</f>
        <v>8.987602739726027</v>
      </c>
      <c r="K67" s="68">
        <f t="shared" si="3"/>
        <v>0</v>
      </c>
      <c r="L67" s="68">
        <f>+'Calculo Excedentes'!BE64</f>
        <v>8.987602739726027</v>
      </c>
      <c r="M67" s="242">
        <f>+'Calculo Excedentes'!BD64</f>
        <v>6.3159541389501236E-2</v>
      </c>
    </row>
    <row r="68" spans="1:13" x14ac:dyDescent="0.25">
      <c r="A68" s="128" t="str">
        <f>+'Calculo Excedentes'!A65</f>
        <v>PN-13</v>
      </c>
      <c r="B68" s="206" t="str">
        <f>+'Calculo Excedentes'!B65</f>
        <v>Salvador González</v>
      </c>
      <c r="C68" s="12"/>
      <c r="D68" s="143">
        <f>+'Calculo Excedentes'!D65+'Calculo Excedentes'!K65</f>
        <v>237.25</v>
      </c>
      <c r="E68" s="9">
        <f>+'Calculo Excedentes'!Q65</f>
        <v>144.7225</v>
      </c>
      <c r="F68" s="144">
        <f>+'Calculo Excedentes'!V65</f>
        <v>9.9437014239707358E-5</v>
      </c>
      <c r="G68" s="12"/>
      <c r="H68" s="9">
        <f>+'Calculo Excedentes'!X65</f>
        <v>34.14</v>
      </c>
      <c r="I68" s="268">
        <f>+'Calculo Excedentes'!Y65</f>
        <v>36.049999999999997</v>
      </c>
      <c r="J68" s="268">
        <f>+'Calculo Excedentes'!Z65</f>
        <v>1.9697986301369865</v>
      </c>
      <c r="K68" s="68">
        <f t="shared" si="3"/>
        <v>0.73251636986301349</v>
      </c>
      <c r="L68" s="68">
        <f>+'Calculo Excedentes'!BE65</f>
        <v>2.702315</v>
      </c>
      <c r="M68" s="242">
        <f>+'Calculo Excedentes'!BD65</f>
        <v>7.6999999999999999E-2</v>
      </c>
    </row>
    <row r="69" spans="1:13" x14ac:dyDescent="0.25">
      <c r="A69" s="128" t="str">
        <f>+'Calculo Excedentes'!A66</f>
        <v>PN-14</v>
      </c>
      <c r="B69" s="206" t="str">
        <f>+'Calculo Excedentes'!B66</f>
        <v>José Hedilberto Martínez</v>
      </c>
      <c r="C69" s="12"/>
      <c r="D69" s="143">
        <f>+'Calculo Excedentes'!D66+'Calculo Excedentes'!K66</f>
        <v>244</v>
      </c>
      <c r="E69" s="9">
        <f>+'Calculo Excedentes'!Q66</f>
        <v>148.84</v>
      </c>
      <c r="F69" s="144">
        <f>+'Calculo Excedentes'!V66</f>
        <v>1.0226609683662211E-4</v>
      </c>
      <c r="G69" s="12"/>
      <c r="H69" s="9">
        <f>+'Calculo Excedentes'!X66</f>
        <v>2628.57</v>
      </c>
      <c r="I69" s="268">
        <f>+'Calculo Excedentes'!Y66</f>
        <v>2838.08</v>
      </c>
      <c r="J69" s="268">
        <f>+'Calculo Excedentes'!Z66</f>
        <v>154.67375000000001</v>
      </c>
      <c r="K69" s="68">
        <f t="shared" si="3"/>
        <v>55.792274999999961</v>
      </c>
      <c r="L69" s="68">
        <f>+'Calculo Excedentes'!BE66</f>
        <v>210.46602499999997</v>
      </c>
      <c r="M69" s="242">
        <f>+'Calculo Excedentes'!BD66</f>
        <v>7.6999999999999999E-2</v>
      </c>
    </row>
    <row r="70" spans="1:13" x14ac:dyDescent="0.25">
      <c r="A70" s="128" t="str">
        <f>+'Calculo Excedentes'!A67</f>
        <v>PN-15</v>
      </c>
      <c r="B70" s="206" t="str">
        <f>+'Calculo Excedentes'!B67</f>
        <v>María Luisa Girón</v>
      </c>
      <c r="C70" s="12"/>
      <c r="D70" s="143">
        <f>+'Calculo Excedentes'!D67+'Calculo Excedentes'!K67</f>
        <v>0</v>
      </c>
      <c r="E70" s="9">
        <f>+'Calculo Excedentes'!Q67</f>
        <v>0</v>
      </c>
      <c r="F70" s="144">
        <f>+'Calculo Excedentes'!V67</f>
        <v>0</v>
      </c>
      <c r="G70" s="12"/>
      <c r="H70" s="9">
        <f>+'Calculo Excedentes'!X67</f>
        <v>1590.38</v>
      </c>
      <c r="I70" s="268">
        <f>+'Calculo Excedentes'!Y67</f>
        <v>1669.7</v>
      </c>
      <c r="J70" s="268">
        <f>+'Calculo Excedentes'!Z67</f>
        <v>91.295645205479445</v>
      </c>
      <c r="K70" s="68">
        <f t="shared" si="3"/>
        <v>0</v>
      </c>
      <c r="L70" s="68">
        <f>+'Calculo Excedentes'!BE67</f>
        <v>91.295645205479445</v>
      </c>
      <c r="M70" s="242">
        <f>+'Calculo Excedentes'!BD67</f>
        <v>5.6008223850629091E-2</v>
      </c>
    </row>
    <row r="71" spans="1:13" x14ac:dyDescent="0.25">
      <c r="A71" s="128" t="str">
        <f>+'Calculo Excedentes'!A68</f>
        <v>PN-16</v>
      </c>
      <c r="B71" s="206" t="str">
        <f>+'Calculo Excedentes'!B68</f>
        <v>Oscar Eduardo Lima</v>
      </c>
      <c r="C71" s="12"/>
      <c r="D71" s="143">
        <f>+'Calculo Excedentes'!D68+'Calculo Excedentes'!K68</f>
        <v>0</v>
      </c>
      <c r="E71" s="9">
        <f>+'Calculo Excedentes'!Q68</f>
        <v>0</v>
      </c>
      <c r="F71" s="144">
        <f>+'Calculo Excedentes'!V68</f>
        <v>0</v>
      </c>
      <c r="G71" s="12"/>
      <c r="H71" s="9">
        <f>+'Calculo Excedentes'!X68</f>
        <v>799.99</v>
      </c>
      <c r="I71" s="268">
        <f>+'Calculo Excedentes'!Y68</f>
        <v>1059.8900000000001</v>
      </c>
      <c r="J71" s="268">
        <f>+'Calculo Excedentes'!Z68</f>
        <v>227.22867863013701</v>
      </c>
      <c r="K71" s="68">
        <f t="shared" si="3"/>
        <v>-155.62329863013701</v>
      </c>
      <c r="L71" s="68">
        <f>+'Calculo Excedentes'!BE68</f>
        <v>71.605379999999997</v>
      </c>
      <c r="M71" s="242">
        <f>+'Calculo Excedentes'!BD68</f>
        <v>7.6999999999999985E-2</v>
      </c>
    </row>
    <row r="72" spans="1:13" x14ac:dyDescent="0.25">
      <c r="A72" s="128" t="str">
        <f>+'Calculo Excedentes'!A69</f>
        <v>PN-17</v>
      </c>
      <c r="B72" s="206" t="str">
        <f>+'Calculo Excedentes'!B69</f>
        <v>Hermann Montalvo</v>
      </c>
      <c r="C72" s="12"/>
      <c r="D72" s="143">
        <f>+'Calculo Excedentes'!D69+'Calculo Excedentes'!K69</f>
        <v>0</v>
      </c>
      <c r="E72" s="9">
        <f>+'Calculo Excedentes'!Q69</f>
        <v>0</v>
      </c>
      <c r="F72" s="144">
        <f>+'Calculo Excedentes'!V69</f>
        <v>0</v>
      </c>
      <c r="G72" s="12"/>
      <c r="H72" s="9">
        <f>+'Calculo Excedentes'!X69</f>
        <v>114.29</v>
      </c>
      <c r="I72" s="268">
        <f>+'Calculo Excedentes'!Y69</f>
        <v>114.29</v>
      </c>
      <c r="J72" s="268">
        <f>+'Calculo Excedentes'!Z69</f>
        <v>6.2859500000000006</v>
      </c>
      <c r="K72" s="68">
        <f t="shared" si="3"/>
        <v>0</v>
      </c>
      <c r="L72" s="68">
        <f>+'Calculo Excedentes'!BE69</f>
        <v>6.2859500000000006</v>
      </c>
      <c r="M72" s="242">
        <f>+'Calculo Excedentes'!BD69</f>
        <v>5.5E-2</v>
      </c>
    </row>
    <row r="73" spans="1:13" x14ac:dyDescent="0.25">
      <c r="A73" s="128" t="str">
        <f>+'Calculo Excedentes'!A70</f>
        <v>PN-18</v>
      </c>
      <c r="B73" s="206" t="str">
        <f>+'Calculo Excedentes'!B70</f>
        <v>Ana Mercedes Vásquez</v>
      </c>
      <c r="C73" s="12"/>
      <c r="D73" s="143">
        <f>+'Calculo Excedentes'!D70+'Calculo Excedentes'!K70</f>
        <v>0</v>
      </c>
      <c r="E73" s="9">
        <f>+'Calculo Excedentes'!Q70</f>
        <v>0</v>
      </c>
      <c r="F73" s="144">
        <f>+'Calculo Excedentes'!V70</f>
        <v>0</v>
      </c>
      <c r="G73" s="12"/>
      <c r="H73" s="9">
        <f>+'Calculo Excedentes'!X70</f>
        <v>0</v>
      </c>
      <c r="I73" s="68">
        <f>+'Calculo Excedentes'!Y70</f>
        <v>0</v>
      </c>
      <c r="J73" s="68">
        <f>+'Calculo Excedentes'!Z70</f>
        <v>0</v>
      </c>
      <c r="K73" s="68">
        <f t="shared" si="3"/>
        <v>0</v>
      </c>
      <c r="L73" s="68">
        <f>+'Calculo Excedentes'!BE70</f>
        <v>0</v>
      </c>
      <c r="M73" s="242">
        <f>+'Calculo Excedentes'!BD70</f>
        <v>0</v>
      </c>
    </row>
    <row r="74" spans="1:13" x14ac:dyDescent="0.25">
      <c r="A74" s="128" t="str">
        <f>+'Calculo Excedentes'!A71</f>
        <v>PN-19</v>
      </c>
      <c r="B74" s="206" t="str">
        <f>+'Calculo Excedentes'!B71</f>
        <v>María Gertrudis Molina</v>
      </c>
      <c r="C74" s="12"/>
      <c r="D74" s="143">
        <f>+'Calculo Excedentes'!D71+'Calculo Excedentes'!K71</f>
        <v>294.12</v>
      </c>
      <c r="E74" s="9">
        <f>+'Calculo Excedentes'!Q71</f>
        <v>179.41320000000002</v>
      </c>
      <c r="F74" s="144">
        <f>+'Calculo Excedentes'!V71</f>
        <v>1.2327255902289875E-4</v>
      </c>
      <c r="G74" s="12"/>
      <c r="H74" s="9">
        <f>+'Calculo Excedentes'!X71</f>
        <v>988.96999999999991</v>
      </c>
      <c r="I74" s="268">
        <f>+'Calculo Excedentes'!Y71</f>
        <v>1056.6999999999998</v>
      </c>
      <c r="J74" s="268">
        <f>+'Calculo Excedentes'!Z71</f>
        <v>57.659234931506838</v>
      </c>
      <c r="K74" s="68">
        <f t="shared" si="3"/>
        <v>21.099060068493152</v>
      </c>
      <c r="L74" s="68">
        <f>+'Calculo Excedentes'!BE71</f>
        <v>78.75829499999999</v>
      </c>
      <c r="M74" s="242">
        <f>+'Calculo Excedentes'!BD71</f>
        <v>7.6999999999999999E-2</v>
      </c>
    </row>
    <row r="75" spans="1:13" x14ac:dyDescent="0.25">
      <c r="A75" s="128" t="str">
        <f>+'Calculo Excedentes'!A72</f>
        <v>PN-20</v>
      </c>
      <c r="B75" s="206" t="str">
        <f>+'Calculo Excedentes'!B72</f>
        <v>Claudio Eugenio Barahona</v>
      </c>
      <c r="C75" s="12"/>
      <c r="D75" s="143">
        <f>+'Calculo Excedentes'!D72+'Calculo Excedentes'!K72</f>
        <v>0</v>
      </c>
      <c r="E75" s="9">
        <f>+'Calculo Excedentes'!Q72</f>
        <v>0</v>
      </c>
      <c r="F75" s="144">
        <f>+'Calculo Excedentes'!V72</f>
        <v>0</v>
      </c>
      <c r="G75" s="12"/>
      <c r="H75" s="9">
        <f>+'Calculo Excedentes'!X72</f>
        <v>1600</v>
      </c>
      <c r="I75" s="268">
        <f>+'Calculo Excedentes'!Y72</f>
        <v>1802.29</v>
      </c>
      <c r="J75" s="268">
        <f>+'Calculo Excedentes'!Z72</f>
        <v>97.754257534246577</v>
      </c>
      <c r="K75" s="68">
        <f t="shared" si="3"/>
        <v>0</v>
      </c>
      <c r="L75" s="68">
        <f>+'Calculo Excedentes'!BE72</f>
        <v>97.754257534246577</v>
      </c>
      <c r="M75" s="242">
        <f>+'Calculo Excedentes'!BD72</f>
        <v>5.7463800871910727E-2</v>
      </c>
    </row>
    <row r="76" spans="1:13" x14ac:dyDescent="0.25">
      <c r="A76" s="128" t="str">
        <f>+'Calculo Excedentes'!A73</f>
        <v>PN-21</v>
      </c>
      <c r="B76" s="206" t="str">
        <f>+'Calculo Excedentes'!B73</f>
        <v>Romelia Contreras</v>
      </c>
      <c r="C76" s="12"/>
      <c r="D76" s="143">
        <f>+'Calculo Excedentes'!D73+'Calculo Excedentes'!K73</f>
        <v>0</v>
      </c>
      <c r="E76" s="9">
        <f>+'Calculo Excedentes'!Q73</f>
        <v>0</v>
      </c>
      <c r="F76" s="144">
        <f>+'Calculo Excedentes'!V73</f>
        <v>0</v>
      </c>
      <c r="G76" s="12"/>
      <c r="H76" s="9">
        <f>+'Calculo Excedentes'!X73</f>
        <v>1600.02</v>
      </c>
      <c r="I76" s="268">
        <f>+'Calculo Excedentes'!Y73</f>
        <v>1754.55</v>
      </c>
      <c r="J76" s="268">
        <f>+'Calculo Excedentes'!Z73</f>
        <v>95.452409589041096</v>
      </c>
      <c r="K76" s="68">
        <f t="shared" si="3"/>
        <v>0</v>
      </c>
      <c r="L76" s="68">
        <f>+'Calculo Excedentes'!BE73</f>
        <v>95.452409589041096</v>
      </c>
      <c r="M76" s="242">
        <f>+'Calculo Excedentes'!BD73</f>
        <v>5.6908879283509427E-2</v>
      </c>
    </row>
    <row r="77" spans="1:13" x14ac:dyDescent="0.25">
      <c r="A77" s="128" t="str">
        <f>+'Calculo Excedentes'!A74</f>
        <v>PN-22</v>
      </c>
      <c r="B77" s="206" t="str">
        <f>+'Calculo Excedentes'!B74</f>
        <v>Oscar Humberto Pérez</v>
      </c>
      <c r="C77" s="12"/>
      <c r="D77" s="143">
        <f>+'Calculo Excedentes'!D74+'Calculo Excedentes'!K74</f>
        <v>0</v>
      </c>
      <c r="E77" s="9">
        <f>+'Calculo Excedentes'!Q74</f>
        <v>0</v>
      </c>
      <c r="F77" s="144">
        <f>+'Calculo Excedentes'!V74</f>
        <v>0</v>
      </c>
      <c r="G77" s="12"/>
      <c r="H77" s="9">
        <f>+'Calculo Excedentes'!X74</f>
        <v>1485.71</v>
      </c>
      <c r="I77" s="268">
        <f>+'Calculo Excedentes'!Y74</f>
        <v>1698.73</v>
      </c>
      <c r="J77" s="268">
        <f>+'Calculo Excedentes'!Z74</f>
        <v>91.985699315068501</v>
      </c>
      <c r="K77" s="68">
        <f t="shared" si="3"/>
        <v>0</v>
      </c>
      <c r="L77" s="68">
        <f>+'Calculo Excedentes'!BE74</f>
        <v>91.985699315068501</v>
      </c>
      <c r="M77" s="242">
        <f>+'Calculo Excedentes'!BD74</f>
        <v>5.7771978316481704E-2</v>
      </c>
    </row>
    <row r="78" spans="1:13" x14ac:dyDescent="0.25">
      <c r="A78" s="128" t="str">
        <f>+'Calculo Excedentes'!A75</f>
        <v>PN-23</v>
      </c>
      <c r="B78" s="206" t="str">
        <f>+'Calculo Excedentes'!B75</f>
        <v>Dinora Romero</v>
      </c>
      <c r="C78" s="12"/>
      <c r="D78" s="143">
        <f>+'Calculo Excedentes'!D75+'Calculo Excedentes'!K75</f>
        <v>0</v>
      </c>
      <c r="E78" s="9">
        <f>+'Calculo Excedentes'!Q75</f>
        <v>0</v>
      </c>
      <c r="F78" s="144">
        <f>+'Calculo Excedentes'!V75</f>
        <v>0</v>
      </c>
      <c r="G78" s="12"/>
      <c r="H78" s="9">
        <f>+'Calculo Excedentes'!X75</f>
        <v>342.86</v>
      </c>
      <c r="I78" s="268">
        <f>+'Calculo Excedentes'!Y75</f>
        <v>571.44000000000005</v>
      </c>
      <c r="J78" s="268">
        <f>+'Calculo Excedentes'!Z75</f>
        <v>29.8792397260274</v>
      </c>
      <c r="K78" s="68">
        <f t="shared" si="3"/>
        <v>0</v>
      </c>
      <c r="L78" s="68">
        <f>+'Calculo Excedentes'!BE75</f>
        <v>29.8792397260274</v>
      </c>
      <c r="M78" s="242">
        <f>+'Calculo Excedentes'!BD75</f>
        <v>6.5359815653565342E-2</v>
      </c>
    </row>
    <row r="79" spans="1:13" x14ac:dyDescent="0.25">
      <c r="A79" s="128" t="str">
        <f>+'Calculo Excedentes'!A76</f>
        <v>PN-24</v>
      </c>
      <c r="B79" s="206" t="str">
        <f>+'Calculo Excedentes'!B76</f>
        <v>Leticia Ramírez de Sanabria</v>
      </c>
      <c r="C79" s="12"/>
      <c r="D79" s="143">
        <f>+'Calculo Excedentes'!D76+'Calculo Excedentes'!K76</f>
        <v>0</v>
      </c>
      <c r="E79" s="9">
        <f>+'Calculo Excedentes'!Q76</f>
        <v>0</v>
      </c>
      <c r="F79" s="144">
        <f>+'Calculo Excedentes'!V76</f>
        <v>0</v>
      </c>
      <c r="G79" s="12"/>
      <c r="H79" s="9">
        <f>+'Calculo Excedentes'!X76</f>
        <v>1257.1600000000001</v>
      </c>
      <c r="I79" s="268">
        <f>+'Calculo Excedentes'!Y76</f>
        <v>1339.38</v>
      </c>
      <c r="J79" s="268">
        <f>+'Calculo Excedentes'!Z76</f>
        <v>182.79128547945206</v>
      </c>
      <c r="K79" s="68">
        <f t="shared" si="3"/>
        <v>-82.824495479452054</v>
      </c>
      <c r="L79" s="68">
        <f>+'Calculo Excedentes'!BE76</f>
        <v>99.966790000000003</v>
      </c>
      <c r="M79" s="242">
        <f>+'Calculo Excedentes'!BD76</f>
        <v>7.6999999999999999E-2</v>
      </c>
    </row>
    <row r="80" spans="1:13" x14ac:dyDescent="0.25">
      <c r="A80" s="128" t="str">
        <f>+'Calculo Excedentes'!A77</f>
        <v>PN-25</v>
      </c>
      <c r="B80" s="267" t="s">
        <v>276</v>
      </c>
      <c r="C80" s="12"/>
      <c r="D80" s="143">
        <f>+'Calculo Excedentes'!D77+'Calculo Excedentes'!K77</f>
        <v>0</v>
      </c>
      <c r="E80" s="9">
        <f>+'Calculo Excedentes'!Q77</f>
        <v>0</v>
      </c>
      <c r="F80" s="144">
        <f>+'Calculo Excedentes'!V77</f>
        <v>0</v>
      </c>
      <c r="G80" s="12"/>
      <c r="H80" s="9">
        <f>+'Calculo Excedentes'!X77</f>
        <v>0</v>
      </c>
      <c r="I80" s="268">
        <f>+'Calculo Excedentes'!Y77</f>
        <v>1142.8599999999999</v>
      </c>
      <c r="J80" s="268">
        <f>+'Calculo Excedentes'!Z77</f>
        <v>53.041228493150683</v>
      </c>
      <c r="K80" s="68">
        <f t="shared" si="3"/>
        <v>-9.0411184931506909</v>
      </c>
      <c r="L80" s="68">
        <f>+'Calculo Excedentes'!BE77</f>
        <v>44.000109999999992</v>
      </c>
      <c r="M80" s="242">
        <f>+'Calculo Excedentes'!BD77</f>
        <v>7.6999999999999999E-2</v>
      </c>
    </row>
    <row r="81" spans="1:14" x14ac:dyDescent="0.25">
      <c r="A81" s="128" t="str">
        <f>+'Calculo Excedentes'!A78</f>
        <v>PN-26</v>
      </c>
      <c r="B81" s="206">
        <f>+'Calculo Excedentes'!B78</f>
        <v>0</v>
      </c>
      <c r="C81" s="12"/>
      <c r="D81" s="143">
        <f>+'Calculo Excedentes'!D78+'Calculo Excedentes'!K78</f>
        <v>0</v>
      </c>
      <c r="E81" s="9">
        <f>+'Calculo Excedentes'!Q78</f>
        <v>0</v>
      </c>
      <c r="F81" s="144">
        <f>+'Calculo Excedentes'!V78</f>
        <v>0</v>
      </c>
      <c r="G81" s="12"/>
      <c r="H81" s="9">
        <f>+'Calculo Excedentes'!X78</f>
        <v>0</v>
      </c>
      <c r="I81" s="68">
        <f>+'Calculo Excedentes'!Y78</f>
        <v>0</v>
      </c>
      <c r="J81" s="68">
        <f>+'Calculo Excedentes'!Z78</f>
        <v>0</v>
      </c>
      <c r="K81" s="68">
        <f t="shared" si="3"/>
        <v>0</v>
      </c>
      <c r="L81" s="68">
        <f>+'Calculo Excedentes'!BE78</f>
        <v>0</v>
      </c>
      <c r="M81" s="242">
        <f>+'Calculo Excedentes'!BD78</f>
        <v>0</v>
      </c>
    </row>
    <row r="82" spans="1:14" x14ac:dyDescent="0.25">
      <c r="A82" s="128" t="str">
        <f>+'Calculo Excedentes'!A79</f>
        <v>PN-27</v>
      </c>
      <c r="B82" s="206">
        <f>+'Calculo Excedentes'!B79</f>
        <v>0</v>
      </c>
      <c r="C82" s="12"/>
      <c r="D82" s="143">
        <f>+'Calculo Excedentes'!D79+'Calculo Excedentes'!K79</f>
        <v>0</v>
      </c>
      <c r="E82" s="9">
        <f>+'Calculo Excedentes'!Q79</f>
        <v>0</v>
      </c>
      <c r="F82" s="144">
        <f>+'Calculo Excedentes'!V79</f>
        <v>0</v>
      </c>
      <c r="G82" s="12"/>
      <c r="H82" s="9">
        <f>+'Calculo Excedentes'!X79</f>
        <v>0</v>
      </c>
      <c r="I82" s="68">
        <f>+'Calculo Excedentes'!Y79</f>
        <v>0</v>
      </c>
      <c r="J82" s="68">
        <f>+'Calculo Excedentes'!Z79</f>
        <v>0</v>
      </c>
      <c r="K82" s="68">
        <f t="shared" si="3"/>
        <v>0</v>
      </c>
      <c r="L82" s="68">
        <f>+'Calculo Excedentes'!BE79</f>
        <v>0</v>
      </c>
      <c r="M82" s="242">
        <f>+'Calculo Excedentes'!BD79</f>
        <v>0</v>
      </c>
    </row>
    <row r="83" spans="1:14" x14ac:dyDescent="0.25">
      <c r="A83" s="128" t="str">
        <f>+'Calculo Excedentes'!A80</f>
        <v>PN-28</v>
      </c>
      <c r="B83" s="206">
        <f>+'Calculo Excedentes'!B80</f>
        <v>0</v>
      </c>
      <c r="C83" s="12"/>
      <c r="D83" s="143">
        <f>+'Calculo Excedentes'!D80+'Calculo Excedentes'!K80</f>
        <v>0</v>
      </c>
      <c r="E83" s="9">
        <f>+'Calculo Excedentes'!Q80</f>
        <v>0</v>
      </c>
      <c r="F83" s="144">
        <f>+'Calculo Excedentes'!V80</f>
        <v>0</v>
      </c>
      <c r="G83" s="12"/>
      <c r="H83" s="9">
        <f>+'Calculo Excedentes'!X80</f>
        <v>0</v>
      </c>
      <c r="I83" s="68">
        <f>+'Calculo Excedentes'!Y80</f>
        <v>0</v>
      </c>
      <c r="J83" s="68">
        <f>+'Calculo Excedentes'!Z80</f>
        <v>0</v>
      </c>
      <c r="K83" s="68">
        <f t="shared" si="3"/>
        <v>0</v>
      </c>
      <c r="L83" s="68">
        <f>+'Calculo Excedentes'!BE80</f>
        <v>0</v>
      </c>
      <c r="M83" s="242">
        <f>+'Calculo Excedentes'!BD80</f>
        <v>0</v>
      </c>
    </row>
    <row r="84" spans="1:14" x14ac:dyDescent="0.25">
      <c r="A84" s="128" t="str">
        <f>+'Calculo Excedentes'!A81</f>
        <v>PN-29</v>
      </c>
      <c r="B84" s="206">
        <f>+'Calculo Excedentes'!B81</f>
        <v>0</v>
      </c>
      <c r="C84" s="12"/>
      <c r="D84" s="143">
        <f>+'Calculo Excedentes'!D81+'Calculo Excedentes'!K81</f>
        <v>0</v>
      </c>
      <c r="E84" s="9">
        <f>+'Calculo Excedentes'!Q81</f>
        <v>0</v>
      </c>
      <c r="F84" s="144">
        <f>+'Calculo Excedentes'!V81</f>
        <v>0</v>
      </c>
      <c r="G84" s="12"/>
      <c r="H84" s="9">
        <f>+'Calculo Excedentes'!X81</f>
        <v>0</v>
      </c>
      <c r="I84" s="68">
        <f>+'Calculo Excedentes'!Y81</f>
        <v>0</v>
      </c>
      <c r="J84" s="68">
        <f>+'Calculo Excedentes'!Z81</f>
        <v>0</v>
      </c>
      <c r="K84" s="68">
        <f t="shared" si="3"/>
        <v>0</v>
      </c>
      <c r="L84" s="68">
        <f>+'Calculo Excedentes'!BE81</f>
        <v>0</v>
      </c>
      <c r="M84" s="242">
        <f>+'Calculo Excedentes'!BD81</f>
        <v>0</v>
      </c>
    </row>
    <row r="85" spans="1:14" x14ac:dyDescent="0.25">
      <c r="A85" s="128" t="str">
        <f>+'Calculo Excedentes'!A82</f>
        <v>PN-30</v>
      </c>
      <c r="B85" s="206">
        <f>+'Calculo Excedentes'!B82</f>
        <v>0</v>
      </c>
      <c r="C85" s="12"/>
      <c r="D85" s="143">
        <f>+'Calculo Excedentes'!D82+'Calculo Excedentes'!K82</f>
        <v>0</v>
      </c>
      <c r="E85" s="9">
        <f>+'Calculo Excedentes'!Q82</f>
        <v>0</v>
      </c>
      <c r="F85" s="144">
        <f>+'Calculo Excedentes'!V82</f>
        <v>0</v>
      </c>
      <c r="G85" s="12"/>
      <c r="H85" s="9">
        <f>+'Calculo Excedentes'!X82</f>
        <v>0</v>
      </c>
      <c r="I85" s="68">
        <f>+'Calculo Excedentes'!Y82</f>
        <v>0</v>
      </c>
      <c r="J85" s="68">
        <f>+'Calculo Excedentes'!Z82</f>
        <v>0</v>
      </c>
      <c r="K85" s="68">
        <f t="shared" si="3"/>
        <v>0</v>
      </c>
      <c r="L85" s="68">
        <f>+'Calculo Excedentes'!BE82</f>
        <v>0</v>
      </c>
      <c r="M85" s="242">
        <f>+'Calculo Excedentes'!BD82</f>
        <v>0</v>
      </c>
    </row>
    <row r="86" spans="1:14" ht="13.8" thickBot="1" x14ac:dyDescent="0.3">
      <c r="A86" s="129"/>
      <c r="B86" s="137" t="s">
        <v>178</v>
      </c>
      <c r="D86" s="138">
        <f>+SUM(D56:D85)</f>
        <v>3987.22</v>
      </c>
      <c r="E86" s="138">
        <f>+SUM(E56:E85)</f>
        <v>-2982.1858000000002</v>
      </c>
      <c r="F86" s="145">
        <f>+'Calculo Excedentes'!V85</f>
        <v>9.6226948519741412E-4</v>
      </c>
      <c r="H86" s="138">
        <f>+SUM(H56:H85)</f>
        <v>27700.550000000007</v>
      </c>
      <c r="I86" s="138">
        <f>+SUM(I56:I85)</f>
        <v>33516.639999999999</v>
      </c>
      <c r="J86" s="138">
        <f>+SUM(J56:J85)</f>
        <v>2057.8874091780822</v>
      </c>
      <c r="K86" s="138">
        <f>+SUM(K56:K85)</f>
        <v>94.058053356164265</v>
      </c>
      <c r="L86" s="138">
        <f>+SUM(L56:L85)</f>
        <v>2151.9454625342469</v>
      </c>
      <c r="M86" s="178"/>
    </row>
    <row r="87" spans="1:14" ht="13.8" thickBot="1" x14ac:dyDescent="0.3">
      <c r="D87" s="5"/>
      <c r="F87" s="147"/>
    </row>
    <row r="88" spans="1:14" s="1" customFormat="1" ht="13.8" thickBot="1" x14ac:dyDescent="0.3">
      <c r="B88" s="148" t="s">
        <v>21</v>
      </c>
      <c r="C88" s="4"/>
      <c r="D88" s="149">
        <f>+D52+D86</f>
        <v>3079528.07</v>
      </c>
      <c r="E88" s="150">
        <f>+E52+E86</f>
        <v>635414.0527</v>
      </c>
      <c r="F88" s="152">
        <f>+'Calculo Excedentes'!S87</f>
        <v>1</v>
      </c>
      <c r="H88" s="149">
        <f>+H52+H86</f>
        <v>2681908.939999999</v>
      </c>
      <c r="I88" s="149">
        <f>+I52+I86</f>
        <v>3094417.62</v>
      </c>
      <c r="J88" s="149">
        <f>+J52+J86</f>
        <v>162017.90099150682</v>
      </c>
      <c r="K88" s="149">
        <f>+K52+K86</f>
        <v>60165.755216027392</v>
      </c>
      <c r="L88" s="149">
        <f>+L52+L86</f>
        <v>222183.65620753422</v>
      </c>
      <c r="M88" s="179"/>
      <c r="N88" s="13"/>
    </row>
    <row r="89" spans="1:14" x14ac:dyDescent="0.25">
      <c r="L89" s="223">
        <f>+Parametros!I25</f>
        <v>237492.05130000002</v>
      </c>
    </row>
    <row r="90" spans="1:14" x14ac:dyDescent="0.25">
      <c r="D90" s="5"/>
      <c r="L90" s="249">
        <f>+L89-L88</f>
        <v>15308.395092465798</v>
      </c>
    </row>
  </sheetData>
  <pageMargins left="0.38" right="0.75" top="0.63" bottom="1" header="0" footer="0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98"/>
  <sheetViews>
    <sheetView zoomScale="110" zoomScaleNormal="110" workbookViewId="0">
      <pane xSplit="3" ySplit="5" topLeftCell="AX74" activePane="bottomRight" state="frozen"/>
      <selection pane="topRight" activeCell="D1" sqref="D1"/>
      <selection pane="bottomLeft" activeCell="A5" sqref="A5"/>
      <selection pane="bottomRight" activeCell="BF87" sqref="BF87"/>
    </sheetView>
  </sheetViews>
  <sheetFormatPr baseColWidth="10" defaultRowHeight="13.2" x14ac:dyDescent="0.25"/>
  <cols>
    <col min="1" max="1" width="7.33203125" customWidth="1"/>
    <col min="2" max="2" width="24.33203125" customWidth="1"/>
    <col min="3" max="3" width="2.33203125" customWidth="1"/>
    <col min="4" max="4" width="11.5546875" customWidth="1"/>
    <col min="5" max="5" width="15.5546875" bestFit="1" customWidth="1"/>
    <col min="6" max="6" width="17.33203125" bestFit="1" customWidth="1"/>
    <col min="7" max="7" width="14.33203125" bestFit="1" customWidth="1"/>
    <col min="8" max="8" width="12.33203125" customWidth="1"/>
    <col min="9" max="9" width="10.6640625" customWidth="1"/>
    <col min="10" max="10" width="1.88671875" customWidth="1"/>
    <col min="12" max="12" width="12.44140625" customWidth="1"/>
    <col min="13" max="13" width="13.109375" customWidth="1"/>
    <col min="14" max="14" width="12.33203125" customWidth="1"/>
    <col min="15" max="15" width="13" customWidth="1"/>
    <col min="16" max="16" width="2.44140625" customWidth="1"/>
    <col min="17" max="18" width="12.44140625" customWidth="1"/>
    <col min="19" max="19" width="10" customWidth="1"/>
    <col min="20" max="20" width="2" customWidth="1"/>
    <col min="21" max="21" width="16.33203125" customWidth="1"/>
    <col min="22" max="22" width="8.33203125" customWidth="1"/>
    <col min="23" max="23" width="10.88671875" style="12" customWidth="1"/>
    <col min="24" max="24" width="12.33203125" style="12" customWidth="1"/>
    <col min="25" max="31" width="11.6640625" style="12" customWidth="1"/>
    <col min="32" max="32" width="2.44140625" customWidth="1"/>
    <col min="33" max="39" width="11.6640625" style="12" customWidth="1"/>
    <col min="40" max="40" width="2.109375" style="12" customWidth="1"/>
    <col min="41" max="41" width="16.33203125" customWidth="1"/>
    <col min="42" max="42" width="8.33203125" customWidth="1"/>
    <col min="43" max="44" width="2.109375" style="12" customWidth="1"/>
    <col min="45" max="48" width="11.6640625" style="12" customWidth="1"/>
    <col min="49" max="49" width="16.5546875" style="12" customWidth="1"/>
    <col min="50" max="50" width="11.6640625" style="12" customWidth="1"/>
    <col min="51" max="51" width="11.44140625" style="12"/>
    <col min="52" max="52" width="11.6640625" style="71" bestFit="1" customWidth="1"/>
    <col min="53" max="68" width="11.44140625" style="12"/>
  </cols>
  <sheetData>
    <row r="1" spans="1:58" ht="13.8" x14ac:dyDescent="0.25">
      <c r="B1" s="2" t="s">
        <v>212</v>
      </c>
    </row>
    <row r="2" spans="1:58" ht="13.8" x14ac:dyDescent="0.25">
      <c r="B2" s="195" t="s">
        <v>210</v>
      </c>
      <c r="C2" s="196"/>
      <c r="D2" s="196"/>
      <c r="E2" s="196"/>
      <c r="F2" s="196"/>
      <c r="G2" s="196"/>
      <c r="AA2" s="71"/>
    </row>
    <row r="3" spans="1:58" ht="13.8" thickBot="1" x14ac:dyDescent="0.3"/>
    <row r="4" spans="1:58" ht="24.75" customHeight="1" thickBot="1" x14ac:dyDescent="0.3">
      <c r="D4" s="291" t="s">
        <v>213</v>
      </c>
      <c r="E4" s="292"/>
      <c r="F4" s="292"/>
      <c r="G4" s="292"/>
      <c r="H4" s="292"/>
      <c r="I4" s="293"/>
      <c r="K4" s="291" t="s">
        <v>214</v>
      </c>
      <c r="L4" s="292"/>
      <c r="M4" s="292"/>
      <c r="N4" s="292"/>
      <c r="O4" s="293"/>
      <c r="Q4" s="294" t="s">
        <v>215</v>
      </c>
      <c r="R4" s="295"/>
      <c r="S4" s="296"/>
      <c r="U4" s="286" t="s">
        <v>216</v>
      </c>
      <c r="V4" s="287"/>
      <c r="X4" s="288" t="s">
        <v>217</v>
      </c>
      <c r="Y4" s="289"/>
      <c r="Z4" s="289"/>
      <c r="AA4" s="289"/>
      <c r="AB4" s="289"/>
      <c r="AC4" s="289"/>
      <c r="AD4" s="289"/>
      <c r="AE4" s="290"/>
      <c r="AG4" s="283" t="s">
        <v>218</v>
      </c>
      <c r="AH4" s="284"/>
      <c r="AI4" s="284"/>
      <c r="AJ4" s="284"/>
      <c r="AK4" s="284"/>
      <c r="AL4" s="284"/>
      <c r="AM4" s="285"/>
      <c r="AO4" s="286" t="s">
        <v>261</v>
      </c>
      <c r="AP4" s="287"/>
      <c r="AS4" s="283" t="s">
        <v>219</v>
      </c>
      <c r="AT4" s="284"/>
      <c r="AU4" s="284"/>
      <c r="AV4" s="285"/>
      <c r="AY4"/>
      <c r="AZ4" s="10"/>
      <c r="BA4" s="283" t="s">
        <v>252</v>
      </c>
      <c r="BB4" s="284"/>
      <c r="BC4" s="284"/>
      <c r="BD4" s="285"/>
      <c r="BF4"/>
    </row>
    <row r="5" spans="1:58" s="177" customFormat="1" ht="55.5" customHeight="1" x14ac:dyDescent="0.25">
      <c r="A5" s="69" t="s">
        <v>180</v>
      </c>
      <c r="B5" s="69" t="s">
        <v>43</v>
      </c>
      <c r="D5" s="199" t="s">
        <v>1</v>
      </c>
      <c r="E5" s="69" t="s">
        <v>40</v>
      </c>
      <c r="F5" s="69" t="s">
        <v>41</v>
      </c>
      <c r="G5" s="69" t="s">
        <v>42</v>
      </c>
      <c r="H5" s="69" t="s">
        <v>2</v>
      </c>
      <c r="I5" s="200" t="s">
        <v>51</v>
      </c>
      <c r="K5" s="199" t="s">
        <v>1</v>
      </c>
      <c r="L5" s="69" t="s">
        <v>0</v>
      </c>
      <c r="M5" s="69" t="s">
        <v>42</v>
      </c>
      <c r="N5" s="69" t="s">
        <v>2</v>
      </c>
      <c r="O5" s="200" t="s">
        <v>51</v>
      </c>
      <c r="Q5" s="201" t="s">
        <v>182</v>
      </c>
      <c r="R5" s="202" t="s">
        <v>52</v>
      </c>
      <c r="S5" s="203" t="s">
        <v>181</v>
      </c>
      <c r="U5" s="201" t="s">
        <v>101</v>
      </c>
      <c r="V5" s="203" t="s">
        <v>22</v>
      </c>
      <c r="X5" s="198" t="s">
        <v>190</v>
      </c>
      <c r="Y5" s="198" t="s">
        <v>191</v>
      </c>
      <c r="Z5" s="198" t="s">
        <v>192</v>
      </c>
      <c r="AA5" s="198" t="s">
        <v>193</v>
      </c>
      <c r="AB5" s="198" t="s">
        <v>194</v>
      </c>
      <c r="AC5" s="198" t="s">
        <v>195</v>
      </c>
      <c r="AD5" s="198" t="s">
        <v>196</v>
      </c>
      <c r="AE5" s="198" t="s">
        <v>197</v>
      </c>
      <c r="AF5"/>
      <c r="AG5" s="198" t="s">
        <v>198</v>
      </c>
      <c r="AH5" s="198" t="s">
        <v>95</v>
      </c>
      <c r="AI5" s="198" t="s">
        <v>199</v>
      </c>
      <c r="AJ5" s="198" t="s">
        <v>202</v>
      </c>
      <c r="AK5" s="198" t="s">
        <v>200</v>
      </c>
      <c r="AL5" s="198" t="s">
        <v>260</v>
      </c>
      <c r="AM5" s="198" t="s">
        <v>201</v>
      </c>
      <c r="AN5" s="204"/>
      <c r="AO5" s="201" t="s">
        <v>101</v>
      </c>
      <c r="AP5" s="203" t="s">
        <v>22</v>
      </c>
      <c r="AQ5" s="204"/>
      <c r="AR5" s="204"/>
      <c r="AS5" s="198" t="s">
        <v>203</v>
      </c>
      <c r="AT5" s="198" t="s">
        <v>204</v>
      </c>
      <c r="AU5" s="198" t="s">
        <v>205</v>
      </c>
      <c r="AV5" s="198" t="s">
        <v>206</v>
      </c>
      <c r="AW5" s="198" t="s">
        <v>253</v>
      </c>
      <c r="AX5" s="198" t="s">
        <v>262</v>
      </c>
      <c r="AY5" s="198" t="s">
        <v>254</v>
      </c>
      <c r="AZ5" s="205"/>
      <c r="BA5" s="198" t="s">
        <v>255</v>
      </c>
      <c r="BB5" s="198" t="s">
        <v>256</v>
      </c>
      <c r="BC5" s="198" t="s">
        <v>257</v>
      </c>
      <c r="BD5" s="198" t="s">
        <v>258</v>
      </c>
      <c r="BE5" s="198" t="s">
        <v>259</v>
      </c>
      <c r="BF5" s="198" t="s">
        <v>263</v>
      </c>
    </row>
    <row r="6" spans="1:58" ht="13.8" thickBot="1" x14ac:dyDescent="0.3">
      <c r="A6" s="59"/>
      <c r="B6" s="59"/>
      <c r="D6" s="19"/>
      <c r="E6" s="20"/>
      <c r="F6" s="20"/>
      <c r="G6" s="256">
        <v>0.39</v>
      </c>
      <c r="H6" s="194">
        <v>0</v>
      </c>
      <c r="I6" s="21"/>
      <c r="K6" s="19"/>
      <c r="L6" s="20"/>
      <c r="M6" s="99">
        <v>0.39</v>
      </c>
      <c r="N6" s="100">
        <v>0</v>
      </c>
      <c r="O6" s="21"/>
      <c r="Q6" s="19"/>
      <c r="R6" s="20"/>
      <c r="S6" s="142"/>
      <c r="U6" s="19"/>
      <c r="V6" s="21"/>
      <c r="Z6" s="125"/>
      <c r="AM6"/>
      <c r="AO6" s="19"/>
      <c r="AP6" s="21"/>
      <c r="AY6"/>
      <c r="AZ6" s="10"/>
      <c r="BF6"/>
    </row>
    <row r="7" spans="1:58" ht="13.8" thickBot="1" x14ac:dyDescent="0.3">
      <c r="A7" s="248" t="s">
        <v>105</v>
      </c>
      <c r="B7" s="130" t="s">
        <v>11</v>
      </c>
      <c r="D7" s="257">
        <f>+'[2]produccion cooperativas asociad'!$M2</f>
        <v>334668.01</v>
      </c>
      <c r="E7" s="257">
        <v>203641.72</v>
      </c>
      <c r="F7" s="258">
        <v>44692</v>
      </c>
      <c r="G7" s="261">
        <f t="shared" ref="G7:G49" si="0">+D7*$G$6</f>
        <v>130520.52390000001</v>
      </c>
      <c r="H7" s="261">
        <f t="shared" ref="H7:H25" si="1">+D7*$H$6</f>
        <v>0</v>
      </c>
      <c r="I7" s="143">
        <f t="shared" ref="I7:I49" si="2">+D7-E7-F7-G7-H7</f>
        <v>-44186.233900000007</v>
      </c>
      <c r="J7" s="70"/>
      <c r="K7" s="134"/>
      <c r="L7" s="126"/>
      <c r="M7" s="9">
        <f>+K7*$M$6</f>
        <v>0</v>
      </c>
      <c r="N7" s="9">
        <f t="shared" ref="N7:N49" si="3">+K7*$N$6</f>
        <v>0</v>
      </c>
      <c r="O7" s="135">
        <f>+K7-L7-M7-N7</f>
        <v>0</v>
      </c>
      <c r="P7" s="5"/>
      <c r="Q7" s="143">
        <f>+I7+O7</f>
        <v>-44186.233900000007</v>
      </c>
      <c r="R7" s="9">
        <f t="shared" ref="R7:R49" si="4">+IF(Q7&gt;0,Q7,0)</f>
        <v>0</v>
      </c>
      <c r="S7" s="144">
        <f t="shared" ref="S7:S50" si="5">+R7/$R$87</f>
        <v>0</v>
      </c>
      <c r="T7" s="12"/>
      <c r="U7" s="143">
        <f t="shared" ref="U7:U50" si="6">+IF(R7&gt;0,D7+K7,0)</f>
        <v>0</v>
      </c>
      <c r="V7" s="144">
        <f t="shared" ref="V7:V50" si="7">+U7/$U$87</f>
        <v>0</v>
      </c>
      <c r="X7" s="68">
        <f>+'Calculo Intereses COOPS'!G8</f>
        <v>112628.56</v>
      </c>
      <c r="Y7" s="68">
        <f>+'Calculo Intereses COOPS'!G24</f>
        <v>132742.84999999998</v>
      </c>
      <c r="Z7" s="68">
        <f>+'Calculo Intereses COOPS'!J24</f>
        <v>6799.8077972602732</v>
      </c>
      <c r="AA7" s="68">
        <f>+V7*Parametros!$I$39</f>
        <v>0</v>
      </c>
      <c r="AB7" s="68">
        <f t="shared" ref="AB7:AB50" si="8">+Z7+AA7</f>
        <v>6799.8077972602732</v>
      </c>
      <c r="AC7" s="181">
        <f t="shared" ref="AC7:AC49" si="9">IF(X7+Y7=0,0,AB7/((X7+Y7)/2))</f>
        <v>5.5424613627645322E-2</v>
      </c>
      <c r="AD7" s="68">
        <f>+IF(AC7&gt;Parametros!$H$41,Parametros!$H$41*(X7+Y7)/2,AB7)</f>
        <v>6799.8077972602732</v>
      </c>
      <c r="AE7" s="68">
        <f>+AB7-AD7</f>
        <v>0</v>
      </c>
      <c r="AF7" s="12"/>
      <c r="AG7" s="181">
        <f>+IF(AC7&lt;Parametros!$H$41,V7,0)</f>
        <v>0</v>
      </c>
      <c r="AH7" s="68">
        <f t="shared" ref="AH7:AH50" si="10">IF($AG$87=0,0,AG7/$AG$87*$AE$87)</f>
        <v>0</v>
      </c>
      <c r="AI7" s="68">
        <f t="shared" ref="AI7:AI49" si="11">+AD7+AH7</f>
        <v>6799.8077972602732</v>
      </c>
      <c r="AJ7" s="181">
        <f t="shared" ref="AJ7:AL49" si="12">IF($X7+$Y7=0,0,AI7/(($X7+$Y7)/2))</f>
        <v>5.5424613627645322E-2</v>
      </c>
      <c r="AK7" s="68">
        <f>+IF(AJ7&gt;=Parametros!$H$41,Parametros!$H$41*($X7+$Y7)/2,AI7)</f>
        <v>6799.8077972602732</v>
      </c>
      <c r="AL7" s="242">
        <f t="shared" si="12"/>
        <v>5.5424613627645322E-2</v>
      </c>
      <c r="AM7" s="68">
        <f t="shared" ref="AM7:AM49" si="13">AI7-AK7</f>
        <v>0</v>
      </c>
      <c r="AO7" s="298">
        <f>+IF(AL7&gt;=Parametros!$H$41,0,'Calculo Excedentes'!D7+'Calculo Excedentes'!K7)</f>
        <v>334668.01</v>
      </c>
      <c r="AP7" s="146">
        <f t="shared" ref="AP7:AP26" si="14">+AO7/$AO$87</f>
        <v>0.44271645351255795</v>
      </c>
      <c r="AS7" s="243">
        <f>+IF(AL7&lt;Parametros!$H$41,AP7,0)</f>
        <v>0.44271645351255795</v>
      </c>
      <c r="AT7" s="68">
        <f t="shared" ref="AT7:AT50" si="15">IF($AS$87=0,0,AS7/$AS$87*$AM$87)</f>
        <v>8058.2729508674975</v>
      </c>
      <c r="AU7" s="68">
        <f t="shared" ref="AU7:AU50" si="16">+AK7+AT7</f>
        <v>14858.08074812777</v>
      </c>
      <c r="AV7" s="181">
        <f t="shared" ref="AV7:AV50" si="17">IF($X7+$Y7=0,0,AU7/(($X7+$Y7)/2))</f>
        <v>0.12110686202706152</v>
      </c>
      <c r="AW7" s="68">
        <f>+IF(AV7&gt;=Parametros!$H$41,Parametros!$H$41*($X7+$Y7)/2,AU7)</f>
        <v>9446.7992849999991</v>
      </c>
      <c r="AX7" s="242">
        <f t="shared" ref="AX7:AX26" si="18">IF($X7+$Y7=0,0,AW7/(($X7+$Y7)/2))</f>
        <v>7.6999999999999999E-2</v>
      </c>
      <c r="AY7" s="68">
        <f t="shared" ref="AY7:AY26" si="19">AU7-AW7</f>
        <v>5411.2814631277706</v>
      </c>
      <c r="BA7" s="181">
        <f>+IF(AV7&lt;Parametros!$H$41,$AP7,0)</f>
        <v>0</v>
      </c>
      <c r="BB7" s="68">
        <f t="shared" ref="BB7:BB26" si="20">IF(BA7=0,0,BA7/$BA$87*$AY$87)</f>
        <v>0</v>
      </c>
      <c r="BC7" s="68">
        <f t="shared" ref="BC7" si="21">+AW7+BB7</f>
        <v>9446.7992849999991</v>
      </c>
      <c r="BD7" s="181">
        <f>IF($X7+$Y7=0,0,MIN(Parametros!$H$41,BC7/(($X7+$Y7)/2)))</f>
        <v>7.6999999999999999E-2</v>
      </c>
      <c r="BE7" s="68">
        <f>+IF(BD7&gt;=Parametros!$H$41,Parametros!$H$41*($X7+$Y7)/2,BC7)</f>
        <v>9446.7992849999991</v>
      </c>
      <c r="BF7" s="68">
        <f t="shared" ref="BF7" si="22">BC7-BE7</f>
        <v>0</v>
      </c>
    </row>
    <row r="8" spans="1:58" ht="13.8" thickBot="1" x14ac:dyDescent="0.3">
      <c r="A8" s="248" t="s">
        <v>106</v>
      </c>
      <c r="B8" s="130" t="s">
        <v>8</v>
      </c>
      <c r="D8" s="257">
        <f>+'[2]produccion cooperativas asociad'!$M3</f>
        <v>115993.09</v>
      </c>
      <c r="E8" s="257">
        <v>12743.85</v>
      </c>
      <c r="F8" s="258">
        <v>0</v>
      </c>
      <c r="G8" s="261">
        <f t="shared" si="0"/>
        <v>45237.305099999998</v>
      </c>
      <c r="H8" s="261">
        <f t="shared" si="1"/>
        <v>0</v>
      </c>
      <c r="I8" s="143">
        <f t="shared" si="2"/>
        <v>58011.934899999993</v>
      </c>
      <c r="J8" s="70"/>
      <c r="K8" s="134"/>
      <c r="L8" s="126"/>
      <c r="M8" s="9">
        <f t="shared" ref="M8:M49" si="23">+K8*$M$6</f>
        <v>0</v>
      </c>
      <c r="N8" s="9">
        <f t="shared" si="3"/>
        <v>0</v>
      </c>
      <c r="O8" s="135">
        <f t="shared" ref="O8:O50" si="24">+K8-L8-M8-N8</f>
        <v>0</v>
      </c>
      <c r="P8" s="5"/>
      <c r="Q8" s="143">
        <f>+I8+O8</f>
        <v>58011.934899999993</v>
      </c>
      <c r="R8" s="9">
        <f t="shared" si="4"/>
        <v>58011.934899999993</v>
      </c>
      <c r="S8" s="144">
        <f t="shared" si="5"/>
        <v>8.075896985832838E-2</v>
      </c>
      <c r="T8" s="12"/>
      <c r="U8" s="143">
        <f t="shared" si="6"/>
        <v>115993.09</v>
      </c>
      <c r="V8" s="297">
        <f t="shared" si="7"/>
        <v>4.8615412189832063E-2</v>
      </c>
      <c r="X8" s="68">
        <f>+'Calculo Intereses COOPS'!G30</f>
        <v>91771.44</v>
      </c>
      <c r="Y8" s="68">
        <f>+'Calculo Intereses COOPS'!G46</f>
        <v>110671.44</v>
      </c>
      <c r="Z8" s="68">
        <f>+'Calculo Intereses COOPS'!J46</f>
        <v>5542.5045424657546</v>
      </c>
      <c r="AA8" s="68">
        <f>+V8*Parametros!$I$39</f>
        <v>2718.2095487455572</v>
      </c>
      <c r="AB8" s="68">
        <f t="shared" si="8"/>
        <v>8260.7140912113118</v>
      </c>
      <c r="AC8" s="181">
        <f t="shared" si="9"/>
        <v>8.1610319821683153E-2</v>
      </c>
      <c r="AD8" s="68">
        <f>+IF(AC8&gt;Parametros!$H$41,Parametros!$H$41*(X8+Y8)/2,AB8)</f>
        <v>7794.0508799999998</v>
      </c>
      <c r="AE8" s="68">
        <f t="shared" ref="AE8:AE50" si="25">+AB8-AD8</f>
        <v>466.66321121131205</v>
      </c>
      <c r="AF8" s="12"/>
      <c r="AG8" s="181">
        <f>+IF(AC8&lt;Parametros!$H$41,V8,0)</f>
        <v>0</v>
      </c>
      <c r="AH8" s="68">
        <f t="shared" si="10"/>
        <v>0</v>
      </c>
      <c r="AI8" s="68">
        <f t="shared" si="11"/>
        <v>7794.0508799999998</v>
      </c>
      <c r="AJ8" s="181">
        <f t="shared" si="12"/>
        <v>7.6999999999999999E-2</v>
      </c>
      <c r="AK8" s="68">
        <f>+IF(AJ8&gt;=Parametros!$H$41,Parametros!$H$41*($X8+$Y8)/2,AI8)</f>
        <v>7794.0508799999998</v>
      </c>
      <c r="AL8" s="242">
        <f t="shared" si="12"/>
        <v>7.6999999999999999E-2</v>
      </c>
      <c r="AM8" s="68">
        <f t="shared" si="13"/>
        <v>0</v>
      </c>
      <c r="AO8" s="143">
        <f>+IF(AL8&gt;=Parametros!$H$41,0,'Calculo Excedentes'!D8+'Calculo Excedentes'!K8)</f>
        <v>0</v>
      </c>
      <c r="AP8" s="146">
        <f t="shared" si="14"/>
        <v>0</v>
      </c>
      <c r="AS8" s="243">
        <f>+IF(AL8&lt;Parametros!$H$41,AP8,0)</f>
        <v>0</v>
      </c>
      <c r="AT8" s="68">
        <f t="shared" si="15"/>
        <v>0</v>
      </c>
      <c r="AU8" s="68">
        <f t="shared" si="16"/>
        <v>7794.0508799999998</v>
      </c>
      <c r="AV8" s="181">
        <f t="shared" si="17"/>
        <v>7.6999999999999999E-2</v>
      </c>
      <c r="AW8" s="68">
        <f>+IF(AV8&gt;=Parametros!$H$41,Parametros!$H$41*($X8+$Y8)/2,AU8)</f>
        <v>7794.0508799999998</v>
      </c>
      <c r="AX8" s="242">
        <f t="shared" si="18"/>
        <v>7.6999999999999999E-2</v>
      </c>
      <c r="AY8" s="68">
        <f t="shared" si="19"/>
        <v>0</v>
      </c>
      <c r="BA8" s="181">
        <f>+IF(AV8&lt;Parametros!$H$41,$AP8,0)</f>
        <v>0</v>
      </c>
      <c r="BB8" s="68">
        <f t="shared" si="20"/>
        <v>0</v>
      </c>
      <c r="BC8" s="68">
        <f t="shared" ref="BC8:BC26" si="26">+AW8+BB8</f>
        <v>7794.0508799999998</v>
      </c>
      <c r="BD8" s="181">
        <f>IF($X8+$Y8=0,0,MIN(Parametros!$H$41,BC8/(($X8+$Y8)/2)))</f>
        <v>7.6999999999999999E-2</v>
      </c>
      <c r="BE8" s="68">
        <f>+IF(BD8&gt;=Parametros!$H$41,Parametros!$H$41*($X8+$Y8)/2,BC8)</f>
        <v>7794.0508799999998</v>
      </c>
      <c r="BF8" s="68">
        <f t="shared" ref="BF8:BF26" si="27">BC8-BE8</f>
        <v>0</v>
      </c>
    </row>
    <row r="9" spans="1:58" ht="13.8" thickBot="1" x14ac:dyDescent="0.3">
      <c r="A9" s="248" t="s">
        <v>107</v>
      </c>
      <c r="B9" s="130" t="s">
        <v>33</v>
      </c>
      <c r="D9" s="257">
        <f>+'[2]produccion cooperativas asociad'!$M4</f>
        <v>265931.55</v>
      </c>
      <c r="E9" s="257">
        <v>117354.77</v>
      </c>
      <c r="F9" s="258">
        <v>0</v>
      </c>
      <c r="G9" s="261">
        <f t="shared" si="0"/>
        <v>103713.3045</v>
      </c>
      <c r="H9" s="261">
        <f t="shared" si="1"/>
        <v>0</v>
      </c>
      <c r="I9" s="143">
        <f t="shared" si="2"/>
        <v>44863.475499999971</v>
      </c>
      <c r="J9" s="70"/>
      <c r="K9" s="134"/>
      <c r="L9" s="126"/>
      <c r="M9" s="9">
        <f t="shared" si="23"/>
        <v>0</v>
      </c>
      <c r="N9" s="9">
        <f t="shared" si="3"/>
        <v>0</v>
      </c>
      <c r="O9" s="135">
        <f t="shared" si="24"/>
        <v>0</v>
      </c>
      <c r="P9" s="5"/>
      <c r="Q9" s="143">
        <f t="shared" ref="Q9:Q49" si="28">+I9+O9</f>
        <v>44863.475499999971</v>
      </c>
      <c r="R9" s="9">
        <f t="shared" si="4"/>
        <v>44863.475499999971</v>
      </c>
      <c r="S9" s="144">
        <f t="shared" si="5"/>
        <v>6.2454873671940768E-2</v>
      </c>
      <c r="T9" s="12"/>
      <c r="U9" s="143">
        <f t="shared" si="6"/>
        <v>265931.55</v>
      </c>
      <c r="V9" s="297">
        <f t="shared" si="7"/>
        <v>0.11145812149267628</v>
      </c>
      <c r="X9" s="68">
        <f>+'Calculo Intereses COOPS'!G51</f>
        <v>11428.57</v>
      </c>
      <c r="Y9" s="68">
        <f>+'Calculo Intereses COOPS'!G67</f>
        <v>15085.84</v>
      </c>
      <c r="Z9" s="68">
        <f>+'Calculo Intereses COOPS'!J67</f>
        <v>730.02437863013699</v>
      </c>
      <c r="AA9" s="68">
        <f>+V9*Parametros!$I$39</f>
        <v>6231.902939413947</v>
      </c>
      <c r="AB9" s="68">
        <f t="shared" si="8"/>
        <v>6961.9273180440841</v>
      </c>
      <c r="AC9" s="181">
        <f t="shared" si="9"/>
        <v>0.52514291798641455</v>
      </c>
      <c r="AD9" s="68">
        <f>+IF(AC9&gt;Parametros!$H$41,Parametros!$H$41*(X9+Y9)/2,AB9)</f>
        <v>1020.8047849999999</v>
      </c>
      <c r="AE9" s="68">
        <f t="shared" si="25"/>
        <v>5941.1225330440839</v>
      </c>
      <c r="AF9" s="12"/>
      <c r="AG9" s="181">
        <f>+IF(AC9&lt;Parametros!$H$41,V9,0)</f>
        <v>0</v>
      </c>
      <c r="AH9" s="68">
        <f t="shared" si="10"/>
        <v>0</v>
      </c>
      <c r="AI9" s="68">
        <f t="shared" si="11"/>
        <v>1020.8047849999999</v>
      </c>
      <c r="AJ9" s="181">
        <f t="shared" si="12"/>
        <v>7.6999999999999999E-2</v>
      </c>
      <c r="AK9" s="68">
        <f>+IF(AJ9&gt;=Parametros!$H$41,Parametros!$H$41*($X9+$Y9)/2,AI9)</f>
        <v>1020.8047849999999</v>
      </c>
      <c r="AL9" s="242">
        <f t="shared" si="12"/>
        <v>7.6999999999999999E-2</v>
      </c>
      <c r="AM9" s="68">
        <f t="shared" si="13"/>
        <v>0</v>
      </c>
      <c r="AO9" s="143">
        <f>+IF(AL9&gt;=Parametros!$H$41,0,'Calculo Excedentes'!D9+'Calculo Excedentes'!K9)</f>
        <v>0</v>
      </c>
      <c r="AP9" s="146">
        <f t="shared" si="14"/>
        <v>0</v>
      </c>
      <c r="AS9" s="243">
        <f>+IF(AL9&lt;Parametros!$H$41,AP9,0)</f>
        <v>0</v>
      </c>
      <c r="AT9" s="68">
        <f t="shared" si="15"/>
        <v>0</v>
      </c>
      <c r="AU9" s="68">
        <f t="shared" si="16"/>
        <v>1020.8047849999999</v>
      </c>
      <c r="AV9" s="181">
        <f t="shared" si="17"/>
        <v>7.6999999999999999E-2</v>
      </c>
      <c r="AW9" s="68">
        <f>+IF(AV9&gt;=Parametros!$H$41,Parametros!$H$41*($X9+$Y9)/2,AU9)</f>
        <v>1020.8047849999999</v>
      </c>
      <c r="AX9" s="242">
        <f t="shared" si="18"/>
        <v>7.6999999999999999E-2</v>
      </c>
      <c r="AY9" s="68">
        <f t="shared" si="19"/>
        <v>0</v>
      </c>
      <c r="BA9" s="181">
        <f>+IF(AV9&lt;Parametros!$H$41,$AP9,0)</f>
        <v>0</v>
      </c>
      <c r="BB9" s="68">
        <f t="shared" si="20"/>
        <v>0</v>
      </c>
      <c r="BC9" s="68">
        <f t="shared" si="26"/>
        <v>1020.8047849999999</v>
      </c>
      <c r="BD9" s="181">
        <f>IF($X9+$Y9=0,0,MIN(Parametros!$H$41,BC9/(($X9+$Y9)/2)))</f>
        <v>7.6999999999999999E-2</v>
      </c>
      <c r="BE9" s="68">
        <f>+IF(BD9&gt;=Parametros!$H$41,Parametros!$H$41*($X9+$Y9)/2,BC9)</f>
        <v>1020.8047849999999</v>
      </c>
      <c r="BF9" s="68">
        <f t="shared" si="27"/>
        <v>0</v>
      </c>
    </row>
    <row r="10" spans="1:58" ht="13.8" thickBot="1" x14ac:dyDescent="0.3">
      <c r="A10" s="248" t="s">
        <v>108</v>
      </c>
      <c r="B10" s="130" t="s">
        <v>10</v>
      </c>
      <c r="D10" s="257">
        <f>+'[2]produccion cooperativas asociad'!$M5</f>
        <v>92879.91</v>
      </c>
      <c r="E10" s="257">
        <v>42045.2</v>
      </c>
      <c r="F10" s="258">
        <v>0</v>
      </c>
      <c r="G10" s="261">
        <f t="shared" si="0"/>
        <v>36223.164900000003</v>
      </c>
      <c r="H10" s="261">
        <f t="shared" si="1"/>
        <v>0</v>
      </c>
      <c r="I10" s="143">
        <f t="shared" si="2"/>
        <v>14611.545100000003</v>
      </c>
      <c r="J10" s="70"/>
      <c r="K10" s="134"/>
      <c r="L10" s="126"/>
      <c r="M10" s="9">
        <f>+K10*$M$6</f>
        <v>0</v>
      </c>
      <c r="N10" s="9">
        <f t="shared" si="3"/>
        <v>0</v>
      </c>
      <c r="O10" s="135">
        <f t="shared" si="24"/>
        <v>0</v>
      </c>
      <c r="P10" s="5"/>
      <c r="Q10" s="143">
        <f t="shared" si="28"/>
        <v>14611.545100000003</v>
      </c>
      <c r="R10" s="9">
        <f t="shared" si="4"/>
        <v>14611.545100000003</v>
      </c>
      <c r="S10" s="144">
        <f t="shared" si="5"/>
        <v>2.0340871793857476E-2</v>
      </c>
      <c r="T10" s="12"/>
      <c r="U10" s="143">
        <f t="shared" si="6"/>
        <v>92879.91</v>
      </c>
      <c r="V10" s="144">
        <f t="shared" si="7"/>
        <v>3.8928138812445681E-2</v>
      </c>
      <c r="X10" s="68">
        <f>+'Calculo Intereses COOPS'!G72</f>
        <v>66799.929999999993</v>
      </c>
      <c r="Y10" s="68">
        <f>+'Calculo Intereses COOPS'!G88</f>
        <v>92168.079999999987</v>
      </c>
      <c r="Z10" s="68">
        <f>+'Calculo Intereses COOPS'!J88</f>
        <v>4280.1801719178075</v>
      </c>
      <c r="AA10" s="68">
        <f>+V10*Parametros!$I$39</f>
        <v>2176.5698133279143</v>
      </c>
      <c r="AB10" s="68">
        <f t="shared" si="8"/>
        <v>6456.7499852457222</v>
      </c>
      <c r="AC10" s="181">
        <f t="shared" si="9"/>
        <v>8.1233324682692107E-2</v>
      </c>
      <c r="AD10" s="68">
        <f>+IF(AC10&gt;Parametros!$H$41,Parametros!$H$41*(X10+Y10)/2,AB10)</f>
        <v>6120.2683849999994</v>
      </c>
      <c r="AE10" s="68">
        <f t="shared" si="25"/>
        <v>336.4816002457228</v>
      </c>
      <c r="AF10" s="12"/>
      <c r="AG10" s="181">
        <f>+IF(AC10&lt;Parametros!$H$41,V10,0)</f>
        <v>0</v>
      </c>
      <c r="AH10" s="68">
        <f t="shared" si="10"/>
        <v>0</v>
      </c>
      <c r="AI10" s="68">
        <f t="shared" si="11"/>
        <v>6120.2683849999994</v>
      </c>
      <c r="AJ10" s="181">
        <f t="shared" si="12"/>
        <v>7.6999999999999999E-2</v>
      </c>
      <c r="AK10" s="68">
        <f>+IF(AJ10&gt;=Parametros!$H$41,Parametros!$H$41*($X10+$Y10)/2,AI10)</f>
        <v>6120.2683849999994</v>
      </c>
      <c r="AL10" s="242">
        <f t="shared" si="12"/>
        <v>7.6999999999999999E-2</v>
      </c>
      <c r="AM10" s="68">
        <f t="shared" si="13"/>
        <v>0</v>
      </c>
      <c r="AO10" s="143">
        <f>+IF(AL10&gt;=Parametros!$H$41,0,'Calculo Excedentes'!D10+'Calculo Excedentes'!K10)</f>
        <v>0</v>
      </c>
      <c r="AP10" s="146">
        <f t="shared" si="14"/>
        <v>0</v>
      </c>
      <c r="AS10" s="243">
        <f>+IF(AL10&lt;Parametros!$H$41,AP10,0)</f>
        <v>0</v>
      </c>
      <c r="AT10" s="68">
        <f t="shared" si="15"/>
        <v>0</v>
      </c>
      <c r="AU10" s="68">
        <f t="shared" si="16"/>
        <v>6120.2683849999994</v>
      </c>
      <c r="AV10" s="181">
        <f t="shared" si="17"/>
        <v>7.6999999999999999E-2</v>
      </c>
      <c r="AW10" s="68">
        <f>+IF(AV10&gt;=Parametros!$H$41,Parametros!$H$41*($X10+$Y10)/2,AU10)</f>
        <v>6120.2683849999994</v>
      </c>
      <c r="AX10" s="242">
        <f t="shared" si="18"/>
        <v>7.6999999999999999E-2</v>
      </c>
      <c r="AY10" s="68">
        <f t="shared" si="19"/>
        <v>0</v>
      </c>
      <c r="BA10" s="181">
        <f>+IF(AV10&lt;Parametros!$H$41,$AP10,0)</f>
        <v>0</v>
      </c>
      <c r="BB10" s="68">
        <f t="shared" si="20"/>
        <v>0</v>
      </c>
      <c r="BC10" s="68">
        <f t="shared" si="26"/>
        <v>6120.2683849999994</v>
      </c>
      <c r="BD10" s="181">
        <f>IF($X10+$Y10=0,0,MIN(Parametros!$H$41,BC10/(($X10+$Y10)/2)))</f>
        <v>7.6999999999999999E-2</v>
      </c>
      <c r="BE10" s="68">
        <f>+IF(BD10&gt;=Parametros!$H$41,Parametros!$H$41*($X10+$Y10)/2,BC10)</f>
        <v>6120.2683849999994</v>
      </c>
      <c r="BF10" s="68">
        <f t="shared" si="27"/>
        <v>0</v>
      </c>
    </row>
    <row r="11" spans="1:58" ht="13.8" thickBot="1" x14ac:dyDescent="0.3">
      <c r="A11" s="248" t="s">
        <v>109</v>
      </c>
      <c r="B11" s="130" t="s">
        <v>9</v>
      </c>
      <c r="D11" s="257">
        <f>+'[2]produccion cooperativas asociad'!$M6</f>
        <v>389444.88</v>
      </c>
      <c r="E11" s="257">
        <v>155210.82999999999</v>
      </c>
      <c r="F11" s="259">
        <v>0</v>
      </c>
      <c r="G11" s="261">
        <f t="shared" si="0"/>
        <v>151883.50320000001</v>
      </c>
      <c r="H11" s="261">
        <f t="shared" si="1"/>
        <v>0</v>
      </c>
      <c r="I11" s="143">
        <f t="shared" si="2"/>
        <v>82350.546800000011</v>
      </c>
      <c r="J11" s="70"/>
      <c r="K11" s="134"/>
      <c r="L11" s="126"/>
      <c r="M11" s="9">
        <f t="shared" si="23"/>
        <v>0</v>
      </c>
      <c r="N11" s="9">
        <f t="shared" si="3"/>
        <v>0</v>
      </c>
      <c r="O11" s="135">
        <f t="shared" si="24"/>
        <v>0</v>
      </c>
      <c r="P11" s="5"/>
      <c r="Q11" s="143">
        <f t="shared" si="28"/>
        <v>82350.546800000011</v>
      </c>
      <c r="R11" s="9">
        <f t="shared" si="4"/>
        <v>82350.546800000011</v>
      </c>
      <c r="S11" s="144">
        <f t="shared" si="5"/>
        <v>0.11464098445090928</v>
      </c>
      <c r="T11" s="12"/>
      <c r="U11" s="143">
        <f t="shared" si="6"/>
        <v>389444.88</v>
      </c>
      <c r="V11" s="144">
        <f t="shared" si="7"/>
        <v>0.16322544184674867</v>
      </c>
      <c r="X11" s="68">
        <f>+'Calculo Intereses COOPS'!G93</f>
        <v>119199.99</v>
      </c>
      <c r="Y11" s="68">
        <f>+'Calculo Intereses COOPS'!G109</f>
        <v>147885.71000000002</v>
      </c>
      <c r="Z11" s="68">
        <f>+'Calculo Intereses COOPS'!J109</f>
        <v>7363.5848527397256</v>
      </c>
      <c r="AA11" s="68">
        <f>+V11*Parametros!$I$39</f>
        <v>9126.3435737945038</v>
      </c>
      <c r="AB11" s="68">
        <f t="shared" si="8"/>
        <v>16489.928426534228</v>
      </c>
      <c r="AC11" s="181">
        <f t="shared" si="9"/>
        <v>0.12348042913966736</v>
      </c>
      <c r="AD11" s="68">
        <f>+IF(AC11&gt;Parametros!$H$41,Parametros!$H$41*(X11+Y11)/2,AB11)</f>
        <v>10282.79945</v>
      </c>
      <c r="AE11" s="68">
        <f t="shared" si="25"/>
        <v>6207.1289765342281</v>
      </c>
      <c r="AF11" s="12"/>
      <c r="AG11" s="181">
        <f>+IF(AC11&lt;Parametros!$H$41,V11,0)</f>
        <v>0</v>
      </c>
      <c r="AH11" s="68">
        <f t="shared" si="10"/>
        <v>0</v>
      </c>
      <c r="AI11" s="68">
        <f t="shared" si="11"/>
        <v>10282.79945</v>
      </c>
      <c r="AJ11" s="181">
        <f t="shared" si="12"/>
        <v>7.6999999999999999E-2</v>
      </c>
      <c r="AK11" s="68">
        <f>+IF(AJ11&gt;=Parametros!$H$41,Parametros!$H$41*($X11+$Y11)/2,AI11)</f>
        <v>10282.79945</v>
      </c>
      <c r="AL11" s="242">
        <f t="shared" si="12"/>
        <v>7.6999999999999999E-2</v>
      </c>
      <c r="AM11" s="68">
        <f t="shared" si="13"/>
        <v>0</v>
      </c>
      <c r="AO11" s="143">
        <f>+IF(AL11&gt;=Parametros!$H$41,0,'Calculo Excedentes'!D11+'Calculo Excedentes'!K11)</f>
        <v>0</v>
      </c>
      <c r="AP11" s="146">
        <f t="shared" si="14"/>
        <v>0</v>
      </c>
      <c r="AS11" s="243">
        <f>+IF(AL11&lt;Parametros!$H$41,AP11,0)</f>
        <v>0</v>
      </c>
      <c r="AT11" s="68">
        <f t="shared" si="15"/>
        <v>0</v>
      </c>
      <c r="AU11" s="68">
        <f t="shared" si="16"/>
        <v>10282.79945</v>
      </c>
      <c r="AV11" s="181">
        <f t="shared" si="17"/>
        <v>7.6999999999999999E-2</v>
      </c>
      <c r="AW11" s="68">
        <f>+IF(AV11&gt;=Parametros!$H$41,Parametros!$H$41*($X11+$Y11)/2,AU11)</f>
        <v>10282.79945</v>
      </c>
      <c r="AX11" s="242">
        <f t="shared" si="18"/>
        <v>7.6999999999999999E-2</v>
      </c>
      <c r="AY11" s="68">
        <f t="shared" si="19"/>
        <v>0</v>
      </c>
      <c r="BA11" s="181">
        <f>+IF(AV11&lt;Parametros!$H$41,$AP11,0)</f>
        <v>0</v>
      </c>
      <c r="BB11" s="68">
        <f t="shared" si="20"/>
        <v>0</v>
      </c>
      <c r="BC11" s="68">
        <f t="shared" si="26"/>
        <v>10282.79945</v>
      </c>
      <c r="BD11" s="181">
        <f>IF($X11+$Y11=0,0,MIN(Parametros!$H$41,BC11/(($X11+$Y11)/2)))</f>
        <v>7.6999999999999999E-2</v>
      </c>
      <c r="BE11" s="68">
        <f>+IF(BD11&gt;=Parametros!$H$41,Parametros!$H$41*($X11+$Y11)/2,BC11)</f>
        <v>10282.79945</v>
      </c>
      <c r="BF11" s="68">
        <f t="shared" si="27"/>
        <v>0</v>
      </c>
    </row>
    <row r="12" spans="1:58" ht="13.8" thickBot="1" x14ac:dyDescent="0.3">
      <c r="A12" s="248" t="s">
        <v>110</v>
      </c>
      <c r="B12" s="130" t="s">
        <v>16</v>
      </c>
      <c r="D12" s="257">
        <f>+'[2]produccion cooperativas asociad'!$M7</f>
        <v>62346.5</v>
      </c>
      <c r="E12" s="257">
        <v>5177.47</v>
      </c>
      <c r="F12" s="258">
        <v>0</v>
      </c>
      <c r="G12" s="261">
        <f t="shared" si="0"/>
        <v>24315.135000000002</v>
      </c>
      <c r="H12" s="261">
        <f t="shared" si="1"/>
        <v>0</v>
      </c>
      <c r="I12" s="143">
        <f t="shared" si="2"/>
        <v>32853.894999999997</v>
      </c>
      <c r="J12" s="70"/>
      <c r="K12" s="134"/>
      <c r="L12" s="126"/>
      <c r="M12" s="9">
        <f t="shared" si="23"/>
        <v>0</v>
      </c>
      <c r="N12" s="9">
        <f t="shared" si="3"/>
        <v>0</v>
      </c>
      <c r="O12" s="135">
        <f t="shared" si="24"/>
        <v>0</v>
      </c>
      <c r="P12" s="5"/>
      <c r="Q12" s="143">
        <f t="shared" si="28"/>
        <v>32853.894999999997</v>
      </c>
      <c r="R12" s="9">
        <f t="shared" si="4"/>
        <v>32853.894999999997</v>
      </c>
      <c r="S12" s="144">
        <f t="shared" si="5"/>
        <v>4.5736221703470289E-2</v>
      </c>
      <c r="T12" s="12"/>
      <c r="U12" s="143">
        <f t="shared" si="6"/>
        <v>62346.5</v>
      </c>
      <c r="V12" s="144">
        <f t="shared" si="7"/>
        <v>2.6130873796821559E-2</v>
      </c>
      <c r="X12" s="68">
        <f>+'Calculo Intereses COOPS'!G114</f>
        <v>1529028.58</v>
      </c>
      <c r="Y12" s="68">
        <f>+'Calculo Intereses COOPS'!G130</f>
        <v>1632342.87</v>
      </c>
      <c r="Z12" s="68">
        <f>+'Calculo Intereses COOPS'!J130</f>
        <v>89078.30204794521</v>
      </c>
      <c r="AA12" s="68">
        <f>+V12*Parametros!$I$39</f>
        <v>1461.0426503067113</v>
      </c>
      <c r="AB12" s="68">
        <f t="shared" si="8"/>
        <v>90539.344698251924</v>
      </c>
      <c r="AC12" s="181">
        <f t="shared" si="9"/>
        <v>5.727852365988307E-2</v>
      </c>
      <c r="AD12" s="68">
        <f>+IF(AC12&gt;Parametros!$H$41,Parametros!$H$41*(X12+Y12)/2,AB12)</f>
        <v>90539.344698251924</v>
      </c>
      <c r="AE12" s="68">
        <f t="shared" si="25"/>
        <v>0</v>
      </c>
      <c r="AF12" s="12"/>
      <c r="AG12" s="181">
        <f>+IF(AC12&lt;Parametros!$H$41,V12,0)</f>
        <v>2.6130873796821559E-2</v>
      </c>
      <c r="AH12" s="68">
        <f t="shared" si="10"/>
        <v>22330.227670712218</v>
      </c>
      <c r="AI12" s="68">
        <f t="shared" si="11"/>
        <v>112869.57236896415</v>
      </c>
      <c r="AJ12" s="181">
        <f t="shared" si="12"/>
        <v>7.1405448017798814E-2</v>
      </c>
      <c r="AK12" s="68">
        <f>+IF(AJ12&gt;=Parametros!$H$41,Parametros!$H$41*($X12+$Y12)/2,AI12)</f>
        <v>112869.57236896415</v>
      </c>
      <c r="AL12" s="242">
        <f t="shared" si="12"/>
        <v>7.1405448017798814E-2</v>
      </c>
      <c r="AM12" s="68">
        <f t="shared" si="13"/>
        <v>0</v>
      </c>
      <c r="AO12" s="298">
        <f>+IF(AL12&gt;=Parametros!$H$41,0,'Calculo Excedentes'!D12+'Calculo Excedentes'!K12)</f>
        <v>62346.5</v>
      </c>
      <c r="AP12" s="146">
        <f t="shared" si="14"/>
        <v>8.2475230808348524E-2</v>
      </c>
      <c r="AS12" s="243">
        <f>+IF(AL12&lt;Parametros!$H$41,AP12,0)</f>
        <v>8.2475230808348524E-2</v>
      </c>
      <c r="AT12" s="68">
        <f t="shared" si="15"/>
        <v>1501.2044758363979</v>
      </c>
      <c r="AU12" s="68">
        <f t="shared" si="16"/>
        <v>114370.77684480054</v>
      </c>
      <c r="AV12" s="181">
        <f t="shared" si="17"/>
        <v>7.2355165252599801E-2</v>
      </c>
      <c r="AW12" s="68">
        <f>+IF(AV12&gt;=Parametros!$H$41,Parametros!$H$41*($X12+$Y12)/2,AU12)</f>
        <v>114370.77684480054</v>
      </c>
      <c r="AX12" s="242">
        <f t="shared" si="18"/>
        <v>7.2355165252599801E-2</v>
      </c>
      <c r="AY12" s="68">
        <f t="shared" si="19"/>
        <v>0</v>
      </c>
      <c r="BA12" s="181">
        <f>+IF(AV12&lt;Parametros!$H$41,$AP12,0)</f>
        <v>8.2475230808348524E-2</v>
      </c>
      <c r="BB12" s="68">
        <f t="shared" si="20"/>
        <v>10865.567165581897</v>
      </c>
      <c r="BC12" s="68">
        <f t="shared" si="26"/>
        <v>125236.34401038244</v>
      </c>
      <c r="BD12" s="181">
        <f>IF($X12+$Y12=0,0,MIN(Parametros!$H$41,BC12/(($X12+$Y12)/2)))</f>
        <v>7.6999999999999999E-2</v>
      </c>
      <c r="BE12" s="68">
        <f>+IF(BD12&gt;=Parametros!$H$41,Parametros!$H$41*($X12+$Y12)/2,BC12)</f>
        <v>121712.800825</v>
      </c>
      <c r="BF12" s="68">
        <f t="shared" si="27"/>
        <v>3523.5431853824412</v>
      </c>
    </row>
    <row r="13" spans="1:58" ht="13.8" thickBot="1" x14ac:dyDescent="0.3">
      <c r="A13" s="248" t="s">
        <v>111</v>
      </c>
      <c r="B13" s="130" t="s">
        <v>89</v>
      </c>
      <c r="D13" s="257">
        <f>+'[2]produccion cooperativas asociad'!$M8</f>
        <v>330924.48</v>
      </c>
      <c r="E13" s="257">
        <v>59730.93</v>
      </c>
      <c r="F13" s="258">
        <v>0</v>
      </c>
      <c r="G13" s="261">
        <f t="shared" si="0"/>
        <v>129060.5472</v>
      </c>
      <c r="H13" s="261">
        <f t="shared" si="1"/>
        <v>0</v>
      </c>
      <c r="I13" s="143">
        <f t="shared" si="2"/>
        <v>142133.00279999999</v>
      </c>
      <c r="J13" s="70"/>
      <c r="K13" s="134"/>
      <c r="L13" s="126"/>
      <c r="M13" s="9">
        <f t="shared" si="23"/>
        <v>0</v>
      </c>
      <c r="N13" s="9">
        <f t="shared" si="3"/>
        <v>0</v>
      </c>
      <c r="O13" s="135">
        <f t="shared" si="24"/>
        <v>0</v>
      </c>
      <c r="P13" s="5"/>
      <c r="Q13" s="143">
        <f t="shared" si="28"/>
        <v>142133.00279999999</v>
      </c>
      <c r="R13" s="9">
        <f t="shared" si="4"/>
        <v>142133.00279999999</v>
      </c>
      <c r="S13" s="144">
        <f t="shared" si="5"/>
        <v>0.19786471367978631</v>
      </c>
      <c r="T13" s="12"/>
      <c r="U13" s="143">
        <f t="shared" si="6"/>
        <v>330924.48</v>
      </c>
      <c r="V13" s="144">
        <f t="shared" si="7"/>
        <v>0.13869817589052794</v>
      </c>
      <c r="X13" s="68">
        <f>+'Calculo Intereses COOPS'!G135</f>
        <v>57855.17</v>
      </c>
      <c r="Y13" s="68">
        <f>+'Calculo Intereses COOPS'!G154</f>
        <v>73937.379999999976</v>
      </c>
      <c r="Z13" s="68">
        <f>+'Calculo Intereses COOPS'!J154</f>
        <v>3629.6589758904111</v>
      </c>
      <c r="AA13" s="68">
        <f>+V13*Parametros!$I$39</f>
        <v>7754.9626572553425</v>
      </c>
      <c r="AB13" s="68">
        <f t="shared" si="8"/>
        <v>11384.621633145754</v>
      </c>
      <c r="AC13" s="181">
        <f t="shared" si="9"/>
        <v>0.17276578430489062</v>
      </c>
      <c r="AD13" s="68">
        <f>+IF(AC13&gt;Parametros!$H$41,Parametros!$H$41*(X13+Y13)/2,AB13)</f>
        <v>5074.0131749999991</v>
      </c>
      <c r="AE13" s="68">
        <f t="shared" si="25"/>
        <v>6310.6084581457553</v>
      </c>
      <c r="AF13" s="12"/>
      <c r="AG13" s="181">
        <f>+IF(AC13&lt;Parametros!$H$41,V13,0)</f>
        <v>0</v>
      </c>
      <c r="AH13" s="68">
        <f t="shared" si="10"/>
        <v>0</v>
      </c>
      <c r="AI13" s="68">
        <f t="shared" si="11"/>
        <v>5074.0131749999991</v>
      </c>
      <c r="AJ13" s="181">
        <f t="shared" si="12"/>
        <v>7.6999999999999999E-2</v>
      </c>
      <c r="AK13" s="68">
        <f>+IF(AJ13&gt;=Parametros!$H$41,Parametros!$H$41*($X13+$Y13)/2,AI13)</f>
        <v>5074.0131749999991</v>
      </c>
      <c r="AL13" s="242">
        <f t="shared" si="12"/>
        <v>7.6999999999999999E-2</v>
      </c>
      <c r="AM13" s="68">
        <f t="shared" si="13"/>
        <v>0</v>
      </c>
      <c r="AO13" s="143">
        <f>+IF(AL13&gt;=Parametros!$H$41,0,'Calculo Excedentes'!D13+'Calculo Excedentes'!K13)</f>
        <v>0</v>
      </c>
      <c r="AP13" s="146">
        <f t="shared" si="14"/>
        <v>0</v>
      </c>
      <c r="AS13" s="243">
        <f>+IF(AL13&lt;Parametros!$H$41,AP13,0)</f>
        <v>0</v>
      </c>
      <c r="AT13" s="68">
        <f t="shared" si="15"/>
        <v>0</v>
      </c>
      <c r="AU13" s="68">
        <f t="shared" si="16"/>
        <v>5074.0131749999991</v>
      </c>
      <c r="AV13" s="181">
        <f t="shared" si="17"/>
        <v>7.6999999999999999E-2</v>
      </c>
      <c r="AW13" s="68">
        <f>+IF(AV13&gt;=Parametros!$H$41,Parametros!$H$41*($X13+$Y13)/2,AU13)</f>
        <v>5074.0131749999991</v>
      </c>
      <c r="AX13" s="242">
        <f t="shared" si="18"/>
        <v>7.6999999999999999E-2</v>
      </c>
      <c r="AY13" s="68">
        <f t="shared" si="19"/>
        <v>0</v>
      </c>
      <c r="BA13" s="181">
        <f>+IF(AV13&lt;Parametros!$H$41,$AP13,0)</f>
        <v>0</v>
      </c>
      <c r="BB13" s="68">
        <f t="shared" si="20"/>
        <v>0</v>
      </c>
      <c r="BC13" s="68">
        <f t="shared" si="26"/>
        <v>5074.0131749999991</v>
      </c>
      <c r="BD13" s="181">
        <f>IF($X13+$Y13=0,0,MIN(Parametros!$H$41,BC13/(($X13+$Y13)/2)))</f>
        <v>7.6999999999999999E-2</v>
      </c>
      <c r="BE13" s="68">
        <f>+IF(BD13&gt;=Parametros!$H$41,Parametros!$H$41*($X13+$Y13)/2,BC13)</f>
        <v>5074.0131749999991</v>
      </c>
      <c r="BF13" s="68">
        <f t="shared" si="27"/>
        <v>0</v>
      </c>
    </row>
    <row r="14" spans="1:58" ht="13.8" thickBot="1" x14ac:dyDescent="0.3">
      <c r="A14" s="248" t="s">
        <v>112</v>
      </c>
      <c r="B14" s="130" t="s">
        <v>24</v>
      </c>
      <c r="D14" s="257">
        <f>+'[2]produccion cooperativas asociad'!$M9</f>
        <v>164201.96</v>
      </c>
      <c r="E14" s="257">
        <v>36177.72</v>
      </c>
      <c r="F14" s="258">
        <v>0</v>
      </c>
      <c r="G14" s="261">
        <f t="shared" si="0"/>
        <v>64038.7644</v>
      </c>
      <c r="H14" s="261">
        <f t="shared" si="1"/>
        <v>0</v>
      </c>
      <c r="I14" s="143">
        <f t="shared" si="2"/>
        <v>63985.475599999991</v>
      </c>
      <c r="J14" s="70"/>
      <c r="K14" s="134"/>
      <c r="L14" s="126"/>
      <c r="M14" s="9">
        <f t="shared" si="23"/>
        <v>0</v>
      </c>
      <c r="N14" s="9">
        <f t="shared" si="3"/>
        <v>0</v>
      </c>
      <c r="O14" s="135">
        <f t="shared" si="24"/>
        <v>0</v>
      </c>
      <c r="P14" s="5"/>
      <c r="Q14" s="143">
        <f t="shared" si="28"/>
        <v>63985.475599999991</v>
      </c>
      <c r="R14" s="9">
        <f t="shared" si="4"/>
        <v>63985.475599999991</v>
      </c>
      <c r="S14" s="144">
        <f t="shared" si="5"/>
        <v>8.9074793044891271E-2</v>
      </c>
      <c r="T14" s="12"/>
      <c r="U14" s="143">
        <f t="shared" si="6"/>
        <v>164201.96</v>
      </c>
      <c r="V14" s="144">
        <f t="shared" si="7"/>
        <v>6.8820875172635854E-2</v>
      </c>
      <c r="X14" s="68">
        <f>+'Calculo Intereses COOPS'!G160</f>
        <v>60763.5</v>
      </c>
      <c r="Y14" s="68">
        <f>+'Calculo Intereses COOPS'!G176</f>
        <v>76720.649999999994</v>
      </c>
      <c r="Z14" s="68">
        <f>+'Calculo Intereses COOPS'!J176</f>
        <v>3775.3952484931501</v>
      </c>
      <c r="AA14" s="68">
        <f>+V14*Parametros!$I$39</f>
        <v>3847.9476285590458</v>
      </c>
      <c r="AB14" s="68">
        <f t="shared" si="8"/>
        <v>7623.3428770521959</v>
      </c>
      <c r="AC14" s="181">
        <f t="shared" si="9"/>
        <v>0.11089777079106496</v>
      </c>
      <c r="AD14" s="68">
        <f>+IF(AC14&gt;Parametros!$H$41,Parametros!$H$41*(X14+Y14)/2,AB14)</f>
        <v>5293.1397749999996</v>
      </c>
      <c r="AE14" s="68">
        <f t="shared" si="25"/>
        <v>2330.2031020521963</v>
      </c>
      <c r="AF14" s="12"/>
      <c r="AG14" s="181">
        <f>+IF(AC14&lt;Parametros!$H$41,V14,0)</f>
        <v>0</v>
      </c>
      <c r="AH14" s="68">
        <f t="shared" si="10"/>
        <v>0</v>
      </c>
      <c r="AI14" s="68">
        <f t="shared" si="11"/>
        <v>5293.1397749999996</v>
      </c>
      <c r="AJ14" s="181">
        <f t="shared" si="12"/>
        <v>7.6999999999999999E-2</v>
      </c>
      <c r="AK14" s="68">
        <f>+IF(AJ14&gt;=Parametros!$H$41,Parametros!$H$41*($X14+$Y14)/2,AI14)</f>
        <v>5293.1397749999996</v>
      </c>
      <c r="AL14" s="242">
        <f t="shared" si="12"/>
        <v>7.6999999999999999E-2</v>
      </c>
      <c r="AM14" s="68">
        <f t="shared" si="13"/>
        <v>0</v>
      </c>
      <c r="AO14" s="143">
        <f>+IF(AL14&gt;=Parametros!$H$41,0,'Calculo Excedentes'!D14+'Calculo Excedentes'!K14)</f>
        <v>0</v>
      </c>
      <c r="AP14" s="146">
        <f t="shared" si="14"/>
        <v>0</v>
      </c>
      <c r="AS14" s="243">
        <f>+IF(AL14&lt;Parametros!$H$41,AP14,0)</f>
        <v>0</v>
      </c>
      <c r="AT14" s="68">
        <f t="shared" si="15"/>
        <v>0</v>
      </c>
      <c r="AU14" s="68">
        <f t="shared" si="16"/>
        <v>5293.1397749999996</v>
      </c>
      <c r="AV14" s="181">
        <f t="shared" si="17"/>
        <v>7.6999999999999999E-2</v>
      </c>
      <c r="AW14" s="68">
        <f>+IF(AV14&gt;=Parametros!$H$41,Parametros!$H$41*($X14+$Y14)/2,AU14)</f>
        <v>5293.1397749999996</v>
      </c>
      <c r="AX14" s="242">
        <f t="shared" si="18"/>
        <v>7.6999999999999999E-2</v>
      </c>
      <c r="AY14" s="68">
        <f t="shared" si="19"/>
        <v>0</v>
      </c>
      <c r="BA14" s="181">
        <f>+IF(AV14&lt;Parametros!$H$41,$AP14,0)</f>
        <v>0</v>
      </c>
      <c r="BB14" s="68">
        <f t="shared" si="20"/>
        <v>0</v>
      </c>
      <c r="BC14" s="68">
        <f t="shared" si="26"/>
        <v>5293.1397749999996</v>
      </c>
      <c r="BD14" s="181">
        <f>IF($X14+$Y14=0,0,MIN(Parametros!$H$41,BC14/(($X14+$Y14)/2)))</f>
        <v>7.6999999999999999E-2</v>
      </c>
      <c r="BE14" s="68">
        <f>+IF(BD14&gt;=Parametros!$H$41,Parametros!$H$41*($X14+$Y14)/2,BC14)</f>
        <v>5293.1397749999996</v>
      </c>
      <c r="BF14" s="68">
        <f t="shared" si="27"/>
        <v>0</v>
      </c>
    </row>
    <row r="15" spans="1:58" ht="13.8" thickBot="1" x14ac:dyDescent="0.3">
      <c r="A15" s="248" t="s">
        <v>113</v>
      </c>
      <c r="B15" s="130" t="s">
        <v>19</v>
      </c>
      <c r="D15" s="257">
        <f>+'[2]produccion cooperativas asociad'!$M10</f>
        <v>148133.01999999999</v>
      </c>
      <c r="E15" s="257">
        <v>52704.18</v>
      </c>
      <c r="F15" s="258">
        <v>0</v>
      </c>
      <c r="G15" s="261">
        <f t="shared" si="0"/>
        <v>57771.877799999995</v>
      </c>
      <c r="H15" s="261">
        <f t="shared" si="1"/>
        <v>0</v>
      </c>
      <c r="I15" s="143">
        <f t="shared" si="2"/>
        <v>37656.962200000002</v>
      </c>
      <c r="J15" s="70"/>
      <c r="K15" s="134"/>
      <c r="L15" s="126"/>
      <c r="M15" s="9">
        <f t="shared" si="23"/>
        <v>0</v>
      </c>
      <c r="N15" s="9">
        <f t="shared" si="3"/>
        <v>0</v>
      </c>
      <c r="O15" s="135">
        <f t="shared" si="24"/>
        <v>0</v>
      </c>
      <c r="P15" s="5"/>
      <c r="Q15" s="143">
        <f t="shared" si="28"/>
        <v>37656.962200000002</v>
      </c>
      <c r="R15" s="9">
        <f t="shared" si="4"/>
        <v>37656.962200000002</v>
      </c>
      <c r="S15" s="144">
        <f t="shared" si="5"/>
        <v>5.2422617527036003E-2</v>
      </c>
      <c r="T15" s="12"/>
      <c r="U15" s="143">
        <f t="shared" si="6"/>
        <v>148133.01999999999</v>
      </c>
      <c r="V15" s="144">
        <f t="shared" si="7"/>
        <v>6.2086007245988846E-2</v>
      </c>
      <c r="X15" s="68">
        <f>+'Calculo Intereses COOPS'!G181</f>
        <v>74800.100000000006</v>
      </c>
      <c r="Y15" s="68">
        <f>+'Calculo Intereses COOPS'!G197</f>
        <v>91371.959999999992</v>
      </c>
      <c r="Z15" s="68">
        <f>+'Calculo Intereses COOPS'!J197</f>
        <v>4452.9158510958905</v>
      </c>
      <c r="AA15" s="68">
        <f>+V15*Parametros!$I$39</f>
        <v>3471.384282016425</v>
      </c>
      <c r="AB15" s="68">
        <f t="shared" si="8"/>
        <v>7924.300133112316</v>
      </c>
      <c r="AC15" s="181">
        <f t="shared" si="9"/>
        <v>9.5374639191598345E-2</v>
      </c>
      <c r="AD15" s="68">
        <f>+IF(AC15&gt;Parametros!$H$41,Parametros!$H$41*(X15+Y15)/2,AB15)</f>
        <v>6397.6243100000002</v>
      </c>
      <c r="AE15" s="68">
        <f t="shared" si="25"/>
        <v>1526.6758231123158</v>
      </c>
      <c r="AF15" s="12"/>
      <c r="AG15" s="181">
        <f>+IF(AC15&lt;Parametros!$H$41,V15,0)</f>
        <v>0</v>
      </c>
      <c r="AH15" s="68">
        <f t="shared" si="10"/>
        <v>0</v>
      </c>
      <c r="AI15" s="68">
        <f t="shared" si="11"/>
        <v>6397.6243100000002</v>
      </c>
      <c r="AJ15" s="181">
        <f t="shared" si="12"/>
        <v>7.6999999999999999E-2</v>
      </c>
      <c r="AK15" s="68">
        <f>+IF(AJ15&gt;=Parametros!$H$41,Parametros!$H$41*($X15+$Y15)/2,AI15)</f>
        <v>6397.6243100000002</v>
      </c>
      <c r="AL15" s="242">
        <f t="shared" si="12"/>
        <v>7.6999999999999999E-2</v>
      </c>
      <c r="AM15" s="68">
        <f t="shared" si="13"/>
        <v>0</v>
      </c>
      <c r="AO15" s="143">
        <f>+IF(AL15&gt;=Parametros!$H$41,0,'Calculo Excedentes'!D15+'Calculo Excedentes'!K15)</f>
        <v>0</v>
      </c>
      <c r="AP15" s="146">
        <f t="shared" si="14"/>
        <v>0</v>
      </c>
      <c r="AS15" s="243">
        <f>+IF(AL15&lt;Parametros!$H$41,AP15,0)</f>
        <v>0</v>
      </c>
      <c r="AT15" s="68">
        <f t="shared" si="15"/>
        <v>0</v>
      </c>
      <c r="AU15" s="68">
        <f t="shared" si="16"/>
        <v>6397.6243100000002</v>
      </c>
      <c r="AV15" s="181">
        <f t="shared" si="17"/>
        <v>7.6999999999999999E-2</v>
      </c>
      <c r="AW15" s="68">
        <f>+IF(AV15&gt;=Parametros!$H$41,Parametros!$H$41*($X15+$Y15)/2,AU15)</f>
        <v>6397.6243100000002</v>
      </c>
      <c r="AX15" s="242">
        <f t="shared" si="18"/>
        <v>7.6999999999999999E-2</v>
      </c>
      <c r="AY15" s="68">
        <f t="shared" si="19"/>
        <v>0</v>
      </c>
      <c r="BA15" s="181">
        <f>+IF(AV15&lt;Parametros!$H$41,$AP15,0)</f>
        <v>0</v>
      </c>
      <c r="BB15" s="68">
        <f t="shared" si="20"/>
        <v>0</v>
      </c>
      <c r="BC15" s="68">
        <f t="shared" si="26"/>
        <v>6397.6243100000002</v>
      </c>
      <c r="BD15" s="181">
        <f>IF($X15+$Y15=0,0,MIN(Parametros!$H$41,BC15/(($X15+$Y15)/2)))</f>
        <v>7.6999999999999999E-2</v>
      </c>
      <c r="BE15" s="68">
        <f>+IF(BD15&gt;=Parametros!$H$41,Parametros!$H$41*($X15+$Y15)/2,BC15)</f>
        <v>6397.6243100000002</v>
      </c>
      <c r="BF15" s="68">
        <f t="shared" si="27"/>
        <v>0</v>
      </c>
    </row>
    <row r="16" spans="1:58" ht="13.8" thickBot="1" x14ac:dyDescent="0.3">
      <c r="A16" s="248" t="s">
        <v>114</v>
      </c>
      <c r="B16" s="130" t="s">
        <v>14</v>
      </c>
      <c r="D16" s="257">
        <f>+'[2]produccion cooperativas asociad'!$M11</f>
        <v>72838.81</v>
      </c>
      <c r="E16" s="257">
        <v>5458.86</v>
      </c>
      <c r="F16" s="258">
        <v>0</v>
      </c>
      <c r="G16" s="261">
        <f t="shared" si="0"/>
        <v>28407.135900000001</v>
      </c>
      <c r="H16" s="261">
        <f t="shared" si="1"/>
        <v>0</v>
      </c>
      <c r="I16" s="143">
        <f t="shared" si="2"/>
        <v>38972.814099999996</v>
      </c>
      <c r="J16" s="70"/>
      <c r="K16" s="134"/>
      <c r="L16" s="126"/>
      <c r="M16" s="9">
        <f t="shared" si="23"/>
        <v>0</v>
      </c>
      <c r="N16" s="9">
        <f t="shared" si="3"/>
        <v>0</v>
      </c>
      <c r="O16" s="135">
        <f t="shared" si="24"/>
        <v>0</v>
      </c>
      <c r="P16" s="5"/>
      <c r="Q16" s="143">
        <f t="shared" si="28"/>
        <v>38972.814099999996</v>
      </c>
      <c r="R16" s="9">
        <f t="shared" si="4"/>
        <v>38972.814099999996</v>
      </c>
      <c r="S16" s="144">
        <f t="shared" si="5"/>
        <v>5.4254427552219694E-2</v>
      </c>
      <c r="T16" s="12"/>
      <c r="U16" s="143">
        <f t="shared" si="6"/>
        <v>72838.81</v>
      </c>
      <c r="V16" s="144">
        <f t="shared" si="7"/>
        <v>3.0528445889034091E-2</v>
      </c>
      <c r="X16" s="68">
        <f>+'Calculo Intereses COOPS'!G202</f>
        <v>58111.12</v>
      </c>
      <c r="Y16" s="68">
        <f>+'Calculo Intereses COOPS'!G222</f>
        <v>78558.719999999958</v>
      </c>
      <c r="Z16" s="68">
        <f>+'Calculo Intereses COOPS'!J222</f>
        <v>3751.3059973972604</v>
      </c>
      <c r="AA16" s="68">
        <f>+V16*Parametros!$I$39</f>
        <v>1706.9219283774864</v>
      </c>
      <c r="AB16" s="68">
        <f t="shared" si="8"/>
        <v>5458.2279257747468</v>
      </c>
      <c r="AC16" s="181">
        <f t="shared" si="9"/>
        <v>7.9874651580403522E-2</v>
      </c>
      <c r="AD16" s="68">
        <f>+IF(AC16&gt;Parametros!$H$41,Parametros!$H$41*(X16+Y16)/2,AB16)</f>
        <v>5261.7888399999983</v>
      </c>
      <c r="AE16" s="68">
        <f t="shared" si="25"/>
        <v>196.43908577474849</v>
      </c>
      <c r="AF16" s="12"/>
      <c r="AG16" s="181">
        <f>+IF(AC16&lt;Parametros!$H$41,V16,0)</f>
        <v>0</v>
      </c>
      <c r="AH16" s="68">
        <f t="shared" si="10"/>
        <v>0</v>
      </c>
      <c r="AI16" s="68">
        <f t="shared" si="11"/>
        <v>5261.7888399999983</v>
      </c>
      <c r="AJ16" s="181">
        <f t="shared" si="12"/>
        <v>7.6999999999999999E-2</v>
      </c>
      <c r="AK16" s="68">
        <f>+IF(AJ16&gt;=Parametros!$H$41,Parametros!$H$41*($X16+$Y16)/2,AI16)</f>
        <v>5261.7888399999983</v>
      </c>
      <c r="AL16" s="242">
        <f t="shared" si="12"/>
        <v>7.6999999999999999E-2</v>
      </c>
      <c r="AM16" s="68">
        <f t="shared" si="13"/>
        <v>0</v>
      </c>
      <c r="AO16" s="143">
        <f>+IF(AL16&gt;=Parametros!$H$41,0,'Calculo Excedentes'!D16+'Calculo Excedentes'!K16)</f>
        <v>0</v>
      </c>
      <c r="AP16" s="146">
        <f t="shared" si="14"/>
        <v>0</v>
      </c>
      <c r="AS16" s="243">
        <f>+IF(AL16&lt;Parametros!$H$41,AP16,0)</f>
        <v>0</v>
      </c>
      <c r="AT16" s="68">
        <f t="shared" si="15"/>
        <v>0</v>
      </c>
      <c r="AU16" s="68">
        <f t="shared" si="16"/>
        <v>5261.7888399999983</v>
      </c>
      <c r="AV16" s="181">
        <f t="shared" si="17"/>
        <v>7.6999999999999999E-2</v>
      </c>
      <c r="AW16" s="68">
        <f>+IF(AV16&gt;=Parametros!$H$41,Parametros!$H$41*($X16+$Y16)/2,AU16)</f>
        <v>5261.7888399999983</v>
      </c>
      <c r="AX16" s="242">
        <f t="shared" si="18"/>
        <v>7.6999999999999999E-2</v>
      </c>
      <c r="AY16" s="68">
        <f t="shared" si="19"/>
        <v>0</v>
      </c>
      <c r="BA16" s="181">
        <f>+IF(AV16&lt;Parametros!$H$41,$AP16,0)</f>
        <v>0</v>
      </c>
      <c r="BB16" s="68">
        <f t="shared" si="20"/>
        <v>0</v>
      </c>
      <c r="BC16" s="68">
        <f t="shared" si="26"/>
        <v>5261.7888399999983</v>
      </c>
      <c r="BD16" s="181">
        <f>IF($X16+$Y16=0,0,MIN(Parametros!$H$41,BC16/(($X16+$Y16)/2)))</f>
        <v>7.6999999999999999E-2</v>
      </c>
      <c r="BE16" s="68">
        <f>+IF(BD16&gt;=Parametros!$H$41,Parametros!$H$41*($X16+$Y16)/2,BC16)</f>
        <v>5261.7888399999983</v>
      </c>
      <c r="BF16" s="68">
        <f t="shared" si="27"/>
        <v>0</v>
      </c>
    </row>
    <row r="17" spans="1:58" ht="13.8" thickBot="1" x14ac:dyDescent="0.3">
      <c r="A17" s="248" t="s">
        <v>115</v>
      </c>
      <c r="B17" s="130" t="s">
        <v>37</v>
      </c>
      <c r="D17" s="257">
        <f>+'[2]produccion cooperativas asociad'!$M12</f>
        <v>108987.95</v>
      </c>
      <c r="E17" s="257">
        <v>53680.5</v>
      </c>
      <c r="F17" s="258">
        <v>0</v>
      </c>
      <c r="G17" s="261">
        <f t="shared" si="0"/>
        <v>42505.300499999998</v>
      </c>
      <c r="H17" s="261">
        <f t="shared" si="1"/>
        <v>0</v>
      </c>
      <c r="I17" s="143">
        <f t="shared" si="2"/>
        <v>12802.1495</v>
      </c>
      <c r="J17" s="70"/>
      <c r="K17" s="134"/>
      <c r="L17" s="126"/>
      <c r="M17" s="9">
        <f t="shared" si="23"/>
        <v>0</v>
      </c>
      <c r="N17" s="9">
        <f t="shared" si="3"/>
        <v>0</v>
      </c>
      <c r="O17" s="135">
        <f t="shared" si="24"/>
        <v>0</v>
      </c>
      <c r="P17" s="5"/>
      <c r="Q17" s="143">
        <f t="shared" si="28"/>
        <v>12802.1495</v>
      </c>
      <c r="R17" s="9">
        <f t="shared" si="4"/>
        <v>12802.1495</v>
      </c>
      <c r="S17" s="144">
        <f t="shared" si="5"/>
        <v>1.7821994859756243E-2</v>
      </c>
      <c r="T17" s="12"/>
      <c r="U17" s="143">
        <f t="shared" si="6"/>
        <v>108987.95</v>
      </c>
      <c r="V17" s="144">
        <f t="shared" si="7"/>
        <v>4.5679394461987412E-2</v>
      </c>
      <c r="X17" s="68">
        <f>+'Calculo Intereses COOPS'!G227</f>
        <v>5644.0099999999993</v>
      </c>
      <c r="Y17" s="68">
        <f>+'Calculo Intereses COOPS'!G243</f>
        <v>11771.42</v>
      </c>
      <c r="Z17" s="68">
        <f>+'Calculo Intereses COOPS'!J243</f>
        <v>606.75086849315062</v>
      </c>
      <c r="AA17" s="68">
        <f>+V17*Parametros!$I$39</f>
        <v>2554.0494385329621</v>
      </c>
      <c r="AB17" s="68">
        <f t="shared" si="8"/>
        <v>3160.8003070261129</v>
      </c>
      <c r="AC17" s="181">
        <f t="shared" si="9"/>
        <v>0.36298848860190219</v>
      </c>
      <c r="AD17" s="68">
        <f>+IF(AC17&gt;Parametros!$H$41,Parametros!$H$41*(X17+Y17)/2,AB17)</f>
        <v>670.494055</v>
      </c>
      <c r="AE17" s="68">
        <f t="shared" si="25"/>
        <v>2490.3062520261128</v>
      </c>
      <c r="AF17" s="12"/>
      <c r="AG17" s="181">
        <f>+IF(AC17&lt;Parametros!$H$41,V17,0)</f>
        <v>0</v>
      </c>
      <c r="AH17" s="68">
        <f t="shared" si="10"/>
        <v>0</v>
      </c>
      <c r="AI17" s="68">
        <f t="shared" si="11"/>
        <v>670.494055</v>
      </c>
      <c r="AJ17" s="181">
        <f t="shared" si="12"/>
        <v>7.6999999999999999E-2</v>
      </c>
      <c r="AK17" s="68">
        <f>+IF(AJ17&gt;=Parametros!$H$41,Parametros!$H$41*($X17+$Y17)/2,AI17)</f>
        <v>670.494055</v>
      </c>
      <c r="AL17" s="242">
        <f t="shared" si="12"/>
        <v>7.6999999999999999E-2</v>
      </c>
      <c r="AM17" s="68">
        <f t="shared" si="13"/>
        <v>0</v>
      </c>
      <c r="AO17" s="143">
        <f>+IF(AL17&gt;=Parametros!$H$41,0,'Calculo Excedentes'!D17+'Calculo Excedentes'!K17)</f>
        <v>0</v>
      </c>
      <c r="AP17" s="146">
        <f t="shared" si="14"/>
        <v>0</v>
      </c>
      <c r="AS17" s="243">
        <f>+IF(AL17&lt;Parametros!$H$41,AP17,0)</f>
        <v>0</v>
      </c>
      <c r="AT17" s="68">
        <f t="shared" si="15"/>
        <v>0</v>
      </c>
      <c r="AU17" s="68">
        <f t="shared" si="16"/>
        <v>670.494055</v>
      </c>
      <c r="AV17" s="181">
        <f t="shared" si="17"/>
        <v>7.6999999999999999E-2</v>
      </c>
      <c r="AW17" s="68">
        <f>+IF(AV17&gt;=Parametros!$H$41,Parametros!$H$41*($X17+$Y17)/2,AU17)</f>
        <v>670.494055</v>
      </c>
      <c r="AX17" s="242">
        <f t="shared" si="18"/>
        <v>7.6999999999999999E-2</v>
      </c>
      <c r="AY17" s="68">
        <f t="shared" si="19"/>
        <v>0</v>
      </c>
      <c r="BA17" s="181">
        <f>+IF(AV17&lt;Parametros!$H$41,$AP17,0)</f>
        <v>0</v>
      </c>
      <c r="BB17" s="68">
        <f t="shared" si="20"/>
        <v>0</v>
      </c>
      <c r="BC17" s="68">
        <f t="shared" si="26"/>
        <v>670.494055</v>
      </c>
      <c r="BD17" s="181">
        <f>IF($X17+$Y17=0,0,MIN(Parametros!$H$41,BC17/(($X17+$Y17)/2)))</f>
        <v>7.6999999999999999E-2</v>
      </c>
      <c r="BE17" s="68">
        <f>+IF(BD17&gt;=Parametros!$H$41,Parametros!$H$41*($X17+$Y17)/2,BC17)</f>
        <v>670.494055</v>
      </c>
      <c r="BF17" s="68">
        <f t="shared" si="27"/>
        <v>0</v>
      </c>
    </row>
    <row r="18" spans="1:58" ht="13.8" thickBot="1" x14ac:dyDescent="0.3">
      <c r="A18" s="248" t="s">
        <v>116</v>
      </c>
      <c r="B18" s="130" t="s">
        <v>87</v>
      </c>
      <c r="D18" s="257">
        <f>+'[2]produccion cooperativas asociad'!$M13</f>
        <v>294940.26</v>
      </c>
      <c r="E18" s="257">
        <v>181419.3</v>
      </c>
      <c r="F18" s="258">
        <v>0</v>
      </c>
      <c r="G18" s="261">
        <f t="shared" si="0"/>
        <v>115026.70140000001</v>
      </c>
      <c r="H18" s="261">
        <f t="shared" si="1"/>
        <v>0</v>
      </c>
      <c r="I18" s="143">
        <f t="shared" si="2"/>
        <v>-1505.7413999999844</v>
      </c>
      <c r="J18" s="70"/>
      <c r="K18" s="134"/>
      <c r="L18" s="126"/>
      <c r="M18" s="9">
        <f t="shared" si="23"/>
        <v>0</v>
      </c>
      <c r="N18" s="9">
        <f t="shared" si="3"/>
        <v>0</v>
      </c>
      <c r="O18" s="135">
        <f t="shared" si="24"/>
        <v>0</v>
      </c>
      <c r="P18" s="5"/>
      <c r="Q18" s="143">
        <f t="shared" si="28"/>
        <v>-1505.7413999999844</v>
      </c>
      <c r="R18" s="9">
        <f t="shared" si="4"/>
        <v>0</v>
      </c>
      <c r="S18" s="144">
        <f t="shared" si="5"/>
        <v>0</v>
      </c>
      <c r="T18" s="12"/>
      <c r="U18" s="143">
        <f t="shared" si="6"/>
        <v>0</v>
      </c>
      <c r="V18" s="144">
        <f t="shared" si="7"/>
        <v>0</v>
      </c>
      <c r="X18" s="68">
        <f>+'Calculo Intereses COOPS'!G248</f>
        <v>93317.27</v>
      </c>
      <c r="Y18" s="68">
        <f>+'Calculo Intereses COOPS'!G264</f>
        <v>114023.39</v>
      </c>
      <c r="Z18" s="68">
        <f>+'Calculo Intereses COOPS'!J264</f>
        <v>5784.8492327397253</v>
      </c>
      <c r="AA18" s="68">
        <f>+V18*Parametros!$I$39</f>
        <v>0</v>
      </c>
      <c r="AB18" s="68">
        <f t="shared" si="8"/>
        <v>5784.8492327397253</v>
      </c>
      <c r="AC18" s="181">
        <f t="shared" si="9"/>
        <v>5.5800432319832734E-2</v>
      </c>
      <c r="AD18" s="68">
        <f>+IF(AC18&gt;Parametros!$H$41,Parametros!$H$41*(X18+Y18)/2,AB18)</f>
        <v>5784.8492327397253</v>
      </c>
      <c r="AE18" s="68">
        <f t="shared" si="25"/>
        <v>0</v>
      </c>
      <c r="AF18" s="12"/>
      <c r="AG18" s="181">
        <f>+IF(AC18&lt;Parametros!$H$41,V18,0)</f>
        <v>0</v>
      </c>
      <c r="AH18" s="68">
        <f t="shared" si="10"/>
        <v>0</v>
      </c>
      <c r="AI18" s="68">
        <f t="shared" si="11"/>
        <v>5784.8492327397253</v>
      </c>
      <c r="AJ18" s="181">
        <f t="shared" si="12"/>
        <v>5.5800432319832734E-2</v>
      </c>
      <c r="AK18" s="68">
        <f>+IF(AJ18&gt;=Parametros!$H$41,Parametros!$H$41*($X18+$Y18)/2,AI18)</f>
        <v>5784.8492327397253</v>
      </c>
      <c r="AL18" s="242">
        <f t="shared" si="12"/>
        <v>5.5800432319832734E-2</v>
      </c>
      <c r="AM18" s="68">
        <f t="shared" si="13"/>
        <v>0</v>
      </c>
      <c r="AO18" s="298">
        <f>+IF(AL18&gt;=Parametros!$H$41,0,'Calculo Excedentes'!D18+'Calculo Excedentes'!K18)</f>
        <v>294940.26</v>
      </c>
      <c r="AP18" s="146">
        <f t="shared" si="14"/>
        <v>0.39016249537944114</v>
      </c>
      <c r="AS18" s="243">
        <f>+IF(AL18&lt;Parametros!$H$41,AP18,0)</f>
        <v>0.39016249537944114</v>
      </c>
      <c r="AT18" s="68">
        <f t="shared" si="15"/>
        <v>7101.6919701402803</v>
      </c>
      <c r="AU18" s="68">
        <f t="shared" si="16"/>
        <v>12886.541202880006</v>
      </c>
      <c r="AV18" s="181">
        <f t="shared" si="17"/>
        <v>0.1243030788353814</v>
      </c>
      <c r="AW18" s="68">
        <f>+IF(AV18&gt;=Parametros!$H$41,Parametros!$H$41*($X18+$Y18)/2,AU18)</f>
        <v>7982.6154100000003</v>
      </c>
      <c r="AX18" s="242">
        <f t="shared" si="18"/>
        <v>7.6999999999999999E-2</v>
      </c>
      <c r="AY18" s="68">
        <f t="shared" si="19"/>
        <v>4903.9257928800052</v>
      </c>
      <c r="BA18" s="181">
        <f>+IF(AV18&lt;Parametros!$H$41,$AP18,0)</f>
        <v>0</v>
      </c>
      <c r="BB18" s="68">
        <f t="shared" si="20"/>
        <v>0</v>
      </c>
      <c r="BC18" s="68">
        <f t="shared" si="26"/>
        <v>7982.6154100000003</v>
      </c>
      <c r="BD18" s="181">
        <f>IF($X18+$Y18=0,0,MIN(Parametros!$H$41,BC18/(($X18+$Y18)/2)))</f>
        <v>7.6999999999999999E-2</v>
      </c>
      <c r="BE18" s="68">
        <f>+IF(BD18&gt;=Parametros!$H$41,Parametros!$H$41*($X18+$Y18)/2,BC18)</f>
        <v>7982.6154100000003</v>
      </c>
      <c r="BF18" s="68">
        <f t="shared" si="27"/>
        <v>0</v>
      </c>
    </row>
    <row r="19" spans="1:58" ht="13.8" thickBot="1" x14ac:dyDescent="0.3">
      <c r="A19" s="248" t="s">
        <v>117</v>
      </c>
      <c r="B19" s="130" t="s">
        <v>17</v>
      </c>
      <c r="D19" s="257">
        <f>+'[2]produccion cooperativas asociad'!$M14</f>
        <v>62296.03</v>
      </c>
      <c r="E19" s="257">
        <v>70846.12</v>
      </c>
      <c r="F19" s="258">
        <v>0</v>
      </c>
      <c r="G19" s="261">
        <f t="shared" si="0"/>
        <v>24295.451700000001</v>
      </c>
      <c r="H19" s="261">
        <f t="shared" si="1"/>
        <v>0</v>
      </c>
      <c r="I19" s="143">
        <f t="shared" si="2"/>
        <v>-32845.541700000002</v>
      </c>
      <c r="J19" s="70"/>
      <c r="K19" s="134"/>
      <c r="L19" s="126"/>
      <c r="M19" s="9">
        <f t="shared" si="23"/>
        <v>0</v>
      </c>
      <c r="N19" s="9">
        <f t="shared" si="3"/>
        <v>0</v>
      </c>
      <c r="O19" s="135">
        <f t="shared" si="24"/>
        <v>0</v>
      </c>
      <c r="P19" s="5"/>
      <c r="Q19" s="143">
        <f t="shared" si="28"/>
        <v>-32845.541700000002</v>
      </c>
      <c r="R19" s="9">
        <f t="shared" si="4"/>
        <v>0</v>
      </c>
      <c r="S19" s="144">
        <f t="shared" si="5"/>
        <v>0</v>
      </c>
      <c r="T19" s="12"/>
      <c r="U19" s="143">
        <f t="shared" si="6"/>
        <v>0</v>
      </c>
      <c r="V19" s="300">
        <f t="shared" si="7"/>
        <v>0</v>
      </c>
      <c r="X19" s="68">
        <f>+'Calculo Intereses COOPS'!G269</f>
        <v>29942.65</v>
      </c>
      <c r="Y19" s="68">
        <f>+'Calculo Intereses COOPS'!G286</f>
        <v>33485.439999999988</v>
      </c>
      <c r="Z19" s="68">
        <f>+'Calculo Intereses COOPS'!J286</f>
        <v>1788.6772305479453</v>
      </c>
      <c r="AA19" s="68">
        <f>+V19*Parametros!$I$39</f>
        <v>0</v>
      </c>
      <c r="AB19" s="68">
        <f t="shared" si="8"/>
        <v>1788.6772305479453</v>
      </c>
      <c r="AC19" s="299">
        <f t="shared" si="9"/>
        <v>5.6400160577054916E-2</v>
      </c>
      <c r="AD19" s="68">
        <f>+IF(AC19&gt;Parametros!$H$41,Parametros!$H$41*(X19+Y19)/2,AB19)</f>
        <v>1788.6772305479453</v>
      </c>
      <c r="AE19" s="68">
        <f t="shared" si="25"/>
        <v>0</v>
      </c>
      <c r="AF19" s="12"/>
      <c r="AG19" s="299">
        <f>+IF(AC19&lt;Parametros!$H$41,V19,0)</f>
        <v>0</v>
      </c>
      <c r="AH19" s="68">
        <f t="shared" si="10"/>
        <v>0</v>
      </c>
      <c r="AI19" s="68">
        <f t="shared" si="11"/>
        <v>1788.6772305479453</v>
      </c>
      <c r="AJ19" s="181">
        <f t="shared" si="12"/>
        <v>5.6400160577054916E-2</v>
      </c>
      <c r="AK19" s="68">
        <f>+IF(AJ19&gt;=Parametros!$H$41,Parametros!$H$41*($X19+$Y19)/2,AI19)</f>
        <v>1788.6772305479453</v>
      </c>
      <c r="AL19" s="242">
        <f t="shared" si="12"/>
        <v>5.6400160577054916E-2</v>
      </c>
      <c r="AM19" s="68">
        <f t="shared" si="13"/>
        <v>0</v>
      </c>
      <c r="AO19" s="298">
        <f>+IF(AL19&gt;=Parametros!$H$41,0,'Calculo Excedentes'!D19+'Calculo Excedentes'!K19)</f>
        <v>62296.03</v>
      </c>
      <c r="AP19" s="146">
        <f t="shared" si="14"/>
        <v>8.2408466436669325E-2</v>
      </c>
      <c r="AS19" s="243">
        <f>+IF(AL19&lt;Parametros!$H$41,AP19,0)</f>
        <v>8.2408466436669325E-2</v>
      </c>
      <c r="AT19" s="68">
        <f t="shared" si="15"/>
        <v>1499.9892385753576</v>
      </c>
      <c r="AU19" s="68">
        <f t="shared" si="16"/>
        <v>3288.6664691233027</v>
      </c>
      <c r="AV19" s="181">
        <f t="shared" si="17"/>
        <v>0.10369747754104855</v>
      </c>
      <c r="AW19" s="68">
        <f>+IF(AV19&gt;=Parametros!$H$41,Parametros!$H$41*($X19+$Y19)/2,AU19)</f>
        <v>2441.9814649999994</v>
      </c>
      <c r="AX19" s="242">
        <f t="shared" si="18"/>
        <v>7.6999999999999999E-2</v>
      </c>
      <c r="AY19" s="68">
        <f t="shared" si="19"/>
        <v>846.68500412330332</v>
      </c>
      <c r="BA19" s="181">
        <f>+IF(AV19&lt;Parametros!$H$41,$AP19,0)</f>
        <v>0</v>
      </c>
      <c r="BB19" s="68">
        <f t="shared" si="20"/>
        <v>0</v>
      </c>
      <c r="BC19" s="68">
        <f t="shared" si="26"/>
        <v>2441.9814649999994</v>
      </c>
      <c r="BD19" s="181">
        <f>IF($X19+$Y19=0,0,MIN(Parametros!$H$41,BC19/(($X19+$Y19)/2)))</f>
        <v>7.6999999999999999E-2</v>
      </c>
      <c r="BE19" s="68">
        <f>+IF(BD19&gt;=Parametros!$H$41,Parametros!$H$41*($X19+$Y19)/2,BC19)</f>
        <v>2441.9814649999994</v>
      </c>
      <c r="BF19" s="68">
        <f t="shared" si="27"/>
        <v>0</v>
      </c>
    </row>
    <row r="20" spans="1:58" ht="13.8" thickBot="1" x14ac:dyDescent="0.3">
      <c r="A20" s="248" t="s">
        <v>118</v>
      </c>
      <c r="B20" s="130" t="s">
        <v>47</v>
      </c>
      <c r="D20" s="257">
        <f>+'[2]produccion cooperativas asociad'!$M15</f>
        <v>78199.16</v>
      </c>
      <c r="E20" s="257">
        <v>10740.1</v>
      </c>
      <c r="F20" s="258">
        <v>0</v>
      </c>
      <c r="G20" s="261">
        <f t="shared" si="0"/>
        <v>30497.672400000003</v>
      </c>
      <c r="H20" s="261">
        <f t="shared" si="1"/>
        <v>0</v>
      </c>
      <c r="I20" s="143">
        <f t="shared" si="2"/>
        <v>36961.387599999995</v>
      </c>
      <c r="J20" s="70"/>
      <c r="K20" s="134"/>
      <c r="L20" s="126"/>
      <c r="M20" s="9">
        <f t="shared" si="23"/>
        <v>0</v>
      </c>
      <c r="N20" s="9">
        <f t="shared" si="3"/>
        <v>0</v>
      </c>
      <c r="O20" s="135">
        <f t="shared" si="24"/>
        <v>0</v>
      </c>
      <c r="P20" s="5"/>
      <c r="Q20" s="143">
        <f t="shared" si="28"/>
        <v>36961.387599999995</v>
      </c>
      <c r="R20" s="9">
        <f t="shared" si="4"/>
        <v>36961.387599999995</v>
      </c>
      <c r="S20" s="144">
        <f t="shared" si="5"/>
        <v>5.1454301468410291E-2</v>
      </c>
      <c r="T20" s="12"/>
      <c r="U20" s="143">
        <f t="shared" si="6"/>
        <v>78199.16</v>
      </c>
      <c r="V20" s="144">
        <f t="shared" si="7"/>
        <v>3.2775093725829943E-2</v>
      </c>
      <c r="X20" s="68">
        <f>+'Calculo Intereses COOPS'!G291</f>
        <v>48972.800000000003</v>
      </c>
      <c r="Y20" s="68">
        <f>+'Calculo Intereses COOPS'!G307</f>
        <v>65772.850000000006</v>
      </c>
      <c r="Z20" s="68">
        <f>+'Calculo Intereses COOPS'!J307</f>
        <v>3215.4094936986307</v>
      </c>
      <c r="AA20" s="68">
        <f>+V20*Parametros!$I$39</f>
        <v>1832.5376400946093</v>
      </c>
      <c r="AB20" s="68">
        <f t="shared" si="8"/>
        <v>5047.94713379324</v>
      </c>
      <c r="AC20" s="181">
        <f t="shared" si="9"/>
        <v>8.7984984769239438E-2</v>
      </c>
      <c r="AD20" s="68">
        <f>+IF(AC20&gt;Parametros!$H$41,Parametros!$H$41*(X20+Y20)/2,AB20)</f>
        <v>4417.7075250000007</v>
      </c>
      <c r="AE20" s="68">
        <f t="shared" si="25"/>
        <v>630.23960879323931</v>
      </c>
      <c r="AF20" s="12"/>
      <c r="AG20" s="181">
        <f>+IF(AC20&lt;Parametros!$H$41,V20,0)</f>
        <v>0</v>
      </c>
      <c r="AH20" s="68">
        <f t="shared" si="10"/>
        <v>0</v>
      </c>
      <c r="AI20" s="68">
        <f t="shared" si="11"/>
        <v>4417.7075250000007</v>
      </c>
      <c r="AJ20" s="181">
        <f t="shared" si="12"/>
        <v>7.7000000000000013E-2</v>
      </c>
      <c r="AK20" s="68">
        <f>+IF(AJ20&gt;=Parametros!$H$41,Parametros!$H$41*($X20+$Y20)/2,AI20)</f>
        <v>4417.7075250000007</v>
      </c>
      <c r="AL20" s="242">
        <f t="shared" si="12"/>
        <v>7.7000000000000013E-2</v>
      </c>
      <c r="AM20" s="68">
        <f t="shared" si="13"/>
        <v>0</v>
      </c>
      <c r="AO20" s="143">
        <f>+IF(AL20&gt;=Parametros!$H$41,0,'Calculo Excedentes'!D20+'Calculo Excedentes'!K20)</f>
        <v>0</v>
      </c>
      <c r="AP20" s="146">
        <f t="shared" si="14"/>
        <v>0</v>
      </c>
      <c r="AS20" s="243">
        <f>+IF(AL20&lt;Parametros!$H$41,AP20,0)</f>
        <v>0</v>
      </c>
      <c r="AT20" s="68">
        <f t="shared" si="15"/>
        <v>0</v>
      </c>
      <c r="AU20" s="68">
        <f t="shared" si="16"/>
        <v>4417.7075250000007</v>
      </c>
      <c r="AV20" s="181">
        <f t="shared" si="17"/>
        <v>7.7000000000000013E-2</v>
      </c>
      <c r="AW20" s="68">
        <f>+IF(AV20&gt;=Parametros!$H$41,Parametros!$H$41*($X20+$Y20)/2,AU20)</f>
        <v>4417.7075250000007</v>
      </c>
      <c r="AX20" s="242">
        <f t="shared" si="18"/>
        <v>7.7000000000000013E-2</v>
      </c>
      <c r="AY20" s="68">
        <f t="shared" si="19"/>
        <v>0</v>
      </c>
      <c r="BA20" s="181">
        <f>+IF(AV20&lt;Parametros!$H$41,$AP20,0)</f>
        <v>0</v>
      </c>
      <c r="BB20" s="68">
        <f t="shared" si="20"/>
        <v>0</v>
      </c>
      <c r="BC20" s="68">
        <f t="shared" si="26"/>
        <v>4417.7075250000007</v>
      </c>
      <c r="BD20" s="181">
        <f>IF($X20+$Y20=0,0,MIN(Parametros!$H$41,BC20/(($X20+$Y20)/2)))</f>
        <v>7.6999999999999999E-2</v>
      </c>
      <c r="BE20" s="68">
        <f>+IF(BD20&gt;=Parametros!$H$41,Parametros!$H$41*($X20+$Y20)/2,BC20)</f>
        <v>4417.7075250000007</v>
      </c>
      <c r="BF20" s="68">
        <f t="shared" si="27"/>
        <v>0</v>
      </c>
    </row>
    <row r="21" spans="1:58" ht="13.8" thickBot="1" x14ac:dyDescent="0.3">
      <c r="A21" s="248" t="s">
        <v>119</v>
      </c>
      <c r="B21" s="130" t="s">
        <v>13</v>
      </c>
      <c r="D21" s="257">
        <f>+'[2]produccion cooperativas asociad'!$M16</f>
        <v>49823.31</v>
      </c>
      <c r="E21" s="257">
        <v>16446.669999999998</v>
      </c>
      <c r="F21" s="258">
        <v>0</v>
      </c>
      <c r="G21" s="261">
        <f t="shared" si="0"/>
        <v>19431.090899999999</v>
      </c>
      <c r="H21" s="261">
        <f t="shared" si="1"/>
        <v>0</v>
      </c>
      <c r="I21" s="143">
        <f t="shared" si="2"/>
        <v>13945.5491</v>
      </c>
      <c r="J21" s="70"/>
      <c r="K21" s="134"/>
      <c r="L21" s="126"/>
      <c r="M21" s="9">
        <f t="shared" si="23"/>
        <v>0</v>
      </c>
      <c r="N21" s="9">
        <f t="shared" si="3"/>
        <v>0</v>
      </c>
      <c r="O21" s="135">
        <f t="shared" si="24"/>
        <v>0</v>
      </c>
      <c r="P21" s="5"/>
      <c r="Q21" s="143">
        <f t="shared" si="28"/>
        <v>13945.5491</v>
      </c>
      <c r="R21" s="9">
        <f t="shared" si="4"/>
        <v>13945.5491</v>
      </c>
      <c r="S21" s="144">
        <f t="shared" si="5"/>
        <v>1.9413732387414964E-2</v>
      </c>
      <c r="T21" s="12"/>
      <c r="U21" s="143">
        <f t="shared" si="6"/>
        <v>49823.31</v>
      </c>
      <c r="V21" s="144">
        <f t="shared" si="7"/>
        <v>2.0882112480250174E-2</v>
      </c>
      <c r="X21" s="68">
        <f>+'Calculo Intereses COOPS'!G312</f>
        <v>49938.36</v>
      </c>
      <c r="Y21" s="68">
        <f>+'Calculo Intereses COOPS'!G328</f>
        <v>58201.26</v>
      </c>
      <c r="Z21" s="68">
        <f>+'Calculo Intereses COOPS'!J328</f>
        <v>2904.6975808219181</v>
      </c>
      <c r="AA21" s="68">
        <f>+V21*Parametros!$I$39</f>
        <v>1167.5712492193284</v>
      </c>
      <c r="AB21" s="68">
        <f t="shared" si="8"/>
        <v>4072.2688300412465</v>
      </c>
      <c r="AC21" s="181">
        <f t="shared" si="9"/>
        <v>7.5315020157112569E-2</v>
      </c>
      <c r="AD21" s="68">
        <f>+IF(AC21&gt;Parametros!$H$41,Parametros!$H$41*(X21+Y21)/2,AB21)</f>
        <v>4072.2688300412465</v>
      </c>
      <c r="AE21" s="68">
        <f t="shared" si="25"/>
        <v>0</v>
      </c>
      <c r="AF21" s="12"/>
      <c r="AG21" s="181">
        <f>+IF(AC21&lt;Parametros!$H$41,V21,0)</f>
        <v>2.0882112480250174E-2</v>
      </c>
      <c r="AH21" s="68">
        <f t="shared" si="10"/>
        <v>17844.880716775962</v>
      </c>
      <c r="AI21" s="68">
        <f t="shared" si="11"/>
        <v>21917.149546817207</v>
      </c>
      <c r="AJ21" s="181">
        <f t="shared" si="12"/>
        <v>0.40534911342979024</v>
      </c>
      <c r="AK21" s="68">
        <f>+IF(AJ21&gt;=Parametros!$H$41,Parametros!$H$41*($X21+$Y21)/2,AI21)</f>
        <v>4163.3753699999997</v>
      </c>
      <c r="AL21" s="242">
        <f t="shared" si="12"/>
        <v>7.6999999999999999E-2</v>
      </c>
      <c r="AM21" s="68">
        <f t="shared" si="13"/>
        <v>17753.774176817205</v>
      </c>
      <c r="AO21" s="143">
        <f>+IF(AL21&gt;=Parametros!$H$41,0,'Calculo Excedentes'!D21+'Calculo Excedentes'!K21)</f>
        <v>0</v>
      </c>
      <c r="AP21" s="146">
        <f t="shared" si="14"/>
        <v>0</v>
      </c>
      <c r="AS21" s="243">
        <f>+IF(AL21&lt;Parametros!$H$41,AP21,0)</f>
        <v>0</v>
      </c>
      <c r="AT21" s="68">
        <f t="shared" si="15"/>
        <v>0</v>
      </c>
      <c r="AU21" s="68">
        <f t="shared" si="16"/>
        <v>4163.3753699999997</v>
      </c>
      <c r="AV21" s="181">
        <f t="shared" si="17"/>
        <v>7.6999999999999999E-2</v>
      </c>
      <c r="AW21" s="68">
        <f>+IF(AV21&gt;=Parametros!$H$41,Parametros!$H$41*($X21+$Y21)/2,AU21)</f>
        <v>4163.3753699999997</v>
      </c>
      <c r="AX21" s="242">
        <f t="shared" si="18"/>
        <v>7.6999999999999999E-2</v>
      </c>
      <c r="AY21" s="68">
        <f t="shared" si="19"/>
        <v>0</v>
      </c>
      <c r="BA21" s="181">
        <f>+IF(AV21&lt;Parametros!$H$41,$AP21,0)</f>
        <v>0</v>
      </c>
      <c r="BB21" s="68">
        <f t="shared" si="20"/>
        <v>0</v>
      </c>
      <c r="BC21" s="68">
        <f t="shared" si="26"/>
        <v>4163.3753699999997</v>
      </c>
      <c r="BD21" s="181">
        <f>IF($X21+$Y21=0,0,MIN(Parametros!$H$41,BC21/(($X21+$Y21)/2)))</f>
        <v>7.6999999999999999E-2</v>
      </c>
      <c r="BE21" s="68">
        <f>+IF(BD21&gt;=Parametros!$H$41,Parametros!$H$41*($X21+$Y21)/2,BC21)</f>
        <v>4163.3753699999997</v>
      </c>
      <c r="BF21" s="68">
        <f t="shared" si="27"/>
        <v>0</v>
      </c>
    </row>
    <row r="22" spans="1:58" ht="13.8" thickBot="1" x14ac:dyDescent="0.3">
      <c r="A22" s="248" t="s">
        <v>120</v>
      </c>
      <c r="B22" s="130" t="s">
        <v>12</v>
      </c>
      <c r="D22" s="257">
        <f>+'[2]produccion cooperativas asociad'!$M17</f>
        <v>80481.149999999994</v>
      </c>
      <c r="E22" s="257">
        <v>42722.26</v>
      </c>
      <c r="F22" s="258">
        <v>0</v>
      </c>
      <c r="G22" s="261">
        <f t="shared" si="0"/>
        <v>31387.648499999999</v>
      </c>
      <c r="H22" s="261">
        <f t="shared" si="1"/>
        <v>0</v>
      </c>
      <c r="I22" s="143">
        <f t="shared" si="2"/>
        <v>6371.2414999999928</v>
      </c>
      <c r="J22" s="70"/>
      <c r="K22" s="134"/>
      <c r="L22" s="126"/>
      <c r="M22" s="9">
        <f t="shared" si="23"/>
        <v>0</v>
      </c>
      <c r="N22" s="9">
        <f t="shared" si="3"/>
        <v>0</v>
      </c>
      <c r="O22" s="135">
        <f t="shared" si="24"/>
        <v>0</v>
      </c>
      <c r="P22" s="5"/>
      <c r="Q22" s="143">
        <f t="shared" si="28"/>
        <v>6371.2414999999928</v>
      </c>
      <c r="R22" s="9">
        <f t="shared" si="4"/>
        <v>6371.2414999999928</v>
      </c>
      <c r="S22" s="144">
        <f t="shared" si="5"/>
        <v>8.8694662769924319E-3</v>
      </c>
      <c r="T22" s="12"/>
      <c r="U22" s="143">
        <f t="shared" si="6"/>
        <v>80481.149999999994</v>
      </c>
      <c r="V22" s="144">
        <f t="shared" si="7"/>
        <v>3.3731529014027498E-2</v>
      </c>
      <c r="X22" s="68">
        <f>+'Calculo Intereses COOPS'!G334</f>
        <v>62573.7</v>
      </c>
      <c r="Y22" s="68">
        <f>+'Calculo Intereses COOPS'!G352</f>
        <v>88888.37</v>
      </c>
      <c r="Z22" s="68">
        <f>+'Calculo Intereses COOPS'!J352</f>
        <v>4139.9116241095899</v>
      </c>
      <c r="AA22" s="68">
        <f>+V22*Parametros!$I$39</f>
        <v>1886.0143343368427</v>
      </c>
      <c r="AB22" s="68">
        <f t="shared" si="8"/>
        <v>6025.9259584464326</v>
      </c>
      <c r="AC22" s="181">
        <f t="shared" si="9"/>
        <v>7.9570099080864695E-2</v>
      </c>
      <c r="AD22" s="68">
        <f>+IF(AC22&gt;Parametros!$H$41,Parametros!$H$41*(X22+Y22)/2,AB22)</f>
        <v>5831.2896950000004</v>
      </c>
      <c r="AE22" s="68">
        <f t="shared" si="25"/>
        <v>194.63626344643217</v>
      </c>
      <c r="AF22" s="12"/>
      <c r="AG22" s="181">
        <f>+IF(AC22&lt;Parametros!$H$41,V22,0)</f>
        <v>0</v>
      </c>
      <c r="AH22" s="68">
        <f t="shared" si="10"/>
        <v>0</v>
      </c>
      <c r="AI22" s="68">
        <f t="shared" si="11"/>
        <v>5831.2896950000004</v>
      </c>
      <c r="AJ22" s="181">
        <f t="shared" si="12"/>
        <v>7.6999999999999999E-2</v>
      </c>
      <c r="AK22" s="68">
        <f>+IF(AJ22&gt;=Parametros!$H$41,Parametros!$H$41*($X22+$Y22)/2,AI22)</f>
        <v>5831.2896950000004</v>
      </c>
      <c r="AL22" s="242">
        <f t="shared" si="12"/>
        <v>7.6999999999999999E-2</v>
      </c>
      <c r="AM22" s="68">
        <f t="shared" si="13"/>
        <v>0</v>
      </c>
      <c r="AO22" s="143">
        <f>+IF(AL22&gt;=Parametros!$H$41,0,'Calculo Excedentes'!D22+'Calculo Excedentes'!K22)</f>
        <v>0</v>
      </c>
      <c r="AP22" s="146">
        <f t="shared" si="14"/>
        <v>0</v>
      </c>
      <c r="AS22" s="243">
        <f>+IF(AL22&lt;Parametros!$H$41,AP22,0)</f>
        <v>0</v>
      </c>
      <c r="AT22" s="68">
        <f t="shared" si="15"/>
        <v>0</v>
      </c>
      <c r="AU22" s="68">
        <f t="shared" si="16"/>
        <v>5831.2896950000004</v>
      </c>
      <c r="AV22" s="181">
        <f t="shared" si="17"/>
        <v>7.6999999999999999E-2</v>
      </c>
      <c r="AW22" s="68">
        <f>+IF(AV22&gt;=Parametros!$H$41,Parametros!$H$41*($X22+$Y22)/2,AU22)</f>
        <v>5831.2896950000004</v>
      </c>
      <c r="AX22" s="242">
        <f t="shared" si="18"/>
        <v>7.6999999999999999E-2</v>
      </c>
      <c r="AY22" s="68">
        <f t="shared" si="19"/>
        <v>0</v>
      </c>
      <c r="BA22" s="181">
        <f>+IF(AV22&lt;Parametros!$H$41,$AP22,0)</f>
        <v>0</v>
      </c>
      <c r="BB22" s="68">
        <f t="shared" si="20"/>
        <v>0</v>
      </c>
      <c r="BC22" s="68">
        <f t="shared" si="26"/>
        <v>5831.2896950000004</v>
      </c>
      <c r="BD22" s="181">
        <f>IF($X22+$Y22=0,0,MIN(Parametros!$H$41,BC22/(($X22+$Y22)/2)))</f>
        <v>7.6999999999999999E-2</v>
      </c>
      <c r="BE22" s="68">
        <f>+IF(BD22&gt;=Parametros!$H$41,Parametros!$H$41*($X22+$Y22)/2,BC22)</f>
        <v>5831.2896950000004</v>
      </c>
      <c r="BF22" s="68">
        <f t="shared" si="27"/>
        <v>0</v>
      </c>
    </row>
    <row r="23" spans="1:58" ht="13.8" thickBot="1" x14ac:dyDescent="0.3">
      <c r="A23" s="248" t="s">
        <v>121</v>
      </c>
      <c r="B23" s="130" t="s">
        <v>18</v>
      </c>
      <c r="D23" s="257">
        <f>+'[2]produccion cooperativas asociad'!$M18</f>
        <v>128784.82</v>
      </c>
      <c r="E23" s="257">
        <v>51510.71</v>
      </c>
      <c r="F23" s="258">
        <v>0</v>
      </c>
      <c r="G23" s="261">
        <f t="shared" si="0"/>
        <v>50226.079800000007</v>
      </c>
      <c r="H23" s="261">
        <f t="shared" si="1"/>
        <v>0</v>
      </c>
      <c r="I23" s="143">
        <f t="shared" si="2"/>
        <v>27048.030200000008</v>
      </c>
      <c r="J23" s="70"/>
      <c r="K23" s="134"/>
      <c r="L23" s="126"/>
      <c r="M23" s="9">
        <f t="shared" si="23"/>
        <v>0</v>
      </c>
      <c r="N23" s="9">
        <f t="shared" si="3"/>
        <v>0</v>
      </c>
      <c r="O23" s="135">
        <f t="shared" si="24"/>
        <v>0</v>
      </c>
      <c r="P23" s="5"/>
      <c r="Q23" s="143">
        <f t="shared" si="28"/>
        <v>27048.030200000008</v>
      </c>
      <c r="R23" s="9">
        <f t="shared" si="4"/>
        <v>27048.030200000008</v>
      </c>
      <c r="S23" s="144">
        <f t="shared" si="5"/>
        <v>3.7653821742273184E-2</v>
      </c>
      <c r="T23" s="12"/>
      <c r="U23" s="143">
        <f t="shared" si="6"/>
        <v>128784.82</v>
      </c>
      <c r="V23" s="144">
        <f t="shared" si="7"/>
        <v>5.397672489019241E-2</v>
      </c>
      <c r="X23" s="68">
        <f>+'Calculo Intereses COOPS'!G357</f>
        <v>61201.32</v>
      </c>
      <c r="Y23" s="68">
        <f>+'Calculo Intereses COOPS'!G380</f>
        <v>78220.520000000019</v>
      </c>
      <c r="Z23" s="68">
        <f>+'Calculo Intereses COOPS'!J380</f>
        <v>3893.5409579452057</v>
      </c>
      <c r="AA23" s="68">
        <f>+V23*Parametros!$I$39</f>
        <v>3017.9739798075711</v>
      </c>
      <c r="AB23" s="68">
        <f t="shared" si="8"/>
        <v>6911.5149377527769</v>
      </c>
      <c r="AC23" s="181">
        <f t="shared" si="9"/>
        <v>9.9145369731926877E-2</v>
      </c>
      <c r="AD23" s="68">
        <f>+IF(AC23&gt;Parametros!$H$41,Parametros!$H$41*(X23+Y23)/2,AB23)</f>
        <v>5367.7408400000013</v>
      </c>
      <c r="AE23" s="68">
        <f t="shared" si="25"/>
        <v>1543.7740977527756</v>
      </c>
      <c r="AF23" s="12"/>
      <c r="AG23" s="181">
        <f>+IF(AC23&lt;Parametros!$H$41,V23,0)</f>
        <v>0</v>
      </c>
      <c r="AH23" s="68">
        <f t="shared" si="10"/>
        <v>0</v>
      </c>
      <c r="AI23" s="68">
        <f t="shared" si="11"/>
        <v>5367.7408400000013</v>
      </c>
      <c r="AJ23" s="181">
        <f t="shared" si="12"/>
        <v>7.6999999999999999E-2</v>
      </c>
      <c r="AK23" s="68">
        <f>+IF(AJ23&gt;=Parametros!$H$41,Parametros!$H$41*($X23+$Y23)/2,AI23)</f>
        <v>5367.7408400000013</v>
      </c>
      <c r="AL23" s="242">
        <f t="shared" si="12"/>
        <v>7.6999999999999999E-2</v>
      </c>
      <c r="AM23" s="68">
        <f t="shared" si="13"/>
        <v>0</v>
      </c>
      <c r="AO23" s="143">
        <f>+IF(AL23&gt;=Parametros!$H$41,0,'Calculo Excedentes'!D23+'Calculo Excedentes'!K23)</f>
        <v>0</v>
      </c>
      <c r="AP23" s="146">
        <f t="shared" si="14"/>
        <v>0</v>
      </c>
      <c r="AS23" s="243">
        <f>+IF(AL23&lt;Parametros!$H$41,AP23,0)</f>
        <v>0</v>
      </c>
      <c r="AT23" s="68">
        <f t="shared" si="15"/>
        <v>0</v>
      </c>
      <c r="AU23" s="68">
        <f t="shared" si="16"/>
        <v>5367.7408400000013</v>
      </c>
      <c r="AV23" s="181">
        <f t="shared" si="17"/>
        <v>7.6999999999999999E-2</v>
      </c>
      <c r="AW23" s="68">
        <f>+IF(AV23&gt;=Parametros!$H$41,Parametros!$H$41*($X23+$Y23)/2,AU23)</f>
        <v>5367.7408400000013</v>
      </c>
      <c r="AX23" s="242">
        <f t="shared" si="18"/>
        <v>7.6999999999999999E-2</v>
      </c>
      <c r="AY23" s="68">
        <f t="shared" si="19"/>
        <v>0</v>
      </c>
      <c r="BA23" s="181">
        <f>+IF(AV23&lt;Parametros!$H$41,$AP23,0)</f>
        <v>0</v>
      </c>
      <c r="BB23" s="68">
        <f t="shared" si="20"/>
        <v>0</v>
      </c>
      <c r="BC23" s="68">
        <f t="shared" si="26"/>
        <v>5367.7408400000013</v>
      </c>
      <c r="BD23" s="181">
        <f>IF($X23+$Y23=0,0,MIN(Parametros!$H$41,BC23/(($X23+$Y23)/2)))</f>
        <v>7.6999999999999999E-2</v>
      </c>
      <c r="BE23" s="68">
        <f>+IF(BD23&gt;=Parametros!$H$41,Parametros!$H$41*($X23+$Y23)/2,BC23)</f>
        <v>5367.7408400000013</v>
      </c>
      <c r="BF23" s="68">
        <f t="shared" si="27"/>
        <v>0</v>
      </c>
    </row>
    <row r="24" spans="1:58" ht="13.8" thickBot="1" x14ac:dyDescent="0.3">
      <c r="A24" s="248" t="s">
        <v>122</v>
      </c>
      <c r="B24" s="130" t="s">
        <v>15</v>
      </c>
      <c r="D24" s="257">
        <f>+'[2]produccion cooperativas asociad'!$M19</f>
        <v>208167.67999999999</v>
      </c>
      <c r="E24" s="257">
        <v>57276.68</v>
      </c>
      <c r="F24" s="258">
        <v>0</v>
      </c>
      <c r="G24" s="261">
        <f t="shared" si="0"/>
        <v>81185.395199999999</v>
      </c>
      <c r="H24" s="261">
        <f t="shared" si="1"/>
        <v>0</v>
      </c>
      <c r="I24" s="143">
        <f t="shared" si="2"/>
        <v>69705.604800000001</v>
      </c>
      <c r="J24" s="70"/>
      <c r="K24" s="134"/>
      <c r="L24" s="126"/>
      <c r="M24" s="9">
        <f t="shared" si="23"/>
        <v>0</v>
      </c>
      <c r="N24" s="9">
        <f t="shared" si="3"/>
        <v>0</v>
      </c>
      <c r="O24" s="135">
        <f t="shared" si="24"/>
        <v>0</v>
      </c>
      <c r="P24" s="5"/>
      <c r="Q24" s="143">
        <f t="shared" si="28"/>
        <v>69705.604800000001</v>
      </c>
      <c r="R24" s="9">
        <f t="shared" si="4"/>
        <v>69705.604800000001</v>
      </c>
      <c r="S24" s="144">
        <f t="shared" si="5"/>
        <v>9.7037839656676408E-2</v>
      </c>
      <c r="T24" s="12"/>
      <c r="U24" s="143">
        <f t="shared" si="6"/>
        <v>208167.67999999999</v>
      </c>
      <c r="V24" s="144">
        <f t="shared" si="7"/>
        <v>8.7247934922684275E-2</v>
      </c>
      <c r="X24" s="68">
        <f>+'Calculo Intereses COOPS'!G386</f>
        <v>72688.03</v>
      </c>
      <c r="Y24" s="68">
        <f>+'Calculo Intereses COOPS'!G402</f>
        <v>98423.219999999987</v>
      </c>
      <c r="Z24" s="68">
        <f>+'Calculo Intereses COOPS'!J402</f>
        <v>5226.7701034246566</v>
      </c>
      <c r="AA24" s="68">
        <f>+V24*Parametros!$I$39</f>
        <v>4878.2507261097153</v>
      </c>
      <c r="AB24" s="68">
        <f t="shared" si="8"/>
        <v>10105.020829534373</v>
      </c>
      <c r="AC24" s="181">
        <f t="shared" si="9"/>
        <v>0.11811053720353715</v>
      </c>
      <c r="AD24" s="68">
        <f>+IF(AC24&gt;Parametros!$H$41,Parametros!$H$41*(X24+Y24)/2,AB24)</f>
        <v>6587.7831249999999</v>
      </c>
      <c r="AE24" s="68">
        <f t="shared" si="25"/>
        <v>3517.2377045343728</v>
      </c>
      <c r="AF24" s="12"/>
      <c r="AG24" s="181">
        <f>+IF(AC24&lt;Parametros!$H$41,V24,0)</f>
        <v>0</v>
      </c>
      <c r="AH24" s="68">
        <f t="shared" si="10"/>
        <v>0</v>
      </c>
      <c r="AI24" s="68">
        <f t="shared" si="11"/>
        <v>6587.7831249999999</v>
      </c>
      <c r="AJ24" s="181">
        <f t="shared" si="12"/>
        <v>7.6999999999999999E-2</v>
      </c>
      <c r="AK24" s="68">
        <f>+IF(AJ24&gt;=Parametros!$H$41,Parametros!$H$41*($X24+$Y24)/2,AI24)</f>
        <v>6587.7831249999999</v>
      </c>
      <c r="AL24" s="242">
        <f t="shared" si="12"/>
        <v>7.6999999999999999E-2</v>
      </c>
      <c r="AM24" s="68">
        <f t="shared" si="13"/>
        <v>0</v>
      </c>
      <c r="AO24" s="143">
        <f>+IF(AL24&gt;=Parametros!$H$41,0,'Calculo Excedentes'!D24+'Calculo Excedentes'!K24)</f>
        <v>0</v>
      </c>
      <c r="AP24" s="146">
        <f t="shared" si="14"/>
        <v>0</v>
      </c>
      <c r="AS24" s="243">
        <f>+IF(AL24&lt;Parametros!$H$41,AP24,0)</f>
        <v>0</v>
      </c>
      <c r="AT24" s="68">
        <f t="shared" si="15"/>
        <v>0</v>
      </c>
      <c r="AU24" s="68">
        <f t="shared" si="16"/>
        <v>6587.7831249999999</v>
      </c>
      <c r="AV24" s="181">
        <f t="shared" si="17"/>
        <v>7.6999999999999999E-2</v>
      </c>
      <c r="AW24" s="68">
        <f>+IF(AV24&gt;=Parametros!$H$41,Parametros!$H$41*($X24+$Y24)/2,AU24)</f>
        <v>6587.7831249999999</v>
      </c>
      <c r="AX24" s="242">
        <f t="shared" si="18"/>
        <v>7.6999999999999999E-2</v>
      </c>
      <c r="AY24" s="68">
        <f t="shared" si="19"/>
        <v>0</v>
      </c>
      <c r="BA24" s="181">
        <f>+IF(AV24&lt;Parametros!$H$41,$AP24,0)</f>
        <v>0</v>
      </c>
      <c r="BB24" s="68">
        <f t="shared" si="20"/>
        <v>0</v>
      </c>
      <c r="BC24" s="68">
        <f t="shared" si="26"/>
        <v>6587.7831249999999</v>
      </c>
      <c r="BD24" s="181">
        <f>IF($X24+$Y24=0,0,MIN(Parametros!$H$41,BC24/(($X24+$Y24)/2)))</f>
        <v>7.6999999999999999E-2</v>
      </c>
      <c r="BE24" s="68">
        <f>+IF(BD24&gt;=Parametros!$H$41,Parametros!$H$41*($X24+$Y24)/2,BC24)</f>
        <v>6587.7831249999999</v>
      </c>
      <c r="BF24" s="68">
        <f t="shared" si="27"/>
        <v>0</v>
      </c>
    </row>
    <row r="25" spans="1:58" ht="13.8" thickBot="1" x14ac:dyDescent="0.3">
      <c r="A25" s="248" t="s">
        <v>123</v>
      </c>
      <c r="B25" s="130" t="s">
        <v>34</v>
      </c>
      <c r="D25" s="257">
        <f>+'[2]produccion cooperativas asociad'!$M20</f>
        <v>52572.53</v>
      </c>
      <c r="E25" s="257">
        <v>11246.66</v>
      </c>
      <c r="F25" s="258">
        <v>0</v>
      </c>
      <c r="G25" s="261">
        <f t="shared" si="0"/>
        <v>20503.286700000001</v>
      </c>
      <c r="H25" s="261">
        <f t="shared" si="1"/>
        <v>0</v>
      </c>
      <c r="I25" s="143">
        <f t="shared" si="2"/>
        <v>20822.583299999995</v>
      </c>
      <c r="J25" s="70"/>
      <c r="K25" s="134"/>
      <c r="L25" s="126"/>
      <c r="M25" s="9">
        <f t="shared" si="23"/>
        <v>0</v>
      </c>
      <c r="N25" s="9">
        <f t="shared" si="3"/>
        <v>0</v>
      </c>
      <c r="O25" s="135">
        <f t="shared" si="24"/>
        <v>0</v>
      </c>
      <c r="P25" s="5"/>
      <c r="Q25" s="143">
        <f t="shared" si="28"/>
        <v>20822.583299999995</v>
      </c>
      <c r="R25" s="9">
        <f t="shared" si="4"/>
        <v>20822.583299999995</v>
      </c>
      <c r="S25" s="144">
        <f t="shared" si="5"/>
        <v>2.8987317523471046E-2</v>
      </c>
      <c r="T25" s="12"/>
      <c r="U25" s="143">
        <f t="shared" si="6"/>
        <v>52572.53</v>
      </c>
      <c r="V25" s="144">
        <f t="shared" si="7"/>
        <v>2.2034374770189429E-2</v>
      </c>
      <c r="X25" s="68">
        <f>+'Calculo Intereses COOPS'!G407</f>
        <v>11428.57</v>
      </c>
      <c r="Y25" s="68">
        <f>+'Calculo Intereses COOPS'!G423</f>
        <v>21885.72</v>
      </c>
      <c r="Z25" s="68">
        <f>+'Calculo Intereses COOPS'!J423</f>
        <v>882.66954178082187</v>
      </c>
      <c r="AA25" s="68">
        <f>+V25*Parametros!$I$39</f>
        <v>1231.9971219640088</v>
      </c>
      <c r="AB25" s="68">
        <f t="shared" si="8"/>
        <v>2114.6666637448307</v>
      </c>
      <c r="AC25" s="181">
        <f t="shared" si="9"/>
        <v>0.12695252780382416</v>
      </c>
      <c r="AD25" s="68">
        <f>+IF(AC25&gt;Parametros!$H$41,Parametros!$H$41*(X25+Y25)/2,AB25)</f>
        <v>1282.6001650000001</v>
      </c>
      <c r="AE25" s="68">
        <f t="shared" si="25"/>
        <v>832.0664987448306</v>
      </c>
      <c r="AF25" s="12"/>
      <c r="AG25" s="181">
        <f>+IF(AC25&lt;Parametros!$H$41,V25,0)</f>
        <v>0</v>
      </c>
      <c r="AH25" s="68">
        <f t="shared" si="10"/>
        <v>0</v>
      </c>
      <c r="AI25" s="68">
        <f t="shared" si="11"/>
        <v>1282.6001650000001</v>
      </c>
      <c r="AJ25" s="181">
        <f t="shared" si="12"/>
        <v>7.6999999999999999E-2</v>
      </c>
      <c r="AK25" s="68">
        <f>+IF(AJ25&gt;=Parametros!$H$41,Parametros!$H$41*($X25+$Y25)/2,AI25)</f>
        <v>1282.6001650000001</v>
      </c>
      <c r="AL25" s="242">
        <f t="shared" si="12"/>
        <v>7.6999999999999999E-2</v>
      </c>
      <c r="AM25" s="68">
        <f t="shared" si="13"/>
        <v>0</v>
      </c>
      <c r="AO25" s="143">
        <f>+IF(AL25&gt;=Parametros!$H$41,0,'Calculo Excedentes'!D25+'Calculo Excedentes'!K25)</f>
        <v>0</v>
      </c>
      <c r="AP25" s="146">
        <f t="shared" si="14"/>
        <v>0</v>
      </c>
      <c r="AS25" s="243">
        <f>+IF(AL25&lt;Parametros!$H$41,AP25,0)</f>
        <v>0</v>
      </c>
      <c r="AT25" s="68">
        <f t="shared" si="15"/>
        <v>0</v>
      </c>
      <c r="AU25" s="68">
        <f t="shared" si="16"/>
        <v>1282.6001650000001</v>
      </c>
      <c r="AV25" s="181">
        <f t="shared" si="17"/>
        <v>7.6999999999999999E-2</v>
      </c>
      <c r="AW25" s="68">
        <f>+IF(AV25&gt;=Parametros!$H$41,Parametros!$H$41*($X25+$Y25)/2,AU25)</f>
        <v>1282.6001650000001</v>
      </c>
      <c r="AX25" s="242">
        <f t="shared" si="18"/>
        <v>7.6999999999999999E-2</v>
      </c>
      <c r="AY25" s="68">
        <f t="shared" si="19"/>
        <v>0</v>
      </c>
      <c r="BA25" s="181">
        <f>+IF(AV25&lt;Parametros!$H$41,$AP25,0)</f>
        <v>0</v>
      </c>
      <c r="BB25" s="68">
        <f t="shared" si="20"/>
        <v>0</v>
      </c>
      <c r="BC25" s="68">
        <f t="shared" si="26"/>
        <v>1282.6001650000001</v>
      </c>
      <c r="BD25" s="181">
        <f>IF($X25+$Y25=0,0,MIN(Parametros!$H$41,BC25/(($X25+$Y25)/2)))</f>
        <v>7.6999999999999999E-2</v>
      </c>
      <c r="BE25" s="68">
        <f>+IF(BD25&gt;=Parametros!$H$41,Parametros!$H$41*($X25+$Y25)/2,BC25)</f>
        <v>1282.6001650000001</v>
      </c>
      <c r="BF25" s="68">
        <f t="shared" si="27"/>
        <v>0</v>
      </c>
    </row>
    <row r="26" spans="1:58" ht="12" customHeight="1" thickBot="1" x14ac:dyDescent="0.3">
      <c r="A26" s="248" t="s">
        <v>124</v>
      </c>
      <c r="B26" s="130" t="s">
        <v>233</v>
      </c>
      <c r="D26" s="257">
        <f>+'[2]produccion cooperativas asociad'!$M21</f>
        <v>33925.75</v>
      </c>
      <c r="E26" s="257">
        <v>6857.15</v>
      </c>
      <c r="F26" s="258">
        <v>0</v>
      </c>
      <c r="G26" s="261">
        <f t="shared" si="0"/>
        <v>13231.0425</v>
      </c>
      <c r="H26" s="261">
        <v>0</v>
      </c>
      <c r="I26" s="143">
        <f t="shared" si="2"/>
        <v>13837.557499999999</v>
      </c>
      <c r="J26" s="70"/>
      <c r="K26" s="134"/>
      <c r="L26" s="126"/>
      <c r="M26" s="9">
        <f>+K26*$M$6</f>
        <v>0</v>
      </c>
      <c r="N26" s="9">
        <f t="shared" si="3"/>
        <v>0</v>
      </c>
      <c r="O26" s="135">
        <f t="shared" si="24"/>
        <v>0</v>
      </c>
      <c r="P26" s="5"/>
      <c r="Q26" s="143">
        <f t="shared" si="28"/>
        <v>13837.557499999999</v>
      </c>
      <c r="R26" s="9">
        <f>+IF(Q26&gt;0,Q26,0)</f>
        <v>13837.557499999999</v>
      </c>
      <c r="S26" s="144">
        <f t="shared" si="5"/>
        <v>1.9263396247370914E-2</v>
      </c>
      <c r="T26" s="12"/>
      <c r="U26" s="143">
        <f t="shared" si="6"/>
        <v>33925.75</v>
      </c>
      <c r="V26" s="144">
        <f t="shared" si="7"/>
        <v>1.4219073912930461E-2</v>
      </c>
      <c r="X26" s="68">
        <f>+'Calculo Intereses COOPS'!G428</f>
        <v>36114.720000000001</v>
      </c>
      <c r="Y26" s="68">
        <f>+'Calculo Intereses COOPS'!G444</f>
        <v>38743.29</v>
      </c>
      <c r="Z26" s="68">
        <f>+'Calculo Intereses COOPS'!J444</f>
        <v>2113.0570849315068</v>
      </c>
      <c r="AA26" s="68">
        <f>+V26*Parametros!$I$39</f>
        <v>795.02406219503746</v>
      </c>
      <c r="AB26" s="68">
        <f t="shared" si="8"/>
        <v>2908.0811471265442</v>
      </c>
      <c r="AC26" s="181">
        <f t="shared" si="9"/>
        <v>7.7695924514331702E-2</v>
      </c>
      <c r="AD26" s="68">
        <f>+IF(AC26&gt;Parametros!$H$41,Parametros!$H$41*(X26+Y26)/2,AB26)</f>
        <v>2882.0333850000002</v>
      </c>
      <c r="AE26" s="68">
        <f t="shared" si="25"/>
        <v>26.047762126544058</v>
      </c>
      <c r="AF26" s="12"/>
      <c r="AG26" s="181">
        <f>+IF(AC26&lt;Parametros!$H$41,V26,0)</f>
        <v>0</v>
      </c>
      <c r="AH26" s="68">
        <f t="shared" si="10"/>
        <v>0</v>
      </c>
      <c r="AI26" s="68">
        <f t="shared" ref="AI26" si="29">+AD26+AH26</f>
        <v>2882.0333850000002</v>
      </c>
      <c r="AJ26" s="181">
        <f t="shared" ref="AJ26" si="30">IF($X26+$Y26=0,0,AI26/(($X26+$Y26)/2))</f>
        <v>7.6999999999999999E-2</v>
      </c>
      <c r="AK26" s="68">
        <f>+IF(AJ26&gt;=Parametros!$H$41,Parametros!$H$41*($X26+$Y26)/2,AI26)</f>
        <v>2882.0333850000002</v>
      </c>
      <c r="AL26" s="242">
        <f t="shared" ref="AL26" si="31">IF($X26+$Y26=0,0,AK26/(($X26+$Y26)/2))</f>
        <v>7.6999999999999999E-2</v>
      </c>
      <c r="AM26" s="68">
        <f t="shared" ref="AM26" si="32">AI26-AK26</f>
        <v>0</v>
      </c>
      <c r="AO26" s="143">
        <f>+IF(AL26&gt;=Parametros!$H$41,0,'Calculo Excedentes'!D26+'Calculo Excedentes'!K26)</f>
        <v>0</v>
      </c>
      <c r="AP26" s="146">
        <f t="shared" si="14"/>
        <v>0</v>
      </c>
      <c r="AS26" s="243">
        <f>+IF(AL26&lt;Parametros!$H$41,AP26,0)</f>
        <v>0</v>
      </c>
      <c r="AT26" s="68">
        <f t="shared" si="15"/>
        <v>0</v>
      </c>
      <c r="AU26" s="68">
        <f t="shared" si="16"/>
        <v>2882.0333850000002</v>
      </c>
      <c r="AV26" s="181">
        <f t="shared" si="17"/>
        <v>7.6999999999999999E-2</v>
      </c>
      <c r="AW26" s="68">
        <f>+IF(AV26&gt;=Parametros!$H$41,Parametros!$H$41*($X26+$Y26)/2,AU26)</f>
        <v>2882.0333850000002</v>
      </c>
      <c r="AX26" s="242">
        <f t="shared" si="18"/>
        <v>7.6999999999999999E-2</v>
      </c>
      <c r="AY26" s="68">
        <f t="shared" si="19"/>
        <v>0</v>
      </c>
      <c r="BA26" s="181">
        <f>+IF(AV26&lt;Parametros!$H$41,$AP26,0)</f>
        <v>0</v>
      </c>
      <c r="BB26" s="68">
        <f t="shared" si="20"/>
        <v>0</v>
      </c>
      <c r="BC26" s="68">
        <f t="shared" si="26"/>
        <v>2882.0333850000002</v>
      </c>
      <c r="BD26" s="181">
        <f>IF($X26+$Y26=0,0,MIN(Parametros!$H$41,BC26/(($X26+$Y26)/2)))</f>
        <v>7.6999999999999999E-2</v>
      </c>
      <c r="BE26" s="68">
        <f>+IF(BD26&gt;=Parametros!$H$41,Parametros!$H$41*($X26+$Y26)/2,BC26)</f>
        <v>2882.0333850000002</v>
      </c>
      <c r="BF26" s="68">
        <f t="shared" si="27"/>
        <v>0</v>
      </c>
    </row>
    <row r="27" spans="1:58" s="12" customFormat="1" ht="13.8" hidden="1" thickBot="1" x14ac:dyDescent="0.3">
      <c r="A27" s="128" t="s">
        <v>125</v>
      </c>
      <c r="B27" s="130" t="s">
        <v>25</v>
      </c>
      <c r="D27" s="257"/>
      <c r="E27" s="257"/>
      <c r="F27" s="257"/>
      <c r="G27" s="261">
        <f t="shared" si="0"/>
        <v>0</v>
      </c>
      <c r="H27" s="261">
        <f t="shared" ref="H27:H49" si="33">+D27*$H$6</f>
        <v>0</v>
      </c>
      <c r="I27" s="143">
        <f t="shared" si="2"/>
        <v>0</v>
      </c>
      <c r="J27" s="70"/>
      <c r="K27" s="134"/>
      <c r="L27" s="126"/>
      <c r="M27" s="9">
        <f t="shared" si="23"/>
        <v>0</v>
      </c>
      <c r="N27" s="9">
        <f t="shared" si="3"/>
        <v>0</v>
      </c>
      <c r="O27" s="135">
        <f t="shared" si="24"/>
        <v>0</v>
      </c>
      <c r="P27" s="70"/>
      <c r="Q27" s="143">
        <f t="shared" si="28"/>
        <v>0</v>
      </c>
      <c r="R27" s="9">
        <f t="shared" si="4"/>
        <v>0</v>
      </c>
      <c r="S27" s="144">
        <f t="shared" si="5"/>
        <v>0</v>
      </c>
      <c r="U27" s="143">
        <f t="shared" si="6"/>
        <v>0</v>
      </c>
      <c r="V27" s="144">
        <f t="shared" si="7"/>
        <v>0</v>
      </c>
      <c r="X27" s="68">
        <f>+'Calculo Intereses COOPS'!G449</f>
        <v>0</v>
      </c>
      <c r="Y27" s="68">
        <f>+'Calculo Intereses COOPS'!G445</f>
        <v>0</v>
      </c>
      <c r="Z27" s="68">
        <f>+'Calculo Intereses COOPS'!J445</f>
        <v>0</v>
      </c>
      <c r="AA27" s="68">
        <f>+V27*Parametros!$I$39</f>
        <v>0</v>
      </c>
      <c r="AB27" s="68">
        <f t="shared" si="8"/>
        <v>0</v>
      </c>
      <c r="AC27" s="181">
        <f t="shared" si="9"/>
        <v>0</v>
      </c>
      <c r="AD27" s="68">
        <f>+IF(AC27&gt;Parametros!$H$41,Parametros!$H$41*(X27+Y27)/2,AB27)</f>
        <v>0</v>
      </c>
      <c r="AE27" s="68">
        <f t="shared" si="25"/>
        <v>0</v>
      </c>
      <c r="AG27" s="181">
        <f>+IF(AC27&lt;Parametros!$H$41,V27,0)</f>
        <v>0</v>
      </c>
      <c r="AH27" s="68">
        <f t="shared" si="10"/>
        <v>0</v>
      </c>
      <c r="AI27" s="68">
        <f t="shared" si="11"/>
        <v>0</v>
      </c>
      <c r="AJ27" s="181">
        <f t="shared" si="12"/>
        <v>0</v>
      </c>
      <c r="AK27" s="68">
        <f>+IF(AJ27&gt;Parametros!$H$41,Parametros!$H$41*($X27+$Y27)/2,AI27)</f>
        <v>0</v>
      </c>
      <c r="AL27" s="68"/>
      <c r="AM27" s="68">
        <f t="shared" si="13"/>
        <v>0</v>
      </c>
      <c r="AO27" s="143">
        <f t="shared" ref="AO27:AO44" si="34">+IF(AL27&gt;0,X27+AE27,0)</f>
        <v>0</v>
      </c>
      <c r="AP27" s="144">
        <f t="shared" ref="AP27:AP49" si="35">+AO27/$U$87</f>
        <v>0</v>
      </c>
      <c r="AS27" s="181">
        <f>+IF(AJ27&lt;Parametros!$H$41,$V27,0)</f>
        <v>0</v>
      </c>
      <c r="AT27" s="68">
        <f t="shared" si="15"/>
        <v>0</v>
      </c>
      <c r="AU27" s="68">
        <f t="shared" si="16"/>
        <v>0</v>
      </c>
      <c r="AV27" s="181">
        <f t="shared" si="17"/>
        <v>0</v>
      </c>
      <c r="AX27" s="68"/>
      <c r="AZ27" s="71"/>
      <c r="BA27" s="181">
        <f>+IF(AV27&lt;Parametros!$H$41,$AP27,0)</f>
        <v>0</v>
      </c>
    </row>
    <row r="28" spans="1:58" s="12" customFormat="1" ht="13.8" hidden="1" thickBot="1" x14ac:dyDescent="0.3">
      <c r="A28" s="128" t="s">
        <v>126</v>
      </c>
      <c r="B28" s="130" t="s">
        <v>55</v>
      </c>
      <c r="D28" s="257"/>
      <c r="E28" s="257"/>
      <c r="F28" s="257"/>
      <c r="G28" s="261">
        <f t="shared" si="0"/>
        <v>0</v>
      </c>
      <c r="H28" s="261">
        <f t="shared" si="33"/>
        <v>0</v>
      </c>
      <c r="I28" s="143">
        <f t="shared" si="2"/>
        <v>0</v>
      </c>
      <c r="J28" s="70"/>
      <c r="K28" s="134"/>
      <c r="L28" s="126"/>
      <c r="M28" s="9">
        <f t="shared" si="23"/>
        <v>0</v>
      </c>
      <c r="N28" s="9">
        <f t="shared" si="3"/>
        <v>0</v>
      </c>
      <c r="O28" s="135">
        <f t="shared" si="24"/>
        <v>0</v>
      </c>
      <c r="P28" s="70"/>
      <c r="Q28" s="143">
        <f t="shared" si="28"/>
        <v>0</v>
      </c>
      <c r="R28" s="9">
        <f t="shared" si="4"/>
        <v>0</v>
      </c>
      <c r="S28" s="144">
        <f t="shared" si="5"/>
        <v>0</v>
      </c>
      <c r="U28" s="143">
        <f t="shared" si="6"/>
        <v>0</v>
      </c>
      <c r="V28" s="144">
        <f t="shared" si="7"/>
        <v>0</v>
      </c>
      <c r="X28" s="68">
        <f>+'Calculo Intereses COOPS'!G470</f>
        <v>0</v>
      </c>
      <c r="Y28" s="68">
        <f>+'Calculo Intereses COOPS'!G486</f>
        <v>0</v>
      </c>
      <c r="Z28" s="68">
        <f>+'Calculo Intereses COOPS'!J486</f>
        <v>0</v>
      </c>
      <c r="AA28" s="68">
        <f>+V28*Parametros!$I$39</f>
        <v>0</v>
      </c>
      <c r="AB28" s="68">
        <f t="shared" si="8"/>
        <v>0</v>
      </c>
      <c r="AC28" s="181">
        <f t="shared" si="9"/>
        <v>0</v>
      </c>
      <c r="AD28" s="68">
        <f>+IF(AC28&gt;Parametros!$H$41,Parametros!$H$41*(X28+Y28)/2,AB28)</f>
        <v>0</v>
      </c>
      <c r="AE28" s="68">
        <f t="shared" si="25"/>
        <v>0</v>
      </c>
      <c r="AG28" s="181">
        <f>+IF(AC28&lt;Parametros!$H$41,V28,0)</f>
        <v>0</v>
      </c>
      <c r="AH28" s="68">
        <f t="shared" si="10"/>
        <v>0</v>
      </c>
      <c r="AI28" s="68">
        <f t="shared" si="11"/>
        <v>0</v>
      </c>
      <c r="AJ28" s="181">
        <f t="shared" si="12"/>
        <v>0</v>
      </c>
      <c r="AK28" s="68">
        <f>+IF(AJ28&gt;Parametros!$H$41,Parametros!$H$41*($X28+$Y28)/2,AI28)</f>
        <v>0</v>
      </c>
      <c r="AL28" s="68"/>
      <c r="AM28" s="68">
        <f t="shared" si="13"/>
        <v>0</v>
      </c>
      <c r="AO28" s="143">
        <f t="shared" si="34"/>
        <v>0</v>
      </c>
      <c r="AP28" s="144">
        <f t="shared" si="35"/>
        <v>0</v>
      </c>
      <c r="AS28" s="181">
        <f>+IF(AJ28&lt;Parametros!$H$41,$V28,0)</f>
        <v>0</v>
      </c>
      <c r="AT28" s="68">
        <f t="shared" si="15"/>
        <v>0</v>
      </c>
      <c r="AU28" s="68">
        <f t="shared" si="16"/>
        <v>0</v>
      </c>
      <c r="AV28" s="181">
        <f t="shared" si="17"/>
        <v>0</v>
      </c>
      <c r="AX28" s="68"/>
      <c r="AZ28" s="71"/>
      <c r="BA28" s="181">
        <f>+IF(AV28&lt;Parametros!$H$41,$AP28,0)</f>
        <v>0</v>
      </c>
    </row>
    <row r="29" spans="1:58" s="12" customFormat="1" ht="13.8" hidden="1" thickBot="1" x14ac:dyDescent="0.3">
      <c r="A29" s="128" t="s">
        <v>127</v>
      </c>
      <c r="B29" s="130" t="s">
        <v>36</v>
      </c>
      <c r="D29" s="257"/>
      <c r="E29" s="257"/>
      <c r="F29" s="257"/>
      <c r="G29" s="261">
        <f t="shared" si="0"/>
        <v>0</v>
      </c>
      <c r="H29" s="261">
        <f t="shared" si="33"/>
        <v>0</v>
      </c>
      <c r="I29" s="143">
        <f t="shared" si="2"/>
        <v>0</v>
      </c>
      <c r="J29" s="70"/>
      <c r="K29" s="134"/>
      <c r="L29" s="126"/>
      <c r="M29" s="9">
        <f t="shared" si="23"/>
        <v>0</v>
      </c>
      <c r="N29" s="9">
        <f t="shared" si="3"/>
        <v>0</v>
      </c>
      <c r="O29" s="135">
        <f t="shared" si="24"/>
        <v>0</v>
      </c>
      <c r="P29" s="70"/>
      <c r="Q29" s="143">
        <f t="shared" si="28"/>
        <v>0</v>
      </c>
      <c r="R29" s="9">
        <f t="shared" si="4"/>
        <v>0</v>
      </c>
      <c r="S29" s="144">
        <f t="shared" si="5"/>
        <v>0</v>
      </c>
      <c r="U29" s="143">
        <f t="shared" si="6"/>
        <v>0</v>
      </c>
      <c r="V29" s="144">
        <f t="shared" si="7"/>
        <v>0</v>
      </c>
      <c r="X29" s="68">
        <f>+'Calculo Intereses COOPS'!G491</f>
        <v>0</v>
      </c>
      <c r="Y29" s="68">
        <f>+'Calculo Intereses COOPS'!G507</f>
        <v>0</v>
      </c>
      <c r="Z29" s="68">
        <f>+'Calculo Intereses COOPS'!J507</f>
        <v>0</v>
      </c>
      <c r="AA29" s="68">
        <f>+V29*Parametros!$I$39</f>
        <v>0</v>
      </c>
      <c r="AB29" s="68">
        <f t="shared" si="8"/>
        <v>0</v>
      </c>
      <c r="AC29" s="181">
        <f t="shared" si="9"/>
        <v>0</v>
      </c>
      <c r="AD29" s="68">
        <f>+IF(AC29&gt;Parametros!$H$41,Parametros!$H$41*(X29+Y29)/2,AB29)</f>
        <v>0</v>
      </c>
      <c r="AE29" s="68">
        <f t="shared" si="25"/>
        <v>0</v>
      </c>
      <c r="AG29" s="181">
        <f>+IF(AC29&lt;Parametros!$H$41,V29,0)</f>
        <v>0</v>
      </c>
      <c r="AH29" s="68">
        <f t="shared" si="10"/>
        <v>0</v>
      </c>
      <c r="AI29" s="68">
        <f t="shared" si="11"/>
        <v>0</v>
      </c>
      <c r="AJ29" s="181">
        <f t="shared" si="12"/>
        <v>0</v>
      </c>
      <c r="AK29" s="68">
        <f>+IF(AJ29&gt;Parametros!$H$41,Parametros!$H$41*($X29+$Y29)/2,AI29)</f>
        <v>0</v>
      </c>
      <c r="AL29" s="68"/>
      <c r="AM29" s="68">
        <f t="shared" si="13"/>
        <v>0</v>
      </c>
      <c r="AO29" s="143">
        <f t="shared" si="34"/>
        <v>0</v>
      </c>
      <c r="AP29" s="144">
        <f t="shared" si="35"/>
        <v>0</v>
      </c>
      <c r="AS29" s="181">
        <f>+IF(AJ29&lt;Parametros!$H$41,$V29,0)</f>
        <v>0</v>
      </c>
      <c r="AT29" s="68">
        <f t="shared" si="15"/>
        <v>0</v>
      </c>
      <c r="AU29" s="68">
        <f t="shared" si="16"/>
        <v>0</v>
      </c>
      <c r="AV29" s="181">
        <f t="shared" si="17"/>
        <v>0</v>
      </c>
      <c r="AX29" s="68"/>
      <c r="AZ29" s="71"/>
      <c r="BA29" s="181">
        <f>+IF(AV29&lt;Parametros!$H$41,$AP29,0)</f>
        <v>0</v>
      </c>
    </row>
    <row r="30" spans="1:58" s="12" customFormat="1" ht="13.8" hidden="1" thickBot="1" x14ac:dyDescent="0.3">
      <c r="A30" s="128" t="s">
        <v>128</v>
      </c>
      <c r="B30" s="130" t="s">
        <v>26</v>
      </c>
      <c r="D30" s="257"/>
      <c r="E30" s="257"/>
      <c r="F30" s="257"/>
      <c r="G30" s="261">
        <f t="shared" si="0"/>
        <v>0</v>
      </c>
      <c r="H30" s="261">
        <f t="shared" si="33"/>
        <v>0</v>
      </c>
      <c r="I30" s="143">
        <f t="shared" si="2"/>
        <v>0</v>
      </c>
      <c r="J30" s="70"/>
      <c r="K30" s="134"/>
      <c r="L30" s="126"/>
      <c r="M30" s="9">
        <f t="shared" si="23"/>
        <v>0</v>
      </c>
      <c r="N30" s="9">
        <f t="shared" si="3"/>
        <v>0</v>
      </c>
      <c r="O30" s="135">
        <f t="shared" si="24"/>
        <v>0</v>
      </c>
      <c r="P30" s="70"/>
      <c r="Q30" s="143">
        <f t="shared" si="28"/>
        <v>0</v>
      </c>
      <c r="R30" s="9">
        <f t="shared" si="4"/>
        <v>0</v>
      </c>
      <c r="S30" s="144">
        <f t="shared" si="5"/>
        <v>0</v>
      </c>
      <c r="U30" s="143">
        <f t="shared" si="6"/>
        <v>0</v>
      </c>
      <c r="V30" s="144">
        <f t="shared" si="7"/>
        <v>0</v>
      </c>
      <c r="X30" s="68">
        <f>+'Calculo Intereses COOPS'!G512</f>
        <v>0</v>
      </c>
      <c r="Y30" s="68">
        <f>+'Calculo Intereses COOPS'!G528</f>
        <v>0</v>
      </c>
      <c r="Z30" s="68">
        <f>+'Calculo Intereses COOPS'!J528</f>
        <v>0</v>
      </c>
      <c r="AA30" s="68">
        <f>+V30*Parametros!$I$39</f>
        <v>0</v>
      </c>
      <c r="AB30" s="68">
        <f t="shared" si="8"/>
        <v>0</v>
      </c>
      <c r="AC30" s="181">
        <f t="shared" si="9"/>
        <v>0</v>
      </c>
      <c r="AD30" s="68">
        <f>+IF(AC30&gt;Parametros!$H$41,Parametros!$H$41*(X30+Y30)/2,AB30)</f>
        <v>0</v>
      </c>
      <c r="AE30" s="68">
        <f t="shared" si="25"/>
        <v>0</v>
      </c>
      <c r="AG30" s="181">
        <f>+IF(AC30&lt;Parametros!$H$41,V30,0)</f>
        <v>0</v>
      </c>
      <c r="AH30" s="68">
        <f t="shared" si="10"/>
        <v>0</v>
      </c>
      <c r="AI30" s="68">
        <f t="shared" si="11"/>
        <v>0</v>
      </c>
      <c r="AJ30" s="181">
        <f t="shared" si="12"/>
        <v>0</v>
      </c>
      <c r="AK30" s="68">
        <f>+IF(AJ30&gt;Parametros!$H$41,Parametros!$H$41*($X30+$Y30)/2,AI30)</f>
        <v>0</v>
      </c>
      <c r="AL30" s="68"/>
      <c r="AM30" s="68">
        <f t="shared" si="13"/>
        <v>0</v>
      </c>
      <c r="AO30" s="143">
        <f t="shared" si="34"/>
        <v>0</v>
      </c>
      <c r="AP30" s="144">
        <f t="shared" si="35"/>
        <v>0</v>
      </c>
      <c r="AS30" s="181">
        <f>+IF(AJ30&lt;Parametros!$H$41,$V30,0)</f>
        <v>0</v>
      </c>
      <c r="AT30" s="68">
        <f t="shared" si="15"/>
        <v>0</v>
      </c>
      <c r="AU30" s="68">
        <f t="shared" si="16"/>
        <v>0</v>
      </c>
      <c r="AV30" s="181">
        <f t="shared" si="17"/>
        <v>0</v>
      </c>
      <c r="AX30" s="68"/>
      <c r="AZ30" s="71"/>
      <c r="BA30" s="181">
        <f>+IF(AV30&lt;Parametros!$H$41,$AP30,0)</f>
        <v>0</v>
      </c>
    </row>
    <row r="31" spans="1:58" s="12" customFormat="1" ht="13.8" hidden="1" thickBot="1" x14ac:dyDescent="0.3">
      <c r="A31" s="128" t="s">
        <v>129</v>
      </c>
      <c r="B31" s="130" t="s">
        <v>27</v>
      </c>
      <c r="D31" s="257"/>
      <c r="E31" s="257"/>
      <c r="F31" s="257"/>
      <c r="G31" s="261">
        <f t="shared" si="0"/>
        <v>0</v>
      </c>
      <c r="H31" s="261">
        <f t="shared" si="33"/>
        <v>0</v>
      </c>
      <c r="I31" s="143">
        <f t="shared" si="2"/>
        <v>0</v>
      </c>
      <c r="J31" s="70"/>
      <c r="K31" s="134"/>
      <c r="L31" s="126"/>
      <c r="M31" s="9">
        <f t="shared" si="23"/>
        <v>0</v>
      </c>
      <c r="N31" s="9">
        <f t="shared" si="3"/>
        <v>0</v>
      </c>
      <c r="O31" s="135">
        <f t="shared" si="24"/>
        <v>0</v>
      </c>
      <c r="P31" s="70"/>
      <c r="Q31" s="143">
        <f t="shared" si="28"/>
        <v>0</v>
      </c>
      <c r="R31" s="9">
        <f t="shared" si="4"/>
        <v>0</v>
      </c>
      <c r="S31" s="144">
        <f t="shared" si="5"/>
        <v>0</v>
      </c>
      <c r="U31" s="143">
        <f t="shared" si="6"/>
        <v>0</v>
      </c>
      <c r="V31" s="144">
        <f t="shared" si="7"/>
        <v>0</v>
      </c>
      <c r="X31" s="68">
        <f>+'Calculo Intereses COOPS'!G533</f>
        <v>0</v>
      </c>
      <c r="Y31" s="68">
        <f>+'Calculo Intereses COOPS'!G549</f>
        <v>0</v>
      </c>
      <c r="Z31" s="68">
        <f>+'Calculo Intereses COOPS'!J549</f>
        <v>0</v>
      </c>
      <c r="AA31" s="68">
        <f>+V31*Parametros!$I$39</f>
        <v>0</v>
      </c>
      <c r="AB31" s="68">
        <f t="shared" si="8"/>
        <v>0</v>
      </c>
      <c r="AC31" s="181">
        <f t="shared" si="9"/>
        <v>0</v>
      </c>
      <c r="AD31" s="68">
        <f>+IF(AC31&gt;Parametros!$H$41,Parametros!$H$41*(X31+Y31)/2,AB31)</f>
        <v>0</v>
      </c>
      <c r="AE31" s="68">
        <f t="shared" si="25"/>
        <v>0</v>
      </c>
      <c r="AG31" s="181">
        <f>+IF(AC31&lt;Parametros!$H$41,V31,0)</f>
        <v>0</v>
      </c>
      <c r="AH31" s="68">
        <f t="shared" si="10"/>
        <v>0</v>
      </c>
      <c r="AI31" s="68">
        <f t="shared" si="11"/>
        <v>0</v>
      </c>
      <c r="AJ31" s="181">
        <f t="shared" si="12"/>
        <v>0</v>
      </c>
      <c r="AK31" s="68">
        <f>+IF(AJ31&gt;Parametros!$H$41,Parametros!$H$41*($X31+$Y31)/2,AI31)</f>
        <v>0</v>
      </c>
      <c r="AL31" s="68"/>
      <c r="AM31" s="68">
        <f t="shared" si="13"/>
        <v>0</v>
      </c>
      <c r="AO31" s="143">
        <f t="shared" si="34"/>
        <v>0</v>
      </c>
      <c r="AP31" s="144">
        <f t="shared" si="35"/>
        <v>0</v>
      </c>
      <c r="AS31" s="181">
        <f>+IF(AJ31&lt;Parametros!$H$41,$V31,0)</f>
        <v>0</v>
      </c>
      <c r="AT31" s="68">
        <f t="shared" si="15"/>
        <v>0</v>
      </c>
      <c r="AU31" s="68">
        <f t="shared" si="16"/>
        <v>0</v>
      </c>
      <c r="AV31" s="181">
        <f t="shared" si="17"/>
        <v>0</v>
      </c>
      <c r="AX31" s="68"/>
      <c r="AZ31" s="71"/>
      <c r="BA31" s="181">
        <f>+IF(AV31&lt;Parametros!$H$41,$AP31,0)</f>
        <v>0</v>
      </c>
    </row>
    <row r="32" spans="1:58" s="12" customFormat="1" ht="13.8" hidden="1" thickBot="1" x14ac:dyDescent="0.3">
      <c r="A32" s="128" t="s">
        <v>130</v>
      </c>
      <c r="B32" s="130" t="s">
        <v>45</v>
      </c>
      <c r="D32" s="257"/>
      <c r="E32" s="257"/>
      <c r="F32" s="257"/>
      <c r="G32" s="261">
        <f t="shared" si="0"/>
        <v>0</v>
      </c>
      <c r="H32" s="261">
        <f t="shared" si="33"/>
        <v>0</v>
      </c>
      <c r="I32" s="143">
        <f t="shared" si="2"/>
        <v>0</v>
      </c>
      <c r="J32" s="70"/>
      <c r="K32" s="134"/>
      <c r="L32" s="126"/>
      <c r="M32" s="9">
        <f t="shared" si="23"/>
        <v>0</v>
      </c>
      <c r="N32" s="9">
        <f t="shared" si="3"/>
        <v>0</v>
      </c>
      <c r="O32" s="135">
        <f t="shared" si="24"/>
        <v>0</v>
      </c>
      <c r="P32" s="70"/>
      <c r="Q32" s="143">
        <f t="shared" si="28"/>
        <v>0</v>
      </c>
      <c r="R32" s="9">
        <f t="shared" si="4"/>
        <v>0</v>
      </c>
      <c r="S32" s="144">
        <f t="shared" si="5"/>
        <v>0</v>
      </c>
      <c r="U32" s="143">
        <f t="shared" si="6"/>
        <v>0</v>
      </c>
      <c r="V32" s="144">
        <f t="shared" si="7"/>
        <v>0</v>
      </c>
      <c r="X32" s="68">
        <f>+'Calculo Intereses COOPS'!G554</f>
        <v>0</v>
      </c>
      <c r="Y32" s="68">
        <f>+'Calculo Intereses COOPS'!G570</f>
        <v>0</v>
      </c>
      <c r="Z32" s="68">
        <f>+'Calculo Intereses COOPS'!J570</f>
        <v>0</v>
      </c>
      <c r="AA32" s="68">
        <f>+V32*Parametros!$I$39</f>
        <v>0</v>
      </c>
      <c r="AB32" s="68">
        <f t="shared" si="8"/>
        <v>0</v>
      </c>
      <c r="AC32" s="181">
        <f t="shared" si="9"/>
        <v>0</v>
      </c>
      <c r="AD32" s="68">
        <f>+IF(AC32&gt;Parametros!$H$41,Parametros!$H$41*(X32+Y32)/2,AB32)</f>
        <v>0</v>
      </c>
      <c r="AE32" s="68">
        <f t="shared" si="25"/>
        <v>0</v>
      </c>
      <c r="AG32" s="181">
        <f>+IF(AC32&lt;Parametros!$H$41,V32,0)</f>
        <v>0</v>
      </c>
      <c r="AH32" s="68">
        <f t="shared" si="10"/>
        <v>0</v>
      </c>
      <c r="AI32" s="68">
        <f t="shared" si="11"/>
        <v>0</v>
      </c>
      <c r="AJ32" s="181">
        <f t="shared" si="12"/>
        <v>0</v>
      </c>
      <c r="AK32" s="68">
        <f>+IF(AJ32&gt;Parametros!$H$41,Parametros!$H$41*($X32+$Y32)/2,AI32)</f>
        <v>0</v>
      </c>
      <c r="AL32" s="68"/>
      <c r="AM32" s="68">
        <f t="shared" si="13"/>
        <v>0</v>
      </c>
      <c r="AO32" s="143">
        <f t="shared" si="34"/>
        <v>0</v>
      </c>
      <c r="AP32" s="144">
        <f t="shared" si="35"/>
        <v>0</v>
      </c>
      <c r="AS32" s="181">
        <f>+IF(AJ32&lt;Parametros!$H$41,$V32,0)</f>
        <v>0</v>
      </c>
      <c r="AT32" s="68">
        <f t="shared" si="15"/>
        <v>0</v>
      </c>
      <c r="AU32" s="68">
        <f t="shared" si="16"/>
        <v>0</v>
      </c>
      <c r="AV32" s="181">
        <f t="shared" si="17"/>
        <v>0</v>
      </c>
      <c r="AX32" s="68"/>
      <c r="AZ32" s="71"/>
      <c r="BA32" s="181">
        <f>+IF(AV32&lt;Parametros!$H$41,$AP32,0)</f>
        <v>0</v>
      </c>
    </row>
    <row r="33" spans="1:53" s="12" customFormat="1" ht="13.8" hidden="1" thickBot="1" x14ac:dyDescent="0.3">
      <c r="A33" s="128" t="s">
        <v>131</v>
      </c>
      <c r="B33" s="130" t="s">
        <v>28</v>
      </c>
      <c r="D33" s="257"/>
      <c r="E33" s="257"/>
      <c r="F33" s="257"/>
      <c r="G33" s="261">
        <f t="shared" si="0"/>
        <v>0</v>
      </c>
      <c r="H33" s="261">
        <f t="shared" si="33"/>
        <v>0</v>
      </c>
      <c r="I33" s="143">
        <f t="shared" si="2"/>
        <v>0</v>
      </c>
      <c r="J33" s="70"/>
      <c r="K33" s="134"/>
      <c r="L33" s="126"/>
      <c r="M33" s="9">
        <f t="shared" si="23"/>
        <v>0</v>
      </c>
      <c r="N33" s="9">
        <f t="shared" si="3"/>
        <v>0</v>
      </c>
      <c r="O33" s="135">
        <f t="shared" si="24"/>
        <v>0</v>
      </c>
      <c r="P33" s="70"/>
      <c r="Q33" s="143">
        <f t="shared" si="28"/>
        <v>0</v>
      </c>
      <c r="R33" s="9">
        <f t="shared" si="4"/>
        <v>0</v>
      </c>
      <c r="S33" s="144">
        <f t="shared" si="5"/>
        <v>0</v>
      </c>
      <c r="U33" s="143">
        <f t="shared" si="6"/>
        <v>0</v>
      </c>
      <c r="V33" s="144">
        <f t="shared" si="7"/>
        <v>0</v>
      </c>
      <c r="X33" s="68">
        <f>+'Calculo Intereses COOPS'!G575</f>
        <v>0</v>
      </c>
      <c r="Y33" s="68">
        <f>+'Calculo Intereses COOPS'!G591</f>
        <v>0</v>
      </c>
      <c r="Z33" s="68">
        <f>+'Calculo Intereses COOPS'!J591</f>
        <v>0</v>
      </c>
      <c r="AA33" s="68">
        <f>+V33*Parametros!$I$39</f>
        <v>0</v>
      </c>
      <c r="AB33" s="68">
        <f t="shared" si="8"/>
        <v>0</v>
      </c>
      <c r="AC33" s="181">
        <f t="shared" si="9"/>
        <v>0</v>
      </c>
      <c r="AD33" s="68">
        <f>+IF(AC33&gt;Parametros!$H$41,Parametros!$H$41*(X33+Y33)/2,AB33)</f>
        <v>0</v>
      </c>
      <c r="AE33" s="68">
        <f t="shared" si="25"/>
        <v>0</v>
      </c>
      <c r="AG33" s="181">
        <f>+IF(AC33&lt;Parametros!$H$41,V33,0)</f>
        <v>0</v>
      </c>
      <c r="AH33" s="68">
        <f t="shared" si="10"/>
        <v>0</v>
      </c>
      <c r="AI33" s="68">
        <f t="shared" si="11"/>
        <v>0</v>
      </c>
      <c r="AJ33" s="181">
        <f t="shared" si="12"/>
        <v>0</v>
      </c>
      <c r="AK33" s="68">
        <f>+IF(AJ33&gt;Parametros!$H$41,Parametros!$H$41*($X33+$Y33)/2,AI33)</f>
        <v>0</v>
      </c>
      <c r="AL33" s="68"/>
      <c r="AM33" s="68">
        <f t="shared" si="13"/>
        <v>0</v>
      </c>
      <c r="AO33" s="143">
        <f t="shared" si="34"/>
        <v>0</v>
      </c>
      <c r="AP33" s="144">
        <f t="shared" si="35"/>
        <v>0</v>
      </c>
      <c r="AS33" s="181">
        <f>+IF(AJ33&lt;Parametros!$H$41,$V33,0)</f>
        <v>0</v>
      </c>
      <c r="AT33" s="68">
        <f t="shared" si="15"/>
        <v>0</v>
      </c>
      <c r="AU33" s="68">
        <f t="shared" si="16"/>
        <v>0</v>
      </c>
      <c r="AV33" s="181">
        <f t="shared" si="17"/>
        <v>0</v>
      </c>
      <c r="AX33" s="68"/>
      <c r="AZ33" s="71"/>
      <c r="BA33" s="181">
        <f>+IF(AV33&lt;Parametros!$H$41,$AP33,0)</f>
        <v>0</v>
      </c>
    </row>
    <row r="34" spans="1:53" s="12" customFormat="1" ht="13.8" hidden="1" thickBot="1" x14ac:dyDescent="0.3">
      <c r="A34" s="128" t="s">
        <v>132</v>
      </c>
      <c r="B34" s="130" t="s">
        <v>29</v>
      </c>
      <c r="D34" s="257"/>
      <c r="E34" s="257"/>
      <c r="F34" s="257"/>
      <c r="G34" s="261">
        <f t="shared" si="0"/>
        <v>0</v>
      </c>
      <c r="H34" s="261">
        <f t="shared" si="33"/>
        <v>0</v>
      </c>
      <c r="I34" s="143">
        <f t="shared" si="2"/>
        <v>0</v>
      </c>
      <c r="J34" s="70"/>
      <c r="K34" s="134"/>
      <c r="L34" s="126"/>
      <c r="M34" s="9">
        <f t="shared" si="23"/>
        <v>0</v>
      </c>
      <c r="N34" s="9">
        <f t="shared" si="3"/>
        <v>0</v>
      </c>
      <c r="O34" s="135">
        <f t="shared" si="24"/>
        <v>0</v>
      </c>
      <c r="P34" s="70"/>
      <c r="Q34" s="143">
        <f t="shared" si="28"/>
        <v>0</v>
      </c>
      <c r="R34" s="9">
        <f t="shared" si="4"/>
        <v>0</v>
      </c>
      <c r="S34" s="144">
        <f t="shared" si="5"/>
        <v>0</v>
      </c>
      <c r="U34" s="143">
        <f t="shared" si="6"/>
        <v>0</v>
      </c>
      <c r="V34" s="144">
        <f t="shared" si="7"/>
        <v>0</v>
      </c>
      <c r="X34" s="68">
        <f>+'Calculo Intereses COOPS'!G596</f>
        <v>0</v>
      </c>
      <c r="Y34" s="68">
        <f>+'Calculo Intereses COOPS'!G612</f>
        <v>0</v>
      </c>
      <c r="Z34" s="68">
        <f>+'Calculo Intereses COOPS'!J612</f>
        <v>0</v>
      </c>
      <c r="AA34" s="68">
        <f>+V34*Parametros!$I$39</f>
        <v>0</v>
      </c>
      <c r="AB34" s="68">
        <f t="shared" si="8"/>
        <v>0</v>
      </c>
      <c r="AC34" s="181">
        <f t="shared" si="9"/>
        <v>0</v>
      </c>
      <c r="AD34" s="68">
        <f>+IF(AC34&gt;Parametros!$H$41,Parametros!$H$41*(X34+Y34)/2,AB34)</f>
        <v>0</v>
      </c>
      <c r="AE34" s="68">
        <f t="shared" si="25"/>
        <v>0</v>
      </c>
      <c r="AG34" s="181">
        <f>+IF(AC34&lt;Parametros!$H$41,V34,0)</f>
        <v>0</v>
      </c>
      <c r="AH34" s="68">
        <f t="shared" si="10"/>
        <v>0</v>
      </c>
      <c r="AI34" s="68">
        <f t="shared" si="11"/>
        <v>0</v>
      </c>
      <c r="AJ34" s="181">
        <f t="shared" si="12"/>
        <v>0</v>
      </c>
      <c r="AK34" s="68">
        <f>+IF(AJ34&gt;Parametros!$H$41,Parametros!$H$41*($X34+$Y34)/2,AI34)</f>
        <v>0</v>
      </c>
      <c r="AL34" s="68"/>
      <c r="AM34" s="68">
        <f t="shared" si="13"/>
        <v>0</v>
      </c>
      <c r="AO34" s="143">
        <f t="shared" si="34"/>
        <v>0</v>
      </c>
      <c r="AP34" s="144">
        <f t="shared" si="35"/>
        <v>0</v>
      </c>
      <c r="AS34" s="181">
        <f>+IF(AJ34&lt;Parametros!$H$41,$V34,0)</f>
        <v>0</v>
      </c>
      <c r="AT34" s="68">
        <f t="shared" si="15"/>
        <v>0</v>
      </c>
      <c r="AU34" s="68">
        <f t="shared" si="16"/>
        <v>0</v>
      </c>
      <c r="AV34" s="181">
        <f t="shared" si="17"/>
        <v>0</v>
      </c>
      <c r="AX34" s="68"/>
      <c r="AZ34" s="71"/>
      <c r="BA34" s="181">
        <f>+IF(AV34&lt;Parametros!$H$41,$AP34,0)</f>
        <v>0</v>
      </c>
    </row>
    <row r="35" spans="1:53" s="12" customFormat="1" ht="6" hidden="1" customHeight="1" thickBot="1" x14ac:dyDescent="0.3">
      <c r="A35" s="128" t="s">
        <v>133</v>
      </c>
      <c r="B35" s="130" t="s">
        <v>30</v>
      </c>
      <c r="D35" s="257"/>
      <c r="E35" s="257"/>
      <c r="F35" s="257"/>
      <c r="G35" s="261">
        <f t="shared" si="0"/>
        <v>0</v>
      </c>
      <c r="H35" s="261">
        <f t="shared" si="33"/>
        <v>0</v>
      </c>
      <c r="I35" s="143">
        <f t="shared" si="2"/>
        <v>0</v>
      </c>
      <c r="J35" s="70"/>
      <c r="K35" s="134"/>
      <c r="L35" s="126"/>
      <c r="M35" s="9">
        <f t="shared" si="23"/>
        <v>0</v>
      </c>
      <c r="N35" s="9">
        <f t="shared" si="3"/>
        <v>0</v>
      </c>
      <c r="O35" s="135">
        <f t="shared" si="24"/>
        <v>0</v>
      </c>
      <c r="P35" s="70"/>
      <c r="Q35" s="143">
        <f t="shared" si="28"/>
        <v>0</v>
      </c>
      <c r="R35" s="9">
        <f t="shared" si="4"/>
        <v>0</v>
      </c>
      <c r="S35" s="144">
        <f t="shared" si="5"/>
        <v>0</v>
      </c>
      <c r="U35" s="143">
        <f t="shared" si="6"/>
        <v>0</v>
      </c>
      <c r="V35" s="144">
        <f t="shared" si="7"/>
        <v>0</v>
      </c>
      <c r="X35" s="68">
        <f>+'Calculo Intereses COOPS'!G617</f>
        <v>0</v>
      </c>
      <c r="Y35" s="68">
        <f>+'Calculo Intereses COOPS'!G633</f>
        <v>0</v>
      </c>
      <c r="Z35" s="68">
        <f>+'Calculo Intereses COOPS'!J633</f>
        <v>0</v>
      </c>
      <c r="AA35" s="68">
        <f>+V35*Parametros!$I$39</f>
        <v>0</v>
      </c>
      <c r="AB35" s="68">
        <f t="shared" si="8"/>
        <v>0</v>
      </c>
      <c r="AC35" s="181">
        <f t="shared" si="9"/>
        <v>0</v>
      </c>
      <c r="AD35" s="68">
        <f>+IF(AC35&gt;Parametros!$H$41,Parametros!$H$41*(X35+Y35)/2,AB35)</f>
        <v>0</v>
      </c>
      <c r="AE35" s="68">
        <f t="shared" si="25"/>
        <v>0</v>
      </c>
      <c r="AG35" s="181">
        <f>+IF(AC35&lt;Parametros!$H$41,V35,0)</f>
        <v>0</v>
      </c>
      <c r="AH35" s="68">
        <f t="shared" si="10"/>
        <v>0</v>
      </c>
      <c r="AI35" s="68">
        <f t="shared" si="11"/>
        <v>0</v>
      </c>
      <c r="AJ35" s="181">
        <f t="shared" si="12"/>
        <v>0</v>
      </c>
      <c r="AK35" s="68">
        <f>+IF(AJ35&gt;Parametros!$H$41,Parametros!$H$41*($X35+$Y35)/2,AI35)</f>
        <v>0</v>
      </c>
      <c r="AL35" s="68"/>
      <c r="AM35" s="68">
        <f t="shared" si="13"/>
        <v>0</v>
      </c>
      <c r="AO35" s="143">
        <f t="shared" si="34"/>
        <v>0</v>
      </c>
      <c r="AP35" s="144">
        <f t="shared" si="35"/>
        <v>0</v>
      </c>
      <c r="AS35" s="181">
        <f>+IF(AJ35&lt;Parametros!$H$41,$V35,0)</f>
        <v>0</v>
      </c>
      <c r="AT35" s="68">
        <f t="shared" si="15"/>
        <v>0</v>
      </c>
      <c r="AU35" s="68">
        <f t="shared" si="16"/>
        <v>0</v>
      </c>
      <c r="AV35" s="181">
        <f t="shared" si="17"/>
        <v>0</v>
      </c>
      <c r="AX35" s="68"/>
      <c r="AZ35" s="71"/>
      <c r="BA35" s="181">
        <f>+IF(AV35&lt;Parametros!$H$41,$AP35,0)</f>
        <v>0</v>
      </c>
    </row>
    <row r="36" spans="1:53" s="12" customFormat="1" ht="13.8" hidden="1" thickBot="1" x14ac:dyDescent="0.3">
      <c r="A36" s="128" t="s">
        <v>134</v>
      </c>
      <c r="B36" s="130" t="s">
        <v>31</v>
      </c>
      <c r="D36" s="257"/>
      <c r="E36" s="257"/>
      <c r="F36" s="257"/>
      <c r="G36" s="261">
        <f t="shared" si="0"/>
        <v>0</v>
      </c>
      <c r="H36" s="261">
        <f t="shared" si="33"/>
        <v>0</v>
      </c>
      <c r="I36" s="143">
        <f t="shared" si="2"/>
        <v>0</v>
      </c>
      <c r="J36" s="70"/>
      <c r="K36" s="134"/>
      <c r="L36" s="126"/>
      <c r="M36" s="9">
        <f t="shared" si="23"/>
        <v>0</v>
      </c>
      <c r="N36" s="9">
        <f t="shared" si="3"/>
        <v>0</v>
      </c>
      <c r="O36" s="135">
        <f t="shared" si="24"/>
        <v>0</v>
      </c>
      <c r="P36" s="70"/>
      <c r="Q36" s="143">
        <f t="shared" si="28"/>
        <v>0</v>
      </c>
      <c r="R36" s="9">
        <f t="shared" si="4"/>
        <v>0</v>
      </c>
      <c r="S36" s="144">
        <f t="shared" si="5"/>
        <v>0</v>
      </c>
      <c r="U36" s="143">
        <f t="shared" si="6"/>
        <v>0</v>
      </c>
      <c r="V36" s="144">
        <f t="shared" si="7"/>
        <v>0</v>
      </c>
      <c r="X36" s="68">
        <f>+'Calculo Intereses COOPS'!G638</f>
        <v>0</v>
      </c>
      <c r="Y36" s="68">
        <f>+'Calculo Intereses COOPS'!G654</f>
        <v>0</v>
      </c>
      <c r="Z36" s="68">
        <f>+'Calculo Intereses COOPS'!J654</f>
        <v>0</v>
      </c>
      <c r="AA36" s="68">
        <f>+V36*Parametros!$I$39</f>
        <v>0</v>
      </c>
      <c r="AB36" s="68">
        <f t="shared" si="8"/>
        <v>0</v>
      </c>
      <c r="AC36" s="181">
        <f t="shared" si="9"/>
        <v>0</v>
      </c>
      <c r="AD36" s="68">
        <f>+IF(AC36&gt;Parametros!$H$41,Parametros!$H$41*(X36+Y36)/2,AB36)</f>
        <v>0</v>
      </c>
      <c r="AE36" s="68">
        <f t="shared" si="25"/>
        <v>0</v>
      </c>
      <c r="AG36" s="181">
        <f>+IF(AC36&lt;Parametros!$H$41,V36,0)</f>
        <v>0</v>
      </c>
      <c r="AH36" s="68">
        <f t="shared" si="10"/>
        <v>0</v>
      </c>
      <c r="AI36" s="68">
        <f t="shared" si="11"/>
        <v>0</v>
      </c>
      <c r="AJ36" s="181">
        <f t="shared" si="12"/>
        <v>0</v>
      </c>
      <c r="AK36" s="68">
        <f>+IF(AJ36&gt;Parametros!$H$41,Parametros!$H$41*($X36+$Y36)/2,AI36)</f>
        <v>0</v>
      </c>
      <c r="AL36" s="68"/>
      <c r="AM36" s="68">
        <f t="shared" si="13"/>
        <v>0</v>
      </c>
      <c r="AO36" s="143">
        <f t="shared" si="34"/>
        <v>0</v>
      </c>
      <c r="AP36" s="144">
        <f t="shared" si="35"/>
        <v>0</v>
      </c>
      <c r="AS36" s="181">
        <f>+IF(AJ36&lt;Parametros!$H$41,$V36,0)</f>
        <v>0</v>
      </c>
      <c r="AT36" s="68">
        <f t="shared" si="15"/>
        <v>0</v>
      </c>
      <c r="AU36" s="68">
        <f t="shared" si="16"/>
        <v>0</v>
      </c>
      <c r="AV36" s="181">
        <f t="shared" si="17"/>
        <v>0</v>
      </c>
      <c r="AX36" s="68"/>
      <c r="AZ36" s="71"/>
      <c r="BA36" s="181">
        <f>+IF(AV36&lt;Parametros!$H$41,$AP36,0)</f>
        <v>0</v>
      </c>
    </row>
    <row r="37" spans="1:53" s="12" customFormat="1" ht="13.8" hidden="1" thickBot="1" x14ac:dyDescent="0.3">
      <c r="A37" s="128" t="s">
        <v>135</v>
      </c>
      <c r="B37" s="130" t="s">
        <v>32</v>
      </c>
      <c r="D37" s="257"/>
      <c r="E37" s="257"/>
      <c r="F37" s="257"/>
      <c r="G37" s="261">
        <f t="shared" si="0"/>
        <v>0</v>
      </c>
      <c r="H37" s="261">
        <f t="shared" si="33"/>
        <v>0</v>
      </c>
      <c r="I37" s="143">
        <f t="shared" si="2"/>
        <v>0</v>
      </c>
      <c r="J37" s="70"/>
      <c r="K37" s="134"/>
      <c r="L37" s="126"/>
      <c r="M37" s="9">
        <f t="shared" si="23"/>
        <v>0</v>
      </c>
      <c r="N37" s="9">
        <f t="shared" si="3"/>
        <v>0</v>
      </c>
      <c r="O37" s="135">
        <f t="shared" si="24"/>
        <v>0</v>
      </c>
      <c r="P37" s="70"/>
      <c r="Q37" s="143">
        <f t="shared" si="28"/>
        <v>0</v>
      </c>
      <c r="R37" s="9">
        <f t="shared" si="4"/>
        <v>0</v>
      </c>
      <c r="S37" s="144">
        <f t="shared" si="5"/>
        <v>0</v>
      </c>
      <c r="U37" s="143">
        <f t="shared" si="6"/>
        <v>0</v>
      </c>
      <c r="V37" s="144">
        <f t="shared" si="7"/>
        <v>0</v>
      </c>
      <c r="X37" s="68">
        <f>+'Calculo Intereses COOPS'!G659</f>
        <v>0</v>
      </c>
      <c r="Y37" s="68">
        <f>+'Calculo Intereses COOPS'!G675</f>
        <v>0</v>
      </c>
      <c r="Z37" s="68">
        <f>+'Calculo Intereses COOPS'!J675</f>
        <v>0</v>
      </c>
      <c r="AA37" s="68">
        <f>+V37*Parametros!$I$39</f>
        <v>0</v>
      </c>
      <c r="AB37" s="68">
        <f t="shared" si="8"/>
        <v>0</v>
      </c>
      <c r="AC37" s="181">
        <f t="shared" si="9"/>
        <v>0</v>
      </c>
      <c r="AD37" s="68">
        <f>+IF(AC37&gt;Parametros!$H$41,Parametros!$H$41*(X37+Y37)/2,AB37)</f>
        <v>0</v>
      </c>
      <c r="AE37" s="68">
        <f t="shared" si="25"/>
        <v>0</v>
      </c>
      <c r="AG37" s="181">
        <f>+IF(AC37&lt;Parametros!$H$41,V37,0)</f>
        <v>0</v>
      </c>
      <c r="AH37" s="68">
        <f t="shared" si="10"/>
        <v>0</v>
      </c>
      <c r="AI37" s="68">
        <f t="shared" si="11"/>
        <v>0</v>
      </c>
      <c r="AJ37" s="181">
        <f t="shared" si="12"/>
        <v>0</v>
      </c>
      <c r="AK37" s="68">
        <f>+IF(AJ37&gt;Parametros!$H$41,Parametros!$H$41*($X37+$Y37)/2,AI37)</f>
        <v>0</v>
      </c>
      <c r="AL37" s="68"/>
      <c r="AM37" s="68">
        <f t="shared" si="13"/>
        <v>0</v>
      </c>
      <c r="AO37" s="143">
        <f t="shared" si="34"/>
        <v>0</v>
      </c>
      <c r="AP37" s="144">
        <f t="shared" si="35"/>
        <v>0</v>
      </c>
      <c r="AS37" s="181">
        <f>+IF(AJ37&lt;Parametros!$H$41,$V37,0)</f>
        <v>0</v>
      </c>
      <c r="AT37" s="68">
        <f t="shared" si="15"/>
        <v>0</v>
      </c>
      <c r="AU37" s="68">
        <f t="shared" si="16"/>
        <v>0</v>
      </c>
      <c r="AV37" s="181">
        <f t="shared" si="17"/>
        <v>0</v>
      </c>
      <c r="AX37" s="68"/>
      <c r="AZ37" s="71"/>
      <c r="BA37" s="181">
        <f>+IF(AV37&lt;Parametros!$H$41,$AP37,0)</f>
        <v>0</v>
      </c>
    </row>
    <row r="38" spans="1:53" s="12" customFormat="1" ht="13.8" hidden="1" thickBot="1" x14ac:dyDescent="0.3">
      <c r="A38" s="128" t="s">
        <v>136</v>
      </c>
      <c r="B38" s="130" t="s">
        <v>33</v>
      </c>
      <c r="D38" s="257"/>
      <c r="E38" s="257"/>
      <c r="F38" s="257"/>
      <c r="G38" s="261">
        <f t="shared" si="0"/>
        <v>0</v>
      </c>
      <c r="H38" s="261">
        <f t="shared" si="33"/>
        <v>0</v>
      </c>
      <c r="I38" s="143">
        <f t="shared" si="2"/>
        <v>0</v>
      </c>
      <c r="J38" s="70"/>
      <c r="K38" s="134"/>
      <c r="L38" s="126"/>
      <c r="M38" s="9">
        <f t="shared" si="23"/>
        <v>0</v>
      </c>
      <c r="N38" s="9">
        <f t="shared" si="3"/>
        <v>0</v>
      </c>
      <c r="O38" s="135">
        <f t="shared" si="24"/>
        <v>0</v>
      </c>
      <c r="P38" s="70"/>
      <c r="Q38" s="143">
        <f t="shared" si="28"/>
        <v>0</v>
      </c>
      <c r="R38" s="9">
        <f t="shared" si="4"/>
        <v>0</v>
      </c>
      <c r="S38" s="144">
        <f t="shared" si="5"/>
        <v>0</v>
      </c>
      <c r="U38" s="143">
        <f t="shared" si="6"/>
        <v>0</v>
      </c>
      <c r="V38" s="144">
        <f t="shared" si="7"/>
        <v>0</v>
      </c>
      <c r="X38" s="68">
        <f>+'Calculo Intereses COOPS'!G680</f>
        <v>0</v>
      </c>
      <c r="Y38" s="68">
        <f>+'Calculo Intereses COOPS'!G696</f>
        <v>0</v>
      </c>
      <c r="Z38" s="68">
        <f>+'Calculo Intereses COOPS'!J696</f>
        <v>0</v>
      </c>
      <c r="AA38" s="68">
        <f>+V38*Parametros!$I$39</f>
        <v>0</v>
      </c>
      <c r="AB38" s="68">
        <f t="shared" si="8"/>
        <v>0</v>
      </c>
      <c r="AC38" s="181">
        <f t="shared" si="9"/>
        <v>0</v>
      </c>
      <c r="AD38" s="68">
        <f>+IF(AC38&gt;Parametros!$H$41,Parametros!$H$41*(X38+Y38)/2,AB38)</f>
        <v>0</v>
      </c>
      <c r="AE38" s="68">
        <f t="shared" si="25"/>
        <v>0</v>
      </c>
      <c r="AG38" s="181">
        <f>+IF(AC38&lt;Parametros!$H$41,V38,0)</f>
        <v>0</v>
      </c>
      <c r="AH38" s="68">
        <f t="shared" si="10"/>
        <v>0</v>
      </c>
      <c r="AI38" s="68">
        <f t="shared" si="11"/>
        <v>0</v>
      </c>
      <c r="AJ38" s="181">
        <f t="shared" si="12"/>
        <v>0</v>
      </c>
      <c r="AK38" s="68">
        <f>+IF(AJ38&gt;Parametros!$H$41,Parametros!$H$41*($X38+$Y38)/2,AI38)</f>
        <v>0</v>
      </c>
      <c r="AL38" s="68"/>
      <c r="AM38" s="68">
        <f t="shared" si="13"/>
        <v>0</v>
      </c>
      <c r="AO38" s="143">
        <f t="shared" si="34"/>
        <v>0</v>
      </c>
      <c r="AP38" s="144">
        <f t="shared" si="35"/>
        <v>0</v>
      </c>
      <c r="AS38" s="181">
        <f>+IF(AJ38&lt;Parametros!$H$41,$V38,0)</f>
        <v>0</v>
      </c>
      <c r="AT38" s="68">
        <f t="shared" si="15"/>
        <v>0</v>
      </c>
      <c r="AU38" s="68">
        <f t="shared" si="16"/>
        <v>0</v>
      </c>
      <c r="AV38" s="181">
        <f t="shared" si="17"/>
        <v>0</v>
      </c>
      <c r="AX38" s="68"/>
      <c r="AZ38" s="71"/>
      <c r="BA38" s="181">
        <f>+IF(AV38&lt;Parametros!$H$41,$AP38,0)</f>
        <v>0</v>
      </c>
    </row>
    <row r="39" spans="1:53" s="12" customFormat="1" ht="13.8" hidden="1" thickBot="1" x14ac:dyDescent="0.3">
      <c r="A39" s="128" t="s">
        <v>137</v>
      </c>
      <c r="B39" s="130" t="s">
        <v>34</v>
      </c>
      <c r="D39" s="257"/>
      <c r="E39" s="257"/>
      <c r="F39" s="257"/>
      <c r="G39" s="261">
        <f t="shared" si="0"/>
        <v>0</v>
      </c>
      <c r="H39" s="261">
        <f t="shared" si="33"/>
        <v>0</v>
      </c>
      <c r="I39" s="143">
        <f t="shared" si="2"/>
        <v>0</v>
      </c>
      <c r="J39" s="70"/>
      <c r="K39" s="134"/>
      <c r="L39" s="126"/>
      <c r="M39" s="9">
        <f t="shared" si="23"/>
        <v>0</v>
      </c>
      <c r="N39" s="9">
        <f t="shared" si="3"/>
        <v>0</v>
      </c>
      <c r="O39" s="135">
        <f t="shared" si="24"/>
        <v>0</v>
      </c>
      <c r="P39" s="70"/>
      <c r="Q39" s="143">
        <f t="shared" si="28"/>
        <v>0</v>
      </c>
      <c r="R39" s="9">
        <f t="shared" si="4"/>
        <v>0</v>
      </c>
      <c r="S39" s="144">
        <f t="shared" si="5"/>
        <v>0</v>
      </c>
      <c r="U39" s="143">
        <f t="shared" si="6"/>
        <v>0</v>
      </c>
      <c r="V39" s="144">
        <f t="shared" si="7"/>
        <v>0</v>
      </c>
      <c r="X39" s="68">
        <f>+'Calculo Intereses COOPS'!G701</f>
        <v>0</v>
      </c>
      <c r="Y39" s="68">
        <f>+'Calculo Intereses COOPS'!G717</f>
        <v>0</v>
      </c>
      <c r="Z39" s="68">
        <f>+'Calculo Intereses COOPS'!J717</f>
        <v>0</v>
      </c>
      <c r="AA39" s="68">
        <f>+V39*Parametros!$I$39</f>
        <v>0</v>
      </c>
      <c r="AB39" s="68">
        <f t="shared" si="8"/>
        <v>0</v>
      </c>
      <c r="AC39" s="181">
        <f t="shared" si="9"/>
        <v>0</v>
      </c>
      <c r="AD39" s="68">
        <f>+IF(AC39&gt;Parametros!$H$41,Parametros!$H$41*(X39+Y39)/2,AB39)</f>
        <v>0</v>
      </c>
      <c r="AE39" s="68">
        <f t="shared" si="25"/>
        <v>0</v>
      </c>
      <c r="AG39" s="181">
        <f>+IF(AC39&lt;Parametros!$H$41,V39,0)</f>
        <v>0</v>
      </c>
      <c r="AH39" s="68">
        <f t="shared" si="10"/>
        <v>0</v>
      </c>
      <c r="AI39" s="68">
        <f t="shared" si="11"/>
        <v>0</v>
      </c>
      <c r="AJ39" s="181">
        <f t="shared" si="12"/>
        <v>0</v>
      </c>
      <c r="AK39" s="68">
        <f>+IF(AJ39&gt;Parametros!$H$41,Parametros!$H$41*($X39+$Y39)/2,AI39)</f>
        <v>0</v>
      </c>
      <c r="AL39" s="68"/>
      <c r="AM39" s="68">
        <f t="shared" si="13"/>
        <v>0</v>
      </c>
      <c r="AO39" s="143">
        <f t="shared" si="34"/>
        <v>0</v>
      </c>
      <c r="AP39" s="144">
        <f t="shared" si="35"/>
        <v>0</v>
      </c>
      <c r="AS39" s="181">
        <f>+IF(AJ39&lt;Parametros!$H$41,$V39,0)</f>
        <v>0</v>
      </c>
      <c r="AT39" s="68">
        <f t="shared" si="15"/>
        <v>0</v>
      </c>
      <c r="AU39" s="68">
        <f t="shared" si="16"/>
        <v>0</v>
      </c>
      <c r="AV39" s="181">
        <f t="shared" si="17"/>
        <v>0</v>
      </c>
      <c r="AX39" s="68"/>
      <c r="AZ39" s="71"/>
      <c r="BA39" s="181">
        <f>+IF(AV39&lt;Parametros!$H$41,$AP39,0)</f>
        <v>0</v>
      </c>
    </row>
    <row r="40" spans="1:53" s="12" customFormat="1" ht="13.8" hidden="1" thickBot="1" x14ac:dyDescent="0.3">
      <c r="A40" s="128" t="s">
        <v>138</v>
      </c>
      <c r="B40" s="130" t="s">
        <v>35</v>
      </c>
      <c r="D40" s="257"/>
      <c r="E40" s="257"/>
      <c r="F40" s="257"/>
      <c r="G40" s="261">
        <f t="shared" si="0"/>
        <v>0</v>
      </c>
      <c r="H40" s="261">
        <f t="shared" si="33"/>
        <v>0</v>
      </c>
      <c r="I40" s="143">
        <f t="shared" si="2"/>
        <v>0</v>
      </c>
      <c r="J40" s="70"/>
      <c r="K40" s="134"/>
      <c r="L40" s="126"/>
      <c r="M40" s="9">
        <f t="shared" si="23"/>
        <v>0</v>
      </c>
      <c r="N40" s="9">
        <f t="shared" si="3"/>
        <v>0</v>
      </c>
      <c r="O40" s="135">
        <f t="shared" si="24"/>
        <v>0</v>
      </c>
      <c r="P40" s="70"/>
      <c r="Q40" s="143">
        <f t="shared" si="28"/>
        <v>0</v>
      </c>
      <c r="R40" s="9">
        <f t="shared" si="4"/>
        <v>0</v>
      </c>
      <c r="S40" s="144">
        <f t="shared" si="5"/>
        <v>0</v>
      </c>
      <c r="U40" s="143">
        <f t="shared" si="6"/>
        <v>0</v>
      </c>
      <c r="V40" s="144">
        <f t="shared" si="7"/>
        <v>0</v>
      </c>
      <c r="X40" s="68">
        <f>+'Calculo Intereses COOPS'!G722</f>
        <v>0</v>
      </c>
      <c r="Y40" s="68">
        <f>+'Calculo Intereses COOPS'!G738</f>
        <v>0</v>
      </c>
      <c r="Z40" s="68">
        <f>+'Calculo Intereses COOPS'!J738</f>
        <v>0</v>
      </c>
      <c r="AA40" s="68">
        <f>+V40*Parametros!$I$39</f>
        <v>0</v>
      </c>
      <c r="AB40" s="68">
        <f t="shared" si="8"/>
        <v>0</v>
      </c>
      <c r="AC40" s="181">
        <f t="shared" si="9"/>
        <v>0</v>
      </c>
      <c r="AD40" s="68">
        <f>+IF(AC40&gt;Parametros!$H$41,Parametros!$H$41*(X40+Y40)/2,AB40)</f>
        <v>0</v>
      </c>
      <c r="AE40" s="68">
        <f t="shared" si="25"/>
        <v>0</v>
      </c>
      <c r="AG40" s="181">
        <f>+IF(AC40&lt;Parametros!$H$41,V40,0)</f>
        <v>0</v>
      </c>
      <c r="AH40" s="68">
        <f t="shared" si="10"/>
        <v>0</v>
      </c>
      <c r="AI40" s="68">
        <f t="shared" si="11"/>
        <v>0</v>
      </c>
      <c r="AJ40" s="181">
        <f t="shared" si="12"/>
        <v>0</v>
      </c>
      <c r="AK40" s="68">
        <f>+IF(AJ40&gt;Parametros!$H$41,Parametros!$H$41*($X40+$Y40)/2,AI40)</f>
        <v>0</v>
      </c>
      <c r="AL40" s="68"/>
      <c r="AM40" s="68">
        <f t="shared" si="13"/>
        <v>0</v>
      </c>
      <c r="AO40" s="143">
        <f t="shared" si="34"/>
        <v>0</v>
      </c>
      <c r="AP40" s="144">
        <f t="shared" si="35"/>
        <v>0</v>
      </c>
      <c r="AS40" s="181">
        <f>+IF(AJ40&lt;Parametros!$H$41,$V40,0)</f>
        <v>0</v>
      </c>
      <c r="AT40" s="68">
        <f t="shared" si="15"/>
        <v>0</v>
      </c>
      <c r="AU40" s="68">
        <f t="shared" si="16"/>
        <v>0</v>
      </c>
      <c r="AV40" s="181">
        <f t="shared" si="17"/>
        <v>0</v>
      </c>
      <c r="AX40" s="68"/>
      <c r="AZ40" s="71"/>
      <c r="BA40" s="181">
        <f>+IF(AV40&lt;Parametros!$H$41,$AP40,0)</f>
        <v>0</v>
      </c>
    </row>
    <row r="41" spans="1:53" s="12" customFormat="1" ht="13.8" hidden="1" thickBot="1" x14ac:dyDescent="0.3">
      <c r="A41" s="128" t="s">
        <v>139</v>
      </c>
      <c r="B41" s="130" t="s">
        <v>37</v>
      </c>
      <c r="D41" s="257"/>
      <c r="E41" s="257"/>
      <c r="F41" s="257"/>
      <c r="G41" s="261">
        <f t="shared" si="0"/>
        <v>0</v>
      </c>
      <c r="H41" s="261">
        <f t="shared" si="33"/>
        <v>0</v>
      </c>
      <c r="I41" s="143">
        <f t="shared" si="2"/>
        <v>0</v>
      </c>
      <c r="J41" s="70"/>
      <c r="K41" s="134"/>
      <c r="L41" s="126"/>
      <c r="M41" s="9">
        <f t="shared" si="23"/>
        <v>0</v>
      </c>
      <c r="N41" s="9">
        <f t="shared" si="3"/>
        <v>0</v>
      </c>
      <c r="O41" s="135">
        <f t="shared" si="24"/>
        <v>0</v>
      </c>
      <c r="P41" s="70"/>
      <c r="Q41" s="143">
        <f t="shared" si="28"/>
        <v>0</v>
      </c>
      <c r="R41" s="9">
        <f t="shared" si="4"/>
        <v>0</v>
      </c>
      <c r="S41" s="144">
        <f t="shared" si="5"/>
        <v>0</v>
      </c>
      <c r="U41" s="143">
        <f t="shared" si="6"/>
        <v>0</v>
      </c>
      <c r="V41" s="144">
        <f t="shared" si="7"/>
        <v>0</v>
      </c>
      <c r="X41" s="68">
        <f>+'Calculo Intereses COOPS'!G743</f>
        <v>0</v>
      </c>
      <c r="Y41" s="68">
        <f>+'Calculo Intereses COOPS'!G759</f>
        <v>0</v>
      </c>
      <c r="Z41" s="68">
        <f>+'Calculo Intereses COOPS'!J759</f>
        <v>0</v>
      </c>
      <c r="AA41" s="68">
        <f>+V41*Parametros!$I$39</f>
        <v>0</v>
      </c>
      <c r="AB41" s="68">
        <f t="shared" si="8"/>
        <v>0</v>
      </c>
      <c r="AC41" s="181">
        <f t="shared" si="9"/>
        <v>0</v>
      </c>
      <c r="AD41" s="68">
        <f>+IF(AC41&gt;Parametros!$H$41,Parametros!$H$41*(X41+Y41)/2,AB41)</f>
        <v>0</v>
      </c>
      <c r="AE41" s="68">
        <f t="shared" si="25"/>
        <v>0</v>
      </c>
      <c r="AG41" s="181">
        <f>+IF(AC41&lt;Parametros!$H$41,V41,0)</f>
        <v>0</v>
      </c>
      <c r="AH41" s="68">
        <f t="shared" si="10"/>
        <v>0</v>
      </c>
      <c r="AI41" s="68">
        <f t="shared" si="11"/>
        <v>0</v>
      </c>
      <c r="AJ41" s="181">
        <f t="shared" si="12"/>
        <v>0</v>
      </c>
      <c r="AK41" s="68">
        <f>+IF(AJ41&gt;Parametros!$H$41,Parametros!$H$41*($X41+$Y41)/2,AI41)</f>
        <v>0</v>
      </c>
      <c r="AL41" s="68"/>
      <c r="AM41" s="68">
        <f t="shared" si="13"/>
        <v>0</v>
      </c>
      <c r="AO41" s="143">
        <f t="shared" si="34"/>
        <v>0</v>
      </c>
      <c r="AP41" s="144">
        <f t="shared" si="35"/>
        <v>0</v>
      </c>
      <c r="AS41" s="181">
        <f>+IF(AJ41&lt;Parametros!$H$41,$V41,0)</f>
        <v>0</v>
      </c>
      <c r="AT41" s="68">
        <f t="shared" si="15"/>
        <v>0</v>
      </c>
      <c r="AU41" s="68">
        <f t="shared" si="16"/>
        <v>0</v>
      </c>
      <c r="AV41" s="181">
        <f t="shared" si="17"/>
        <v>0</v>
      </c>
      <c r="AX41" s="68"/>
      <c r="AZ41" s="71"/>
      <c r="BA41" s="181">
        <f>+IF(AV41&lt;Parametros!$H$41,$AP41,0)</f>
        <v>0</v>
      </c>
    </row>
    <row r="42" spans="1:53" s="12" customFormat="1" ht="13.8" hidden="1" thickBot="1" x14ac:dyDescent="0.3">
      <c r="A42" s="128" t="s">
        <v>140</v>
      </c>
      <c r="B42" s="130" t="s">
        <v>38</v>
      </c>
      <c r="D42" s="257"/>
      <c r="E42" s="257"/>
      <c r="F42" s="257"/>
      <c r="G42" s="261">
        <f t="shared" si="0"/>
        <v>0</v>
      </c>
      <c r="H42" s="261">
        <f t="shared" si="33"/>
        <v>0</v>
      </c>
      <c r="I42" s="143">
        <f t="shared" si="2"/>
        <v>0</v>
      </c>
      <c r="J42" s="70"/>
      <c r="K42" s="134"/>
      <c r="L42" s="126"/>
      <c r="M42" s="9">
        <f t="shared" si="23"/>
        <v>0</v>
      </c>
      <c r="N42" s="9">
        <f t="shared" si="3"/>
        <v>0</v>
      </c>
      <c r="O42" s="135">
        <f t="shared" si="24"/>
        <v>0</v>
      </c>
      <c r="P42" s="70"/>
      <c r="Q42" s="143">
        <f t="shared" si="28"/>
        <v>0</v>
      </c>
      <c r="R42" s="9">
        <f t="shared" si="4"/>
        <v>0</v>
      </c>
      <c r="S42" s="144">
        <f t="shared" si="5"/>
        <v>0</v>
      </c>
      <c r="U42" s="143">
        <f t="shared" si="6"/>
        <v>0</v>
      </c>
      <c r="V42" s="144">
        <f t="shared" si="7"/>
        <v>0</v>
      </c>
      <c r="X42" s="68">
        <f>+'Calculo Intereses COOPS'!G764</f>
        <v>0</v>
      </c>
      <c r="Y42" s="68">
        <f>+'Calculo Intereses COOPS'!G780</f>
        <v>0</v>
      </c>
      <c r="Z42" s="68">
        <f>+'Calculo Intereses COOPS'!J780</f>
        <v>0</v>
      </c>
      <c r="AA42" s="68">
        <f>+V42*Parametros!$I$39</f>
        <v>0</v>
      </c>
      <c r="AB42" s="68">
        <f t="shared" si="8"/>
        <v>0</v>
      </c>
      <c r="AC42" s="181">
        <f t="shared" si="9"/>
        <v>0</v>
      </c>
      <c r="AD42" s="68">
        <f>+IF(AC42&gt;Parametros!$H$41,Parametros!$H$41*(X42+Y42)/2,AB42)</f>
        <v>0</v>
      </c>
      <c r="AE42" s="68">
        <f t="shared" si="25"/>
        <v>0</v>
      </c>
      <c r="AG42" s="181">
        <f>+IF(AC42&lt;Parametros!$H$41,V42,0)</f>
        <v>0</v>
      </c>
      <c r="AH42" s="68">
        <f t="shared" si="10"/>
        <v>0</v>
      </c>
      <c r="AI42" s="68">
        <f t="shared" si="11"/>
        <v>0</v>
      </c>
      <c r="AJ42" s="181">
        <f t="shared" si="12"/>
        <v>0</v>
      </c>
      <c r="AK42" s="68">
        <f>+IF(AJ42&gt;Parametros!$H$41,Parametros!$H$41*($X42+$Y42)/2,AI42)</f>
        <v>0</v>
      </c>
      <c r="AL42" s="68"/>
      <c r="AM42" s="68">
        <f t="shared" si="13"/>
        <v>0</v>
      </c>
      <c r="AO42" s="143">
        <f t="shared" si="34"/>
        <v>0</v>
      </c>
      <c r="AP42" s="144">
        <f t="shared" si="35"/>
        <v>0</v>
      </c>
      <c r="AS42" s="181">
        <f>+IF(AJ42&lt;Parametros!$H$41,$V42,0)</f>
        <v>0</v>
      </c>
      <c r="AT42" s="68">
        <f t="shared" si="15"/>
        <v>0</v>
      </c>
      <c r="AU42" s="68">
        <f t="shared" si="16"/>
        <v>0</v>
      </c>
      <c r="AV42" s="181">
        <f t="shared" si="17"/>
        <v>0</v>
      </c>
      <c r="AX42" s="68"/>
      <c r="AZ42" s="71"/>
      <c r="BA42" s="181">
        <f>+IF(AV42&lt;Parametros!$H$41,$AP42,0)</f>
        <v>0</v>
      </c>
    </row>
    <row r="43" spans="1:53" s="12" customFormat="1" ht="13.8" hidden="1" thickBot="1" x14ac:dyDescent="0.3">
      <c r="A43" s="128" t="s">
        <v>141</v>
      </c>
      <c r="B43" s="130" t="s">
        <v>39</v>
      </c>
      <c r="D43" s="257"/>
      <c r="E43" s="257"/>
      <c r="F43" s="257"/>
      <c r="G43" s="261">
        <f t="shared" si="0"/>
        <v>0</v>
      </c>
      <c r="H43" s="261">
        <f t="shared" si="33"/>
        <v>0</v>
      </c>
      <c r="I43" s="143">
        <f t="shared" si="2"/>
        <v>0</v>
      </c>
      <c r="J43" s="70"/>
      <c r="K43" s="134"/>
      <c r="L43" s="126"/>
      <c r="M43" s="9">
        <f t="shared" si="23"/>
        <v>0</v>
      </c>
      <c r="N43" s="9">
        <f t="shared" si="3"/>
        <v>0</v>
      </c>
      <c r="O43" s="135">
        <f t="shared" si="24"/>
        <v>0</v>
      </c>
      <c r="P43" s="70"/>
      <c r="Q43" s="143">
        <f t="shared" si="28"/>
        <v>0</v>
      </c>
      <c r="R43" s="9">
        <f t="shared" si="4"/>
        <v>0</v>
      </c>
      <c r="S43" s="144">
        <f t="shared" si="5"/>
        <v>0</v>
      </c>
      <c r="U43" s="143">
        <f t="shared" si="6"/>
        <v>0</v>
      </c>
      <c r="V43" s="144">
        <f t="shared" si="7"/>
        <v>0</v>
      </c>
      <c r="X43" s="68">
        <f>+'Calculo Intereses COOPS'!G785</f>
        <v>0</v>
      </c>
      <c r="Y43" s="68">
        <f>+'Calculo Intereses COOPS'!G801</f>
        <v>0</v>
      </c>
      <c r="Z43" s="68">
        <f>+'Calculo Intereses COOPS'!J801</f>
        <v>0</v>
      </c>
      <c r="AA43" s="68">
        <f>+V43*Parametros!$I$39</f>
        <v>0</v>
      </c>
      <c r="AB43" s="68">
        <f t="shared" si="8"/>
        <v>0</v>
      </c>
      <c r="AC43" s="181">
        <f t="shared" si="9"/>
        <v>0</v>
      </c>
      <c r="AD43" s="68">
        <f>+IF(AC43&gt;Parametros!$H$41,Parametros!$H$41*(X43+Y43)/2,AB43)</f>
        <v>0</v>
      </c>
      <c r="AE43" s="68">
        <f t="shared" si="25"/>
        <v>0</v>
      </c>
      <c r="AG43" s="181">
        <f>+IF(AC43&lt;Parametros!$H$41,V43,0)</f>
        <v>0</v>
      </c>
      <c r="AH43" s="68">
        <f t="shared" si="10"/>
        <v>0</v>
      </c>
      <c r="AI43" s="68">
        <f t="shared" si="11"/>
        <v>0</v>
      </c>
      <c r="AJ43" s="181">
        <f t="shared" si="12"/>
        <v>0</v>
      </c>
      <c r="AK43" s="68">
        <f>+IF(AJ43&gt;Parametros!$H$41,Parametros!$H$41*($X43+$Y43)/2,AI43)</f>
        <v>0</v>
      </c>
      <c r="AL43" s="68"/>
      <c r="AM43" s="68">
        <f t="shared" si="13"/>
        <v>0</v>
      </c>
      <c r="AO43" s="143">
        <f t="shared" si="34"/>
        <v>0</v>
      </c>
      <c r="AP43" s="144">
        <f t="shared" si="35"/>
        <v>0</v>
      </c>
      <c r="AS43" s="181">
        <f>+IF(AJ43&lt;Parametros!$H$41,$V43,0)</f>
        <v>0</v>
      </c>
      <c r="AT43" s="68">
        <f t="shared" si="15"/>
        <v>0</v>
      </c>
      <c r="AU43" s="68">
        <f t="shared" si="16"/>
        <v>0</v>
      </c>
      <c r="AV43" s="181">
        <f t="shared" si="17"/>
        <v>0</v>
      </c>
      <c r="AX43" s="68"/>
      <c r="AZ43" s="71"/>
      <c r="BA43" s="181">
        <f>+IF(AV43&lt;Parametros!$H$41,$AP43,0)</f>
        <v>0</v>
      </c>
    </row>
    <row r="44" spans="1:53" s="12" customFormat="1" ht="13.8" hidden="1" thickBot="1" x14ac:dyDescent="0.3">
      <c r="A44" s="128" t="s">
        <v>142</v>
      </c>
      <c r="B44" s="130" t="s">
        <v>46</v>
      </c>
      <c r="D44" s="257"/>
      <c r="E44" s="257"/>
      <c r="F44" s="258"/>
      <c r="G44" s="261">
        <f t="shared" si="0"/>
        <v>0</v>
      </c>
      <c r="H44" s="261">
        <f t="shared" si="33"/>
        <v>0</v>
      </c>
      <c r="I44" s="143">
        <f t="shared" si="2"/>
        <v>0</v>
      </c>
      <c r="J44" s="70"/>
      <c r="K44" s="134"/>
      <c r="L44" s="126"/>
      <c r="M44" s="9">
        <f t="shared" si="23"/>
        <v>0</v>
      </c>
      <c r="N44" s="9">
        <f t="shared" si="3"/>
        <v>0</v>
      </c>
      <c r="O44" s="135">
        <f t="shared" si="24"/>
        <v>0</v>
      </c>
      <c r="P44" s="70"/>
      <c r="Q44" s="143">
        <f t="shared" si="28"/>
        <v>0</v>
      </c>
      <c r="R44" s="9">
        <f t="shared" si="4"/>
        <v>0</v>
      </c>
      <c r="S44" s="144">
        <f t="shared" si="5"/>
        <v>0</v>
      </c>
      <c r="U44" s="143">
        <f t="shared" si="6"/>
        <v>0</v>
      </c>
      <c r="V44" s="144">
        <f t="shared" si="7"/>
        <v>0</v>
      </c>
      <c r="X44" s="68">
        <f>+'Calculo Intereses COOPS'!G806</f>
        <v>0</v>
      </c>
      <c r="Y44" s="68">
        <f>+'Calculo Intereses COOPS'!G822</f>
        <v>0</v>
      </c>
      <c r="Z44" s="68">
        <f>+'Calculo Intereses COOPS'!J822</f>
        <v>0</v>
      </c>
      <c r="AA44" s="68">
        <f>+V44*Parametros!$I$39</f>
        <v>0</v>
      </c>
      <c r="AB44" s="68">
        <f t="shared" si="8"/>
        <v>0</v>
      </c>
      <c r="AC44" s="181">
        <f t="shared" si="9"/>
        <v>0</v>
      </c>
      <c r="AD44" s="68">
        <f>+IF(AC44&gt;Parametros!$H$41,Parametros!$H$41*(X44+Y44)/2,AB44)</f>
        <v>0</v>
      </c>
      <c r="AE44" s="68">
        <f t="shared" si="25"/>
        <v>0</v>
      </c>
      <c r="AG44" s="181">
        <f>+IF(AC44&lt;Parametros!$H$41,V44,0)</f>
        <v>0</v>
      </c>
      <c r="AH44" s="68">
        <f t="shared" si="10"/>
        <v>0</v>
      </c>
      <c r="AI44" s="68">
        <f t="shared" si="11"/>
        <v>0</v>
      </c>
      <c r="AJ44" s="181">
        <f t="shared" si="12"/>
        <v>0</v>
      </c>
      <c r="AK44" s="68">
        <f>+IF(AJ44&gt;Parametros!$H$41,Parametros!$H$41*($X44+$Y44)/2,AI44)</f>
        <v>0</v>
      </c>
      <c r="AL44" s="68"/>
      <c r="AM44" s="68">
        <f t="shared" si="13"/>
        <v>0</v>
      </c>
      <c r="AO44" s="143">
        <f t="shared" si="34"/>
        <v>0</v>
      </c>
      <c r="AP44" s="144">
        <f t="shared" si="35"/>
        <v>0</v>
      </c>
      <c r="AS44" s="181">
        <f>+IF(AJ44&lt;Parametros!$H$41,$V44,0)</f>
        <v>0</v>
      </c>
      <c r="AT44" s="68">
        <f t="shared" si="15"/>
        <v>0</v>
      </c>
      <c r="AU44" s="68">
        <f t="shared" si="16"/>
        <v>0</v>
      </c>
      <c r="AV44" s="181">
        <f t="shared" si="17"/>
        <v>0</v>
      </c>
      <c r="AX44" s="68"/>
      <c r="AZ44" s="71"/>
      <c r="BA44" s="181">
        <f>+IF(AV44&lt;Parametros!$H$41,$AP44,0)</f>
        <v>0</v>
      </c>
    </row>
    <row r="45" spans="1:53" s="12" customFormat="1" ht="13.8" hidden="1" thickBot="1" x14ac:dyDescent="0.3">
      <c r="A45" s="128" t="s">
        <v>143</v>
      </c>
      <c r="B45" s="130"/>
      <c r="D45" s="257"/>
      <c r="E45" s="257"/>
      <c r="F45" s="258"/>
      <c r="G45" s="261">
        <f t="shared" si="0"/>
        <v>0</v>
      </c>
      <c r="H45" s="261">
        <f t="shared" si="33"/>
        <v>0</v>
      </c>
      <c r="I45" s="143">
        <f t="shared" si="2"/>
        <v>0</v>
      </c>
      <c r="J45" s="70"/>
      <c r="K45" s="134"/>
      <c r="L45" s="126"/>
      <c r="M45" s="9">
        <f t="shared" si="23"/>
        <v>0</v>
      </c>
      <c r="N45" s="9">
        <f t="shared" si="3"/>
        <v>0</v>
      </c>
      <c r="O45" s="135">
        <f t="shared" si="24"/>
        <v>0</v>
      </c>
      <c r="P45" s="70"/>
      <c r="Q45" s="143">
        <f t="shared" si="28"/>
        <v>0</v>
      </c>
      <c r="R45" s="9">
        <f t="shared" si="4"/>
        <v>0</v>
      </c>
      <c r="S45" s="144">
        <f t="shared" si="5"/>
        <v>0</v>
      </c>
      <c r="U45" s="143">
        <f t="shared" si="6"/>
        <v>0</v>
      </c>
      <c r="V45" s="144">
        <f t="shared" si="7"/>
        <v>0</v>
      </c>
      <c r="X45" s="68">
        <f>+'Calculo Intereses COOPS'!G827</f>
        <v>0</v>
      </c>
      <c r="Y45" s="68">
        <f>+'Calculo Intereses COOPS'!G843</f>
        <v>0</v>
      </c>
      <c r="Z45" s="68">
        <f>+'Calculo Intereses COOPS'!J843</f>
        <v>0</v>
      </c>
      <c r="AA45" s="68">
        <f>+V45*Parametros!$I$39</f>
        <v>0</v>
      </c>
      <c r="AB45" s="68">
        <f t="shared" si="8"/>
        <v>0</v>
      </c>
      <c r="AC45" s="181">
        <f t="shared" si="9"/>
        <v>0</v>
      </c>
      <c r="AD45" s="68">
        <f>+IF(AC45&gt;Parametros!$H$41,Parametros!$H$41*(X45+Y45)/2,AB45)</f>
        <v>0</v>
      </c>
      <c r="AE45" s="68">
        <f t="shared" si="25"/>
        <v>0</v>
      </c>
      <c r="AG45" s="181">
        <f>+IF(AC45&lt;Parametros!$H$41,V45,0)</f>
        <v>0</v>
      </c>
      <c r="AH45" s="68">
        <f t="shared" si="10"/>
        <v>0</v>
      </c>
      <c r="AI45" s="68">
        <f t="shared" si="11"/>
        <v>0</v>
      </c>
      <c r="AJ45" s="181">
        <f t="shared" si="12"/>
        <v>0</v>
      </c>
      <c r="AK45" s="68">
        <f>+IF(AJ45&gt;Parametros!$H$41,Parametros!$H$41*($X45+$Y45)/2,AI45)</f>
        <v>0</v>
      </c>
      <c r="AL45" s="68"/>
      <c r="AM45" s="68">
        <f t="shared" si="13"/>
        <v>0</v>
      </c>
      <c r="AO45" s="143">
        <f>+IF(AL45&gt;0,X45+AE45,0)</f>
        <v>0</v>
      </c>
      <c r="AP45" s="144">
        <f t="shared" si="35"/>
        <v>0</v>
      </c>
      <c r="AS45" s="181">
        <f>+IF(AJ45&lt;Parametros!$H$41,$V45,0)</f>
        <v>0</v>
      </c>
      <c r="AT45" s="68">
        <f t="shared" si="15"/>
        <v>0</v>
      </c>
      <c r="AU45" s="68">
        <f t="shared" si="16"/>
        <v>0</v>
      </c>
      <c r="AV45" s="181">
        <f t="shared" si="17"/>
        <v>0</v>
      </c>
      <c r="AX45" s="68"/>
      <c r="AZ45" s="71"/>
      <c r="BA45" s="181">
        <f>+IF(AV45&lt;Parametros!$H$41,$AP45,0)</f>
        <v>0</v>
      </c>
    </row>
    <row r="46" spans="1:53" s="12" customFormat="1" ht="13.8" hidden="1" thickBot="1" x14ac:dyDescent="0.3">
      <c r="A46" s="128" t="s">
        <v>144</v>
      </c>
      <c r="B46" s="130"/>
      <c r="D46" s="257">
        <f>+'[2]produccion cooperativas asociad'!$M41</f>
        <v>0</v>
      </c>
      <c r="E46" s="257"/>
      <c r="F46" s="258"/>
      <c r="G46" s="261">
        <f t="shared" si="0"/>
        <v>0</v>
      </c>
      <c r="H46" s="261">
        <f t="shared" si="33"/>
        <v>0</v>
      </c>
      <c r="I46" s="143">
        <f t="shared" si="2"/>
        <v>0</v>
      </c>
      <c r="J46" s="70"/>
      <c r="K46" s="134"/>
      <c r="L46" s="126"/>
      <c r="M46" s="9">
        <f t="shared" si="23"/>
        <v>0</v>
      </c>
      <c r="N46" s="9">
        <f t="shared" si="3"/>
        <v>0</v>
      </c>
      <c r="O46" s="135">
        <f t="shared" si="24"/>
        <v>0</v>
      </c>
      <c r="P46" s="70"/>
      <c r="Q46" s="143">
        <f t="shared" si="28"/>
        <v>0</v>
      </c>
      <c r="R46" s="9">
        <f t="shared" si="4"/>
        <v>0</v>
      </c>
      <c r="S46" s="144">
        <f t="shared" si="5"/>
        <v>0</v>
      </c>
      <c r="U46" s="143">
        <f t="shared" si="6"/>
        <v>0</v>
      </c>
      <c r="V46" s="144">
        <f t="shared" si="7"/>
        <v>0</v>
      </c>
      <c r="X46" s="68">
        <f>+'Calculo Intereses COOPS'!G848</f>
        <v>0</v>
      </c>
      <c r="Y46" s="68">
        <f>+'Calculo Intereses COOPS'!G864</f>
        <v>0</v>
      </c>
      <c r="Z46" s="68">
        <f>+'Calculo Intereses COOPS'!J864</f>
        <v>0</v>
      </c>
      <c r="AA46" s="68">
        <f>+V46*Parametros!$I$39</f>
        <v>0</v>
      </c>
      <c r="AB46" s="68">
        <f t="shared" si="8"/>
        <v>0</v>
      </c>
      <c r="AC46" s="181">
        <f t="shared" si="9"/>
        <v>0</v>
      </c>
      <c r="AD46" s="68">
        <f>+IF(AC46&gt;Parametros!$H$41,Parametros!$H$41*(X46+Y46)/2,AB46)</f>
        <v>0</v>
      </c>
      <c r="AE46" s="68">
        <f t="shared" si="25"/>
        <v>0</v>
      </c>
      <c r="AG46" s="181">
        <f>+IF(AC46&lt;Parametros!$H$41,V46,0)</f>
        <v>0</v>
      </c>
      <c r="AH46" s="68">
        <f t="shared" si="10"/>
        <v>0</v>
      </c>
      <c r="AI46" s="68">
        <f t="shared" si="11"/>
        <v>0</v>
      </c>
      <c r="AJ46" s="181">
        <f t="shared" si="12"/>
        <v>0</v>
      </c>
      <c r="AK46" s="68">
        <f>+IF(AJ46&gt;Parametros!$H$41,Parametros!$H$41*($X46+$Y46)/2,AI46)</f>
        <v>0</v>
      </c>
      <c r="AL46" s="68"/>
      <c r="AM46" s="68">
        <f t="shared" si="13"/>
        <v>0</v>
      </c>
      <c r="AO46" s="143">
        <f>+IF(AL46&gt;0,X46+AE46,0)</f>
        <v>0</v>
      </c>
      <c r="AP46" s="144">
        <f t="shared" si="35"/>
        <v>0</v>
      </c>
      <c r="AS46" s="181">
        <f>+IF(AJ46&lt;Parametros!$H$41,$V46,0)</f>
        <v>0</v>
      </c>
      <c r="AT46" s="68">
        <f t="shared" si="15"/>
        <v>0</v>
      </c>
      <c r="AU46" s="68">
        <f t="shared" si="16"/>
        <v>0</v>
      </c>
      <c r="AV46" s="181">
        <f t="shared" si="17"/>
        <v>0</v>
      </c>
      <c r="AX46" s="68"/>
      <c r="AZ46" s="71"/>
      <c r="BA46" s="181">
        <f>+IF(AV46&lt;Parametros!$H$41,$AP46,0)</f>
        <v>0</v>
      </c>
    </row>
    <row r="47" spans="1:53" s="12" customFormat="1" ht="13.8" hidden="1" thickBot="1" x14ac:dyDescent="0.3">
      <c r="A47" s="128" t="s">
        <v>145</v>
      </c>
      <c r="B47" s="130"/>
      <c r="D47" s="257">
        <f>+'[2]produccion cooperativas asociad'!$M42</f>
        <v>0</v>
      </c>
      <c r="E47" s="257"/>
      <c r="F47" s="258"/>
      <c r="G47" s="261">
        <f t="shared" si="0"/>
        <v>0</v>
      </c>
      <c r="H47" s="261">
        <f t="shared" si="33"/>
        <v>0</v>
      </c>
      <c r="I47" s="143">
        <f t="shared" si="2"/>
        <v>0</v>
      </c>
      <c r="J47" s="70"/>
      <c r="K47" s="134"/>
      <c r="L47" s="126"/>
      <c r="M47" s="9">
        <f t="shared" si="23"/>
        <v>0</v>
      </c>
      <c r="N47" s="9">
        <f t="shared" si="3"/>
        <v>0</v>
      </c>
      <c r="O47" s="135">
        <f t="shared" si="24"/>
        <v>0</v>
      </c>
      <c r="P47" s="70"/>
      <c r="Q47" s="143">
        <f t="shared" si="28"/>
        <v>0</v>
      </c>
      <c r="R47" s="9">
        <f t="shared" si="4"/>
        <v>0</v>
      </c>
      <c r="S47" s="144">
        <f t="shared" si="5"/>
        <v>0</v>
      </c>
      <c r="U47" s="143">
        <f t="shared" si="6"/>
        <v>0</v>
      </c>
      <c r="V47" s="144">
        <f t="shared" si="7"/>
        <v>0</v>
      </c>
      <c r="X47" s="68">
        <f>+'Calculo Intereses COOPS'!G869</f>
        <v>0</v>
      </c>
      <c r="Y47" s="68">
        <f>+'Calculo Intereses COOPS'!G885</f>
        <v>0</v>
      </c>
      <c r="Z47" s="68">
        <f>+'Calculo Intereses COOPS'!J885</f>
        <v>0</v>
      </c>
      <c r="AA47" s="68">
        <f>+V47*Parametros!$I$39</f>
        <v>0</v>
      </c>
      <c r="AB47" s="68">
        <f t="shared" si="8"/>
        <v>0</v>
      </c>
      <c r="AC47" s="181">
        <f t="shared" si="9"/>
        <v>0</v>
      </c>
      <c r="AD47" s="68">
        <f>+IF(AC47&gt;Parametros!$H$41,Parametros!$H$41*(X47+Y47)/2,AB47)</f>
        <v>0</v>
      </c>
      <c r="AE47" s="68">
        <f t="shared" si="25"/>
        <v>0</v>
      </c>
      <c r="AG47" s="181">
        <f>+IF(AC47&lt;Parametros!$H$41,V47,0)</f>
        <v>0</v>
      </c>
      <c r="AH47" s="68">
        <f t="shared" si="10"/>
        <v>0</v>
      </c>
      <c r="AI47" s="68">
        <f t="shared" si="11"/>
        <v>0</v>
      </c>
      <c r="AJ47" s="181">
        <f t="shared" si="12"/>
        <v>0</v>
      </c>
      <c r="AK47" s="68">
        <f>+IF(AJ47&gt;Parametros!$H$41,Parametros!$H$41*($X47+$Y47)/2,AI47)</f>
        <v>0</v>
      </c>
      <c r="AL47" s="68"/>
      <c r="AM47" s="68">
        <f t="shared" si="13"/>
        <v>0</v>
      </c>
      <c r="AO47" s="143">
        <f>+IF(AL47&gt;0,X47+AE47,0)</f>
        <v>0</v>
      </c>
      <c r="AP47" s="144">
        <f t="shared" si="35"/>
        <v>0</v>
      </c>
      <c r="AS47" s="181">
        <f>+IF(AJ47&lt;Parametros!$H$41,$V47,0)</f>
        <v>0</v>
      </c>
      <c r="AT47" s="68">
        <f t="shared" si="15"/>
        <v>0</v>
      </c>
      <c r="AU47" s="68">
        <f t="shared" si="16"/>
        <v>0</v>
      </c>
      <c r="AV47" s="181">
        <f t="shared" si="17"/>
        <v>0</v>
      </c>
      <c r="AX47" s="68"/>
      <c r="AZ47" s="71"/>
      <c r="BA47" s="181">
        <f>+IF(AV47&lt;Parametros!$H$41,$AP47,0)</f>
        <v>0</v>
      </c>
    </row>
    <row r="48" spans="1:53" s="12" customFormat="1" ht="13.8" hidden="1" thickBot="1" x14ac:dyDescent="0.3">
      <c r="A48" s="128" t="s">
        <v>146</v>
      </c>
      <c r="B48" s="130"/>
      <c r="D48" s="257">
        <f>+'[2]produccion cooperativas asociad'!$M43</f>
        <v>0</v>
      </c>
      <c r="E48" s="257"/>
      <c r="F48" s="258"/>
      <c r="G48" s="261">
        <f t="shared" si="0"/>
        <v>0</v>
      </c>
      <c r="H48" s="261">
        <f t="shared" si="33"/>
        <v>0</v>
      </c>
      <c r="I48" s="143">
        <f t="shared" si="2"/>
        <v>0</v>
      </c>
      <c r="J48" s="70"/>
      <c r="K48" s="134"/>
      <c r="L48" s="126"/>
      <c r="M48" s="9">
        <f t="shared" si="23"/>
        <v>0</v>
      </c>
      <c r="N48" s="9">
        <f t="shared" si="3"/>
        <v>0</v>
      </c>
      <c r="O48" s="135">
        <f t="shared" si="24"/>
        <v>0</v>
      </c>
      <c r="P48" s="70"/>
      <c r="Q48" s="143">
        <f t="shared" si="28"/>
        <v>0</v>
      </c>
      <c r="R48" s="9">
        <f t="shared" si="4"/>
        <v>0</v>
      </c>
      <c r="S48" s="144">
        <f t="shared" si="5"/>
        <v>0</v>
      </c>
      <c r="U48" s="143">
        <f t="shared" si="6"/>
        <v>0</v>
      </c>
      <c r="V48" s="144">
        <f t="shared" si="7"/>
        <v>0</v>
      </c>
      <c r="X48" s="68">
        <f>+'Calculo Intereses COOPS'!G890</f>
        <v>0</v>
      </c>
      <c r="Y48" s="68">
        <f>+'Calculo Intereses COOPS'!G906</f>
        <v>0</v>
      </c>
      <c r="Z48" s="68">
        <f>+'Calculo Intereses COOPS'!J906</f>
        <v>0</v>
      </c>
      <c r="AA48" s="68">
        <f>+V48*Parametros!$I$39</f>
        <v>0</v>
      </c>
      <c r="AB48" s="68">
        <f t="shared" si="8"/>
        <v>0</v>
      </c>
      <c r="AC48" s="181">
        <f t="shared" si="9"/>
        <v>0</v>
      </c>
      <c r="AD48" s="68">
        <f>+IF(AC48&gt;Parametros!$H$41,Parametros!$H$41*(X48+Y48)/2,AB48)</f>
        <v>0</v>
      </c>
      <c r="AE48" s="68">
        <f t="shared" si="25"/>
        <v>0</v>
      </c>
      <c r="AG48" s="181">
        <f>+IF(AC48&lt;Parametros!$H$41,V48,0)</f>
        <v>0</v>
      </c>
      <c r="AH48" s="68">
        <f t="shared" si="10"/>
        <v>0</v>
      </c>
      <c r="AI48" s="68">
        <f t="shared" si="11"/>
        <v>0</v>
      </c>
      <c r="AJ48" s="181">
        <f t="shared" si="12"/>
        <v>0</v>
      </c>
      <c r="AK48" s="68">
        <f>+IF(AJ48&gt;Parametros!$H$41,Parametros!$H$41*($X48+$Y48)/2,AI48)</f>
        <v>0</v>
      </c>
      <c r="AL48" s="68"/>
      <c r="AM48" s="68">
        <f t="shared" si="13"/>
        <v>0</v>
      </c>
      <c r="AO48" s="143">
        <f>+IF(AL48&gt;0,X48+AE48,0)</f>
        <v>0</v>
      </c>
      <c r="AP48" s="144">
        <f t="shared" si="35"/>
        <v>0</v>
      </c>
      <c r="AS48" s="181">
        <f>+IF(AJ48&lt;Parametros!$H$41,$V48,0)</f>
        <v>0</v>
      </c>
      <c r="AT48" s="68">
        <f t="shared" si="15"/>
        <v>0</v>
      </c>
      <c r="AU48" s="68">
        <f t="shared" si="16"/>
        <v>0</v>
      </c>
      <c r="AV48" s="181">
        <f t="shared" si="17"/>
        <v>0</v>
      </c>
      <c r="AX48" s="68"/>
      <c r="AZ48" s="71"/>
      <c r="BA48" s="181">
        <f>+IF(AV48&lt;Parametros!$H$41,$AP48,0)</f>
        <v>0</v>
      </c>
    </row>
    <row r="49" spans="1:58" s="12" customFormat="1" ht="13.8" hidden="1" thickBot="1" x14ac:dyDescent="0.3">
      <c r="A49" s="128" t="s">
        <v>147</v>
      </c>
      <c r="B49" s="130"/>
      <c r="D49" s="257">
        <f>+'[2]produccion cooperativas asociad'!$M44</f>
        <v>0</v>
      </c>
      <c r="E49" s="257"/>
      <c r="F49" s="258"/>
      <c r="G49" s="261">
        <f t="shared" si="0"/>
        <v>0</v>
      </c>
      <c r="H49" s="261">
        <f t="shared" si="33"/>
        <v>0</v>
      </c>
      <c r="I49" s="143">
        <f t="shared" si="2"/>
        <v>0</v>
      </c>
      <c r="J49" s="70"/>
      <c r="K49" s="134"/>
      <c r="L49" s="126"/>
      <c r="M49" s="9">
        <f t="shared" si="23"/>
        <v>0</v>
      </c>
      <c r="N49" s="9">
        <f t="shared" si="3"/>
        <v>0</v>
      </c>
      <c r="O49" s="135">
        <f t="shared" si="24"/>
        <v>0</v>
      </c>
      <c r="P49" s="70"/>
      <c r="Q49" s="143">
        <f t="shared" si="28"/>
        <v>0</v>
      </c>
      <c r="R49" s="9">
        <f t="shared" si="4"/>
        <v>0</v>
      </c>
      <c r="S49" s="144">
        <f t="shared" si="5"/>
        <v>0</v>
      </c>
      <c r="U49" s="143">
        <f t="shared" si="6"/>
        <v>0</v>
      </c>
      <c r="V49" s="144">
        <f t="shared" si="7"/>
        <v>0</v>
      </c>
      <c r="X49" s="68">
        <f>+'Calculo Intereses COOPS'!G911</f>
        <v>0</v>
      </c>
      <c r="Y49" s="68">
        <f>+'Calculo Intereses COOPS'!G927</f>
        <v>0</v>
      </c>
      <c r="Z49" s="68">
        <f>+'Calculo Intereses COOPS'!J927</f>
        <v>0</v>
      </c>
      <c r="AA49" s="68">
        <f>+V49*Parametros!$I$39</f>
        <v>0</v>
      </c>
      <c r="AB49" s="68">
        <f t="shared" si="8"/>
        <v>0</v>
      </c>
      <c r="AC49" s="181">
        <f t="shared" si="9"/>
        <v>0</v>
      </c>
      <c r="AD49" s="68">
        <f>+IF(AC49&gt;Parametros!$H$41,Parametros!$H$41*(X49+Y49)/2,AB49)</f>
        <v>0</v>
      </c>
      <c r="AE49" s="68">
        <f t="shared" si="25"/>
        <v>0</v>
      </c>
      <c r="AG49" s="181">
        <f>+IF(AC49&lt;Parametros!$H$41,V49,0)</f>
        <v>0</v>
      </c>
      <c r="AH49" s="68">
        <f t="shared" si="10"/>
        <v>0</v>
      </c>
      <c r="AI49" s="68">
        <f t="shared" si="11"/>
        <v>0</v>
      </c>
      <c r="AJ49" s="181">
        <f t="shared" si="12"/>
        <v>0</v>
      </c>
      <c r="AK49" s="68">
        <f>+IF(AJ49&gt;Parametros!$H$41,Parametros!$H$41*($X49+$Y49)/2,AI49)</f>
        <v>0</v>
      </c>
      <c r="AL49" s="68"/>
      <c r="AM49" s="68">
        <f t="shared" si="13"/>
        <v>0</v>
      </c>
      <c r="AO49" s="143">
        <f>+IF(AL49&gt;0,X49+AE49,0)</f>
        <v>0</v>
      </c>
      <c r="AP49" s="144">
        <f t="shared" si="35"/>
        <v>0</v>
      </c>
      <c r="AS49" s="181">
        <f>+IF(AJ49&lt;Parametros!$H$41,$V49,0)</f>
        <v>0</v>
      </c>
      <c r="AT49" s="68">
        <f t="shared" si="15"/>
        <v>0</v>
      </c>
      <c r="AU49" s="68">
        <f t="shared" si="16"/>
        <v>0</v>
      </c>
      <c r="AV49" s="181">
        <f t="shared" si="17"/>
        <v>0</v>
      </c>
      <c r="AX49" s="68"/>
      <c r="AZ49" s="71"/>
      <c r="BA49" s="181">
        <f>+IF(AV49&lt;Parametros!$H$41,$AP49,0)</f>
        <v>0</v>
      </c>
    </row>
    <row r="50" spans="1:58" s="12" customFormat="1" ht="13.8" thickBot="1" x14ac:dyDescent="0.3">
      <c r="A50" s="250" t="s">
        <v>266</v>
      </c>
      <c r="B50" s="251" t="s">
        <v>267</v>
      </c>
      <c r="D50" s="257">
        <v>0</v>
      </c>
      <c r="E50" s="257">
        <v>0</v>
      </c>
      <c r="F50" s="258">
        <v>0</v>
      </c>
      <c r="G50" s="261">
        <v>0</v>
      </c>
      <c r="H50" s="261">
        <f>+D26*$H$6</f>
        <v>0</v>
      </c>
      <c r="I50" s="143">
        <f>+D50-E50-F50-G50-H72</f>
        <v>0</v>
      </c>
      <c r="J50" s="70"/>
      <c r="K50" s="224"/>
      <c r="L50" s="227"/>
      <c r="M50" s="9">
        <f>+K50*$M$6</f>
        <v>0</v>
      </c>
      <c r="N50" s="230">
        <v>0</v>
      </c>
      <c r="O50" s="135">
        <f t="shared" si="24"/>
        <v>0</v>
      </c>
      <c r="P50" s="70"/>
      <c r="Q50" s="143">
        <f t="shared" ref="Q50" si="36">+I50+O50</f>
        <v>0</v>
      </c>
      <c r="R50" s="9">
        <f>+IF(Q50&gt;0,Q50,0)</f>
        <v>0</v>
      </c>
      <c r="S50" s="144">
        <f t="shared" si="5"/>
        <v>0</v>
      </c>
      <c r="U50" s="143">
        <f t="shared" si="6"/>
        <v>0</v>
      </c>
      <c r="V50" s="144">
        <f t="shared" si="7"/>
        <v>0</v>
      </c>
      <c r="X50" s="68">
        <f>+'Calculo Intereses COOPS'!G449</f>
        <v>0</v>
      </c>
      <c r="Y50" s="68">
        <f>+'Calculo Intereses COOPS'!G465</f>
        <v>300000</v>
      </c>
      <c r="Z50" s="68">
        <f>+'Calculo Intereses COOPS'!J465</f>
        <v>19561.643835616444</v>
      </c>
      <c r="AA50" s="68">
        <f>+V50*Parametros!$I$39</f>
        <v>0</v>
      </c>
      <c r="AB50" s="68">
        <f t="shared" si="8"/>
        <v>19561.643835616444</v>
      </c>
      <c r="AC50" s="181">
        <f>IF(X50+Y50=0,0,AB50/((X50+Y50)/2))</f>
        <v>0.13041095890410961</v>
      </c>
      <c r="AD50" s="68">
        <f>+IF(AC50&gt;Parametros!$H$41,Parametros!$H$41*(X50+Y50)/2,AB50)</f>
        <v>11550</v>
      </c>
      <c r="AE50" s="68">
        <f t="shared" si="25"/>
        <v>8011.6438356164435</v>
      </c>
      <c r="AG50" s="181">
        <f>+IF(AC50&lt;Parametros!$H$41,V50,0)</f>
        <v>0</v>
      </c>
      <c r="AH50" s="68">
        <f t="shared" si="10"/>
        <v>0</v>
      </c>
      <c r="AI50" s="68">
        <f t="shared" ref="AI50" si="37">+AD50+AH50</f>
        <v>11550</v>
      </c>
      <c r="AJ50" s="181">
        <f t="shared" ref="AJ50" si="38">IF($X50+$Y50=0,0,AI50/(($X50+$Y50)/2))</f>
        <v>7.6999999999999999E-2</v>
      </c>
      <c r="AK50" s="68">
        <f>+IF(AJ50&gt;=Parametros!$H$41,Parametros!$H$41*($X50+$Y50)/2,AI50)</f>
        <v>11550</v>
      </c>
      <c r="AL50" s="242">
        <f t="shared" ref="AL50" si="39">IF($X50+$Y50=0,0,AK50/(($X50+$Y50)/2))</f>
        <v>7.6999999999999999E-2</v>
      </c>
      <c r="AM50" s="68">
        <f t="shared" ref="AM50" si="40">AI50-AK50</f>
        <v>0</v>
      </c>
      <c r="AO50" s="143">
        <f>+IF(AL50&gt;=Parametros!$H$41,0,'Calculo Excedentes'!D50+'Calculo Excedentes'!K50)</f>
        <v>0</v>
      </c>
      <c r="AP50" s="146">
        <f>+AO50/$AO$87</f>
        <v>0</v>
      </c>
      <c r="AS50" s="243">
        <f>+IF(AL50&lt;Parametros!$H$41,AP50,0)</f>
        <v>0</v>
      </c>
      <c r="AT50" s="68">
        <f t="shared" si="15"/>
        <v>0</v>
      </c>
      <c r="AU50" s="68">
        <f t="shared" si="16"/>
        <v>11550</v>
      </c>
      <c r="AV50" s="181">
        <f t="shared" si="17"/>
        <v>7.6999999999999999E-2</v>
      </c>
      <c r="AW50" s="68">
        <f>+IF(AV50&gt;=Parametros!$H$41,Parametros!$H$41*($X50+$Y50)/2,AU50)</f>
        <v>11550</v>
      </c>
      <c r="AX50" s="242">
        <f t="shared" ref="AX50" si="41">IF($X50+$Y50=0,0,AW50/(($X50+$Y50)/2))</f>
        <v>7.6999999999999999E-2</v>
      </c>
      <c r="AY50" s="68">
        <f t="shared" ref="AY50" si="42">AU50-AW50</f>
        <v>0</v>
      </c>
      <c r="AZ50" s="71"/>
      <c r="BA50" s="181">
        <f>+IF(AV50&lt;Parametros!$H$41,$AP50,0)</f>
        <v>0</v>
      </c>
      <c r="BB50" s="68">
        <f>IF(BA50=0,0,BA50/$BA$87*$AY$87)</f>
        <v>0</v>
      </c>
      <c r="BC50" s="68">
        <f t="shared" ref="BC50" si="43">+AW50+BB50</f>
        <v>11550</v>
      </c>
      <c r="BD50" s="181">
        <f>IF($X50+$Y50=0,0,MIN(Parametros!$H$41,BC50/(($X50+$Y50)/2)))</f>
        <v>7.6999999999999999E-2</v>
      </c>
      <c r="BE50" s="68">
        <f>+IF(BD50&gt;=Parametros!$H$41,Parametros!$H$41*($X50+$Y50)/2,BC50)</f>
        <v>11550</v>
      </c>
      <c r="BF50" s="68">
        <f t="shared" ref="BF50" si="44">BC50-BE50</f>
        <v>0</v>
      </c>
    </row>
    <row r="51" spans="1:58" s="13" customFormat="1" ht="13.8" thickBot="1" x14ac:dyDescent="0.3">
      <c r="A51" s="137"/>
      <c r="B51" s="137" t="s">
        <v>179</v>
      </c>
      <c r="D51" s="260">
        <f>+SUM(D7:D50)</f>
        <v>3075540.8499999996</v>
      </c>
      <c r="E51" s="260">
        <f>+SUM(E7:E50)</f>
        <v>1192991.6799999997</v>
      </c>
      <c r="F51" s="260">
        <f>+SUM(F7:F50)</f>
        <v>44692</v>
      </c>
      <c r="G51" s="260">
        <f t="shared" ref="G51:I51" si="45">+SUM(G7:G50)</f>
        <v>1199460.9314999999</v>
      </c>
      <c r="H51" s="260">
        <f t="shared" si="45"/>
        <v>0</v>
      </c>
      <c r="I51" s="138">
        <f t="shared" si="45"/>
        <v>638396.23849999998</v>
      </c>
      <c r="J51" s="72"/>
      <c r="K51" s="138"/>
      <c r="L51" s="138">
        <f t="shared" ref="L51" si="46">+SUM(L7:L50)</f>
        <v>0</v>
      </c>
      <c r="M51" s="138">
        <f>+SUM(M7:M50)</f>
        <v>0</v>
      </c>
      <c r="N51" s="138">
        <f t="shared" ref="N51" si="47">+SUM(N7:N50)</f>
        <v>0</v>
      </c>
      <c r="O51" s="138">
        <f t="shared" ref="O51" si="48">+SUM(O7:O50)</f>
        <v>0</v>
      </c>
      <c r="P51" s="72"/>
      <c r="Q51" s="138">
        <f t="shared" ref="Q51" si="49">+SUM(Q7:Q50)</f>
        <v>638396.23849999998</v>
      </c>
      <c r="R51" s="138">
        <f t="shared" ref="R51" si="50">+SUM(R7:R50)</f>
        <v>716933.75549999997</v>
      </c>
      <c r="S51" s="252">
        <f t="shared" ref="S51" si="51">+SUM(S7:S50)</f>
        <v>0.99805034344480514</v>
      </c>
      <c r="U51" s="138">
        <f t="shared" ref="U51:V51" si="52">+SUM(U7:U50)</f>
        <v>2383636.5499999998</v>
      </c>
      <c r="V51" s="252">
        <f t="shared" si="52"/>
        <v>0.99903773051480282</v>
      </c>
      <c r="X51" s="178">
        <f>+SUM(X7:X50)</f>
        <v>2654208.3899999992</v>
      </c>
      <c r="Y51" s="178">
        <f>+SUM(Y7:Y50)</f>
        <v>3360900.98</v>
      </c>
      <c r="Z51" s="178">
        <f>+SUM(Z7:Z50)</f>
        <v>179521.65741794519</v>
      </c>
      <c r="AA51" s="178">
        <f>+SUM(AA7:AA50)</f>
        <v>55858.703574056992</v>
      </c>
      <c r="AB51" s="178">
        <f>+SUM(AB7:AB50)</f>
        <v>235380.36099200221</v>
      </c>
      <c r="AC51" s="182"/>
      <c r="AD51" s="178">
        <f>+SUM(AD7:AD50)</f>
        <v>194819.08617884113</v>
      </c>
      <c r="AE51" s="178">
        <f>+SUM(AE7:AE50)</f>
        <v>40561.274813161115</v>
      </c>
      <c r="AF51" s="12"/>
      <c r="AG51" s="263">
        <f>+SUM(AG7:AG50)</f>
        <v>4.7012986277071733E-2</v>
      </c>
      <c r="AH51" s="178">
        <f t="shared" ref="AH51:AK51" si="53">+SUM(AH7:AH50)</f>
        <v>40175.108387488181</v>
      </c>
      <c r="AI51" s="178">
        <f t="shared" si="53"/>
        <v>234994.1945663293</v>
      </c>
      <c r="AJ51" s="178"/>
      <c r="AK51" s="178">
        <f t="shared" si="53"/>
        <v>217240.42038951209</v>
      </c>
      <c r="AL51" s="178"/>
      <c r="AM51" s="178">
        <f>+SUM(AM7:AM50)</f>
        <v>17753.774176817205</v>
      </c>
      <c r="AN51" s="12"/>
      <c r="AO51" s="301">
        <f>+SUM(AO7:AO50)</f>
        <v>754250.8</v>
      </c>
      <c r="AP51" s="262">
        <f>+SUM(AP7:AP50)</f>
        <v>0.99776264613701693</v>
      </c>
      <c r="AQ51" s="12"/>
      <c r="AR51" s="12"/>
      <c r="AS51" s="262">
        <f>+SUM(AS7:AS50)</f>
        <v>0.99776264613701693</v>
      </c>
      <c r="AT51" s="178">
        <f t="shared" ref="AT51:AU51" si="54">+SUM(AT7:AT50)</f>
        <v>18161.158635419535</v>
      </c>
      <c r="AU51" s="178">
        <f t="shared" si="54"/>
        <v>235401.57902493162</v>
      </c>
      <c r="AV51" s="184"/>
      <c r="AW51" s="178">
        <f>+SUM(AW7:AW50)</f>
        <v>224239.68676480051</v>
      </c>
      <c r="AX51" s="262"/>
      <c r="AY51" s="178">
        <f>+SUM(AY7:AY50)</f>
        <v>11161.892260131079</v>
      </c>
      <c r="AZ51" s="96"/>
      <c r="BA51" s="262">
        <f>+SUM(BA7:BA50)</f>
        <v>8.2475230808348524E-2</v>
      </c>
      <c r="BB51" s="178">
        <f t="shared" ref="BB51:BC51" si="55">+SUM(BB7:BB50)</f>
        <v>10865.567165581897</v>
      </c>
      <c r="BC51" s="178">
        <f t="shared" si="55"/>
        <v>235105.25393038243</v>
      </c>
      <c r="BD51" s="262"/>
      <c r="BE51" s="178">
        <f t="shared" ref="BE51:BF51" si="56">+SUM(BE7:BE50)</f>
        <v>231581.71074499999</v>
      </c>
      <c r="BF51" s="178">
        <f t="shared" si="56"/>
        <v>3523.5431853824412</v>
      </c>
    </row>
    <row r="52" spans="1:58" ht="40.799999999999997" x14ac:dyDescent="0.25">
      <c r="A52" s="255" t="s">
        <v>180</v>
      </c>
      <c r="B52" s="254" t="s">
        <v>44</v>
      </c>
      <c r="D52" s="132" t="s">
        <v>1</v>
      </c>
      <c r="E52" s="14" t="s">
        <v>40</v>
      </c>
      <c r="F52" s="14" t="s">
        <v>41</v>
      </c>
      <c r="G52" s="14" t="s">
        <v>42</v>
      </c>
      <c r="H52" s="14" t="s">
        <v>2</v>
      </c>
      <c r="I52" s="133" t="s">
        <v>51</v>
      </c>
      <c r="K52" s="132" t="s">
        <v>1</v>
      </c>
      <c r="L52" s="14" t="s">
        <v>0</v>
      </c>
      <c r="M52" s="14" t="s">
        <v>42</v>
      </c>
      <c r="N52" s="14" t="s">
        <v>2</v>
      </c>
      <c r="O52" s="133" t="s">
        <v>51</v>
      </c>
      <c r="Q52" s="201" t="s">
        <v>53</v>
      </c>
      <c r="R52" s="202" t="s">
        <v>52</v>
      </c>
      <c r="S52" s="203" t="s">
        <v>181</v>
      </c>
      <c r="T52" s="12"/>
      <c r="U52" s="201" t="s">
        <v>183</v>
      </c>
      <c r="V52" s="245" t="s">
        <v>22</v>
      </c>
      <c r="X52" s="180" t="s">
        <v>190</v>
      </c>
      <c r="Y52" s="180" t="s">
        <v>191</v>
      </c>
      <c r="Z52" s="180" t="s">
        <v>192</v>
      </c>
      <c r="AA52" s="180" t="s">
        <v>193</v>
      </c>
      <c r="AB52" s="180" t="s">
        <v>194</v>
      </c>
      <c r="AC52" s="180" t="s">
        <v>195</v>
      </c>
      <c r="AD52" s="180" t="s">
        <v>196</v>
      </c>
      <c r="AE52" s="180" t="s">
        <v>197</v>
      </c>
      <c r="AF52" s="12"/>
      <c r="AG52" s="180" t="s">
        <v>198</v>
      </c>
      <c r="AH52" s="180" t="s">
        <v>95</v>
      </c>
      <c r="AI52" s="180" t="s">
        <v>199</v>
      </c>
      <c r="AJ52" s="180" t="s">
        <v>202</v>
      </c>
      <c r="AK52" s="180" t="s">
        <v>200</v>
      </c>
      <c r="AL52" s="198" t="s">
        <v>260</v>
      </c>
      <c r="AM52" s="180" t="s">
        <v>201</v>
      </c>
      <c r="AN52" s="204"/>
      <c r="AO52" s="201" t="s">
        <v>183</v>
      </c>
      <c r="AP52" s="245" t="s">
        <v>22</v>
      </c>
      <c r="AQ52" s="204"/>
      <c r="AR52" s="204"/>
      <c r="AS52" s="180" t="s">
        <v>203</v>
      </c>
      <c r="AT52" s="180" t="s">
        <v>204</v>
      </c>
      <c r="AU52" s="180" t="s">
        <v>205</v>
      </c>
      <c r="AV52" s="180" t="s">
        <v>206</v>
      </c>
      <c r="AW52" s="198" t="s">
        <v>253</v>
      </c>
      <c r="AX52" s="198" t="s">
        <v>260</v>
      </c>
      <c r="AY52" s="198" t="s">
        <v>254</v>
      </c>
      <c r="AZ52" s="205"/>
      <c r="BA52" s="198" t="s">
        <v>255</v>
      </c>
      <c r="BB52" s="198" t="s">
        <v>256</v>
      </c>
      <c r="BC52" s="198" t="s">
        <v>257</v>
      </c>
      <c r="BD52" s="198" t="s">
        <v>258</v>
      </c>
      <c r="BE52" s="198" t="s">
        <v>259</v>
      </c>
      <c r="BF52" s="198" t="s">
        <v>254</v>
      </c>
    </row>
    <row r="53" spans="1:58" x14ac:dyDescent="0.25">
      <c r="A53" s="248" t="s">
        <v>148</v>
      </c>
      <c r="B53" s="130" t="s">
        <v>56</v>
      </c>
      <c r="D53" s="126">
        <v>603.75</v>
      </c>
      <c r="E53" s="126">
        <v>4220.32</v>
      </c>
      <c r="F53" s="127"/>
      <c r="G53" s="9">
        <f t="shared" ref="G53:G83" si="57">+D53*$G$6</f>
        <v>235.46250000000001</v>
      </c>
      <c r="H53" s="9">
        <f t="shared" ref="H53:H83" si="58">+D53*$H$6</f>
        <v>0</v>
      </c>
      <c r="I53" s="135">
        <f t="shared" ref="I53:I83" si="59">+D53-E53-F53-G53-H53</f>
        <v>-3852.0324999999998</v>
      </c>
      <c r="J53" s="5"/>
      <c r="K53" s="134"/>
      <c r="L53" s="237"/>
      <c r="M53" s="9">
        <f t="shared" ref="M53:M82" si="60">+K53*$M$6</f>
        <v>0</v>
      </c>
      <c r="N53" s="9">
        <f t="shared" ref="N53:N82" si="61">+K53*$N$6</f>
        <v>0</v>
      </c>
      <c r="O53" s="135">
        <f t="shared" ref="O53:O82" si="62">+K53-L53-M53-N53</f>
        <v>0</v>
      </c>
      <c r="P53" s="5"/>
      <c r="Q53" s="143">
        <f t="shared" ref="Q53:Q83" si="63">+I53+O53</f>
        <v>-3852.0324999999998</v>
      </c>
      <c r="R53" s="9">
        <f t="shared" ref="R53:R83" si="64">+IF(Q53&gt;0,Q53,0)</f>
        <v>0</v>
      </c>
      <c r="S53" s="144">
        <f t="shared" ref="S53:S83" si="65">+R53/$R$87</f>
        <v>0</v>
      </c>
      <c r="T53" s="12"/>
      <c r="U53" s="143">
        <f t="shared" ref="U53:U83" si="66">+IF(R53&gt;0,D53+K53,0)</f>
        <v>0</v>
      </c>
      <c r="V53" s="144">
        <f t="shared" ref="V53:V83" si="67">+U53/$U$87</f>
        <v>0</v>
      </c>
      <c r="X53" s="68">
        <f>+'Calculo Intereses PERS NAT'!G8</f>
        <v>1828.57</v>
      </c>
      <c r="Y53" s="268">
        <f>+'Calculo Intereses PERS NAT'!G24</f>
        <v>2056.5</v>
      </c>
      <c r="Z53" s="268">
        <f>+'Calculo Intereses PERS NAT'!J24</f>
        <v>111.56194726027395</v>
      </c>
      <c r="AA53" s="68">
        <f>+V53*Parametros!$I$39</f>
        <v>0</v>
      </c>
      <c r="AB53" s="68">
        <f t="shared" ref="AB53:AB83" si="68">+Z53+AA53</f>
        <v>111.56194726027395</v>
      </c>
      <c r="AC53" s="181">
        <f t="shared" ref="AC53:AC83" si="69">IF(X53+Y53=0,0,AB53/((X53+Y53)/2))</f>
        <v>5.7431113086906523E-2</v>
      </c>
      <c r="AD53" s="68">
        <f>+IF(AC53&gt;Parametros!$H$41,Parametros!$H$41*(X53+Y53)/2,AB53)</f>
        <v>111.56194726027395</v>
      </c>
      <c r="AE53" s="68">
        <f t="shared" ref="AE53:AE83" si="70">+AB53-AD53</f>
        <v>0</v>
      </c>
      <c r="AF53" s="12"/>
      <c r="AG53" s="181">
        <f>+IF(AC53&lt;Parametros!$H$41,V53,0)</f>
        <v>0</v>
      </c>
      <c r="AH53" s="68">
        <f t="shared" ref="AH53:AH83" si="71">IF($AG$87=0,0,AG53/$AG$87*$AE$87)</f>
        <v>0</v>
      </c>
      <c r="AI53" s="68">
        <f t="shared" ref="AI53:AI83" si="72">+AD53+AH53</f>
        <v>111.56194726027395</v>
      </c>
      <c r="AJ53" s="181">
        <f t="shared" ref="AJ53:AJ83" si="73">IF($X53+$Y53=0,0,AI53/(($X53+$Y53)/2))</f>
        <v>5.7431113086906523E-2</v>
      </c>
      <c r="AK53" s="68">
        <f>+IF(AJ53&gt;=Parametros!$H$41,Parametros!$H$41*($X53+$Y53)/2,AI53)</f>
        <v>111.56194726027395</v>
      </c>
      <c r="AL53" s="242">
        <f t="shared" ref="AL53:AL83" si="74">IF($X53+$Y53=0,0,AK53/(($X53+$Y53)/2))</f>
        <v>5.7431113086906523E-2</v>
      </c>
      <c r="AM53" s="68">
        <f t="shared" ref="AM53:AM83" si="75">AI53-AK53</f>
        <v>0</v>
      </c>
      <c r="AO53" s="298">
        <f>+IF(AL53&gt;=Parametros!$H$41,0,'Calculo Excedentes'!D53+'Calculo Excedentes'!K53)</f>
        <v>603.75</v>
      </c>
      <c r="AP53" s="146">
        <f t="shared" ref="AP53:AP84" si="76">+AO53/$AO$87</f>
        <v>7.9867226870057541E-4</v>
      </c>
      <c r="AS53" s="243">
        <f>+IF(AL53&lt;Parametros!$H$41,AP53,0)</f>
        <v>7.9867226870057541E-4</v>
      </c>
      <c r="AT53" s="68">
        <f t="shared" ref="AT53:AT83" si="77">IF($AS$87=0,0,AS53/$AS$87*$AM$87)</f>
        <v>14.537338941018747</v>
      </c>
      <c r="AU53" s="68">
        <f t="shared" ref="AU53:AU83" si="78">+AK53+AT53</f>
        <v>126.0992862012927</v>
      </c>
      <c r="AV53" s="181">
        <f t="shared" ref="AV53:AV83" si="79">IF($X53+$Y53=0,0,AU53/(($X53+$Y53)/2))</f>
        <v>6.4914807816226064E-2</v>
      </c>
      <c r="AW53" s="68">
        <f>+IF(AV53&gt;=Parametros!$H$41,Parametros!$H$41*($X53+$Y53)/2,AU53)</f>
        <v>126.0992862012927</v>
      </c>
      <c r="AX53" s="242">
        <f t="shared" ref="AX53:AX84" si="80">IF($X53+$Y53=0,0,AW53/(($X53+$Y53)/2))</f>
        <v>6.4914807816226064E-2</v>
      </c>
      <c r="AY53" s="68">
        <f t="shared" ref="AY53:AY84" si="81">AU53-AW53</f>
        <v>0</v>
      </c>
      <c r="BA53" s="181">
        <f>+IF(AV53&lt;Parametros!$H$41,$AP53,0)</f>
        <v>7.9867226870057541E-4</v>
      </c>
      <c r="BB53" s="68">
        <f t="shared" ref="BB53:BB84" si="82">IF(BA53=0,0,BA53/$BA$87*$AY$87)</f>
        <v>105.21979864499325</v>
      </c>
      <c r="BC53" s="68">
        <f t="shared" ref="BC53:BC84" si="83">+AW53+BB53</f>
        <v>231.31908484628593</v>
      </c>
      <c r="BD53" s="181">
        <f>IF($X53+$Y53=0,0,MIN(Parametros!$H$41,BC53/(($X53+$Y53)/2)))</f>
        <v>7.6999999999999999E-2</v>
      </c>
      <c r="BE53" s="68">
        <f>+IF(BD53&gt;=Parametros!$H$41,Parametros!$H$41*($X53+$Y53)/2,BC53)</f>
        <v>149.57519499999998</v>
      </c>
      <c r="BF53" s="68">
        <f t="shared" ref="BF53:BF84" si="84">BC53-BE53</f>
        <v>81.743889846285953</v>
      </c>
    </row>
    <row r="54" spans="1:58" x14ac:dyDescent="0.25">
      <c r="A54" s="248" t="s">
        <v>149</v>
      </c>
      <c r="B54" s="130" t="s">
        <v>65</v>
      </c>
      <c r="D54" s="126">
        <v>136.93</v>
      </c>
      <c r="E54" s="126">
        <v>0</v>
      </c>
      <c r="F54" s="127"/>
      <c r="G54" s="9">
        <f t="shared" si="57"/>
        <v>53.402700000000003</v>
      </c>
      <c r="H54" s="9">
        <f t="shared" si="58"/>
        <v>0</v>
      </c>
      <c r="I54" s="135">
        <f t="shared" si="59"/>
        <v>83.527299999999997</v>
      </c>
      <c r="J54" s="5"/>
      <c r="K54" s="134"/>
      <c r="L54" s="126"/>
      <c r="M54" s="9">
        <f t="shared" si="60"/>
        <v>0</v>
      </c>
      <c r="N54" s="9">
        <f t="shared" si="61"/>
        <v>0</v>
      </c>
      <c r="O54" s="135">
        <f t="shared" si="62"/>
        <v>0</v>
      </c>
      <c r="P54" s="5"/>
      <c r="Q54" s="143">
        <f t="shared" si="63"/>
        <v>83.527299999999997</v>
      </c>
      <c r="R54" s="9">
        <f t="shared" si="64"/>
        <v>83.527299999999997</v>
      </c>
      <c r="S54" s="144">
        <f t="shared" si="65"/>
        <v>1.1627915384438508E-4</v>
      </c>
      <c r="T54" s="12"/>
      <c r="U54" s="143">
        <f t="shared" si="66"/>
        <v>136.93</v>
      </c>
      <c r="V54" s="144">
        <f t="shared" si="67"/>
        <v>5.7390559999338796E-5</v>
      </c>
      <c r="W54" s="71">
        <f>+W55-Y55</f>
        <v>0</v>
      </c>
      <c r="X54" s="68">
        <f>+'Calculo Intereses PERS NAT'!G29</f>
        <v>1828.57</v>
      </c>
      <c r="Y54" s="268">
        <f>+'Calculo Intereses PERS NAT'!G45</f>
        <v>2042.08</v>
      </c>
      <c r="Z54" s="268">
        <f>+'Calculo Intereses PERS NAT'!J45</f>
        <v>110.86662671232875</v>
      </c>
      <c r="AA54" s="68">
        <f>+V54*Parametros!$I$39</f>
        <v>3.2088500574450527</v>
      </c>
      <c r="AB54" s="68">
        <f t="shared" si="68"/>
        <v>114.0754767697738</v>
      </c>
      <c r="AC54" s="181">
        <f t="shared" si="69"/>
        <v>5.8943834637476294E-2</v>
      </c>
      <c r="AD54" s="68">
        <f>+IF(AC54&gt;Parametros!$H$41,Parametros!$H$41*(X54+Y54)/2,AB54)</f>
        <v>114.0754767697738</v>
      </c>
      <c r="AE54" s="68">
        <f t="shared" si="70"/>
        <v>0</v>
      </c>
      <c r="AF54" s="12"/>
      <c r="AG54" s="181">
        <f>+IF(AC54&lt;Parametros!$H$41,V54,0)</f>
        <v>5.7390559999338796E-5</v>
      </c>
      <c r="AH54" s="68">
        <f t="shared" si="71"/>
        <v>49.043299542887311</v>
      </c>
      <c r="AI54" s="68">
        <f t="shared" si="72"/>
        <v>163.11877631266111</v>
      </c>
      <c r="AJ54" s="181">
        <f t="shared" si="73"/>
        <v>8.4284952818085401E-2</v>
      </c>
      <c r="AK54" s="68">
        <f>+IF(AJ54&gt;=Parametros!$H$41,Parametros!$H$41*($X54+$Y54)/2,AI54)</f>
        <v>149.02002499999998</v>
      </c>
      <c r="AL54" s="242">
        <f t="shared" si="74"/>
        <v>7.6999999999999999E-2</v>
      </c>
      <c r="AM54" s="68">
        <f t="shared" si="75"/>
        <v>14.098751312661136</v>
      </c>
      <c r="AO54" s="143">
        <f>+IF(AL54&gt;=Parametros!$H$41,0,'Calculo Excedentes'!D54+'Calculo Excedentes'!K54)</f>
        <v>0</v>
      </c>
      <c r="AP54" s="146">
        <f t="shared" si="76"/>
        <v>0</v>
      </c>
      <c r="AS54" s="243">
        <f>+IF(AL54&lt;Parametros!$H$41,AP54,0)</f>
        <v>0</v>
      </c>
      <c r="AT54" s="68">
        <f t="shared" si="77"/>
        <v>0</v>
      </c>
      <c r="AU54" s="68">
        <f t="shared" si="78"/>
        <v>149.02002499999998</v>
      </c>
      <c r="AV54" s="181">
        <f t="shared" si="79"/>
        <v>7.6999999999999999E-2</v>
      </c>
      <c r="AW54" s="68">
        <f>+IF(AV54&gt;=Parametros!$H$41,Parametros!$H$41*($X54+$Y54)/2,AU54)</f>
        <v>149.02002499999998</v>
      </c>
      <c r="AX54" s="242">
        <f t="shared" si="80"/>
        <v>7.6999999999999999E-2</v>
      </c>
      <c r="AY54" s="68">
        <f t="shared" si="81"/>
        <v>0</v>
      </c>
      <c r="BA54" s="181">
        <f>+IF(AV54&lt;Parametros!$H$41,$AP54,0)</f>
        <v>0</v>
      </c>
      <c r="BB54" s="68">
        <f t="shared" si="82"/>
        <v>0</v>
      </c>
      <c r="BC54" s="68">
        <f t="shared" si="83"/>
        <v>149.02002499999998</v>
      </c>
      <c r="BD54" s="181">
        <f>IF($X54+$Y54=0,0,MIN(Parametros!$H$41,BC54/(($X54+$Y54)/2)))</f>
        <v>7.6999999999999999E-2</v>
      </c>
      <c r="BE54" s="68">
        <f>+IF(BD54&gt;=Parametros!$H$41,Parametros!$H$41*($X54+$Y54)/2,BC54)</f>
        <v>149.02002499999998</v>
      </c>
      <c r="BF54" s="68">
        <f t="shared" si="84"/>
        <v>0</v>
      </c>
    </row>
    <row r="55" spans="1:58" x14ac:dyDescent="0.25">
      <c r="A55" s="248" t="s">
        <v>150</v>
      </c>
      <c r="B55" s="130" t="s">
        <v>64</v>
      </c>
      <c r="D55" s="126">
        <v>1087.56</v>
      </c>
      <c r="E55" s="126">
        <v>1194.07</v>
      </c>
      <c r="F55" s="127"/>
      <c r="G55" s="9">
        <f t="shared" si="57"/>
        <v>424.14839999999998</v>
      </c>
      <c r="H55" s="9">
        <f t="shared" si="58"/>
        <v>0</v>
      </c>
      <c r="I55" s="135">
        <f t="shared" si="59"/>
        <v>-530.65840000000003</v>
      </c>
      <c r="J55" s="5"/>
      <c r="K55" s="238"/>
      <c r="L55" s="237"/>
      <c r="M55" s="9">
        <f t="shared" si="60"/>
        <v>0</v>
      </c>
      <c r="N55" s="9">
        <f t="shared" si="61"/>
        <v>0</v>
      </c>
      <c r="O55" s="135">
        <f t="shared" si="62"/>
        <v>0</v>
      </c>
      <c r="P55" s="5"/>
      <c r="Q55" s="143">
        <f t="shared" si="63"/>
        <v>-530.65840000000003</v>
      </c>
      <c r="R55" s="9">
        <f t="shared" si="64"/>
        <v>0</v>
      </c>
      <c r="S55" s="144">
        <f t="shared" si="65"/>
        <v>0</v>
      </c>
      <c r="T55" s="12"/>
      <c r="U55" s="143">
        <f t="shared" si="66"/>
        <v>0</v>
      </c>
      <c r="V55" s="144">
        <f t="shared" si="67"/>
        <v>0</v>
      </c>
      <c r="W55" s="12">
        <f>4836.17</f>
        <v>4836.17</v>
      </c>
      <c r="X55" s="68">
        <f>+'Calculo Intereses PERS NAT'!G50</f>
        <v>2742.85</v>
      </c>
      <c r="Y55" s="268">
        <f>+'Calculo Intereses PERS NAT'!G70</f>
        <v>4836.17</v>
      </c>
      <c r="Z55" s="268">
        <f>+'Calculo Intereses PERS NAT'!J70</f>
        <v>227.39157205479449</v>
      </c>
      <c r="AA55" s="68">
        <f>+V55*Parametros!$I$39</f>
        <v>0</v>
      </c>
      <c r="AB55" s="68">
        <f t="shared" si="68"/>
        <v>227.39157205479449</v>
      </c>
      <c r="AC55" s="181">
        <f t="shared" si="69"/>
        <v>6.0005534239200971E-2</v>
      </c>
      <c r="AD55" s="68">
        <f>+IF(AC55&gt;Parametros!$H$41,Parametros!$H$41*(X55+Y55)/2,AB55)</f>
        <v>227.39157205479449</v>
      </c>
      <c r="AE55" s="68">
        <f t="shared" si="70"/>
        <v>0</v>
      </c>
      <c r="AF55" s="12"/>
      <c r="AG55" s="181">
        <f>+IF(AC55&lt;Parametros!$H$41,V55,0)</f>
        <v>0</v>
      </c>
      <c r="AH55" s="68">
        <f t="shared" si="71"/>
        <v>0</v>
      </c>
      <c r="AI55" s="68">
        <f t="shared" si="72"/>
        <v>227.39157205479449</v>
      </c>
      <c r="AJ55" s="181">
        <f t="shared" si="73"/>
        <v>6.0005534239200971E-2</v>
      </c>
      <c r="AK55" s="68">
        <f>+IF(AJ55&gt;=Parametros!$H$41,Parametros!$H$41*($X55+$Y55)/2,AI55)</f>
        <v>227.39157205479449</v>
      </c>
      <c r="AL55" s="242">
        <f t="shared" si="74"/>
        <v>6.0005534239200971E-2</v>
      </c>
      <c r="AM55" s="68">
        <f t="shared" si="75"/>
        <v>0</v>
      </c>
      <c r="AO55" s="298">
        <f>+IF(AL55&gt;=Parametros!$H$41,0,'Calculo Excedentes'!D55+'Calculo Excedentes'!K55)</f>
        <v>1087.56</v>
      </c>
      <c r="AP55" s="146">
        <f t="shared" si="76"/>
        <v>1.4386815942823978E-3</v>
      </c>
      <c r="AS55" s="243">
        <f>+IF(AL55&lt;Parametros!$H$41,AP55,0)</f>
        <v>1.4386815942823978E-3</v>
      </c>
      <c r="AT55" s="68">
        <f t="shared" si="77"/>
        <v>26.186713604462685</v>
      </c>
      <c r="AU55" s="68">
        <f t="shared" si="78"/>
        <v>253.57828565925718</v>
      </c>
      <c r="AV55" s="181">
        <f t="shared" si="79"/>
        <v>6.6915850772067409E-2</v>
      </c>
      <c r="AW55" s="68">
        <f>+IF(AV55&gt;=Parametros!$H$41,Parametros!$H$41*($X55+$Y55)/2,AU55)</f>
        <v>253.57828565925718</v>
      </c>
      <c r="AX55" s="242">
        <f t="shared" si="80"/>
        <v>6.6915850772067409E-2</v>
      </c>
      <c r="AY55" s="68">
        <f t="shared" si="81"/>
        <v>0</v>
      </c>
      <c r="BA55" s="181">
        <f>+IF(AV55&lt;Parametros!$H$41,$AP55,0)</f>
        <v>1.4386815942823978E-3</v>
      </c>
      <c r="BB55" s="68">
        <f t="shared" si="82"/>
        <v>189.53680201134381</v>
      </c>
      <c r="BC55" s="68">
        <f t="shared" si="83"/>
        <v>443.11508767060099</v>
      </c>
      <c r="BD55" s="181">
        <f>IF($X55+$Y55=0,0,MIN(Parametros!$H$41,BC55/(($X55+$Y55)/2)))</f>
        <v>7.6999999999999999E-2</v>
      </c>
      <c r="BE55" s="68">
        <f>+IF(BD55&gt;=Parametros!$H$41,Parametros!$H$41*($X55+$Y55)/2,BC55)</f>
        <v>291.79227000000003</v>
      </c>
      <c r="BF55" s="68">
        <f t="shared" si="84"/>
        <v>151.32281767060095</v>
      </c>
    </row>
    <row r="56" spans="1:58" x14ac:dyDescent="0.25">
      <c r="A56" s="248" t="s">
        <v>151</v>
      </c>
      <c r="B56" s="130" t="s">
        <v>61</v>
      </c>
      <c r="D56" s="126">
        <v>516.1</v>
      </c>
      <c r="E56" s="126">
        <v>0</v>
      </c>
      <c r="F56" s="127"/>
      <c r="G56" s="9">
        <f t="shared" si="57"/>
        <v>201.27900000000002</v>
      </c>
      <c r="H56" s="9">
        <f t="shared" si="58"/>
        <v>0</v>
      </c>
      <c r="I56" s="135">
        <f t="shared" si="59"/>
        <v>314.82100000000003</v>
      </c>
      <c r="J56" s="5"/>
      <c r="K56" s="134"/>
      <c r="L56" s="134"/>
      <c r="M56" s="9">
        <f t="shared" si="60"/>
        <v>0</v>
      </c>
      <c r="N56" s="9">
        <f t="shared" si="61"/>
        <v>0</v>
      </c>
      <c r="O56" s="135">
        <f t="shared" si="62"/>
        <v>0</v>
      </c>
      <c r="P56" s="5"/>
      <c r="Q56" s="143">
        <f t="shared" si="63"/>
        <v>314.82100000000003</v>
      </c>
      <c r="R56" s="9">
        <f t="shared" si="64"/>
        <v>314.82100000000003</v>
      </c>
      <c r="S56" s="144">
        <f t="shared" si="65"/>
        <v>4.3826532753295222E-4</v>
      </c>
      <c r="T56" s="12"/>
      <c r="U56" s="143">
        <f t="shared" si="66"/>
        <v>516.1</v>
      </c>
      <c r="V56" s="144">
        <f t="shared" si="67"/>
        <v>2.163095597433634E-4</v>
      </c>
      <c r="X56" s="68">
        <f>+'Calculo Intereses PERS NAT'!G75</f>
        <v>1942.86</v>
      </c>
      <c r="Y56" s="268">
        <f>+'Calculo Intereses PERS NAT'!G91</f>
        <v>2093.5299999999997</v>
      </c>
      <c r="Z56" s="268">
        <f>+'Calculo Intereses PERS NAT'!J91</f>
        <v>114.12248356164383</v>
      </c>
      <c r="AA56" s="68">
        <f>+V56*Parametros!$I$39</f>
        <v>12.094409659295929</v>
      </c>
      <c r="AB56" s="68">
        <f t="shared" si="68"/>
        <v>126.21689322093977</v>
      </c>
      <c r="AC56" s="181">
        <f t="shared" si="69"/>
        <v>6.25394935677374E-2</v>
      </c>
      <c r="AD56" s="68">
        <f>+IF(AC56&gt;Parametros!$H$41,Parametros!$H$41*(X56+Y56)/2,AB56)</f>
        <v>126.21689322093977</v>
      </c>
      <c r="AE56" s="68">
        <f t="shared" si="70"/>
        <v>0</v>
      </c>
      <c r="AF56" s="12"/>
      <c r="AG56" s="181">
        <f>+IF(AC56&lt;Parametros!$H$41,V56,0)</f>
        <v>2.163095597433634E-4</v>
      </c>
      <c r="AH56" s="68">
        <f t="shared" si="71"/>
        <v>184.84807488559218</v>
      </c>
      <c r="AI56" s="68">
        <f t="shared" si="72"/>
        <v>311.06496810653198</v>
      </c>
      <c r="AJ56" s="181">
        <f t="shared" si="73"/>
        <v>0.15413028379642801</v>
      </c>
      <c r="AK56" s="68">
        <f>+IF(AJ56&gt;=Parametros!$H$41,Parametros!$H$41*($X56+$Y56)/2,AI56)</f>
        <v>155.40101499999997</v>
      </c>
      <c r="AL56" s="242">
        <f t="shared" si="74"/>
        <v>7.6999999999999999E-2</v>
      </c>
      <c r="AM56" s="68">
        <f t="shared" si="75"/>
        <v>155.66395310653201</v>
      </c>
      <c r="AO56" s="143">
        <f>+IF(AL56&gt;=Parametros!$H$41,0,'Calculo Excedentes'!D56+'Calculo Excedentes'!K56)</f>
        <v>0</v>
      </c>
      <c r="AP56" s="146">
        <f t="shared" si="76"/>
        <v>0</v>
      </c>
      <c r="AS56" s="243">
        <f>+IF(AL56&lt;Parametros!$H$41,AP56,0)</f>
        <v>0</v>
      </c>
      <c r="AT56" s="68">
        <f t="shared" si="77"/>
        <v>0</v>
      </c>
      <c r="AU56" s="68">
        <f t="shared" si="78"/>
        <v>155.40101499999997</v>
      </c>
      <c r="AV56" s="181">
        <f t="shared" si="79"/>
        <v>7.6999999999999999E-2</v>
      </c>
      <c r="AW56" s="68">
        <f>+IF(AV56&gt;=Parametros!$H$41,Parametros!$H$41*($X56+$Y56)/2,AU56)</f>
        <v>155.40101499999997</v>
      </c>
      <c r="AX56" s="242">
        <f t="shared" si="80"/>
        <v>7.6999999999999999E-2</v>
      </c>
      <c r="AY56" s="68">
        <f t="shared" si="81"/>
        <v>0</v>
      </c>
      <c r="BA56" s="181">
        <f>+IF(AV56&lt;Parametros!$H$41,$AP56,0)</f>
        <v>0</v>
      </c>
      <c r="BB56" s="68">
        <f t="shared" si="82"/>
        <v>0</v>
      </c>
      <c r="BC56" s="68">
        <f t="shared" si="83"/>
        <v>155.40101499999997</v>
      </c>
      <c r="BD56" s="181">
        <f>IF($X56+$Y56=0,0,MIN(Parametros!$H$41,BC56/(($X56+$Y56)/2)))</f>
        <v>7.6999999999999999E-2</v>
      </c>
      <c r="BE56" s="68">
        <f>+IF(BD56&gt;=Parametros!$H$41,Parametros!$H$41*($X56+$Y56)/2,BC56)</f>
        <v>155.40101499999997</v>
      </c>
      <c r="BF56" s="68">
        <f t="shared" si="84"/>
        <v>0</v>
      </c>
    </row>
    <row r="57" spans="1:58" x14ac:dyDescent="0.25">
      <c r="A57" s="248" t="s">
        <v>152</v>
      </c>
      <c r="B57" s="130" t="s">
        <v>57</v>
      </c>
      <c r="D57" s="126">
        <v>275.75</v>
      </c>
      <c r="E57" s="126">
        <v>0</v>
      </c>
      <c r="F57" s="127"/>
      <c r="G57" s="9">
        <f t="shared" si="57"/>
        <v>107.5425</v>
      </c>
      <c r="H57" s="9">
        <f t="shared" si="58"/>
        <v>0</v>
      </c>
      <c r="I57" s="135">
        <f t="shared" si="59"/>
        <v>168.20749999999998</v>
      </c>
      <c r="J57" s="5"/>
      <c r="K57" s="134"/>
      <c r="L57" s="126"/>
      <c r="M57" s="9">
        <f t="shared" si="60"/>
        <v>0</v>
      </c>
      <c r="N57" s="9">
        <f t="shared" si="61"/>
        <v>0</v>
      </c>
      <c r="O57" s="135">
        <f t="shared" si="62"/>
        <v>0</v>
      </c>
      <c r="P57" s="5"/>
      <c r="Q57" s="143">
        <f t="shared" si="63"/>
        <v>168.20749999999998</v>
      </c>
      <c r="R57" s="9">
        <f t="shared" si="64"/>
        <v>168.20749999999998</v>
      </c>
      <c r="S57" s="144">
        <f t="shared" si="65"/>
        <v>2.3416327081420568E-4</v>
      </c>
      <c r="T57" s="12"/>
      <c r="U57" s="143">
        <f t="shared" si="66"/>
        <v>275.75</v>
      </c>
      <c r="V57" s="144">
        <f t="shared" si="67"/>
        <v>1.1557326312581371E-4</v>
      </c>
      <c r="X57" s="68">
        <f>+'Calculo Intereses PERS NAT'!G96</f>
        <v>298.7</v>
      </c>
      <c r="Y57" s="268">
        <f>+'Calculo Intereses PERS NAT'!G112</f>
        <v>319.25</v>
      </c>
      <c r="Z57" s="268">
        <f>+'Calculo Intereses PERS NAT'!J112</f>
        <v>17.419404109589042</v>
      </c>
      <c r="AA57" s="68">
        <f>+V57*Parametros!$I$39</f>
        <v>6.4619908226135481</v>
      </c>
      <c r="AB57" s="68">
        <f t="shared" si="68"/>
        <v>23.881394932202589</v>
      </c>
      <c r="AC57" s="181">
        <f t="shared" si="69"/>
        <v>7.7292321165798483E-2</v>
      </c>
      <c r="AD57" s="68">
        <f>+IF(AC57&gt;Parametros!$H$41,Parametros!$H$41*(X57+Y57)/2,AB57)</f>
        <v>23.791075000000003</v>
      </c>
      <c r="AE57" s="68">
        <f t="shared" si="70"/>
        <v>9.0319932202586273E-2</v>
      </c>
      <c r="AF57" s="12"/>
      <c r="AG57" s="181">
        <f>+IF(AC57&lt;Parametros!$H$41,V57,0)</f>
        <v>0</v>
      </c>
      <c r="AH57" s="68">
        <f t="shared" si="71"/>
        <v>0</v>
      </c>
      <c r="AI57" s="68">
        <f t="shared" si="72"/>
        <v>23.791075000000003</v>
      </c>
      <c r="AJ57" s="181">
        <f t="shared" si="73"/>
        <v>7.6999999999999999E-2</v>
      </c>
      <c r="AK57" s="68">
        <f>+IF(AJ57&gt;=Parametros!$H$41,Parametros!$H$41*($X57+$Y57)/2,AI57)</f>
        <v>23.791075000000003</v>
      </c>
      <c r="AL57" s="242">
        <f t="shared" si="74"/>
        <v>7.6999999999999999E-2</v>
      </c>
      <c r="AM57" s="68">
        <f t="shared" si="75"/>
        <v>0</v>
      </c>
      <c r="AO57" s="143">
        <f>+IF(AL57&gt;=Parametros!$H$41,0,'Calculo Excedentes'!D57+'Calculo Excedentes'!K57)</f>
        <v>0</v>
      </c>
      <c r="AP57" s="146">
        <f t="shared" si="76"/>
        <v>0</v>
      </c>
      <c r="AS57" s="243">
        <f>+IF(AL57&lt;Parametros!$H$41,AP57,0)</f>
        <v>0</v>
      </c>
      <c r="AT57" s="68">
        <f t="shared" si="77"/>
        <v>0</v>
      </c>
      <c r="AU57" s="68">
        <f t="shared" si="78"/>
        <v>23.791075000000003</v>
      </c>
      <c r="AV57" s="181">
        <f t="shared" si="79"/>
        <v>7.6999999999999999E-2</v>
      </c>
      <c r="AW57" s="68">
        <f>+IF(AV57&gt;=Parametros!$H$41,Parametros!$H$41*($X57+$Y57)/2,AU57)</f>
        <v>23.791075000000003</v>
      </c>
      <c r="AX57" s="242">
        <f t="shared" si="80"/>
        <v>7.6999999999999999E-2</v>
      </c>
      <c r="AY57" s="68">
        <f t="shared" si="81"/>
        <v>0</v>
      </c>
      <c r="BA57" s="181">
        <f>+IF(AV57&lt;Parametros!$H$41,$AP57,0)</f>
        <v>0</v>
      </c>
      <c r="BB57" s="68">
        <f t="shared" si="82"/>
        <v>0</v>
      </c>
      <c r="BC57" s="68">
        <f t="shared" si="83"/>
        <v>23.791075000000003</v>
      </c>
      <c r="BD57" s="181">
        <f>IF($X57+$Y57=0,0,MIN(Parametros!$H$41,BC57/(($X57+$Y57)/2)))</f>
        <v>7.6999999999999999E-2</v>
      </c>
      <c r="BE57" s="68">
        <f>+IF(BD57&gt;=Parametros!$H$41,Parametros!$H$41*($X57+$Y57)/2,BC57)</f>
        <v>23.791075000000003</v>
      </c>
      <c r="BF57" s="68">
        <f t="shared" si="84"/>
        <v>0</v>
      </c>
    </row>
    <row r="58" spans="1:58" x14ac:dyDescent="0.25">
      <c r="A58" s="248" t="s">
        <v>153</v>
      </c>
      <c r="B58" s="130" t="s">
        <v>58</v>
      </c>
      <c r="D58" s="126">
        <v>193.95</v>
      </c>
      <c r="E58" s="126">
        <v>0</v>
      </c>
      <c r="F58" s="127"/>
      <c r="G58" s="9">
        <f t="shared" si="57"/>
        <v>75.640500000000003</v>
      </c>
      <c r="H58" s="9">
        <f t="shared" si="58"/>
        <v>0</v>
      </c>
      <c r="I58" s="135">
        <f t="shared" si="59"/>
        <v>118.30949999999999</v>
      </c>
      <c r="J58" s="5"/>
      <c r="K58" s="134"/>
      <c r="L58" s="126"/>
      <c r="M58" s="9">
        <f t="shared" si="60"/>
        <v>0</v>
      </c>
      <c r="N58" s="9">
        <f t="shared" si="61"/>
        <v>0</v>
      </c>
      <c r="O58" s="135">
        <f t="shared" si="62"/>
        <v>0</v>
      </c>
      <c r="P58" s="5"/>
      <c r="Q58" s="143">
        <f t="shared" si="63"/>
        <v>118.30949999999999</v>
      </c>
      <c r="R58" s="9">
        <f t="shared" si="64"/>
        <v>118.30949999999999</v>
      </c>
      <c r="S58" s="144">
        <f t="shared" si="65"/>
        <v>1.6469978739588464E-4</v>
      </c>
      <c r="T58" s="12"/>
      <c r="U58" s="143">
        <f t="shared" si="66"/>
        <v>193.95</v>
      </c>
      <c r="V58" s="144">
        <f t="shared" si="67"/>
        <v>8.1288973284683843E-5</v>
      </c>
      <c r="W58" s="12">
        <v>1097.8800000000001</v>
      </c>
      <c r="X58" s="68">
        <f>+'Calculo Intereses PERS NAT'!G117</f>
        <v>1526.08</v>
      </c>
      <c r="Y58" s="268">
        <f>+'Calculo Intereses PERS NAT'!G133</f>
        <v>1597.8799999999999</v>
      </c>
      <c r="Z58" s="68">
        <f>+'Calculo Intereses PERS NAT'!J133</f>
        <v>87.396536986301371</v>
      </c>
      <c r="AA58" s="68">
        <f>+V58*Parametros!$I$39</f>
        <v>4.5450702449533917</v>
      </c>
      <c r="AB58" s="68">
        <f t="shared" si="68"/>
        <v>91.941607231254764</v>
      </c>
      <c r="AC58" s="181">
        <f t="shared" si="69"/>
        <v>5.8862217974144843E-2</v>
      </c>
      <c r="AD58" s="68">
        <f>+IF(AC58&gt;Parametros!$H$41,Parametros!$H$41*(X58+Y58)/2,AB58)</f>
        <v>91.941607231254764</v>
      </c>
      <c r="AE58" s="68">
        <f t="shared" si="70"/>
        <v>0</v>
      </c>
      <c r="AF58" s="12"/>
      <c r="AG58" s="181">
        <f>+IF(AC58&lt;Parametros!$H$41,V58,0)</f>
        <v>8.1288973284683843E-5</v>
      </c>
      <c r="AH58" s="68">
        <f t="shared" si="71"/>
        <v>69.465770439954667</v>
      </c>
      <c r="AI58" s="68">
        <f t="shared" si="72"/>
        <v>161.40737767120942</v>
      </c>
      <c r="AJ58" s="181">
        <f t="shared" si="73"/>
        <v>0.10333511163472606</v>
      </c>
      <c r="AK58" s="68">
        <f>+IF(AJ58&gt;=Parametros!$H$41,Parametros!$H$41*($X58+$Y58)/2,AI58)</f>
        <v>120.27246</v>
      </c>
      <c r="AL58" s="242">
        <f t="shared" si="74"/>
        <v>7.6999999999999999E-2</v>
      </c>
      <c r="AM58" s="68">
        <f t="shared" si="75"/>
        <v>41.134917671209422</v>
      </c>
      <c r="AO58" s="143">
        <f>+IF(AL58&gt;=Parametros!$H$41,0,'Calculo Excedentes'!D58+'Calculo Excedentes'!K58)</f>
        <v>0</v>
      </c>
      <c r="AP58" s="146">
        <f t="shared" si="76"/>
        <v>0</v>
      </c>
      <c r="AS58" s="243">
        <f>+IF(AL58&lt;Parametros!$H$41,AP58,0)</f>
        <v>0</v>
      </c>
      <c r="AT58" s="68">
        <f t="shared" si="77"/>
        <v>0</v>
      </c>
      <c r="AU58" s="68">
        <f t="shared" si="78"/>
        <v>120.27246</v>
      </c>
      <c r="AV58" s="181">
        <f t="shared" si="79"/>
        <v>7.6999999999999999E-2</v>
      </c>
      <c r="AW58" s="68">
        <f>+IF(AV58&gt;=Parametros!$H$41,Parametros!$H$41*($X58+$Y58)/2,AU58)</f>
        <v>120.27246</v>
      </c>
      <c r="AX58" s="242">
        <f t="shared" si="80"/>
        <v>7.6999999999999999E-2</v>
      </c>
      <c r="AY58" s="68">
        <f t="shared" si="81"/>
        <v>0</v>
      </c>
      <c r="BA58" s="181">
        <f>+IF(AV58&lt;Parametros!$H$41,$AP58,0)</f>
        <v>0</v>
      </c>
      <c r="BB58" s="68">
        <f t="shared" si="82"/>
        <v>0</v>
      </c>
      <c r="BC58" s="68">
        <f t="shared" si="83"/>
        <v>120.27246</v>
      </c>
      <c r="BD58" s="181">
        <f>IF($X58+$Y58=0,0,MIN(Parametros!$H$41,BC58/(($X58+$Y58)/2)))</f>
        <v>7.6999999999999999E-2</v>
      </c>
      <c r="BE58" s="68">
        <f>+IF(BD58&gt;=Parametros!$H$41,Parametros!$H$41*($X58+$Y58)/2,BC58)</f>
        <v>120.27246</v>
      </c>
      <c r="BF58" s="68">
        <f t="shared" si="84"/>
        <v>0</v>
      </c>
    </row>
    <row r="59" spans="1:58" x14ac:dyDescent="0.25">
      <c r="A59" s="248" t="s">
        <v>154</v>
      </c>
      <c r="B59" s="130" t="s">
        <v>90</v>
      </c>
      <c r="D59" s="134">
        <v>0</v>
      </c>
      <c r="E59" s="126">
        <v>0</v>
      </c>
      <c r="F59" s="127"/>
      <c r="G59" s="9">
        <f t="shared" si="57"/>
        <v>0</v>
      </c>
      <c r="H59" s="9">
        <f t="shared" si="58"/>
        <v>0</v>
      </c>
      <c r="I59" s="135">
        <f t="shared" si="59"/>
        <v>0</v>
      </c>
      <c r="J59" s="5"/>
      <c r="K59" s="134"/>
      <c r="L59" s="126"/>
      <c r="M59" s="9">
        <f t="shared" si="60"/>
        <v>0</v>
      </c>
      <c r="N59" s="9">
        <f t="shared" si="61"/>
        <v>0</v>
      </c>
      <c r="O59" s="135">
        <f t="shared" si="62"/>
        <v>0</v>
      </c>
      <c r="P59" s="5"/>
      <c r="Q59" s="143">
        <f t="shared" si="63"/>
        <v>0</v>
      </c>
      <c r="R59" s="9">
        <f t="shared" si="64"/>
        <v>0</v>
      </c>
      <c r="S59" s="144">
        <f t="shared" si="65"/>
        <v>0</v>
      </c>
      <c r="T59" s="12"/>
      <c r="U59" s="143">
        <f t="shared" si="66"/>
        <v>0</v>
      </c>
      <c r="V59" s="144">
        <f t="shared" si="67"/>
        <v>0</v>
      </c>
      <c r="X59" s="68">
        <f>+'Calculo Intereses PERS NAT'!G138</f>
        <v>1046.0899999999999</v>
      </c>
      <c r="Y59" s="68">
        <f>+'Calculo Intereses PERS NAT'!G154</f>
        <v>1117.58</v>
      </c>
      <c r="Z59" s="68">
        <f>+'Calculo Intereses PERS NAT'!J154</f>
        <v>60.982139041095884</v>
      </c>
      <c r="AA59" s="68">
        <f>+V59*Parametros!$I$39</f>
        <v>0</v>
      </c>
      <c r="AB59" s="68">
        <f t="shared" si="68"/>
        <v>60.982139041095884</v>
      </c>
      <c r="AC59" s="181">
        <f t="shared" si="69"/>
        <v>5.6369168164365067E-2</v>
      </c>
      <c r="AD59" s="68">
        <f>+IF(AC59&gt;Parametros!$H$41,Parametros!$H$41*(X59+Y59)/2,AB59)</f>
        <v>60.982139041095884</v>
      </c>
      <c r="AE59" s="68">
        <f t="shared" si="70"/>
        <v>0</v>
      </c>
      <c r="AF59" s="12"/>
      <c r="AG59" s="181">
        <f>+IF(AC59&lt;Parametros!$H$41,V59,0)</f>
        <v>0</v>
      </c>
      <c r="AH59" s="68">
        <f t="shared" si="71"/>
        <v>0</v>
      </c>
      <c r="AI59" s="68">
        <f t="shared" si="72"/>
        <v>60.982139041095884</v>
      </c>
      <c r="AJ59" s="181">
        <f t="shared" si="73"/>
        <v>5.6369168164365067E-2</v>
      </c>
      <c r="AK59" s="68">
        <f>+IF(AJ59&gt;=Parametros!$H$41,Parametros!$H$41*($X59+$Y59)/2,AI59)</f>
        <v>60.982139041095884</v>
      </c>
      <c r="AL59" s="242">
        <f t="shared" si="74"/>
        <v>5.6369168164365067E-2</v>
      </c>
      <c r="AM59" s="68">
        <f t="shared" si="75"/>
        <v>0</v>
      </c>
      <c r="AO59" s="143">
        <f>+IF(AL59&gt;=Parametros!$H$41,0,'Calculo Excedentes'!D59+'Calculo Excedentes'!K59)</f>
        <v>0</v>
      </c>
      <c r="AP59" s="146">
        <f t="shared" si="76"/>
        <v>0</v>
      </c>
      <c r="AS59" s="243">
        <f>+IF(AL59&lt;Parametros!$H$41,AP59,0)</f>
        <v>0</v>
      </c>
      <c r="AT59" s="68">
        <f t="shared" si="77"/>
        <v>0</v>
      </c>
      <c r="AU59" s="68">
        <f t="shared" si="78"/>
        <v>60.982139041095884</v>
      </c>
      <c r="AV59" s="181">
        <f t="shared" si="79"/>
        <v>5.6369168164365067E-2</v>
      </c>
      <c r="AW59" s="68">
        <f>+IF(AV59&gt;=Parametros!$H$41,Parametros!$H$41*($X59+$Y59)/2,AU59)</f>
        <v>60.982139041095884</v>
      </c>
      <c r="AX59" s="242">
        <f t="shared" si="80"/>
        <v>5.6369168164365067E-2</v>
      </c>
      <c r="AY59" s="68">
        <f t="shared" si="81"/>
        <v>0</v>
      </c>
      <c r="BA59" s="181">
        <f>+IF(AV59&lt;Parametros!$H$41,$AP59,0)</f>
        <v>0</v>
      </c>
      <c r="BB59" s="68">
        <f t="shared" si="82"/>
        <v>0</v>
      </c>
      <c r="BC59" s="68">
        <f t="shared" si="83"/>
        <v>60.982139041095884</v>
      </c>
      <c r="BD59" s="181">
        <f>IF($X59+$Y59=0,0,MIN(Parametros!$H$41,BC59/(($X59+$Y59)/2)))</f>
        <v>5.6369168164365067E-2</v>
      </c>
      <c r="BE59" s="68">
        <f>+IF(BD59&gt;=Parametros!$H$41,Parametros!$H$41*($X59+$Y59)/2,BC59)</f>
        <v>60.982139041095884</v>
      </c>
      <c r="BF59" s="68">
        <f t="shared" si="84"/>
        <v>0</v>
      </c>
    </row>
    <row r="60" spans="1:58" x14ac:dyDescent="0.25">
      <c r="A60" s="248" t="s">
        <v>155</v>
      </c>
      <c r="B60" s="130" t="s">
        <v>59</v>
      </c>
      <c r="D60" s="134">
        <v>397.81</v>
      </c>
      <c r="E60" s="126">
        <v>0</v>
      </c>
      <c r="F60" s="127"/>
      <c r="G60" s="9">
        <f t="shared" si="57"/>
        <v>155.14590000000001</v>
      </c>
      <c r="H60" s="9">
        <f t="shared" si="58"/>
        <v>0</v>
      </c>
      <c r="I60" s="135">
        <f t="shared" si="59"/>
        <v>242.66409999999999</v>
      </c>
      <c r="J60" s="5"/>
      <c r="K60" s="134"/>
      <c r="L60" s="134"/>
      <c r="M60" s="9">
        <f t="shared" si="60"/>
        <v>0</v>
      </c>
      <c r="N60" s="9">
        <f t="shared" si="61"/>
        <v>0</v>
      </c>
      <c r="O60" s="135">
        <f t="shared" si="62"/>
        <v>0</v>
      </c>
      <c r="P60" s="5"/>
      <c r="Q60" s="143">
        <f t="shared" si="63"/>
        <v>242.66409999999999</v>
      </c>
      <c r="R60" s="9">
        <f t="shared" si="64"/>
        <v>242.66409999999999</v>
      </c>
      <c r="S60" s="144">
        <f t="shared" si="65"/>
        <v>3.3781501636482019E-4</v>
      </c>
      <c r="T60" s="12"/>
      <c r="U60" s="143">
        <f t="shared" si="66"/>
        <v>397.81</v>
      </c>
      <c r="V60" s="144">
        <f t="shared" si="67"/>
        <v>1.6673145894498622E-4</v>
      </c>
      <c r="X60" s="68">
        <f>+'Calculo Intereses PERS NAT'!G159</f>
        <v>2009.8</v>
      </c>
      <c r="Y60" s="68">
        <f>+'Calculo Intereses PERS NAT'!G175</f>
        <v>2152.4</v>
      </c>
      <c r="Z60" s="68">
        <f>+'Calculo Intereses PERS NAT'!J175</f>
        <v>117.41505479452056</v>
      </c>
      <c r="AA60" s="68">
        <f>+V60*Parametros!$I$39</f>
        <v>9.3223737774937288</v>
      </c>
      <c r="AB60" s="68">
        <f t="shared" si="68"/>
        <v>126.73742857201428</v>
      </c>
      <c r="AC60" s="181">
        <f t="shared" si="69"/>
        <v>6.0899249710256252E-2</v>
      </c>
      <c r="AD60" s="68">
        <f>+IF(AC60&gt;Parametros!$H$41,Parametros!$H$41*(X60+Y60)/2,AB60)</f>
        <v>126.73742857201428</v>
      </c>
      <c r="AE60" s="68">
        <f t="shared" si="70"/>
        <v>0</v>
      </c>
      <c r="AF60" s="12"/>
      <c r="AG60" s="181">
        <f>+IF(AC60&lt;Parametros!$H$41,V60,0)</f>
        <v>1.6673145894498622E-4</v>
      </c>
      <c r="AH60" s="68">
        <f t="shared" si="71"/>
        <v>142.48093910140946</v>
      </c>
      <c r="AI60" s="68">
        <f t="shared" si="72"/>
        <v>269.21836767342376</v>
      </c>
      <c r="AJ60" s="181">
        <f t="shared" si="73"/>
        <v>0.12936349414897111</v>
      </c>
      <c r="AK60" s="68">
        <f>+IF(AJ60&gt;=Parametros!$H$41,Parametros!$H$41*($X60+$Y60)/2,AI60)</f>
        <v>160.24469999999999</v>
      </c>
      <c r="AL60" s="242">
        <f t="shared" si="74"/>
        <v>7.6999999999999999E-2</v>
      </c>
      <c r="AM60" s="68">
        <f t="shared" si="75"/>
        <v>108.97366767342376</v>
      </c>
      <c r="AO60" s="143">
        <f>+IF(AL60&gt;=Parametros!$H$41,0,'Calculo Excedentes'!D60+'Calculo Excedentes'!K60)</f>
        <v>0</v>
      </c>
      <c r="AP60" s="146">
        <f t="shared" si="76"/>
        <v>0</v>
      </c>
      <c r="AS60" s="243">
        <f>+IF(AL60&lt;Parametros!$H$41,AP60,0)</f>
        <v>0</v>
      </c>
      <c r="AT60" s="68">
        <f t="shared" si="77"/>
        <v>0</v>
      </c>
      <c r="AU60" s="68">
        <f t="shared" si="78"/>
        <v>160.24469999999999</v>
      </c>
      <c r="AV60" s="181">
        <f t="shared" si="79"/>
        <v>7.6999999999999999E-2</v>
      </c>
      <c r="AW60" s="68">
        <f>+IF(AV60&gt;=Parametros!$H$41,Parametros!$H$41*($X60+$Y60)/2,AU60)</f>
        <v>160.24469999999999</v>
      </c>
      <c r="AX60" s="242">
        <f t="shared" si="80"/>
        <v>7.6999999999999999E-2</v>
      </c>
      <c r="AY60" s="68">
        <f t="shared" si="81"/>
        <v>0</v>
      </c>
      <c r="BA60" s="181">
        <f>+IF(AV60&lt;Parametros!$H$41,$AP60,0)</f>
        <v>0</v>
      </c>
      <c r="BB60" s="68">
        <f t="shared" si="82"/>
        <v>0</v>
      </c>
      <c r="BC60" s="68">
        <f t="shared" si="83"/>
        <v>160.24469999999999</v>
      </c>
      <c r="BD60" s="181">
        <f>IF($X60+$Y60=0,0,MIN(Parametros!$H$41,BC60/(($X60+$Y60)/2)))</f>
        <v>7.6999999999999999E-2</v>
      </c>
      <c r="BE60" s="68">
        <f>+IF(BD60&gt;=Parametros!$H$41,Parametros!$H$41*($X60+$Y60)/2,BC60)</f>
        <v>160.24469999999999</v>
      </c>
      <c r="BF60" s="68">
        <f t="shared" si="84"/>
        <v>0</v>
      </c>
    </row>
    <row r="61" spans="1:58" x14ac:dyDescent="0.25">
      <c r="A61" s="248" t="s">
        <v>156</v>
      </c>
      <c r="B61" s="130" t="s">
        <v>94</v>
      </c>
      <c r="D61" s="134">
        <v>0</v>
      </c>
      <c r="E61" s="126">
        <v>0</v>
      </c>
      <c r="F61" s="127"/>
      <c r="G61" s="9">
        <f t="shared" si="57"/>
        <v>0</v>
      </c>
      <c r="H61" s="9">
        <f t="shared" si="58"/>
        <v>0</v>
      </c>
      <c r="I61" s="135">
        <f t="shared" si="59"/>
        <v>0</v>
      </c>
      <c r="J61" s="5"/>
      <c r="K61" s="134"/>
      <c r="L61" s="126"/>
      <c r="M61" s="9">
        <f t="shared" si="60"/>
        <v>0</v>
      </c>
      <c r="N61" s="9">
        <f t="shared" si="61"/>
        <v>0</v>
      </c>
      <c r="O61" s="135">
        <f t="shared" si="62"/>
        <v>0</v>
      </c>
      <c r="P61" s="5"/>
      <c r="Q61" s="143">
        <f t="shared" si="63"/>
        <v>0</v>
      </c>
      <c r="R61" s="9">
        <f t="shared" si="64"/>
        <v>0</v>
      </c>
      <c r="S61" s="144">
        <f t="shared" si="65"/>
        <v>0</v>
      </c>
      <c r="T61" s="12"/>
      <c r="U61" s="143">
        <f t="shared" si="66"/>
        <v>0</v>
      </c>
      <c r="V61" s="144">
        <f t="shared" si="67"/>
        <v>0</v>
      </c>
      <c r="X61" s="68">
        <f>+'Calculo Intereses PERS NAT'!G180</f>
        <v>1234.93</v>
      </c>
      <c r="Y61" s="68">
        <f>+'Calculo Intereses PERS NAT'!G196</f>
        <v>1295.8</v>
      </c>
      <c r="Z61" s="68">
        <f>+'Calculo Intereses PERS NAT'!J196</f>
        <v>70.856251369863017</v>
      </c>
      <c r="AA61" s="68">
        <f>+V61*Parametros!$I$39</f>
        <v>0</v>
      </c>
      <c r="AB61" s="68">
        <f t="shared" si="68"/>
        <v>70.856251369863017</v>
      </c>
      <c r="AC61" s="181">
        <f t="shared" si="69"/>
        <v>5.5996689785052546E-2</v>
      </c>
      <c r="AD61" s="68">
        <f>+IF(AC61&gt;Parametros!$H$41,Parametros!$H$41*(X61+Y61)/2,AB61)</f>
        <v>70.856251369863017</v>
      </c>
      <c r="AE61" s="68">
        <f t="shared" si="70"/>
        <v>0</v>
      </c>
      <c r="AF61" s="12"/>
      <c r="AG61" s="181">
        <f>+IF(AC61&lt;Parametros!$H$41,V61,0)</f>
        <v>0</v>
      </c>
      <c r="AH61" s="68">
        <f t="shared" si="71"/>
        <v>0</v>
      </c>
      <c r="AI61" s="68">
        <f t="shared" si="72"/>
        <v>70.856251369863017</v>
      </c>
      <c r="AJ61" s="181">
        <f t="shared" si="73"/>
        <v>5.5996689785052546E-2</v>
      </c>
      <c r="AK61" s="68">
        <f>+IF(AJ61&gt;=Parametros!$H$41,Parametros!$H$41*($X61+$Y61)/2,AI61)</f>
        <v>70.856251369863017</v>
      </c>
      <c r="AL61" s="242">
        <f t="shared" si="74"/>
        <v>5.5996689785052546E-2</v>
      </c>
      <c r="AM61" s="68">
        <f t="shared" si="75"/>
        <v>0</v>
      </c>
      <c r="AO61" s="143">
        <f>+IF(AL61&gt;=Parametros!$H$41,0,'Calculo Excedentes'!D61+'Calculo Excedentes'!K61)</f>
        <v>0</v>
      </c>
      <c r="AP61" s="146">
        <f t="shared" si="76"/>
        <v>0</v>
      </c>
      <c r="AS61" s="243">
        <f>+IF(AL61&lt;Parametros!$H$41,AP61,0)</f>
        <v>0</v>
      </c>
      <c r="AT61" s="68">
        <f t="shared" si="77"/>
        <v>0</v>
      </c>
      <c r="AU61" s="68">
        <f t="shared" si="78"/>
        <v>70.856251369863017</v>
      </c>
      <c r="AV61" s="181">
        <f t="shared" si="79"/>
        <v>5.5996689785052546E-2</v>
      </c>
      <c r="AW61" s="68">
        <f>+IF(AV61&gt;=Parametros!$H$41,Parametros!$H$41*($X61+$Y61)/2,AU61)</f>
        <v>70.856251369863017</v>
      </c>
      <c r="AX61" s="242">
        <f t="shared" si="80"/>
        <v>5.5996689785052546E-2</v>
      </c>
      <c r="AY61" s="68">
        <f t="shared" si="81"/>
        <v>0</v>
      </c>
      <c r="BA61" s="181">
        <f>+IF(AV61&lt;Parametros!$H$41,$AP61,0)</f>
        <v>0</v>
      </c>
      <c r="BB61" s="68">
        <f t="shared" si="82"/>
        <v>0</v>
      </c>
      <c r="BC61" s="68">
        <f t="shared" si="83"/>
        <v>70.856251369863017</v>
      </c>
      <c r="BD61" s="181">
        <f>IF($X61+$Y61=0,0,MIN(Parametros!$H$41,BC61/(($X61+$Y61)/2)))</f>
        <v>5.5996689785052546E-2</v>
      </c>
      <c r="BE61" s="68">
        <f>+IF(BD61&gt;=Parametros!$H$41,Parametros!$H$41*($X61+$Y61)/2,BC61)</f>
        <v>70.856251369863017</v>
      </c>
      <c r="BF61" s="68">
        <f t="shared" si="84"/>
        <v>0</v>
      </c>
    </row>
    <row r="62" spans="1:58" x14ac:dyDescent="0.25">
      <c r="A62" s="248" t="s">
        <v>157</v>
      </c>
      <c r="B62" s="130" t="s">
        <v>62</v>
      </c>
      <c r="D62" s="134">
        <v>0</v>
      </c>
      <c r="E62" s="126">
        <v>0</v>
      </c>
      <c r="F62" s="127"/>
      <c r="G62" s="9">
        <f t="shared" si="57"/>
        <v>0</v>
      </c>
      <c r="H62" s="9">
        <f t="shared" si="58"/>
        <v>0</v>
      </c>
      <c r="I62" s="135">
        <f t="shared" si="59"/>
        <v>0</v>
      </c>
      <c r="J62" s="5"/>
      <c r="K62" s="134"/>
      <c r="L62" s="126"/>
      <c r="M62" s="9">
        <f t="shared" si="60"/>
        <v>0</v>
      </c>
      <c r="N62" s="9">
        <f t="shared" si="61"/>
        <v>0</v>
      </c>
      <c r="O62" s="135">
        <f t="shared" si="62"/>
        <v>0</v>
      </c>
      <c r="P62" s="5"/>
      <c r="Q62" s="143">
        <f t="shared" si="63"/>
        <v>0</v>
      </c>
      <c r="R62" s="9">
        <f t="shared" si="64"/>
        <v>0</v>
      </c>
      <c r="S62" s="144">
        <f t="shared" si="65"/>
        <v>0</v>
      </c>
      <c r="T62" s="12"/>
      <c r="U62" s="143">
        <f t="shared" si="66"/>
        <v>0</v>
      </c>
      <c r="V62" s="144">
        <f t="shared" si="67"/>
        <v>0</v>
      </c>
      <c r="X62" s="68">
        <f>+'Calculo Intereses PERS NAT'!G201</f>
        <v>228.58</v>
      </c>
      <c r="Y62" s="68">
        <f>+'Calculo Intereses PERS NAT'!G217</f>
        <v>256.91000000000003</v>
      </c>
      <c r="Z62" s="68">
        <f>+'Calculo Intereses PERS NAT'!J217</f>
        <v>13.937949315068494</v>
      </c>
      <c r="AA62" s="68">
        <f>+V62*Parametros!$I$39</f>
        <v>0</v>
      </c>
      <c r="AB62" s="68">
        <f t="shared" si="68"/>
        <v>13.937949315068494</v>
      </c>
      <c r="AC62" s="181">
        <f t="shared" si="69"/>
        <v>5.741806964126344E-2</v>
      </c>
      <c r="AD62" s="68">
        <f>+IF(AC62&gt;Parametros!$H$41,Parametros!$H$41*(X62+Y62)/2,AB62)</f>
        <v>13.937949315068494</v>
      </c>
      <c r="AE62" s="68">
        <f t="shared" si="70"/>
        <v>0</v>
      </c>
      <c r="AF62" s="12"/>
      <c r="AG62" s="181">
        <f>+IF(AC62&lt;Parametros!$H$41,V62,0)</f>
        <v>0</v>
      </c>
      <c r="AH62" s="68">
        <f t="shared" si="71"/>
        <v>0</v>
      </c>
      <c r="AI62" s="68">
        <f t="shared" si="72"/>
        <v>13.937949315068494</v>
      </c>
      <c r="AJ62" s="181">
        <f t="shared" si="73"/>
        <v>5.741806964126344E-2</v>
      </c>
      <c r="AK62" s="68">
        <f>+IF(AJ62&gt;=Parametros!$H$41,Parametros!$H$41*($X62+$Y62)/2,AI62)</f>
        <v>13.937949315068494</v>
      </c>
      <c r="AL62" s="242">
        <f t="shared" si="74"/>
        <v>5.741806964126344E-2</v>
      </c>
      <c r="AM62" s="68">
        <f t="shared" si="75"/>
        <v>0</v>
      </c>
      <c r="AO62" s="143">
        <f>+IF(AL62&gt;=Parametros!$H$41,0,'Calculo Excedentes'!D62+'Calculo Excedentes'!K62)</f>
        <v>0</v>
      </c>
      <c r="AP62" s="146">
        <f t="shared" si="76"/>
        <v>0</v>
      </c>
      <c r="AS62" s="243">
        <f>+IF(AL62&lt;Parametros!$H$41,AP62,0)</f>
        <v>0</v>
      </c>
      <c r="AT62" s="68">
        <f t="shared" si="77"/>
        <v>0</v>
      </c>
      <c r="AU62" s="68">
        <f t="shared" si="78"/>
        <v>13.937949315068494</v>
      </c>
      <c r="AV62" s="181">
        <f t="shared" si="79"/>
        <v>5.741806964126344E-2</v>
      </c>
      <c r="AW62" s="68">
        <f>+IF(AV62&gt;=Parametros!$H$41,Parametros!$H$41*($X62+$Y62)/2,AU62)</f>
        <v>13.937949315068494</v>
      </c>
      <c r="AX62" s="242">
        <f t="shared" si="80"/>
        <v>5.741806964126344E-2</v>
      </c>
      <c r="AY62" s="68">
        <f t="shared" si="81"/>
        <v>0</v>
      </c>
      <c r="BA62" s="181">
        <f>+IF(AV62&lt;Parametros!$H$41,$AP62,0)</f>
        <v>0</v>
      </c>
      <c r="BB62" s="68">
        <f t="shared" si="82"/>
        <v>0</v>
      </c>
      <c r="BC62" s="68">
        <f t="shared" si="83"/>
        <v>13.937949315068494</v>
      </c>
      <c r="BD62" s="181">
        <f>IF($X62+$Y62=0,0,MIN(Parametros!$H$41,BC62/(($X62+$Y62)/2)))</f>
        <v>5.741806964126344E-2</v>
      </c>
      <c r="BE62" s="68">
        <f>+IF(BD62&gt;=Parametros!$H$41,Parametros!$H$41*($X62+$Y62)/2,BC62)</f>
        <v>13.937949315068494</v>
      </c>
      <c r="BF62" s="68">
        <f t="shared" si="84"/>
        <v>0</v>
      </c>
    </row>
    <row r="63" spans="1:58" x14ac:dyDescent="0.25">
      <c r="A63" s="248" t="s">
        <v>158</v>
      </c>
      <c r="B63" s="130" t="s">
        <v>60</v>
      </c>
      <c r="D63" s="134">
        <v>0</v>
      </c>
      <c r="E63" s="126">
        <v>0</v>
      </c>
      <c r="F63" s="127"/>
      <c r="G63" s="9">
        <f t="shared" si="57"/>
        <v>0</v>
      </c>
      <c r="H63" s="9">
        <f t="shared" si="58"/>
        <v>0</v>
      </c>
      <c r="I63" s="135">
        <f t="shared" si="59"/>
        <v>0</v>
      </c>
      <c r="J63" s="5"/>
      <c r="K63" s="134"/>
      <c r="L63" s="126"/>
      <c r="M63" s="9">
        <f t="shared" si="60"/>
        <v>0</v>
      </c>
      <c r="N63" s="9">
        <f t="shared" si="61"/>
        <v>0</v>
      </c>
      <c r="O63" s="135">
        <f t="shared" si="62"/>
        <v>0</v>
      </c>
      <c r="P63" s="5"/>
      <c r="Q63" s="143">
        <f t="shared" si="63"/>
        <v>0</v>
      </c>
      <c r="R63" s="9">
        <f t="shared" si="64"/>
        <v>0</v>
      </c>
      <c r="S63" s="144">
        <f t="shared" si="65"/>
        <v>0</v>
      </c>
      <c r="T63" s="12"/>
      <c r="U63" s="143">
        <f t="shared" si="66"/>
        <v>0</v>
      </c>
      <c r="V63" s="144">
        <f t="shared" si="67"/>
        <v>0</v>
      </c>
      <c r="X63" s="68">
        <f>+'Calculo Intereses PERS NAT'!G222</f>
        <v>457.15</v>
      </c>
      <c r="Y63" s="68">
        <f>+'Calculo Intereses PERS NAT'!G238</f>
        <v>494.26</v>
      </c>
      <c r="Z63" s="68">
        <f>+'Calculo Intereses PERS NAT'!J238</f>
        <v>26.932663698630133</v>
      </c>
      <c r="AA63" s="68">
        <f>+V63*Parametros!$I$39</f>
        <v>0</v>
      </c>
      <c r="AB63" s="68">
        <f t="shared" si="68"/>
        <v>26.932663698630133</v>
      </c>
      <c r="AC63" s="181">
        <f t="shared" si="69"/>
        <v>5.6616314099347566E-2</v>
      </c>
      <c r="AD63" s="68">
        <f>+IF(AC63&gt;Parametros!$H$41,Parametros!$H$41*(X63+Y63)/2,AB63)</f>
        <v>26.932663698630133</v>
      </c>
      <c r="AE63" s="68">
        <f t="shared" si="70"/>
        <v>0</v>
      </c>
      <c r="AF63" s="12"/>
      <c r="AG63" s="181">
        <f>+IF(AC63&lt;Parametros!$H$41,V63,0)</f>
        <v>0</v>
      </c>
      <c r="AH63" s="68">
        <f t="shared" si="71"/>
        <v>0</v>
      </c>
      <c r="AI63" s="68">
        <f t="shared" si="72"/>
        <v>26.932663698630133</v>
      </c>
      <c r="AJ63" s="181">
        <f t="shared" si="73"/>
        <v>5.6616314099347566E-2</v>
      </c>
      <c r="AK63" s="68">
        <f>+IF(AJ63&gt;=Parametros!$H$41,Parametros!$H$41*($X63+$Y63)/2,AI63)</f>
        <v>26.932663698630133</v>
      </c>
      <c r="AL63" s="242">
        <f t="shared" si="74"/>
        <v>5.6616314099347566E-2</v>
      </c>
      <c r="AM63" s="68">
        <f t="shared" si="75"/>
        <v>0</v>
      </c>
      <c r="AO63" s="143">
        <f>+IF(AL63&gt;=Parametros!$H$41,0,'Calculo Excedentes'!D63+'Calculo Excedentes'!K63)</f>
        <v>0</v>
      </c>
      <c r="AP63" s="146">
        <f t="shared" si="76"/>
        <v>0</v>
      </c>
      <c r="AS63" s="243">
        <f>+IF(AL63&lt;Parametros!$H$41,AP63,0)</f>
        <v>0</v>
      </c>
      <c r="AT63" s="68">
        <f t="shared" si="77"/>
        <v>0</v>
      </c>
      <c r="AU63" s="68">
        <f t="shared" si="78"/>
        <v>26.932663698630133</v>
      </c>
      <c r="AV63" s="181">
        <f t="shared" si="79"/>
        <v>5.6616314099347566E-2</v>
      </c>
      <c r="AW63" s="68">
        <f>+IF(AV63&gt;=Parametros!$H$41,Parametros!$H$41*($X63+$Y63)/2,AU63)</f>
        <v>26.932663698630133</v>
      </c>
      <c r="AX63" s="242">
        <f t="shared" si="80"/>
        <v>5.6616314099347566E-2</v>
      </c>
      <c r="AY63" s="68">
        <f t="shared" si="81"/>
        <v>0</v>
      </c>
      <c r="BA63" s="181">
        <f>+IF(AV63&lt;Parametros!$H$41,$AP63,0)</f>
        <v>0</v>
      </c>
      <c r="BB63" s="68">
        <f t="shared" si="82"/>
        <v>0</v>
      </c>
      <c r="BC63" s="68">
        <f t="shared" si="83"/>
        <v>26.932663698630133</v>
      </c>
      <c r="BD63" s="181">
        <f>IF($X63+$Y63=0,0,MIN(Parametros!$H$41,BC63/(($X63+$Y63)/2)))</f>
        <v>5.6616314099347566E-2</v>
      </c>
      <c r="BE63" s="68">
        <f>+IF(BD63&gt;=Parametros!$H$41,Parametros!$H$41*($X63+$Y63)/2,BC63)</f>
        <v>26.932663698630133</v>
      </c>
      <c r="BF63" s="68">
        <f t="shared" si="84"/>
        <v>0</v>
      </c>
    </row>
    <row r="64" spans="1:58" x14ac:dyDescent="0.25">
      <c r="A64" s="248" t="s">
        <v>159</v>
      </c>
      <c r="B64" s="130" t="s">
        <v>63</v>
      </c>
      <c r="D64" s="134">
        <v>0</v>
      </c>
      <c r="E64" s="126">
        <v>0</v>
      </c>
      <c r="F64" s="127"/>
      <c r="G64" s="9">
        <f t="shared" si="57"/>
        <v>0</v>
      </c>
      <c r="H64" s="9">
        <f t="shared" si="58"/>
        <v>0</v>
      </c>
      <c r="I64" s="135">
        <f t="shared" si="59"/>
        <v>0</v>
      </c>
      <c r="J64" s="5"/>
      <c r="K64" s="134"/>
      <c r="L64" s="126"/>
      <c r="M64" s="9">
        <f t="shared" si="60"/>
        <v>0</v>
      </c>
      <c r="N64" s="9">
        <f t="shared" si="61"/>
        <v>0</v>
      </c>
      <c r="O64" s="135">
        <f t="shared" si="62"/>
        <v>0</v>
      </c>
      <c r="P64" s="5"/>
      <c r="Q64" s="143">
        <f t="shared" si="63"/>
        <v>0</v>
      </c>
      <c r="R64" s="9">
        <f t="shared" si="64"/>
        <v>0</v>
      </c>
      <c r="S64" s="144">
        <f t="shared" si="65"/>
        <v>0</v>
      </c>
      <c r="T64" s="12"/>
      <c r="U64" s="143">
        <f t="shared" si="66"/>
        <v>0</v>
      </c>
      <c r="V64" s="144">
        <f t="shared" si="67"/>
        <v>0</v>
      </c>
      <c r="X64" s="68">
        <f>+'Calculo Intereses PERS NAT'!G243</f>
        <v>114.28</v>
      </c>
      <c r="Y64" s="68">
        <f>+'Calculo Intereses PERS NAT'!G259</f>
        <v>170.32</v>
      </c>
      <c r="Z64" s="68">
        <f>+'Calculo Intereses PERS NAT'!J259</f>
        <v>8.987602739726027</v>
      </c>
      <c r="AA64" s="68">
        <f>+V64*Parametros!$I$39</f>
        <v>0</v>
      </c>
      <c r="AB64" s="68">
        <f t="shared" si="68"/>
        <v>8.987602739726027</v>
      </c>
      <c r="AC64" s="181">
        <f t="shared" si="69"/>
        <v>6.3159541389501236E-2</v>
      </c>
      <c r="AD64" s="68">
        <f>+IF(AC64&gt;Parametros!$H$41,Parametros!$H$41*(X64+Y64)/2,AB64)</f>
        <v>8.987602739726027</v>
      </c>
      <c r="AE64" s="68">
        <f t="shared" si="70"/>
        <v>0</v>
      </c>
      <c r="AF64" s="12"/>
      <c r="AG64" s="181">
        <f>+IF(AC64&lt;Parametros!$H$41,V64,0)</f>
        <v>0</v>
      </c>
      <c r="AH64" s="68">
        <f t="shared" si="71"/>
        <v>0</v>
      </c>
      <c r="AI64" s="68">
        <f t="shared" si="72"/>
        <v>8.987602739726027</v>
      </c>
      <c r="AJ64" s="181">
        <f t="shared" si="73"/>
        <v>6.3159541389501236E-2</v>
      </c>
      <c r="AK64" s="68">
        <f>+IF(AJ64&gt;=Parametros!$H$41,Parametros!$H$41*($X64+$Y64)/2,AI64)</f>
        <v>8.987602739726027</v>
      </c>
      <c r="AL64" s="242">
        <f t="shared" si="74"/>
        <v>6.3159541389501236E-2</v>
      </c>
      <c r="AM64" s="68">
        <f t="shared" si="75"/>
        <v>0</v>
      </c>
      <c r="AO64" s="143">
        <f>+IF(AL64&gt;=Parametros!$H$41,0,'Calculo Excedentes'!D64+'Calculo Excedentes'!K64)</f>
        <v>0</v>
      </c>
      <c r="AP64" s="146">
        <f t="shared" si="76"/>
        <v>0</v>
      </c>
      <c r="AS64" s="243">
        <f>+IF(AL64&lt;Parametros!$H$41,AP64,0)</f>
        <v>0</v>
      </c>
      <c r="AT64" s="68">
        <f t="shared" si="77"/>
        <v>0</v>
      </c>
      <c r="AU64" s="68">
        <f t="shared" si="78"/>
        <v>8.987602739726027</v>
      </c>
      <c r="AV64" s="181">
        <f t="shared" si="79"/>
        <v>6.3159541389501236E-2</v>
      </c>
      <c r="AW64" s="68">
        <f>+IF(AV64&gt;=Parametros!$H$41,Parametros!$H$41*($X64+$Y64)/2,AU64)</f>
        <v>8.987602739726027</v>
      </c>
      <c r="AX64" s="242">
        <f t="shared" si="80"/>
        <v>6.3159541389501236E-2</v>
      </c>
      <c r="AY64" s="68">
        <f t="shared" si="81"/>
        <v>0</v>
      </c>
      <c r="BA64" s="181">
        <f>+IF(AV64&lt;Parametros!$H$41,$AP64,0)</f>
        <v>0</v>
      </c>
      <c r="BB64" s="68">
        <f t="shared" si="82"/>
        <v>0</v>
      </c>
      <c r="BC64" s="68">
        <f t="shared" si="83"/>
        <v>8.987602739726027</v>
      </c>
      <c r="BD64" s="181">
        <f>IF($X64+$Y64=0,0,MIN(Parametros!$H$41,BC64/(($X64+$Y64)/2)))</f>
        <v>6.3159541389501236E-2</v>
      </c>
      <c r="BE64" s="68">
        <f>+IF(BD64&gt;=Parametros!$H$41,Parametros!$H$41*($X64+$Y64)/2,BC64)</f>
        <v>8.987602739726027</v>
      </c>
      <c r="BF64" s="68">
        <f t="shared" si="84"/>
        <v>0</v>
      </c>
    </row>
    <row r="65" spans="1:58" x14ac:dyDescent="0.25">
      <c r="A65" s="248" t="s">
        <v>160</v>
      </c>
      <c r="B65" s="130" t="s">
        <v>67</v>
      </c>
      <c r="D65" s="134">
        <v>237.25</v>
      </c>
      <c r="E65" s="126">
        <v>0</v>
      </c>
      <c r="F65" s="127"/>
      <c r="G65" s="9">
        <f t="shared" si="57"/>
        <v>92.527500000000003</v>
      </c>
      <c r="H65" s="9">
        <f t="shared" si="58"/>
        <v>0</v>
      </c>
      <c r="I65" s="135">
        <f t="shared" si="59"/>
        <v>144.7225</v>
      </c>
      <c r="J65" s="5"/>
      <c r="K65" s="134"/>
      <c r="L65" s="126"/>
      <c r="M65" s="9">
        <f t="shared" si="60"/>
        <v>0</v>
      </c>
      <c r="N65" s="9">
        <f t="shared" si="61"/>
        <v>0</v>
      </c>
      <c r="O65" s="135">
        <f t="shared" si="62"/>
        <v>0</v>
      </c>
      <c r="P65" s="5"/>
      <c r="Q65" s="143">
        <f t="shared" si="63"/>
        <v>144.7225</v>
      </c>
      <c r="R65" s="9">
        <f t="shared" si="64"/>
        <v>144.7225</v>
      </c>
      <c r="S65" s="144">
        <f t="shared" si="65"/>
        <v>2.0146957751829666E-4</v>
      </c>
      <c r="T65" s="12"/>
      <c r="U65" s="143">
        <f t="shared" si="66"/>
        <v>237.25</v>
      </c>
      <c r="V65" s="144">
        <f t="shared" si="67"/>
        <v>9.9437014239707358E-5</v>
      </c>
      <c r="X65" s="68">
        <f>+'Calculo Intereses PERS NAT'!G264</f>
        <v>34.14</v>
      </c>
      <c r="Y65" s="246">
        <f>+'Calculo Intereses PERS NAT'!G280</f>
        <v>36.049999999999997</v>
      </c>
      <c r="Z65" s="246">
        <f>+'Calculo Intereses PERS NAT'!J280</f>
        <v>1.9697986301369865</v>
      </c>
      <c r="AA65" s="68">
        <f>+V65*Parametros!$I$39</f>
        <v>5.559772702321176</v>
      </c>
      <c r="AB65" s="68">
        <f t="shared" si="68"/>
        <v>7.529571332458163</v>
      </c>
      <c r="AC65" s="181">
        <f t="shared" si="69"/>
        <v>0.21454826421023404</v>
      </c>
      <c r="AD65" s="68">
        <f>+IF(AC65&gt;Parametros!$H$41,Parametros!$H$41*(X65+Y65)/2,AB65)</f>
        <v>2.702315</v>
      </c>
      <c r="AE65" s="68">
        <f t="shared" si="70"/>
        <v>4.8272563324581625</v>
      </c>
      <c r="AF65" s="12"/>
      <c r="AG65" s="181">
        <f>+IF(AC65&lt;Parametros!$H$41,V65,0)</f>
        <v>0</v>
      </c>
      <c r="AH65" s="68">
        <f t="shared" si="71"/>
        <v>0</v>
      </c>
      <c r="AI65" s="68">
        <f t="shared" si="72"/>
        <v>2.702315</v>
      </c>
      <c r="AJ65" s="181">
        <f t="shared" si="73"/>
        <v>7.6999999999999999E-2</v>
      </c>
      <c r="AK65" s="68">
        <f>+IF(AJ65&gt;=Parametros!$H$41,Parametros!$H$41*($X65+$Y65)/2,AI65)</f>
        <v>2.702315</v>
      </c>
      <c r="AL65" s="242">
        <f t="shared" si="74"/>
        <v>7.6999999999999999E-2</v>
      </c>
      <c r="AM65" s="68">
        <f t="shared" si="75"/>
        <v>0</v>
      </c>
      <c r="AO65" s="143">
        <f>+IF(AL65&gt;=Parametros!$H$41,0,'Calculo Excedentes'!D65+'Calculo Excedentes'!K65)</f>
        <v>0</v>
      </c>
      <c r="AP65" s="146">
        <f t="shared" si="76"/>
        <v>0</v>
      </c>
      <c r="AS65" s="243">
        <f>+IF(AL65&lt;Parametros!$H$41,AP65,0)</f>
        <v>0</v>
      </c>
      <c r="AT65" s="68">
        <f t="shared" si="77"/>
        <v>0</v>
      </c>
      <c r="AU65" s="68">
        <f t="shared" si="78"/>
        <v>2.702315</v>
      </c>
      <c r="AV65" s="181">
        <f t="shared" si="79"/>
        <v>7.6999999999999999E-2</v>
      </c>
      <c r="AW65" s="68">
        <f>+IF(AV65&gt;=Parametros!$H$41,Parametros!$H$41*($X65+$Y65)/2,AU65)</f>
        <v>2.702315</v>
      </c>
      <c r="AX65" s="242">
        <f t="shared" si="80"/>
        <v>7.6999999999999999E-2</v>
      </c>
      <c r="AY65" s="68">
        <f t="shared" si="81"/>
        <v>0</v>
      </c>
      <c r="BA65" s="181">
        <f>+IF(AV65&lt;Parametros!$H$41,$AP65,0)</f>
        <v>0</v>
      </c>
      <c r="BB65" s="68">
        <f t="shared" si="82"/>
        <v>0</v>
      </c>
      <c r="BC65" s="68">
        <f t="shared" si="83"/>
        <v>2.702315</v>
      </c>
      <c r="BD65" s="181">
        <f>IF($X65+$Y65=0,0,MIN(Parametros!$H$41,BC65/(($X65+$Y65)/2)))</f>
        <v>7.6999999999999999E-2</v>
      </c>
      <c r="BE65" s="68">
        <f>+IF(BD65&gt;=Parametros!$H$41,Parametros!$H$41*($X65+$Y65)/2,BC65)</f>
        <v>2.702315</v>
      </c>
      <c r="BF65" s="68">
        <f t="shared" si="84"/>
        <v>0</v>
      </c>
    </row>
    <row r="66" spans="1:58" x14ac:dyDescent="0.25">
      <c r="A66" s="248" t="s">
        <v>161</v>
      </c>
      <c r="B66" s="130" t="s">
        <v>91</v>
      </c>
      <c r="D66" s="134">
        <v>244</v>
      </c>
      <c r="E66" s="126">
        <v>0</v>
      </c>
      <c r="F66" s="127"/>
      <c r="G66" s="9">
        <f t="shared" si="57"/>
        <v>95.16</v>
      </c>
      <c r="H66" s="9">
        <f t="shared" si="58"/>
        <v>0</v>
      </c>
      <c r="I66" s="135">
        <f t="shared" si="59"/>
        <v>148.84</v>
      </c>
      <c r="J66" s="5"/>
      <c r="K66" s="134"/>
      <c r="L66" s="134"/>
      <c r="M66" s="9">
        <f t="shared" si="60"/>
        <v>0</v>
      </c>
      <c r="N66" s="9">
        <f t="shared" si="61"/>
        <v>0</v>
      </c>
      <c r="O66" s="135">
        <f t="shared" si="62"/>
        <v>0</v>
      </c>
      <c r="P66" s="5"/>
      <c r="Q66" s="143">
        <f t="shared" si="63"/>
        <v>148.84</v>
      </c>
      <c r="R66" s="9">
        <f t="shared" si="64"/>
        <v>148.84</v>
      </c>
      <c r="S66" s="144">
        <f t="shared" si="65"/>
        <v>2.0720158868056644E-4</v>
      </c>
      <c r="T66" s="12"/>
      <c r="U66" s="143">
        <f t="shared" si="66"/>
        <v>244</v>
      </c>
      <c r="V66" s="144">
        <f t="shared" si="67"/>
        <v>1.0226609683662211E-4</v>
      </c>
      <c r="X66" s="68">
        <f>+'Calculo Intereses PERS NAT'!G285</f>
        <v>2628.57</v>
      </c>
      <c r="Y66" s="68">
        <f>+'Calculo Intereses PERS NAT'!G301</f>
        <v>2838.08</v>
      </c>
      <c r="Z66" s="68">
        <f>+'Calculo Intereses PERS NAT'!J301</f>
        <v>154.67375000000001</v>
      </c>
      <c r="AA66" s="68">
        <f>+V66*Parametros!$I$39</f>
        <v>5.7179538013334756</v>
      </c>
      <c r="AB66" s="68">
        <f t="shared" si="68"/>
        <v>160.39170380133348</v>
      </c>
      <c r="AC66" s="181">
        <f t="shared" si="69"/>
        <v>5.8680070537288277E-2</v>
      </c>
      <c r="AD66" s="68">
        <f>+IF(AC66&gt;Parametros!$H$41,Parametros!$H$41*(X66+Y66)/2,AB66)</f>
        <v>160.39170380133348</v>
      </c>
      <c r="AE66" s="68">
        <f t="shared" si="70"/>
        <v>0</v>
      </c>
      <c r="AF66" s="12"/>
      <c r="AG66" s="181">
        <f>+IF(AC66&lt;Parametros!$H$41,V66,0)</f>
        <v>1.0226609683662211E-4</v>
      </c>
      <c r="AH66" s="68">
        <f t="shared" si="71"/>
        <v>87.391843193343334</v>
      </c>
      <c r="AI66" s="68">
        <f t="shared" si="72"/>
        <v>247.78354699467681</v>
      </c>
      <c r="AJ66" s="181">
        <f t="shared" si="73"/>
        <v>9.0652793573642657E-2</v>
      </c>
      <c r="AK66" s="68">
        <f>+IF(AJ66&gt;=Parametros!$H$41,Parametros!$H$41*($X66+$Y66)/2,AI66)</f>
        <v>210.46602499999997</v>
      </c>
      <c r="AL66" s="242">
        <f t="shared" si="74"/>
        <v>7.6999999999999999E-2</v>
      </c>
      <c r="AM66" s="68">
        <f t="shared" si="75"/>
        <v>37.317521994676838</v>
      </c>
      <c r="AO66" s="143">
        <f>+IF(AL66&gt;=Parametros!$H$41,0,'Calculo Excedentes'!D66+'Calculo Excedentes'!K66)</f>
        <v>0</v>
      </c>
      <c r="AP66" s="146">
        <f t="shared" si="76"/>
        <v>0</v>
      </c>
      <c r="AS66" s="243">
        <f>+IF(AL66&lt;Parametros!$H$41,AP66,0)</f>
        <v>0</v>
      </c>
      <c r="AT66" s="68">
        <f t="shared" si="77"/>
        <v>0</v>
      </c>
      <c r="AU66" s="68">
        <f t="shared" si="78"/>
        <v>210.46602499999997</v>
      </c>
      <c r="AV66" s="181">
        <f t="shared" si="79"/>
        <v>7.6999999999999999E-2</v>
      </c>
      <c r="AW66" s="68">
        <f>+IF(AV66&gt;=Parametros!$H$41,Parametros!$H$41*($X66+$Y66)/2,AU66)</f>
        <v>210.46602499999997</v>
      </c>
      <c r="AX66" s="242">
        <f t="shared" si="80"/>
        <v>7.6999999999999999E-2</v>
      </c>
      <c r="AY66" s="68">
        <f t="shared" si="81"/>
        <v>0</v>
      </c>
      <c r="BA66" s="181">
        <f>+IF(AV66&lt;Parametros!$H$41,$AP66,0)</f>
        <v>0</v>
      </c>
      <c r="BB66" s="68">
        <f t="shared" si="82"/>
        <v>0</v>
      </c>
      <c r="BC66" s="68">
        <f t="shared" si="83"/>
        <v>210.46602499999997</v>
      </c>
      <c r="BD66" s="181">
        <f>IF($X66+$Y66=0,0,MIN(Parametros!$H$41,BC66/(($X66+$Y66)/2)))</f>
        <v>7.6999999999999999E-2</v>
      </c>
      <c r="BE66" s="68">
        <f>+IF(BD66&gt;=Parametros!$H$41,Parametros!$H$41*($X66+$Y66)/2,BC66)</f>
        <v>210.46602499999997</v>
      </c>
      <c r="BF66" s="68">
        <f t="shared" si="84"/>
        <v>0</v>
      </c>
    </row>
    <row r="67" spans="1:58" x14ac:dyDescent="0.25">
      <c r="A67" s="248" t="s">
        <v>162</v>
      </c>
      <c r="B67" s="130" t="s">
        <v>92</v>
      </c>
      <c r="D67" s="134">
        <v>0</v>
      </c>
      <c r="E67" s="126">
        <v>0</v>
      </c>
      <c r="F67" s="127"/>
      <c r="G67" s="9">
        <f t="shared" si="57"/>
        <v>0</v>
      </c>
      <c r="H67" s="9">
        <f t="shared" si="58"/>
        <v>0</v>
      </c>
      <c r="I67" s="135">
        <f t="shared" si="59"/>
        <v>0</v>
      </c>
      <c r="J67" s="5"/>
      <c r="K67" s="134"/>
      <c r="L67" s="126"/>
      <c r="M67" s="9">
        <f t="shared" si="60"/>
        <v>0</v>
      </c>
      <c r="N67" s="9">
        <f t="shared" si="61"/>
        <v>0</v>
      </c>
      <c r="O67" s="135">
        <f t="shared" si="62"/>
        <v>0</v>
      </c>
      <c r="P67" s="5"/>
      <c r="Q67" s="143">
        <f t="shared" si="63"/>
        <v>0</v>
      </c>
      <c r="R67" s="9">
        <f t="shared" si="64"/>
        <v>0</v>
      </c>
      <c r="S67" s="144">
        <f t="shared" si="65"/>
        <v>0</v>
      </c>
      <c r="T67" s="12"/>
      <c r="U67" s="143">
        <f t="shared" si="66"/>
        <v>0</v>
      </c>
      <c r="V67" s="144">
        <f t="shared" si="67"/>
        <v>0</v>
      </c>
      <c r="X67" s="68">
        <f>+'Calculo Intereses PERS NAT'!G306</f>
        <v>1590.38</v>
      </c>
      <c r="Y67" s="68">
        <f>+'Calculo Intereses PERS NAT'!G322</f>
        <v>1669.7</v>
      </c>
      <c r="Z67" s="68">
        <f>+'Calculo Intereses PERS NAT'!J322</f>
        <v>91.295645205479445</v>
      </c>
      <c r="AA67" s="68">
        <f>+V67*Parametros!$I$39</f>
        <v>0</v>
      </c>
      <c r="AB67" s="68">
        <f t="shared" si="68"/>
        <v>91.295645205479445</v>
      </c>
      <c r="AC67" s="181">
        <f t="shared" si="69"/>
        <v>5.6008223850629091E-2</v>
      </c>
      <c r="AD67" s="68">
        <f>+IF(AC67&gt;Parametros!$H$41,Parametros!$H$41*(X67+Y67)/2,AB67)</f>
        <v>91.295645205479445</v>
      </c>
      <c r="AE67" s="68">
        <f t="shared" si="70"/>
        <v>0</v>
      </c>
      <c r="AF67" s="12"/>
      <c r="AG67" s="181">
        <f>+IF(AC67&lt;Parametros!$H$41,V67,0)</f>
        <v>0</v>
      </c>
      <c r="AH67" s="68">
        <f t="shared" si="71"/>
        <v>0</v>
      </c>
      <c r="AI67" s="68">
        <f t="shared" si="72"/>
        <v>91.295645205479445</v>
      </c>
      <c r="AJ67" s="181">
        <f t="shared" si="73"/>
        <v>5.6008223850629091E-2</v>
      </c>
      <c r="AK67" s="68">
        <f>+IF(AJ67&gt;=Parametros!$H$41,Parametros!$H$41*($X67+$Y67)/2,AI67)</f>
        <v>91.295645205479445</v>
      </c>
      <c r="AL67" s="242">
        <f t="shared" si="74"/>
        <v>5.6008223850629091E-2</v>
      </c>
      <c r="AM67" s="68">
        <f t="shared" si="75"/>
        <v>0</v>
      </c>
      <c r="AO67" s="143">
        <f>+IF(AL67&gt;=Parametros!$H$41,0,'Calculo Excedentes'!D67+'Calculo Excedentes'!K67)</f>
        <v>0</v>
      </c>
      <c r="AP67" s="146">
        <f t="shared" si="76"/>
        <v>0</v>
      </c>
      <c r="AS67" s="243">
        <f>+IF(AL67&lt;Parametros!$H$41,AP67,0)</f>
        <v>0</v>
      </c>
      <c r="AT67" s="68">
        <f t="shared" si="77"/>
        <v>0</v>
      </c>
      <c r="AU67" s="68">
        <f t="shared" si="78"/>
        <v>91.295645205479445</v>
      </c>
      <c r="AV67" s="181">
        <f t="shared" si="79"/>
        <v>5.6008223850629091E-2</v>
      </c>
      <c r="AW67" s="68">
        <f>+IF(AV67&gt;=Parametros!$H$41,Parametros!$H$41*($X67+$Y67)/2,AU67)</f>
        <v>91.295645205479445</v>
      </c>
      <c r="AX67" s="242">
        <f t="shared" si="80"/>
        <v>5.6008223850629091E-2</v>
      </c>
      <c r="AY67" s="68">
        <f t="shared" si="81"/>
        <v>0</v>
      </c>
      <c r="BA67" s="181">
        <f>+IF(AV67&lt;Parametros!$H$41,$AP67,0)</f>
        <v>0</v>
      </c>
      <c r="BB67" s="68">
        <f t="shared" si="82"/>
        <v>0</v>
      </c>
      <c r="BC67" s="68">
        <f t="shared" si="83"/>
        <v>91.295645205479445</v>
      </c>
      <c r="BD67" s="181">
        <f>IF($X67+$Y67=0,0,MIN(Parametros!$H$41,BC67/(($X67+$Y67)/2)))</f>
        <v>5.6008223850629091E-2</v>
      </c>
      <c r="BE67" s="68">
        <f>+IF(BD67&gt;=Parametros!$H$41,Parametros!$H$41*($X67+$Y67)/2,BC67)</f>
        <v>91.295645205479445</v>
      </c>
      <c r="BF67" s="68">
        <f t="shared" si="84"/>
        <v>0</v>
      </c>
    </row>
    <row r="68" spans="1:58" x14ac:dyDescent="0.25">
      <c r="A68" s="248" t="s">
        <v>163</v>
      </c>
      <c r="B68" s="130" t="s">
        <v>93</v>
      </c>
      <c r="D68" s="134">
        <v>0</v>
      </c>
      <c r="E68" s="126">
        <v>0</v>
      </c>
      <c r="F68" s="127"/>
      <c r="G68" s="9">
        <f t="shared" si="57"/>
        <v>0</v>
      </c>
      <c r="H68" s="9">
        <f t="shared" si="58"/>
        <v>0</v>
      </c>
      <c r="I68" s="135">
        <f t="shared" si="59"/>
        <v>0</v>
      </c>
      <c r="J68" s="5"/>
      <c r="K68" s="134"/>
      <c r="L68" s="126"/>
      <c r="M68" s="9">
        <f t="shared" si="60"/>
        <v>0</v>
      </c>
      <c r="N68" s="9">
        <f t="shared" si="61"/>
        <v>0</v>
      </c>
      <c r="O68" s="135">
        <f t="shared" si="62"/>
        <v>0</v>
      </c>
      <c r="P68" s="5"/>
      <c r="Q68" s="143">
        <f t="shared" si="63"/>
        <v>0</v>
      </c>
      <c r="R68" s="9">
        <f t="shared" si="64"/>
        <v>0</v>
      </c>
      <c r="S68" s="144">
        <f t="shared" si="65"/>
        <v>0</v>
      </c>
      <c r="T68" s="12"/>
      <c r="U68" s="143">
        <f t="shared" si="66"/>
        <v>0</v>
      </c>
      <c r="V68" s="144">
        <f t="shared" si="67"/>
        <v>0</v>
      </c>
      <c r="X68" s="68">
        <f>+'Calculo Intereses PERS NAT'!G327</f>
        <v>799.99</v>
      </c>
      <c r="Y68" s="68">
        <f>+'Calculo Intereses PERS NAT'!G343</f>
        <v>1059.8900000000001</v>
      </c>
      <c r="Z68" s="68">
        <f>+'Calculo Intereses PERS NAT'!J343</f>
        <v>227.22867863013701</v>
      </c>
      <c r="AA68" s="68">
        <f>+V68*Parametros!$I$39</f>
        <v>0</v>
      </c>
      <c r="AB68" s="68">
        <f t="shared" si="68"/>
        <v>227.22867863013701</v>
      </c>
      <c r="AC68" s="181">
        <f t="shared" si="69"/>
        <v>0.24434767687177344</v>
      </c>
      <c r="AD68" s="68">
        <f>+IF(AC68&gt;Parametros!$H$41,Parametros!$H$41*(X68+Y68)/2,AB68)</f>
        <v>71.605379999999997</v>
      </c>
      <c r="AE68" s="68">
        <f t="shared" si="70"/>
        <v>155.62329863013701</v>
      </c>
      <c r="AF68" s="12"/>
      <c r="AG68" s="181">
        <f>+IF(AC68&lt;Parametros!$H$41,V68,0)</f>
        <v>0</v>
      </c>
      <c r="AH68" s="68">
        <f t="shared" si="71"/>
        <v>0</v>
      </c>
      <c r="AI68" s="68">
        <f t="shared" si="72"/>
        <v>71.605379999999997</v>
      </c>
      <c r="AJ68" s="181">
        <f t="shared" si="73"/>
        <v>7.6999999999999985E-2</v>
      </c>
      <c r="AK68" s="68">
        <f>+IF(AJ68&gt;=Parametros!$H$41,Parametros!$H$41*($X68+$Y68)/2,AI68)</f>
        <v>71.605379999999997</v>
      </c>
      <c r="AL68" s="242">
        <f t="shared" si="74"/>
        <v>7.6999999999999985E-2</v>
      </c>
      <c r="AM68" s="68">
        <f t="shared" si="75"/>
        <v>0</v>
      </c>
      <c r="AO68" s="143">
        <f>+IF(AL68&gt;=Parametros!$H$41,0,'Calculo Excedentes'!D68+'Calculo Excedentes'!K68)</f>
        <v>0</v>
      </c>
      <c r="AP68" s="146">
        <f t="shared" si="76"/>
        <v>0</v>
      </c>
      <c r="AS68" s="243">
        <f>+IF(AL68&lt;Parametros!$H$41,AP68,0)</f>
        <v>0</v>
      </c>
      <c r="AT68" s="68">
        <f t="shared" si="77"/>
        <v>0</v>
      </c>
      <c r="AU68" s="68">
        <f t="shared" si="78"/>
        <v>71.605379999999997</v>
      </c>
      <c r="AV68" s="181">
        <f t="shared" si="79"/>
        <v>7.6999999999999985E-2</v>
      </c>
      <c r="AW68" s="68">
        <f>+IF(AV68&gt;=Parametros!$H$41,Parametros!$H$41*($X68+$Y68)/2,AU68)</f>
        <v>71.605379999999997</v>
      </c>
      <c r="AX68" s="242">
        <f t="shared" si="80"/>
        <v>7.6999999999999985E-2</v>
      </c>
      <c r="AY68" s="68">
        <f t="shared" si="81"/>
        <v>0</v>
      </c>
      <c r="BA68" s="181">
        <f>+IF(AV68&lt;Parametros!$H$41,$AP68,0)</f>
        <v>0</v>
      </c>
      <c r="BB68" s="68">
        <f t="shared" si="82"/>
        <v>0</v>
      </c>
      <c r="BC68" s="68">
        <f t="shared" si="83"/>
        <v>71.605379999999997</v>
      </c>
      <c r="BD68" s="181">
        <f>IF($X68+$Y68=0,0,MIN(Parametros!$H$41,BC68/(($X68+$Y68)/2)))</f>
        <v>7.6999999999999985E-2</v>
      </c>
      <c r="BE68" s="68">
        <f>+IF(BD68&gt;=Parametros!$H$41,Parametros!$H$41*($X68+$Y68)/2,BC68)</f>
        <v>71.605379999999997</v>
      </c>
      <c r="BF68" s="68">
        <f t="shared" si="84"/>
        <v>0</v>
      </c>
    </row>
    <row r="69" spans="1:58" x14ac:dyDescent="0.25">
      <c r="A69" s="248" t="s">
        <v>164</v>
      </c>
      <c r="B69" s="130" t="s">
        <v>68</v>
      </c>
      <c r="D69" s="134">
        <v>0</v>
      </c>
      <c r="E69" s="126">
        <v>0</v>
      </c>
      <c r="F69" s="127"/>
      <c r="G69" s="9">
        <f t="shared" si="57"/>
        <v>0</v>
      </c>
      <c r="H69" s="9">
        <f t="shared" si="58"/>
        <v>0</v>
      </c>
      <c r="I69" s="135">
        <f t="shared" si="59"/>
        <v>0</v>
      </c>
      <c r="J69" s="5"/>
      <c r="K69" s="134"/>
      <c r="L69" s="126"/>
      <c r="M69" s="9">
        <f t="shared" si="60"/>
        <v>0</v>
      </c>
      <c r="N69" s="9">
        <f t="shared" si="61"/>
        <v>0</v>
      </c>
      <c r="O69" s="135">
        <f t="shared" si="62"/>
        <v>0</v>
      </c>
      <c r="P69" s="5"/>
      <c r="Q69" s="143">
        <f t="shared" si="63"/>
        <v>0</v>
      </c>
      <c r="R69" s="9">
        <f t="shared" si="64"/>
        <v>0</v>
      </c>
      <c r="S69" s="144">
        <f t="shared" si="65"/>
        <v>0</v>
      </c>
      <c r="T69" s="12"/>
      <c r="U69" s="143">
        <f t="shared" si="66"/>
        <v>0</v>
      </c>
      <c r="V69" s="144">
        <f t="shared" si="67"/>
        <v>0</v>
      </c>
      <c r="X69" s="68">
        <f>+'Calculo Intereses PERS NAT'!G348</f>
        <v>114.29</v>
      </c>
      <c r="Y69" s="68">
        <f>+'Calculo Intereses PERS NAT'!G364</f>
        <v>114.29</v>
      </c>
      <c r="Z69" s="68">
        <f>+'Calculo Intereses PERS NAT'!J364</f>
        <v>6.2859500000000006</v>
      </c>
      <c r="AA69" s="68">
        <f>+V69*Parametros!$I$39</f>
        <v>0</v>
      </c>
      <c r="AB69" s="68">
        <f t="shared" si="68"/>
        <v>6.2859500000000006</v>
      </c>
      <c r="AC69" s="181">
        <f t="shared" si="69"/>
        <v>5.5E-2</v>
      </c>
      <c r="AD69" s="68">
        <f>+IF(AC69&gt;Parametros!$H$41,Parametros!$H$41*(X69+Y69)/2,AB69)</f>
        <v>6.2859500000000006</v>
      </c>
      <c r="AE69" s="68">
        <f t="shared" si="70"/>
        <v>0</v>
      </c>
      <c r="AF69" s="12"/>
      <c r="AG69" s="181">
        <f>+IF(AC69&lt;Parametros!$H$41,V69,0)</f>
        <v>0</v>
      </c>
      <c r="AH69" s="68">
        <f t="shared" si="71"/>
        <v>0</v>
      </c>
      <c r="AI69" s="68">
        <f t="shared" si="72"/>
        <v>6.2859500000000006</v>
      </c>
      <c r="AJ69" s="181">
        <f t="shared" si="73"/>
        <v>5.5E-2</v>
      </c>
      <c r="AK69" s="68">
        <f>+IF(AJ69&gt;=Parametros!$H$41,Parametros!$H$41*($X69+$Y69)/2,AI69)</f>
        <v>6.2859500000000006</v>
      </c>
      <c r="AL69" s="242">
        <f t="shared" si="74"/>
        <v>5.5E-2</v>
      </c>
      <c r="AM69" s="68">
        <f t="shared" si="75"/>
        <v>0</v>
      </c>
      <c r="AO69" s="143">
        <f>+IF(AL69&gt;=Parametros!$H$41,0,'Calculo Excedentes'!D69+'Calculo Excedentes'!K69)</f>
        <v>0</v>
      </c>
      <c r="AP69" s="146">
        <f t="shared" si="76"/>
        <v>0</v>
      </c>
      <c r="AS69" s="243">
        <f>+IF(AL69&lt;Parametros!$H$41,AP69,0)</f>
        <v>0</v>
      </c>
      <c r="AT69" s="68">
        <f t="shared" si="77"/>
        <v>0</v>
      </c>
      <c r="AU69" s="68">
        <f t="shared" si="78"/>
        <v>6.2859500000000006</v>
      </c>
      <c r="AV69" s="181">
        <f t="shared" si="79"/>
        <v>5.5E-2</v>
      </c>
      <c r="AW69" s="68">
        <f>+IF(AV69&gt;=Parametros!$H$41,Parametros!$H$41*($X69+$Y69)/2,AU69)</f>
        <v>6.2859500000000006</v>
      </c>
      <c r="AX69" s="242">
        <f t="shared" si="80"/>
        <v>5.5E-2</v>
      </c>
      <c r="AY69" s="68">
        <f t="shared" si="81"/>
        <v>0</v>
      </c>
      <c r="BA69" s="181">
        <f>+IF(AV69&lt;Parametros!$H$41,$AP69,0)</f>
        <v>0</v>
      </c>
      <c r="BB69" s="68">
        <f t="shared" si="82"/>
        <v>0</v>
      </c>
      <c r="BC69" s="68">
        <f t="shared" si="83"/>
        <v>6.2859500000000006</v>
      </c>
      <c r="BD69" s="181">
        <f>IF($X69+$Y69=0,0,MIN(Parametros!$H$41,BC69/(($X69+$Y69)/2)))</f>
        <v>5.5E-2</v>
      </c>
      <c r="BE69" s="68">
        <f>+IF(BD69&gt;=Parametros!$H$41,Parametros!$H$41*($X69+$Y69)/2,BC69)</f>
        <v>6.2859500000000006</v>
      </c>
      <c r="BF69" s="68">
        <f t="shared" si="84"/>
        <v>0</v>
      </c>
    </row>
    <row r="70" spans="1:58" x14ac:dyDescent="0.25">
      <c r="A70" s="248" t="s">
        <v>165</v>
      </c>
      <c r="B70" s="130" t="s">
        <v>69</v>
      </c>
      <c r="D70" s="134">
        <v>0</v>
      </c>
      <c r="E70" s="126">
        <v>0</v>
      </c>
      <c r="F70" s="127"/>
      <c r="G70" s="9">
        <f t="shared" si="57"/>
        <v>0</v>
      </c>
      <c r="H70" s="9">
        <f t="shared" si="58"/>
        <v>0</v>
      </c>
      <c r="I70" s="135">
        <f t="shared" si="59"/>
        <v>0</v>
      </c>
      <c r="J70" s="5"/>
      <c r="K70" s="134"/>
      <c r="L70" s="126"/>
      <c r="M70" s="9">
        <f t="shared" si="60"/>
        <v>0</v>
      </c>
      <c r="N70" s="9">
        <f t="shared" si="61"/>
        <v>0</v>
      </c>
      <c r="O70" s="135">
        <f t="shared" si="62"/>
        <v>0</v>
      </c>
      <c r="P70" s="5"/>
      <c r="Q70" s="143">
        <f t="shared" si="63"/>
        <v>0</v>
      </c>
      <c r="R70" s="9">
        <f t="shared" si="64"/>
        <v>0</v>
      </c>
      <c r="S70" s="144">
        <f t="shared" si="65"/>
        <v>0</v>
      </c>
      <c r="T70" s="12"/>
      <c r="U70" s="143">
        <f t="shared" si="66"/>
        <v>0</v>
      </c>
      <c r="V70" s="144">
        <f t="shared" si="67"/>
        <v>0</v>
      </c>
      <c r="X70" s="68">
        <f>+'Calculo Intereses PERS NAT'!G369</f>
        <v>0</v>
      </c>
      <c r="Y70" s="68">
        <f>+'Calculo Intereses PERS NAT'!G385</f>
        <v>0</v>
      </c>
      <c r="Z70" s="68">
        <f>+'Calculo Intereses PERS NAT'!J385</f>
        <v>0</v>
      </c>
      <c r="AA70" s="68">
        <f>+V70*Parametros!$I$39</f>
        <v>0</v>
      </c>
      <c r="AB70" s="68">
        <f t="shared" si="68"/>
        <v>0</v>
      </c>
      <c r="AC70" s="181">
        <f t="shared" si="69"/>
        <v>0</v>
      </c>
      <c r="AD70" s="68">
        <f>+IF(AC70&gt;Parametros!$H$41,Parametros!$H$41*(X70+Y70)/2,AB70)</f>
        <v>0</v>
      </c>
      <c r="AE70" s="68">
        <f t="shared" si="70"/>
        <v>0</v>
      </c>
      <c r="AF70" s="12"/>
      <c r="AG70" s="181">
        <f>+IF(AC70&lt;Parametros!$H$41,V70,0)</f>
        <v>0</v>
      </c>
      <c r="AH70" s="68">
        <f t="shared" si="71"/>
        <v>0</v>
      </c>
      <c r="AI70" s="68">
        <f t="shared" si="72"/>
        <v>0</v>
      </c>
      <c r="AJ70" s="181">
        <f t="shared" si="73"/>
        <v>0</v>
      </c>
      <c r="AK70" s="68">
        <f>+IF(AJ70&gt;=Parametros!$H$41,Parametros!$H$41*($X70+$Y70)/2,AI70)</f>
        <v>0</v>
      </c>
      <c r="AL70" s="242">
        <f t="shared" si="74"/>
        <v>0</v>
      </c>
      <c r="AM70" s="68">
        <f t="shared" si="75"/>
        <v>0</v>
      </c>
      <c r="AO70" s="143">
        <f>+IF(AL70&gt;=Parametros!$H$41,0,'Calculo Excedentes'!D70+'Calculo Excedentes'!K70)</f>
        <v>0</v>
      </c>
      <c r="AP70" s="146">
        <f t="shared" si="76"/>
        <v>0</v>
      </c>
      <c r="AS70" s="243">
        <f>+IF(AL70&lt;Parametros!$H$41,AP70,0)</f>
        <v>0</v>
      </c>
      <c r="AT70" s="68">
        <f t="shared" si="77"/>
        <v>0</v>
      </c>
      <c r="AU70" s="68">
        <f t="shared" si="78"/>
        <v>0</v>
      </c>
      <c r="AV70" s="181">
        <f t="shared" si="79"/>
        <v>0</v>
      </c>
      <c r="AW70" s="68">
        <f>+IF(AV70&gt;=Parametros!$H$41,Parametros!$H$41*($X70+$Y70)/2,AU70)</f>
        <v>0</v>
      </c>
      <c r="AX70" s="242">
        <f t="shared" si="80"/>
        <v>0</v>
      </c>
      <c r="AY70" s="68">
        <f t="shared" si="81"/>
        <v>0</v>
      </c>
      <c r="BA70" s="181">
        <f>+IF(AV70&lt;Parametros!$H$41,$AP70,0)</f>
        <v>0</v>
      </c>
      <c r="BB70" s="68">
        <f t="shared" si="82"/>
        <v>0</v>
      </c>
      <c r="BC70" s="68">
        <f t="shared" si="83"/>
        <v>0</v>
      </c>
      <c r="BD70" s="181">
        <f>IF($X70+$Y70=0,0,MIN(Parametros!$H$41,BC70/(($X70+$Y70)/2)))</f>
        <v>0</v>
      </c>
      <c r="BE70" s="68">
        <f>+IF(BD70&gt;=Parametros!$H$41,Parametros!$H$41*($X70+$Y70)/2,BC70)</f>
        <v>0</v>
      </c>
      <c r="BF70" s="68">
        <f t="shared" si="84"/>
        <v>0</v>
      </c>
    </row>
    <row r="71" spans="1:58" x14ac:dyDescent="0.25">
      <c r="A71" s="248" t="s">
        <v>166</v>
      </c>
      <c r="B71" s="130" t="s">
        <v>70</v>
      </c>
      <c r="D71" s="134">
        <v>294.12</v>
      </c>
      <c r="E71" s="126">
        <v>0</v>
      </c>
      <c r="F71" s="127"/>
      <c r="G71" s="9">
        <f t="shared" si="57"/>
        <v>114.7068</v>
      </c>
      <c r="H71" s="9">
        <f t="shared" si="58"/>
        <v>0</v>
      </c>
      <c r="I71" s="135">
        <f t="shared" si="59"/>
        <v>179.41320000000002</v>
      </c>
      <c r="J71" s="5"/>
      <c r="K71" s="134"/>
      <c r="L71" s="134"/>
      <c r="M71" s="9">
        <f t="shared" si="60"/>
        <v>0</v>
      </c>
      <c r="N71" s="9">
        <f t="shared" si="61"/>
        <v>0</v>
      </c>
      <c r="O71" s="135">
        <f t="shared" si="62"/>
        <v>0</v>
      </c>
      <c r="P71" s="5"/>
      <c r="Q71" s="143">
        <f t="shared" si="63"/>
        <v>179.41320000000002</v>
      </c>
      <c r="R71" s="9">
        <f t="shared" si="64"/>
        <v>179.41320000000002</v>
      </c>
      <c r="S71" s="144">
        <f t="shared" si="65"/>
        <v>2.4976283304396806E-4</v>
      </c>
      <c r="T71" s="12"/>
      <c r="U71" s="143">
        <f t="shared" si="66"/>
        <v>294.12</v>
      </c>
      <c r="V71" s="144">
        <f t="shared" si="67"/>
        <v>1.2327255902289875E-4</v>
      </c>
      <c r="X71" s="68">
        <f>+'Calculo Intereses PERS NAT'!G390</f>
        <v>988.96999999999991</v>
      </c>
      <c r="Y71" s="68">
        <f>+'Calculo Intereses PERS NAT'!G406</f>
        <v>1056.6999999999998</v>
      </c>
      <c r="Z71" s="68">
        <f>+'Calculo Intereses PERS NAT'!J406</f>
        <v>57.659234931506838</v>
      </c>
      <c r="AA71" s="68">
        <f>+V71*Parametros!$I$39</f>
        <v>6.8924777542959088</v>
      </c>
      <c r="AB71" s="68">
        <f t="shared" si="68"/>
        <v>64.551712685802741</v>
      </c>
      <c r="AC71" s="181">
        <f t="shared" si="69"/>
        <v>6.3110582533646931E-2</v>
      </c>
      <c r="AD71" s="68">
        <f>+IF(AC71&gt;Parametros!$H$41,Parametros!$H$41*(X71+Y71)/2,AB71)</f>
        <v>64.551712685802741</v>
      </c>
      <c r="AE71" s="68">
        <f t="shared" si="70"/>
        <v>0</v>
      </c>
      <c r="AF71" s="12"/>
      <c r="AG71" s="181">
        <f>+IF(AC71&lt;Parametros!$H$41,V71,0)</f>
        <v>1.2327255902289875E-4</v>
      </c>
      <c r="AH71" s="68">
        <f t="shared" si="71"/>
        <v>105.34298737715633</v>
      </c>
      <c r="AI71" s="68">
        <f t="shared" si="72"/>
        <v>169.89470006295909</v>
      </c>
      <c r="AJ71" s="181">
        <f t="shared" si="73"/>
        <v>0.16610176623107259</v>
      </c>
      <c r="AK71" s="68">
        <f>+IF(AJ71&gt;=Parametros!$H$41,Parametros!$H$41*($X71+$Y71)/2,AI71)</f>
        <v>78.75829499999999</v>
      </c>
      <c r="AL71" s="242">
        <f t="shared" si="74"/>
        <v>7.6999999999999999E-2</v>
      </c>
      <c r="AM71" s="68">
        <f t="shared" si="75"/>
        <v>91.136405062959099</v>
      </c>
      <c r="AO71" s="143">
        <f>+IF(AL71&gt;=Parametros!$H$41,0,'Calculo Excedentes'!D71+'Calculo Excedentes'!K71)</f>
        <v>0</v>
      </c>
      <c r="AP71" s="146">
        <f t="shared" si="76"/>
        <v>0</v>
      </c>
      <c r="AS71" s="243">
        <f>+IF(AL71&lt;Parametros!$H$41,AP71,0)</f>
        <v>0</v>
      </c>
      <c r="AT71" s="68">
        <f t="shared" si="77"/>
        <v>0</v>
      </c>
      <c r="AU71" s="68">
        <f t="shared" si="78"/>
        <v>78.75829499999999</v>
      </c>
      <c r="AV71" s="181">
        <f t="shared" si="79"/>
        <v>7.6999999999999999E-2</v>
      </c>
      <c r="AW71" s="68">
        <f>+IF(AV71&gt;=Parametros!$H$41,Parametros!$H$41*($X71+$Y71)/2,AU71)</f>
        <v>78.75829499999999</v>
      </c>
      <c r="AX71" s="242">
        <f t="shared" si="80"/>
        <v>7.6999999999999999E-2</v>
      </c>
      <c r="AY71" s="68">
        <f t="shared" si="81"/>
        <v>0</v>
      </c>
      <c r="BA71" s="181">
        <f>+IF(AV71&lt;Parametros!$H$41,$AP71,0)</f>
        <v>0</v>
      </c>
      <c r="BB71" s="68">
        <f t="shared" si="82"/>
        <v>0</v>
      </c>
      <c r="BC71" s="68">
        <f t="shared" si="83"/>
        <v>78.75829499999999</v>
      </c>
      <c r="BD71" s="181">
        <f>IF($X71+$Y71=0,0,MIN(Parametros!$H$41,BC71/(($X71+$Y71)/2)))</f>
        <v>7.6999999999999999E-2</v>
      </c>
      <c r="BE71" s="68">
        <f>+IF(BD71&gt;=Parametros!$H$41,Parametros!$H$41*($X71+$Y71)/2,BC71)</f>
        <v>78.75829499999999</v>
      </c>
      <c r="BF71" s="68">
        <f t="shared" si="84"/>
        <v>0</v>
      </c>
    </row>
    <row r="72" spans="1:58" x14ac:dyDescent="0.25">
      <c r="A72" s="248" t="s">
        <v>167</v>
      </c>
      <c r="B72" s="130" t="s">
        <v>71</v>
      </c>
      <c r="D72" s="134">
        <v>0</v>
      </c>
      <c r="E72" s="126">
        <v>0</v>
      </c>
      <c r="F72" s="127"/>
      <c r="G72" s="9">
        <f t="shared" si="57"/>
        <v>0</v>
      </c>
      <c r="H72" s="9">
        <f t="shared" si="58"/>
        <v>0</v>
      </c>
      <c r="I72" s="135">
        <f t="shared" si="59"/>
        <v>0</v>
      </c>
      <c r="J72" s="5"/>
      <c r="K72" s="134"/>
      <c r="L72" s="126"/>
      <c r="M72" s="9">
        <f t="shared" si="60"/>
        <v>0</v>
      </c>
      <c r="N72" s="9">
        <f t="shared" si="61"/>
        <v>0</v>
      </c>
      <c r="O72" s="135">
        <f t="shared" si="62"/>
        <v>0</v>
      </c>
      <c r="P72" s="5"/>
      <c r="Q72" s="143">
        <f t="shared" si="63"/>
        <v>0</v>
      </c>
      <c r="R72" s="9">
        <f t="shared" si="64"/>
        <v>0</v>
      </c>
      <c r="S72" s="144">
        <f t="shared" si="65"/>
        <v>0</v>
      </c>
      <c r="T72" s="12"/>
      <c r="U72" s="143">
        <f t="shared" si="66"/>
        <v>0</v>
      </c>
      <c r="V72" s="144">
        <f t="shared" si="67"/>
        <v>0</v>
      </c>
      <c r="X72" s="68">
        <f>+'Calculo Intereses PERS NAT'!G411</f>
        <v>1600</v>
      </c>
      <c r="Y72" s="68">
        <f>+'Calculo Intereses PERS NAT'!G427</f>
        <v>1802.29</v>
      </c>
      <c r="Z72" s="68">
        <f>+'Calculo Intereses PERS NAT'!J427</f>
        <v>97.754257534246577</v>
      </c>
      <c r="AA72" s="68">
        <f>+V72*Parametros!$I$39</f>
        <v>0</v>
      </c>
      <c r="AB72" s="68">
        <f t="shared" si="68"/>
        <v>97.754257534246577</v>
      </c>
      <c r="AC72" s="181">
        <f t="shared" si="69"/>
        <v>5.7463800871910727E-2</v>
      </c>
      <c r="AD72" s="68">
        <f>+IF(AC72&gt;Parametros!$H$41,Parametros!$H$41*(X72+Y72)/2,AB72)</f>
        <v>97.754257534246577</v>
      </c>
      <c r="AE72" s="68">
        <f t="shared" si="70"/>
        <v>0</v>
      </c>
      <c r="AF72" s="12"/>
      <c r="AG72" s="181">
        <f>+IF(AC72&lt;Parametros!$H$41,V72,0)</f>
        <v>0</v>
      </c>
      <c r="AH72" s="68">
        <f t="shared" si="71"/>
        <v>0</v>
      </c>
      <c r="AI72" s="68">
        <f t="shared" si="72"/>
        <v>97.754257534246577</v>
      </c>
      <c r="AJ72" s="181">
        <f t="shared" si="73"/>
        <v>5.7463800871910727E-2</v>
      </c>
      <c r="AK72" s="68">
        <f>+IF(AJ72&gt;=Parametros!$H$41,Parametros!$H$41*($X72+$Y72)/2,AI72)</f>
        <v>97.754257534246577</v>
      </c>
      <c r="AL72" s="242">
        <f t="shared" si="74"/>
        <v>5.7463800871910727E-2</v>
      </c>
      <c r="AM72" s="68">
        <f t="shared" si="75"/>
        <v>0</v>
      </c>
      <c r="AO72" s="143">
        <f>+IF(AL72&gt;=Parametros!$H$41,0,'Calculo Excedentes'!D72+'Calculo Excedentes'!K72)</f>
        <v>0</v>
      </c>
      <c r="AP72" s="146">
        <f t="shared" si="76"/>
        <v>0</v>
      </c>
      <c r="AS72" s="243">
        <f>+IF(AL72&lt;Parametros!$H$41,AP72,0)</f>
        <v>0</v>
      </c>
      <c r="AT72" s="68">
        <f t="shared" si="77"/>
        <v>0</v>
      </c>
      <c r="AU72" s="68">
        <f t="shared" si="78"/>
        <v>97.754257534246577</v>
      </c>
      <c r="AV72" s="181">
        <f t="shared" si="79"/>
        <v>5.7463800871910727E-2</v>
      </c>
      <c r="AW72" s="68">
        <f>+IF(AV72&gt;=Parametros!$H$41,Parametros!$H$41*($X72+$Y72)/2,AU72)</f>
        <v>97.754257534246577</v>
      </c>
      <c r="AX72" s="242">
        <f t="shared" si="80"/>
        <v>5.7463800871910727E-2</v>
      </c>
      <c r="AY72" s="68">
        <f t="shared" si="81"/>
        <v>0</v>
      </c>
      <c r="BA72" s="181">
        <f>+IF(AV72&lt;Parametros!$H$41,$AP72,0)</f>
        <v>0</v>
      </c>
      <c r="BB72" s="68">
        <f t="shared" si="82"/>
        <v>0</v>
      </c>
      <c r="BC72" s="68">
        <f t="shared" si="83"/>
        <v>97.754257534246577</v>
      </c>
      <c r="BD72" s="181">
        <f>IF($X72+$Y72=0,0,MIN(Parametros!$H$41,BC72/(($X72+$Y72)/2)))</f>
        <v>5.7463800871910727E-2</v>
      </c>
      <c r="BE72" s="68">
        <f>+IF(BD72&gt;=Parametros!$H$41,Parametros!$H$41*($X72+$Y72)/2,BC72)</f>
        <v>97.754257534246577</v>
      </c>
      <c r="BF72" s="68">
        <f t="shared" si="84"/>
        <v>0</v>
      </c>
    </row>
    <row r="73" spans="1:58" x14ac:dyDescent="0.25">
      <c r="A73" s="248" t="s">
        <v>168</v>
      </c>
      <c r="B73" s="130" t="s">
        <v>96</v>
      </c>
      <c r="D73" s="134">
        <v>0</v>
      </c>
      <c r="E73" s="126">
        <v>0</v>
      </c>
      <c r="F73" s="127"/>
      <c r="G73" s="9">
        <f t="shared" si="57"/>
        <v>0</v>
      </c>
      <c r="H73" s="9">
        <f t="shared" si="58"/>
        <v>0</v>
      </c>
      <c r="I73" s="135">
        <f t="shared" si="59"/>
        <v>0</v>
      </c>
      <c r="J73" s="5"/>
      <c r="K73" s="134"/>
      <c r="L73" s="134"/>
      <c r="M73" s="9">
        <f t="shared" si="60"/>
        <v>0</v>
      </c>
      <c r="N73" s="9">
        <f t="shared" si="61"/>
        <v>0</v>
      </c>
      <c r="O73" s="135">
        <f t="shared" si="62"/>
        <v>0</v>
      </c>
      <c r="P73" s="5"/>
      <c r="Q73" s="143">
        <f t="shared" si="63"/>
        <v>0</v>
      </c>
      <c r="R73" s="9">
        <f t="shared" si="64"/>
        <v>0</v>
      </c>
      <c r="S73" s="144">
        <f t="shared" si="65"/>
        <v>0</v>
      </c>
      <c r="T73" s="12"/>
      <c r="U73" s="143">
        <f t="shared" si="66"/>
        <v>0</v>
      </c>
      <c r="V73" s="144">
        <f t="shared" si="67"/>
        <v>0</v>
      </c>
      <c r="X73" s="68">
        <f>+'Calculo Intereses PERS NAT'!G432</f>
        <v>1600.02</v>
      </c>
      <c r="Y73" s="68">
        <f>+'Calculo Intereses PERS NAT'!G448</f>
        <v>1754.55</v>
      </c>
      <c r="Z73" s="68">
        <f>+'Calculo Intereses PERS NAT'!J448</f>
        <v>95.452409589041096</v>
      </c>
      <c r="AA73" s="68">
        <f>+V73*Parametros!$I$39</f>
        <v>0</v>
      </c>
      <c r="AB73" s="68">
        <f t="shared" si="68"/>
        <v>95.452409589041096</v>
      </c>
      <c r="AC73" s="181">
        <f t="shared" si="69"/>
        <v>5.6908879283509427E-2</v>
      </c>
      <c r="AD73" s="68">
        <f>+IF(AC73&gt;Parametros!$H$41,Parametros!$H$41*(X73+Y73)/2,AB73)</f>
        <v>95.452409589041096</v>
      </c>
      <c r="AE73" s="68">
        <f t="shared" si="70"/>
        <v>0</v>
      </c>
      <c r="AF73" s="12"/>
      <c r="AG73" s="181">
        <f>+IF(AC73&lt;Parametros!$H$41,V73,0)</f>
        <v>0</v>
      </c>
      <c r="AH73" s="68">
        <f t="shared" si="71"/>
        <v>0</v>
      </c>
      <c r="AI73" s="68">
        <f t="shared" si="72"/>
        <v>95.452409589041096</v>
      </c>
      <c r="AJ73" s="181">
        <f t="shared" si="73"/>
        <v>5.6908879283509427E-2</v>
      </c>
      <c r="AK73" s="68">
        <f>+IF(AJ73&gt;=Parametros!$H$41,Parametros!$H$41*($X73+$Y73)/2,AI73)</f>
        <v>95.452409589041096</v>
      </c>
      <c r="AL73" s="242">
        <f t="shared" si="74"/>
        <v>5.6908879283509427E-2</v>
      </c>
      <c r="AM73" s="68">
        <f t="shared" si="75"/>
        <v>0</v>
      </c>
      <c r="AO73" s="143">
        <f>+IF(AL73&gt;=Parametros!$H$41,0,'Calculo Excedentes'!D73+'Calculo Excedentes'!K73)</f>
        <v>0</v>
      </c>
      <c r="AP73" s="146">
        <f t="shared" si="76"/>
        <v>0</v>
      </c>
      <c r="AS73" s="243">
        <f>+IF(AL73&lt;Parametros!$H$41,AP73,0)</f>
        <v>0</v>
      </c>
      <c r="AT73" s="68">
        <f t="shared" si="77"/>
        <v>0</v>
      </c>
      <c r="AU73" s="68">
        <f t="shared" si="78"/>
        <v>95.452409589041096</v>
      </c>
      <c r="AV73" s="181">
        <f t="shared" si="79"/>
        <v>5.6908879283509427E-2</v>
      </c>
      <c r="AW73" s="68">
        <f>+IF(AV73&gt;=Parametros!$H$41,Parametros!$H$41*($X73+$Y73)/2,AU73)</f>
        <v>95.452409589041096</v>
      </c>
      <c r="AX73" s="242">
        <f t="shared" si="80"/>
        <v>5.6908879283509427E-2</v>
      </c>
      <c r="AY73" s="68">
        <f t="shared" si="81"/>
        <v>0</v>
      </c>
      <c r="BA73" s="181">
        <f>+IF(AV73&lt;Parametros!$H$41,$AP73,0)</f>
        <v>0</v>
      </c>
      <c r="BB73" s="68">
        <f t="shared" si="82"/>
        <v>0</v>
      </c>
      <c r="BC73" s="68">
        <f t="shared" si="83"/>
        <v>95.452409589041096</v>
      </c>
      <c r="BD73" s="181">
        <f>IF($X73+$Y73=0,0,MIN(Parametros!$H$41,BC73/(($X73+$Y73)/2)))</f>
        <v>5.6908879283509427E-2</v>
      </c>
      <c r="BE73" s="68">
        <f>+IF(BD73&gt;=Parametros!$H$41,Parametros!$H$41*($X73+$Y73)/2,BC73)</f>
        <v>95.452409589041096</v>
      </c>
      <c r="BF73" s="68">
        <f t="shared" si="84"/>
        <v>0</v>
      </c>
    </row>
    <row r="74" spans="1:58" x14ac:dyDescent="0.25">
      <c r="A74" s="248" t="s">
        <v>169</v>
      </c>
      <c r="B74" s="130" t="s">
        <v>97</v>
      </c>
      <c r="D74" s="134">
        <v>0</v>
      </c>
      <c r="E74" s="126">
        <v>0</v>
      </c>
      <c r="F74" s="127"/>
      <c r="G74" s="9">
        <f t="shared" si="57"/>
        <v>0</v>
      </c>
      <c r="H74" s="9">
        <f t="shared" si="58"/>
        <v>0</v>
      </c>
      <c r="I74" s="135">
        <f t="shared" si="59"/>
        <v>0</v>
      </c>
      <c r="J74" s="5"/>
      <c r="K74" s="134"/>
      <c r="L74" s="126"/>
      <c r="M74" s="9">
        <f t="shared" si="60"/>
        <v>0</v>
      </c>
      <c r="N74" s="9">
        <f t="shared" si="61"/>
        <v>0</v>
      </c>
      <c r="O74" s="135">
        <f t="shared" si="62"/>
        <v>0</v>
      </c>
      <c r="P74" s="5"/>
      <c r="Q74" s="143">
        <f t="shared" si="63"/>
        <v>0</v>
      </c>
      <c r="R74" s="9">
        <f t="shared" si="64"/>
        <v>0</v>
      </c>
      <c r="S74" s="144">
        <f t="shared" si="65"/>
        <v>0</v>
      </c>
      <c r="T74" s="12"/>
      <c r="U74" s="143">
        <f t="shared" si="66"/>
        <v>0</v>
      </c>
      <c r="V74" s="144">
        <f t="shared" si="67"/>
        <v>0</v>
      </c>
      <c r="X74" s="68">
        <f>+'Calculo Intereses PERS NAT'!G453</f>
        <v>1485.71</v>
      </c>
      <c r="Y74" s="68">
        <f>+'Calculo Intereses PERS NAT'!G469</f>
        <v>1698.73</v>
      </c>
      <c r="Z74" s="68">
        <f>+'Calculo Intereses PERS NAT'!J469</f>
        <v>91.985699315068501</v>
      </c>
      <c r="AA74" s="68">
        <f>+V74*Parametros!$I$39</f>
        <v>0</v>
      </c>
      <c r="AB74" s="68">
        <f t="shared" si="68"/>
        <v>91.985699315068501</v>
      </c>
      <c r="AC74" s="181">
        <f t="shared" si="69"/>
        <v>5.7771978316481704E-2</v>
      </c>
      <c r="AD74" s="68">
        <f>+IF(AC74&gt;Parametros!$H$41,Parametros!$H$41*(X74+Y74)/2,AB74)</f>
        <v>91.985699315068501</v>
      </c>
      <c r="AE74" s="68">
        <f t="shared" si="70"/>
        <v>0</v>
      </c>
      <c r="AF74" s="12"/>
      <c r="AG74" s="181">
        <f>+IF(AC74&lt;Parametros!$H$41,V74,0)</f>
        <v>0</v>
      </c>
      <c r="AH74" s="68">
        <f t="shared" si="71"/>
        <v>0</v>
      </c>
      <c r="AI74" s="68">
        <f t="shared" si="72"/>
        <v>91.985699315068501</v>
      </c>
      <c r="AJ74" s="181">
        <f t="shared" si="73"/>
        <v>5.7771978316481704E-2</v>
      </c>
      <c r="AK74" s="68">
        <f>+IF(AJ74&gt;=Parametros!$H$41,Parametros!$H$41*($X74+$Y74)/2,AI74)</f>
        <v>91.985699315068501</v>
      </c>
      <c r="AL74" s="242">
        <f t="shared" si="74"/>
        <v>5.7771978316481704E-2</v>
      </c>
      <c r="AM74" s="68">
        <f t="shared" si="75"/>
        <v>0</v>
      </c>
      <c r="AO74" s="143">
        <f>+IF(AL74&gt;=Parametros!$H$41,0,'Calculo Excedentes'!D74+'Calculo Excedentes'!K74)</f>
        <v>0</v>
      </c>
      <c r="AP74" s="146">
        <f t="shared" si="76"/>
        <v>0</v>
      </c>
      <c r="AS74" s="243">
        <f>+IF(AL74&lt;Parametros!$H$41,AP74,0)</f>
        <v>0</v>
      </c>
      <c r="AT74" s="68">
        <f t="shared" si="77"/>
        <v>0</v>
      </c>
      <c r="AU74" s="68">
        <f t="shared" si="78"/>
        <v>91.985699315068501</v>
      </c>
      <c r="AV74" s="181">
        <f t="shared" si="79"/>
        <v>5.7771978316481704E-2</v>
      </c>
      <c r="AW74" s="68">
        <f>+IF(AV74&gt;=Parametros!$H$41,Parametros!$H$41*($X74+$Y74)/2,AU74)</f>
        <v>91.985699315068501</v>
      </c>
      <c r="AX74" s="242">
        <f t="shared" si="80"/>
        <v>5.7771978316481704E-2</v>
      </c>
      <c r="AY74" s="68">
        <f t="shared" si="81"/>
        <v>0</v>
      </c>
      <c r="BA74" s="181">
        <f>+IF(AV74&lt;Parametros!$H$41,$AP74,0)</f>
        <v>0</v>
      </c>
      <c r="BB74" s="68">
        <f t="shared" si="82"/>
        <v>0</v>
      </c>
      <c r="BC74" s="68">
        <f t="shared" si="83"/>
        <v>91.985699315068501</v>
      </c>
      <c r="BD74" s="181">
        <f>IF($X74+$Y74=0,0,MIN(Parametros!$H$41,BC74/(($X74+$Y74)/2)))</f>
        <v>5.7771978316481704E-2</v>
      </c>
      <c r="BE74" s="68">
        <f>+IF(BD74&gt;=Parametros!$H$41,Parametros!$H$41*($X74+$Y74)/2,BC74)</f>
        <v>91.985699315068501</v>
      </c>
      <c r="BF74" s="68">
        <f t="shared" si="84"/>
        <v>0</v>
      </c>
    </row>
    <row r="75" spans="1:58" x14ac:dyDescent="0.25">
      <c r="A75" s="248" t="s">
        <v>170</v>
      </c>
      <c r="B75" s="130" t="s">
        <v>98</v>
      </c>
      <c r="D75" s="134">
        <v>0</v>
      </c>
      <c r="E75" s="126">
        <v>0</v>
      </c>
      <c r="F75" s="127"/>
      <c r="G75" s="9">
        <f t="shared" si="57"/>
        <v>0</v>
      </c>
      <c r="H75" s="9">
        <f t="shared" si="58"/>
        <v>0</v>
      </c>
      <c r="I75" s="135">
        <f t="shared" si="59"/>
        <v>0</v>
      </c>
      <c r="J75" s="5"/>
      <c r="K75" s="134"/>
      <c r="L75" s="126"/>
      <c r="M75" s="9">
        <f t="shared" si="60"/>
        <v>0</v>
      </c>
      <c r="N75" s="9">
        <f t="shared" si="61"/>
        <v>0</v>
      </c>
      <c r="O75" s="135">
        <f t="shared" si="62"/>
        <v>0</v>
      </c>
      <c r="P75" s="5"/>
      <c r="Q75" s="143">
        <f t="shared" si="63"/>
        <v>0</v>
      </c>
      <c r="R75" s="9">
        <f t="shared" si="64"/>
        <v>0</v>
      </c>
      <c r="S75" s="144">
        <f t="shared" si="65"/>
        <v>0</v>
      </c>
      <c r="T75" s="12"/>
      <c r="U75" s="143">
        <f t="shared" si="66"/>
        <v>0</v>
      </c>
      <c r="V75" s="144">
        <f t="shared" si="67"/>
        <v>0</v>
      </c>
      <c r="W75" s="12">
        <f>571.44-78.58</f>
        <v>492.86000000000007</v>
      </c>
      <c r="X75" s="68">
        <f>+'Calculo Intereses PERS NAT'!G474</f>
        <v>342.86</v>
      </c>
      <c r="Y75" s="268">
        <f>+'Calculo Intereses PERS NAT'!G490</f>
        <v>571.44000000000005</v>
      </c>
      <c r="Z75" s="68">
        <f>+'Calculo Intereses PERS NAT'!J490</f>
        <v>29.8792397260274</v>
      </c>
      <c r="AA75" s="68">
        <f>+V75*Parametros!$I$39</f>
        <v>0</v>
      </c>
      <c r="AB75" s="68">
        <f t="shared" si="68"/>
        <v>29.8792397260274</v>
      </c>
      <c r="AC75" s="181">
        <f t="shared" si="69"/>
        <v>6.5359815653565342E-2</v>
      </c>
      <c r="AD75" s="68">
        <f>+IF(AC75&gt;Parametros!$H$41,Parametros!$H$41*(X75+Y75)/2,AB75)</f>
        <v>29.8792397260274</v>
      </c>
      <c r="AE75" s="68">
        <f t="shared" si="70"/>
        <v>0</v>
      </c>
      <c r="AF75" s="12"/>
      <c r="AG75" s="181">
        <f>+IF(AC75&lt;Parametros!$H$41,V75,0)</f>
        <v>0</v>
      </c>
      <c r="AH75" s="68">
        <f t="shared" si="71"/>
        <v>0</v>
      </c>
      <c r="AI75" s="68">
        <f t="shared" si="72"/>
        <v>29.8792397260274</v>
      </c>
      <c r="AJ75" s="181">
        <f t="shared" si="73"/>
        <v>6.5359815653565342E-2</v>
      </c>
      <c r="AK75" s="68">
        <f>+IF(AJ75&gt;=Parametros!$H$41,Parametros!$H$41*($X75+$Y75)/2,AI75)</f>
        <v>29.8792397260274</v>
      </c>
      <c r="AL75" s="242">
        <f t="shared" si="74"/>
        <v>6.5359815653565342E-2</v>
      </c>
      <c r="AM75" s="68">
        <f t="shared" si="75"/>
        <v>0</v>
      </c>
      <c r="AO75" s="143">
        <f>+IF(AL75&gt;=Parametros!$H$41,0,'Calculo Excedentes'!D75+'Calculo Excedentes'!K75)</f>
        <v>0</v>
      </c>
      <c r="AP75" s="146">
        <f t="shared" si="76"/>
        <v>0</v>
      </c>
      <c r="AS75" s="243">
        <f>+IF(AL75&lt;Parametros!$H$41,AP75,0)</f>
        <v>0</v>
      </c>
      <c r="AT75" s="68">
        <f t="shared" si="77"/>
        <v>0</v>
      </c>
      <c r="AU75" s="68">
        <f t="shared" si="78"/>
        <v>29.8792397260274</v>
      </c>
      <c r="AV75" s="181">
        <f t="shared" si="79"/>
        <v>6.5359815653565342E-2</v>
      </c>
      <c r="AW75" s="68">
        <f>+IF(AV75&gt;=Parametros!$H$41,Parametros!$H$41*($X75+$Y75)/2,AU75)</f>
        <v>29.8792397260274</v>
      </c>
      <c r="AX75" s="242">
        <f t="shared" si="80"/>
        <v>6.5359815653565342E-2</v>
      </c>
      <c r="AY75" s="68">
        <f t="shared" si="81"/>
        <v>0</v>
      </c>
      <c r="BA75" s="181">
        <f>+IF(AV75&lt;Parametros!$H$41,$AP75,0)</f>
        <v>0</v>
      </c>
      <c r="BB75" s="68">
        <f t="shared" si="82"/>
        <v>0</v>
      </c>
      <c r="BC75" s="68">
        <f t="shared" si="83"/>
        <v>29.8792397260274</v>
      </c>
      <c r="BD75" s="181">
        <f>IF($X75+$Y75=0,0,MIN(Parametros!$H$41,BC75/(($X75+$Y75)/2)))</f>
        <v>6.5359815653565342E-2</v>
      </c>
      <c r="BE75" s="68">
        <f>+IF(BD75&gt;=Parametros!$H$41,Parametros!$H$41*($X75+$Y75)/2,BC75)</f>
        <v>29.8792397260274</v>
      </c>
      <c r="BF75" s="68">
        <f t="shared" si="84"/>
        <v>0</v>
      </c>
    </row>
    <row r="76" spans="1:58" x14ac:dyDescent="0.25">
      <c r="A76" s="248" t="s">
        <v>171</v>
      </c>
      <c r="B76" s="130" t="s">
        <v>237</v>
      </c>
      <c r="D76" s="224">
        <v>0</v>
      </c>
      <c r="E76" s="225">
        <v>0</v>
      </c>
      <c r="F76" s="127"/>
      <c r="G76" s="9">
        <f t="shared" si="57"/>
        <v>0</v>
      </c>
      <c r="H76" s="9">
        <f t="shared" si="58"/>
        <v>0</v>
      </c>
      <c r="I76" s="135">
        <f t="shared" si="59"/>
        <v>0</v>
      </c>
      <c r="J76" s="5"/>
      <c r="K76" s="224"/>
      <c r="L76" s="227"/>
      <c r="M76" s="9">
        <f t="shared" si="60"/>
        <v>0</v>
      </c>
      <c r="N76" s="9">
        <f t="shared" si="61"/>
        <v>0</v>
      </c>
      <c r="O76" s="135">
        <f t="shared" si="62"/>
        <v>0</v>
      </c>
      <c r="P76" s="5"/>
      <c r="Q76" s="143">
        <f t="shared" si="63"/>
        <v>0</v>
      </c>
      <c r="R76" s="9">
        <f t="shared" si="64"/>
        <v>0</v>
      </c>
      <c r="S76" s="144">
        <f t="shared" si="65"/>
        <v>0</v>
      </c>
      <c r="T76" s="12"/>
      <c r="U76" s="143">
        <f t="shared" si="66"/>
        <v>0</v>
      </c>
      <c r="V76" s="144">
        <f t="shared" si="67"/>
        <v>0</v>
      </c>
      <c r="X76" s="68">
        <f>+'Calculo Intereses PERS NAT'!G495</f>
        <v>1257.1600000000001</v>
      </c>
      <c r="Y76" s="68">
        <f>+'Calculo Intereses PERS NAT'!F511</f>
        <v>1339.38</v>
      </c>
      <c r="Z76" s="68">
        <f>+'Calculo Intereses PERS NAT'!J511</f>
        <v>182.79128547945206</v>
      </c>
      <c r="AA76" s="68">
        <f>+V76*Parametros!$I$39</f>
        <v>0</v>
      </c>
      <c r="AB76" s="68">
        <f t="shared" si="68"/>
        <v>182.79128547945206</v>
      </c>
      <c r="AC76" s="181">
        <f t="shared" si="69"/>
        <v>0.1407960481867809</v>
      </c>
      <c r="AD76" s="68">
        <f>+IF(AC76&gt;Parametros!$H$41,Parametros!$H$41*(X76+Y76)/2,AB76)</f>
        <v>99.966790000000003</v>
      </c>
      <c r="AE76" s="68">
        <f t="shared" si="70"/>
        <v>82.824495479452054</v>
      </c>
      <c r="AF76" s="12"/>
      <c r="AG76" s="181">
        <f>+IF(AC76&lt;Parametros!$H$41,V76,0)</f>
        <v>0</v>
      </c>
      <c r="AH76" s="68">
        <f t="shared" si="71"/>
        <v>0</v>
      </c>
      <c r="AI76" s="68">
        <f t="shared" si="72"/>
        <v>99.966790000000003</v>
      </c>
      <c r="AJ76" s="181">
        <f t="shared" si="73"/>
        <v>7.6999999999999999E-2</v>
      </c>
      <c r="AK76" s="68">
        <f>+IF(AJ76&gt;=Parametros!$H$41,Parametros!$H$41*($X76+$Y76)/2,AI76)</f>
        <v>99.966790000000003</v>
      </c>
      <c r="AL76" s="242">
        <f t="shared" si="74"/>
        <v>7.6999999999999999E-2</v>
      </c>
      <c r="AM76" s="68">
        <f t="shared" si="75"/>
        <v>0</v>
      </c>
      <c r="AO76" s="143">
        <f>+IF(AL76&gt;=Parametros!$H$41,0,'Calculo Excedentes'!D76+'Calculo Excedentes'!K76)</f>
        <v>0</v>
      </c>
      <c r="AP76" s="146">
        <f t="shared" si="76"/>
        <v>0</v>
      </c>
      <c r="AS76" s="243">
        <f>+IF(AL76&lt;Parametros!$H$41,AP76,0)</f>
        <v>0</v>
      </c>
      <c r="AT76" s="68">
        <f t="shared" si="77"/>
        <v>0</v>
      </c>
      <c r="AU76" s="68">
        <f t="shared" si="78"/>
        <v>99.966790000000003</v>
      </c>
      <c r="AV76" s="181">
        <f t="shared" si="79"/>
        <v>7.6999999999999999E-2</v>
      </c>
      <c r="AW76" s="68">
        <f>+IF(AV76&gt;=Parametros!$H$41,Parametros!$H$41*($X76+$Y76)/2,AU76)</f>
        <v>99.966790000000003</v>
      </c>
      <c r="AX76" s="242">
        <f t="shared" si="80"/>
        <v>7.6999999999999999E-2</v>
      </c>
      <c r="AY76" s="68">
        <f t="shared" si="81"/>
        <v>0</v>
      </c>
      <c r="BA76" s="181">
        <f>+IF(AV76&lt;Parametros!$H$41,$AP76,0)</f>
        <v>0</v>
      </c>
      <c r="BB76" s="68">
        <f t="shared" si="82"/>
        <v>0</v>
      </c>
      <c r="BC76" s="68">
        <f t="shared" si="83"/>
        <v>99.966790000000003</v>
      </c>
      <c r="BD76" s="181">
        <f>IF($X76+$Y76=0,0,MIN(Parametros!$H$41,BC76/(($X76+$Y76)/2)))</f>
        <v>7.6999999999999999E-2</v>
      </c>
      <c r="BE76" s="68">
        <f>+IF(BD76&gt;=Parametros!$H$41,Parametros!$H$41*($X76+$Y76)/2,BC76)</f>
        <v>99.966790000000003</v>
      </c>
      <c r="BF76" s="68">
        <f t="shared" si="84"/>
        <v>0</v>
      </c>
    </row>
    <row r="77" spans="1:58" x14ac:dyDescent="0.25">
      <c r="A77" s="248" t="s">
        <v>172</v>
      </c>
      <c r="B77" s="130" t="str">
        <f>+'RESUMEN RESULTADOS'!B80</f>
        <v>Fredy Edgardo Fuentes</v>
      </c>
      <c r="D77" s="134"/>
      <c r="E77" s="126"/>
      <c r="F77" s="127"/>
      <c r="G77" s="9">
        <f t="shared" si="57"/>
        <v>0</v>
      </c>
      <c r="H77" s="9">
        <f t="shared" si="58"/>
        <v>0</v>
      </c>
      <c r="I77" s="135">
        <f t="shared" si="59"/>
        <v>0</v>
      </c>
      <c r="J77" s="5"/>
      <c r="K77" s="134"/>
      <c r="L77" s="126"/>
      <c r="M77" s="9">
        <f t="shared" si="60"/>
        <v>0</v>
      </c>
      <c r="N77" s="9">
        <f t="shared" si="61"/>
        <v>0</v>
      </c>
      <c r="O77" s="135">
        <f t="shared" si="62"/>
        <v>0</v>
      </c>
      <c r="P77" s="5"/>
      <c r="Q77" s="143">
        <f t="shared" si="63"/>
        <v>0</v>
      </c>
      <c r="R77" s="9">
        <f t="shared" si="64"/>
        <v>0</v>
      </c>
      <c r="S77" s="144">
        <f t="shared" si="65"/>
        <v>0</v>
      </c>
      <c r="T77" s="12"/>
      <c r="U77" s="143">
        <f t="shared" si="66"/>
        <v>0</v>
      </c>
      <c r="V77" s="144">
        <f t="shared" si="67"/>
        <v>0</v>
      </c>
      <c r="X77" s="68">
        <f>+'Calculo Intereses PERS NAT'!G516</f>
        <v>0</v>
      </c>
      <c r="Y77" s="68">
        <f>+'Calculo Intereses PERS NAT'!G532</f>
        <v>1142.8599999999999</v>
      </c>
      <c r="Z77" s="68">
        <f>+'Calculo Intereses PERS NAT'!J532</f>
        <v>53.041228493150683</v>
      </c>
      <c r="AA77" s="68">
        <f>+V77*Parametros!$I$39</f>
        <v>0</v>
      </c>
      <c r="AB77" s="68">
        <f t="shared" si="68"/>
        <v>53.041228493150683</v>
      </c>
      <c r="AC77" s="302">
        <f t="shared" si="69"/>
        <v>9.282191780821919E-2</v>
      </c>
      <c r="AD77" s="68">
        <f>+IF(AC77&gt;Parametros!$H$41,Parametros!$H$41*(X77+Y77)/2,AB77)</f>
        <v>44.000109999999992</v>
      </c>
      <c r="AE77" s="68">
        <f t="shared" si="70"/>
        <v>9.0411184931506909</v>
      </c>
      <c r="AF77" s="12"/>
      <c r="AG77" s="181">
        <f>+IF(AC77&lt;Parametros!$H$41,V77,0)</f>
        <v>0</v>
      </c>
      <c r="AH77" s="68">
        <f t="shared" si="71"/>
        <v>0</v>
      </c>
      <c r="AI77" s="68">
        <f t="shared" si="72"/>
        <v>44.000109999999992</v>
      </c>
      <c r="AJ77" s="181">
        <f t="shared" si="73"/>
        <v>7.6999999999999999E-2</v>
      </c>
      <c r="AK77" s="68">
        <f>+IF(AJ77&gt;=Parametros!$H$41,Parametros!$H$41*($X77+$Y77)/2,AI77)</f>
        <v>44.000109999999992</v>
      </c>
      <c r="AL77" s="242">
        <f t="shared" si="74"/>
        <v>7.6999999999999999E-2</v>
      </c>
      <c r="AM77" s="68">
        <f t="shared" si="75"/>
        <v>0</v>
      </c>
      <c r="AO77" s="143">
        <f>+IF(AL77&gt;=Parametros!$H$41,0,'Calculo Excedentes'!D77+'Calculo Excedentes'!K77)</f>
        <v>0</v>
      </c>
      <c r="AP77" s="146">
        <f t="shared" si="76"/>
        <v>0</v>
      </c>
      <c r="AS77" s="243">
        <f>+IF(AL77&lt;Parametros!$H$41,AP77,0)</f>
        <v>0</v>
      </c>
      <c r="AT77" s="68">
        <f t="shared" si="77"/>
        <v>0</v>
      </c>
      <c r="AU77" s="68">
        <f t="shared" si="78"/>
        <v>44.000109999999992</v>
      </c>
      <c r="AV77" s="181">
        <f t="shared" si="79"/>
        <v>7.6999999999999999E-2</v>
      </c>
      <c r="AW77" s="68">
        <f>+IF(AV77&gt;=Parametros!$H$41,Parametros!$H$41*($X77+$Y77)/2,AU77)</f>
        <v>44.000109999999992</v>
      </c>
      <c r="AX77" s="242">
        <f t="shared" si="80"/>
        <v>7.6999999999999999E-2</v>
      </c>
      <c r="AY77" s="68">
        <f t="shared" si="81"/>
        <v>0</v>
      </c>
      <c r="BA77" s="181">
        <f>+IF(AV77&lt;Parametros!$H$41,$AP77,0)</f>
        <v>0</v>
      </c>
      <c r="BB77" s="68">
        <f t="shared" si="82"/>
        <v>0</v>
      </c>
      <c r="BC77" s="68">
        <f t="shared" si="83"/>
        <v>44.000109999999992</v>
      </c>
      <c r="BD77" s="181">
        <f>IF($X77+$Y77=0,0,MIN(Parametros!$H$41,BC77/(($X77+$Y77)/2)))</f>
        <v>7.6999999999999999E-2</v>
      </c>
      <c r="BE77" s="68">
        <f>+IF(BD77&gt;=Parametros!$H$41,Parametros!$H$41*($X77+$Y77)/2,BC77)</f>
        <v>44.000109999999992</v>
      </c>
      <c r="BF77" s="68">
        <f t="shared" si="84"/>
        <v>0</v>
      </c>
    </row>
    <row r="78" spans="1:58" x14ac:dyDescent="0.25">
      <c r="A78" s="248" t="s">
        <v>173</v>
      </c>
      <c r="B78" s="130"/>
      <c r="D78" s="134"/>
      <c r="E78" s="126"/>
      <c r="F78" s="127"/>
      <c r="G78" s="9">
        <f t="shared" si="57"/>
        <v>0</v>
      </c>
      <c r="H78" s="9">
        <f t="shared" si="58"/>
        <v>0</v>
      </c>
      <c r="I78" s="135">
        <f t="shared" si="59"/>
        <v>0</v>
      </c>
      <c r="J78" s="5"/>
      <c r="K78" s="134"/>
      <c r="L78" s="126"/>
      <c r="M78" s="9">
        <f t="shared" si="60"/>
        <v>0</v>
      </c>
      <c r="N78" s="9">
        <f t="shared" si="61"/>
        <v>0</v>
      </c>
      <c r="O78" s="135">
        <f t="shared" si="62"/>
        <v>0</v>
      </c>
      <c r="P78" s="5"/>
      <c r="Q78" s="143">
        <f t="shared" si="63"/>
        <v>0</v>
      </c>
      <c r="R78" s="9">
        <f t="shared" si="64"/>
        <v>0</v>
      </c>
      <c r="S78" s="144">
        <f t="shared" si="65"/>
        <v>0</v>
      </c>
      <c r="T78" s="12"/>
      <c r="U78" s="143">
        <f t="shared" si="66"/>
        <v>0</v>
      </c>
      <c r="V78" s="144">
        <f t="shared" si="67"/>
        <v>0</v>
      </c>
      <c r="X78" s="68">
        <f>+'Calculo Intereses PERS NAT'!G537</f>
        <v>0</v>
      </c>
      <c r="Y78" s="68">
        <f>+'Calculo Intereses PERS NAT'!G553</f>
        <v>0</v>
      </c>
      <c r="Z78" s="68">
        <f>+'Calculo Intereses PERS NAT'!J553</f>
        <v>0</v>
      </c>
      <c r="AA78" s="68">
        <f>+V78*Parametros!$I$39</f>
        <v>0</v>
      </c>
      <c r="AB78" s="68">
        <f t="shared" si="68"/>
        <v>0</v>
      </c>
      <c r="AC78" s="181">
        <f t="shared" si="69"/>
        <v>0</v>
      </c>
      <c r="AD78" s="68">
        <f>+IF(AC78&gt;Parametros!$H$41,Parametros!$H$41*(X78+Y78)/2,AB78)</f>
        <v>0</v>
      </c>
      <c r="AE78" s="68">
        <f t="shared" si="70"/>
        <v>0</v>
      </c>
      <c r="AF78" s="12"/>
      <c r="AG78" s="181">
        <f>+IF(AC78&lt;Parametros!$H$41,V78,0)</f>
        <v>0</v>
      </c>
      <c r="AH78" s="68">
        <f t="shared" si="71"/>
        <v>0</v>
      </c>
      <c r="AI78" s="68">
        <f t="shared" si="72"/>
        <v>0</v>
      </c>
      <c r="AJ78" s="181">
        <f t="shared" si="73"/>
        <v>0</v>
      </c>
      <c r="AK78" s="68">
        <f>+IF(AJ78&gt;=Parametros!$H$41,Parametros!$H$41*($X78+$Y78)/2,AI78)</f>
        <v>0</v>
      </c>
      <c r="AL78" s="242">
        <f t="shared" si="74"/>
        <v>0</v>
      </c>
      <c r="AM78" s="68">
        <f t="shared" si="75"/>
        <v>0</v>
      </c>
      <c r="AO78" s="143">
        <f>+IF(AL78&gt;=Parametros!$H$41,0,'Calculo Excedentes'!D78+'Calculo Excedentes'!K78)</f>
        <v>0</v>
      </c>
      <c r="AP78" s="146">
        <f t="shared" si="76"/>
        <v>0</v>
      </c>
      <c r="AS78" s="243">
        <f>+IF(AL78&lt;Parametros!$H$41,AP78,0)</f>
        <v>0</v>
      </c>
      <c r="AT78" s="68">
        <f t="shared" si="77"/>
        <v>0</v>
      </c>
      <c r="AU78" s="68">
        <f t="shared" si="78"/>
        <v>0</v>
      </c>
      <c r="AV78" s="181">
        <f t="shared" si="79"/>
        <v>0</v>
      </c>
      <c r="AW78" s="68">
        <f>+IF(AV78&gt;=Parametros!$H$41,Parametros!$H$41*($X78+$Y78)/2,AU78)</f>
        <v>0</v>
      </c>
      <c r="AX78" s="242">
        <f t="shared" si="80"/>
        <v>0</v>
      </c>
      <c r="AY78" s="68">
        <f t="shared" si="81"/>
        <v>0</v>
      </c>
      <c r="BA78" s="181">
        <f>+IF(AV78&lt;Parametros!$H$41,$AP78,0)</f>
        <v>0</v>
      </c>
      <c r="BB78" s="68">
        <f t="shared" si="82"/>
        <v>0</v>
      </c>
      <c r="BC78" s="68">
        <f t="shared" si="83"/>
        <v>0</v>
      </c>
      <c r="BD78" s="181">
        <f>IF($X78+$Y78=0,0,MIN(Parametros!$H$41,BC78/(($X78+$Y78)/2)))</f>
        <v>0</v>
      </c>
      <c r="BE78" s="68">
        <f>+IF(BD78&gt;=Parametros!$H$41,Parametros!$H$41*($X78+$Y78)/2,BC78)</f>
        <v>0</v>
      </c>
      <c r="BF78" s="68">
        <f t="shared" si="84"/>
        <v>0</v>
      </c>
    </row>
    <row r="79" spans="1:58" x14ac:dyDescent="0.25">
      <c r="A79" s="248" t="s">
        <v>174</v>
      </c>
      <c r="B79" s="130"/>
      <c r="D79" s="134"/>
      <c r="E79" s="126"/>
      <c r="F79" s="127"/>
      <c r="G79" s="9">
        <f t="shared" si="57"/>
        <v>0</v>
      </c>
      <c r="H79" s="9">
        <f t="shared" si="58"/>
        <v>0</v>
      </c>
      <c r="I79" s="135">
        <f t="shared" si="59"/>
        <v>0</v>
      </c>
      <c r="J79" s="5"/>
      <c r="K79" s="134"/>
      <c r="L79" s="126"/>
      <c r="M79" s="9">
        <f t="shared" si="60"/>
        <v>0</v>
      </c>
      <c r="N79" s="9">
        <f t="shared" si="61"/>
        <v>0</v>
      </c>
      <c r="O79" s="135">
        <f t="shared" si="62"/>
        <v>0</v>
      </c>
      <c r="P79" s="5"/>
      <c r="Q79" s="143">
        <f t="shared" si="63"/>
        <v>0</v>
      </c>
      <c r="R79" s="9">
        <f t="shared" si="64"/>
        <v>0</v>
      </c>
      <c r="S79" s="144">
        <f t="shared" si="65"/>
        <v>0</v>
      </c>
      <c r="T79" s="12"/>
      <c r="U79" s="143">
        <f t="shared" si="66"/>
        <v>0</v>
      </c>
      <c r="V79" s="144">
        <f t="shared" si="67"/>
        <v>0</v>
      </c>
      <c r="X79" s="68">
        <f>+'Calculo Intereses PERS NAT'!G558</f>
        <v>0</v>
      </c>
      <c r="Y79" s="68">
        <f>+'Calculo Intereses PERS NAT'!G574</f>
        <v>0</v>
      </c>
      <c r="Z79" s="68">
        <f>+'Calculo Intereses PERS NAT'!J574</f>
        <v>0</v>
      </c>
      <c r="AA79" s="68">
        <f>+V79*Parametros!$I$39</f>
        <v>0</v>
      </c>
      <c r="AB79" s="68">
        <f t="shared" si="68"/>
        <v>0</v>
      </c>
      <c r="AC79" s="181">
        <f t="shared" si="69"/>
        <v>0</v>
      </c>
      <c r="AD79" s="68">
        <f>+IF(AC79&gt;Parametros!$H$41,Parametros!$H$41*(X79+Y79)/2,AB79)</f>
        <v>0</v>
      </c>
      <c r="AE79" s="68">
        <f t="shared" si="70"/>
        <v>0</v>
      </c>
      <c r="AF79" s="12"/>
      <c r="AG79" s="181">
        <f>+IF(AC79&lt;Parametros!$H$41,V79,0)</f>
        <v>0</v>
      </c>
      <c r="AH79" s="68">
        <f t="shared" si="71"/>
        <v>0</v>
      </c>
      <c r="AI79" s="68">
        <f t="shared" si="72"/>
        <v>0</v>
      </c>
      <c r="AJ79" s="181">
        <f t="shared" si="73"/>
        <v>0</v>
      </c>
      <c r="AK79" s="68">
        <f>+IF(AJ79&gt;=Parametros!$H$41,Parametros!$H$41*($X79+$Y79)/2,AI79)</f>
        <v>0</v>
      </c>
      <c r="AL79" s="242">
        <f t="shared" si="74"/>
        <v>0</v>
      </c>
      <c r="AM79" s="68">
        <f t="shared" si="75"/>
        <v>0</v>
      </c>
      <c r="AO79" s="143">
        <f>+IF(AL79&gt;=Parametros!$H$41,0,'Calculo Excedentes'!D79+'Calculo Excedentes'!K79)</f>
        <v>0</v>
      </c>
      <c r="AP79" s="146">
        <f t="shared" si="76"/>
        <v>0</v>
      </c>
      <c r="AS79" s="243">
        <f>+IF(AL79&lt;Parametros!$H$41,AP79,0)</f>
        <v>0</v>
      </c>
      <c r="AT79" s="68">
        <f t="shared" si="77"/>
        <v>0</v>
      </c>
      <c r="AU79" s="68">
        <f t="shared" si="78"/>
        <v>0</v>
      </c>
      <c r="AV79" s="181">
        <f t="shared" si="79"/>
        <v>0</v>
      </c>
      <c r="AW79" s="68">
        <f>+IF(AV79&gt;=Parametros!$H$41,Parametros!$H$41*($X79+$Y79)/2,AU79)</f>
        <v>0</v>
      </c>
      <c r="AX79" s="242">
        <f t="shared" si="80"/>
        <v>0</v>
      </c>
      <c r="AY79" s="68">
        <f t="shared" si="81"/>
        <v>0</v>
      </c>
      <c r="BA79" s="181">
        <f>+IF(AV79&lt;Parametros!$H$41,$AP79,0)</f>
        <v>0</v>
      </c>
      <c r="BB79" s="68">
        <f t="shared" si="82"/>
        <v>0</v>
      </c>
      <c r="BC79" s="68">
        <f t="shared" si="83"/>
        <v>0</v>
      </c>
      <c r="BD79" s="181">
        <f>IF($X79+$Y79=0,0,MIN(Parametros!$H$41,BC79/(($X79+$Y79)/2)))</f>
        <v>0</v>
      </c>
      <c r="BE79" s="68">
        <f>+IF(BD79&gt;=Parametros!$H$41,Parametros!$H$41*($X79+$Y79)/2,BC79)</f>
        <v>0</v>
      </c>
      <c r="BF79" s="68">
        <f t="shared" si="84"/>
        <v>0</v>
      </c>
    </row>
    <row r="80" spans="1:58" x14ac:dyDescent="0.25">
      <c r="A80" s="248" t="s">
        <v>175</v>
      </c>
      <c r="B80" s="130"/>
      <c r="D80" s="134"/>
      <c r="E80" s="126"/>
      <c r="F80" s="127"/>
      <c r="G80" s="9">
        <f t="shared" si="57"/>
        <v>0</v>
      </c>
      <c r="H80" s="9">
        <f t="shared" si="58"/>
        <v>0</v>
      </c>
      <c r="I80" s="135">
        <f t="shared" si="59"/>
        <v>0</v>
      </c>
      <c r="J80" s="5"/>
      <c r="K80" s="134"/>
      <c r="L80" s="126"/>
      <c r="M80" s="9">
        <f t="shared" si="60"/>
        <v>0</v>
      </c>
      <c r="N80" s="9">
        <f t="shared" si="61"/>
        <v>0</v>
      </c>
      <c r="O80" s="135">
        <f t="shared" si="62"/>
        <v>0</v>
      </c>
      <c r="P80" s="5"/>
      <c r="Q80" s="143">
        <f t="shared" si="63"/>
        <v>0</v>
      </c>
      <c r="R80" s="9">
        <f t="shared" si="64"/>
        <v>0</v>
      </c>
      <c r="S80" s="144">
        <f t="shared" si="65"/>
        <v>0</v>
      </c>
      <c r="T80" s="12"/>
      <c r="U80" s="143">
        <f t="shared" si="66"/>
        <v>0</v>
      </c>
      <c r="V80" s="144">
        <f t="shared" si="67"/>
        <v>0</v>
      </c>
      <c r="X80" s="68">
        <f>+'Calculo Intereses PERS NAT'!G579</f>
        <v>0</v>
      </c>
      <c r="Y80" s="68">
        <f>+'Calculo Intereses PERS NAT'!G595</f>
        <v>0</v>
      </c>
      <c r="Z80" s="68">
        <f>+'Calculo Intereses PERS NAT'!J595</f>
        <v>0</v>
      </c>
      <c r="AA80" s="68">
        <f>+V80*Parametros!$I$39</f>
        <v>0</v>
      </c>
      <c r="AB80" s="68">
        <f t="shared" si="68"/>
        <v>0</v>
      </c>
      <c r="AC80" s="181">
        <f t="shared" si="69"/>
        <v>0</v>
      </c>
      <c r="AD80" s="68">
        <f>+IF(AC80&gt;Parametros!$H$41,Parametros!$H$41*(X80+Y80)/2,AB80)</f>
        <v>0</v>
      </c>
      <c r="AE80" s="68">
        <f t="shared" si="70"/>
        <v>0</v>
      </c>
      <c r="AF80" s="12"/>
      <c r="AG80" s="181">
        <f>+IF(AC80&lt;Parametros!$H$41,V80,0)</f>
        <v>0</v>
      </c>
      <c r="AH80" s="68">
        <f t="shared" si="71"/>
        <v>0</v>
      </c>
      <c r="AI80" s="68">
        <f t="shared" si="72"/>
        <v>0</v>
      </c>
      <c r="AJ80" s="181">
        <f t="shared" si="73"/>
        <v>0</v>
      </c>
      <c r="AK80" s="68">
        <f>+IF(AJ80&gt;=Parametros!$H$41,Parametros!$H$41*($X80+$Y80)/2,AI80)</f>
        <v>0</v>
      </c>
      <c r="AL80" s="242">
        <f t="shared" si="74"/>
        <v>0</v>
      </c>
      <c r="AM80" s="68">
        <f t="shared" si="75"/>
        <v>0</v>
      </c>
      <c r="AO80" s="143">
        <f>+IF(AL80&gt;=Parametros!$H$41,0,'Calculo Excedentes'!D80+'Calculo Excedentes'!K80)</f>
        <v>0</v>
      </c>
      <c r="AP80" s="146">
        <f t="shared" si="76"/>
        <v>0</v>
      </c>
      <c r="AS80" s="243">
        <f>+IF(AL80&lt;Parametros!$H$41,AP80,0)</f>
        <v>0</v>
      </c>
      <c r="AT80" s="68">
        <f t="shared" si="77"/>
        <v>0</v>
      </c>
      <c r="AU80" s="68">
        <f t="shared" si="78"/>
        <v>0</v>
      </c>
      <c r="AV80" s="181">
        <f t="shared" si="79"/>
        <v>0</v>
      </c>
      <c r="AW80" s="68">
        <f>+IF(AV80&gt;=Parametros!$H$41,Parametros!$H$41*($X80+$Y80)/2,AU80)</f>
        <v>0</v>
      </c>
      <c r="AX80" s="242">
        <f t="shared" si="80"/>
        <v>0</v>
      </c>
      <c r="AY80" s="68">
        <f t="shared" si="81"/>
        <v>0</v>
      </c>
      <c r="BA80" s="181">
        <f>+IF(AV80&lt;Parametros!$H$41,$AP80,0)</f>
        <v>0</v>
      </c>
      <c r="BB80" s="68">
        <f t="shared" si="82"/>
        <v>0</v>
      </c>
      <c r="BC80" s="68">
        <f t="shared" si="83"/>
        <v>0</v>
      </c>
      <c r="BD80" s="181">
        <f>IF($X80+$Y80=0,0,MIN(Parametros!$H$41,BC80/(($X80+$Y80)/2)))</f>
        <v>0</v>
      </c>
      <c r="BE80" s="68">
        <f>+IF(BD80&gt;=Parametros!$H$41,Parametros!$H$41*($X80+$Y80)/2,BC80)</f>
        <v>0</v>
      </c>
      <c r="BF80" s="68">
        <f t="shared" si="84"/>
        <v>0</v>
      </c>
    </row>
    <row r="81" spans="1:68" x14ac:dyDescent="0.25">
      <c r="A81" s="248" t="s">
        <v>176</v>
      </c>
      <c r="B81" s="130"/>
      <c r="D81" s="134"/>
      <c r="E81" s="126"/>
      <c r="F81" s="127"/>
      <c r="G81" s="9">
        <f t="shared" si="57"/>
        <v>0</v>
      </c>
      <c r="H81" s="9">
        <f t="shared" si="58"/>
        <v>0</v>
      </c>
      <c r="I81" s="135">
        <f t="shared" si="59"/>
        <v>0</v>
      </c>
      <c r="J81" s="5"/>
      <c r="K81" s="134"/>
      <c r="L81" s="126"/>
      <c r="M81" s="9">
        <f t="shared" si="60"/>
        <v>0</v>
      </c>
      <c r="N81" s="9">
        <f t="shared" si="61"/>
        <v>0</v>
      </c>
      <c r="O81" s="135">
        <f t="shared" si="62"/>
        <v>0</v>
      </c>
      <c r="P81" s="5"/>
      <c r="Q81" s="143">
        <f t="shared" si="63"/>
        <v>0</v>
      </c>
      <c r="R81" s="9">
        <f t="shared" si="64"/>
        <v>0</v>
      </c>
      <c r="S81" s="144">
        <f t="shared" si="65"/>
        <v>0</v>
      </c>
      <c r="T81" s="12"/>
      <c r="U81" s="143">
        <f t="shared" si="66"/>
        <v>0</v>
      </c>
      <c r="V81" s="144">
        <f t="shared" si="67"/>
        <v>0</v>
      </c>
      <c r="X81" s="68">
        <f>+'Calculo Intereses PERS NAT'!G600</f>
        <v>0</v>
      </c>
      <c r="Y81" s="68">
        <f>+'Calculo Intereses PERS NAT'!G616</f>
        <v>0</v>
      </c>
      <c r="Z81" s="68">
        <f>+'Calculo Intereses PERS NAT'!J616</f>
        <v>0</v>
      </c>
      <c r="AA81" s="68">
        <f>+V81*Parametros!$I$39</f>
        <v>0</v>
      </c>
      <c r="AB81" s="68">
        <f t="shared" si="68"/>
        <v>0</v>
      </c>
      <c r="AC81" s="181">
        <f t="shared" si="69"/>
        <v>0</v>
      </c>
      <c r="AD81" s="68">
        <f>+IF(AC81&gt;Parametros!$H$41,Parametros!$H$41*(X81+Y81)/2,AB81)</f>
        <v>0</v>
      </c>
      <c r="AE81" s="68">
        <f t="shared" si="70"/>
        <v>0</v>
      </c>
      <c r="AF81" s="12"/>
      <c r="AG81" s="181">
        <f>+IF(AC81&lt;Parametros!$H$41,V81,0)</f>
        <v>0</v>
      </c>
      <c r="AH81" s="68">
        <f t="shared" si="71"/>
        <v>0</v>
      </c>
      <c r="AI81" s="68">
        <f t="shared" si="72"/>
        <v>0</v>
      </c>
      <c r="AJ81" s="181">
        <f t="shared" si="73"/>
        <v>0</v>
      </c>
      <c r="AK81" s="68">
        <f>+IF(AJ81&gt;=Parametros!$H$41,Parametros!$H$41*($X81+$Y81)/2,AI81)</f>
        <v>0</v>
      </c>
      <c r="AL81" s="242">
        <f t="shared" si="74"/>
        <v>0</v>
      </c>
      <c r="AM81" s="68">
        <f t="shared" si="75"/>
        <v>0</v>
      </c>
      <c r="AO81" s="143">
        <f>+IF(AL81&gt;=Parametros!$H$41,0,'Calculo Excedentes'!D81+'Calculo Excedentes'!K81)</f>
        <v>0</v>
      </c>
      <c r="AP81" s="146">
        <f t="shared" si="76"/>
        <v>0</v>
      </c>
      <c r="AS81" s="243">
        <f>+IF(AL81&lt;Parametros!$H$41,AP81,0)</f>
        <v>0</v>
      </c>
      <c r="AT81" s="68">
        <f t="shared" si="77"/>
        <v>0</v>
      </c>
      <c r="AU81" s="68">
        <f t="shared" si="78"/>
        <v>0</v>
      </c>
      <c r="AV81" s="181">
        <f t="shared" si="79"/>
        <v>0</v>
      </c>
      <c r="AW81" s="68">
        <f>+IF(AV81&gt;=Parametros!$H$41,Parametros!$H$41*($X81+$Y81)/2,AU81)</f>
        <v>0</v>
      </c>
      <c r="AX81" s="242">
        <f t="shared" si="80"/>
        <v>0</v>
      </c>
      <c r="AY81" s="68">
        <f t="shared" si="81"/>
        <v>0</v>
      </c>
      <c r="BA81" s="181">
        <f>+IF(AV81&lt;Parametros!$H$41,$AP81,0)</f>
        <v>0</v>
      </c>
      <c r="BB81" s="68">
        <f t="shared" si="82"/>
        <v>0</v>
      </c>
      <c r="BC81" s="68">
        <f t="shared" si="83"/>
        <v>0</v>
      </c>
      <c r="BD81" s="181">
        <f>IF($X81+$Y81=0,0,MIN(Parametros!$H$41,BC81/(($X81+$Y81)/2)))</f>
        <v>0</v>
      </c>
      <c r="BE81" s="68">
        <f>+IF(BD81&gt;=Parametros!$H$41,Parametros!$H$41*($X81+$Y81)/2,BC81)</f>
        <v>0</v>
      </c>
      <c r="BF81" s="68">
        <f t="shared" si="84"/>
        <v>0</v>
      </c>
    </row>
    <row r="82" spans="1:68" x14ac:dyDescent="0.25">
      <c r="A82" s="248" t="s">
        <v>177</v>
      </c>
      <c r="B82" s="130"/>
      <c r="D82" s="134"/>
      <c r="E82" s="126"/>
      <c r="F82" s="127"/>
      <c r="G82" s="9">
        <f t="shared" si="57"/>
        <v>0</v>
      </c>
      <c r="H82" s="9">
        <f t="shared" si="58"/>
        <v>0</v>
      </c>
      <c r="I82" s="135">
        <f t="shared" si="59"/>
        <v>0</v>
      </c>
      <c r="J82" s="5"/>
      <c r="K82" s="134"/>
      <c r="L82" s="126"/>
      <c r="M82" s="9">
        <f t="shared" si="60"/>
        <v>0</v>
      </c>
      <c r="N82" s="9">
        <f t="shared" si="61"/>
        <v>0</v>
      </c>
      <c r="O82" s="135">
        <f t="shared" si="62"/>
        <v>0</v>
      </c>
      <c r="P82" s="5"/>
      <c r="Q82" s="143">
        <f t="shared" si="63"/>
        <v>0</v>
      </c>
      <c r="R82" s="9">
        <f t="shared" si="64"/>
        <v>0</v>
      </c>
      <c r="S82" s="144">
        <f t="shared" si="65"/>
        <v>0</v>
      </c>
      <c r="T82" s="12"/>
      <c r="U82" s="143">
        <f t="shared" si="66"/>
        <v>0</v>
      </c>
      <c r="V82" s="144">
        <f t="shared" si="67"/>
        <v>0</v>
      </c>
      <c r="X82" s="68">
        <f>+'Calculo Intereses PERS NAT'!G621</f>
        <v>0</v>
      </c>
      <c r="Y82" s="68">
        <f>+'Calculo Intereses PERS NAT'!G637</f>
        <v>0</v>
      </c>
      <c r="Z82" s="68">
        <f>+'Calculo Intereses PERS NAT'!J637</f>
        <v>0</v>
      </c>
      <c r="AA82" s="68">
        <f>+V82*Parametros!$I$39</f>
        <v>0</v>
      </c>
      <c r="AB82" s="68">
        <f t="shared" si="68"/>
        <v>0</v>
      </c>
      <c r="AC82" s="181">
        <f t="shared" si="69"/>
        <v>0</v>
      </c>
      <c r="AD82" s="68">
        <f>+IF(AC82&gt;Parametros!$H$41,Parametros!$H$41*(X82+Y82)/2,AB82)</f>
        <v>0</v>
      </c>
      <c r="AE82" s="68">
        <f t="shared" si="70"/>
        <v>0</v>
      </c>
      <c r="AF82" s="12"/>
      <c r="AG82" s="181">
        <f>+IF(AC82&lt;Parametros!$H$41,V82,0)</f>
        <v>0</v>
      </c>
      <c r="AH82" s="68">
        <f t="shared" si="71"/>
        <v>0</v>
      </c>
      <c r="AI82" s="68">
        <f t="shared" si="72"/>
        <v>0</v>
      </c>
      <c r="AJ82" s="181">
        <f t="shared" si="73"/>
        <v>0</v>
      </c>
      <c r="AK82" s="68">
        <f>+IF(AJ82&gt;=Parametros!$H$41,Parametros!$H$41*($X82+$Y82)/2,AI82)</f>
        <v>0</v>
      </c>
      <c r="AL82" s="242">
        <f t="shared" si="74"/>
        <v>0</v>
      </c>
      <c r="AM82" s="68">
        <f t="shared" si="75"/>
        <v>0</v>
      </c>
      <c r="AO82" s="143">
        <f>+IF(AL82&gt;=Parametros!$H$41,0,'Calculo Excedentes'!D82+'Calculo Excedentes'!K82)</f>
        <v>0</v>
      </c>
      <c r="AP82" s="146">
        <f t="shared" si="76"/>
        <v>0</v>
      </c>
      <c r="AS82" s="243">
        <f>+IF(AL82&lt;Parametros!$H$41,AP82,0)</f>
        <v>0</v>
      </c>
      <c r="AT82" s="68">
        <f t="shared" si="77"/>
        <v>0</v>
      </c>
      <c r="AU82" s="68">
        <f t="shared" si="78"/>
        <v>0</v>
      </c>
      <c r="AV82" s="181">
        <f t="shared" si="79"/>
        <v>0</v>
      </c>
      <c r="AW82" s="68">
        <f>+IF(AV82&gt;=Parametros!$H$41,Parametros!$H$41*($X82+$Y82)/2,AU82)</f>
        <v>0</v>
      </c>
      <c r="AX82" s="242">
        <f t="shared" si="80"/>
        <v>0</v>
      </c>
      <c r="AY82" s="68">
        <f t="shared" si="81"/>
        <v>0</v>
      </c>
      <c r="BA82" s="181">
        <f>+IF(AV82&lt;Parametros!$H$41,$AP82,0)</f>
        <v>0</v>
      </c>
      <c r="BB82" s="68">
        <f t="shared" si="82"/>
        <v>0</v>
      </c>
      <c r="BC82" s="68">
        <f t="shared" si="83"/>
        <v>0</v>
      </c>
      <c r="BD82" s="181">
        <f>IF($X82+$Y82=0,0,MIN(Parametros!$H$41,BC82/(($X82+$Y82)/2)))</f>
        <v>0</v>
      </c>
      <c r="BE82" s="68">
        <f>+IF(BD82&gt;=Parametros!$H$41,Parametros!$H$41*($X82+$Y82)/2,BC82)</f>
        <v>0</v>
      </c>
      <c r="BF82" s="68">
        <f t="shared" si="84"/>
        <v>0</v>
      </c>
    </row>
    <row r="83" spans="1:68" x14ac:dyDescent="0.25">
      <c r="A83" s="248" t="s">
        <v>264</v>
      </c>
      <c r="B83" s="130"/>
      <c r="D83" s="224"/>
      <c r="E83" s="225"/>
      <c r="F83" s="226"/>
      <c r="G83" s="9">
        <f t="shared" si="57"/>
        <v>0</v>
      </c>
      <c r="H83" s="9">
        <f t="shared" si="58"/>
        <v>0</v>
      </c>
      <c r="I83" s="135">
        <f t="shared" si="59"/>
        <v>0</v>
      </c>
      <c r="J83" s="5"/>
      <c r="K83" s="224"/>
      <c r="L83" s="227"/>
      <c r="M83" s="9">
        <v>0</v>
      </c>
      <c r="N83" s="9">
        <v>0</v>
      </c>
      <c r="O83" s="135">
        <v>0</v>
      </c>
      <c r="P83" s="5"/>
      <c r="Q83" s="143">
        <f t="shared" si="63"/>
        <v>0</v>
      </c>
      <c r="R83" s="9">
        <f t="shared" si="64"/>
        <v>0</v>
      </c>
      <c r="S83" s="144">
        <f t="shared" si="65"/>
        <v>0</v>
      </c>
      <c r="T83" s="12"/>
      <c r="U83" s="143">
        <f t="shared" si="66"/>
        <v>0</v>
      </c>
      <c r="V83" s="144">
        <f t="shared" si="67"/>
        <v>0</v>
      </c>
      <c r="X83" s="68">
        <v>0</v>
      </c>
      <c r="Y83" s="68">
        <f>+'Calculo Intereses PERS NAT'!G638</f>
        <v>0</v>
      </c>
      <c r="Z83" s="68">
        <f>+'Calculo Intereses PERS NAT'!J638</f>
        <v>0</v>
      </c>
      <c r="AA83" s="68">
        <f>+V83*Parametros!$I$39</f>
        <v>0</v>
      </c>
      <c r="AB83" s="68">
        <f t="shared" si="68"/>
        <v>0</v>
      </c>
      <c r="AC83" s="181">
        <f t="shared" si="69"/>
        <v>0</v>
      </c>
      <c r="AD83" s="68">
        <f>+IF(AC83&gt;Parametros!$H$41,Parametros!$H$41*(X83+Y83)/2,AB83)</f>
        <v>0</v>
      </c>
      <c r="AE83" s="68">
        <f t="shared" si="70"/>
        <v>0</v>
      </c>
      <c r="AF83" s="12"/>
      <c r="AG83" s="181">
        <f>+IF(AC83&lt;Parametros!$H$41,V83,0)</f>
        <v>0</v>
      </c>
      <c r="AH83" s="68">
        <f t="shared" si="71"/>
        <v>0</v>
      </c>
      <c r="AI83" s="68">
        <f t="shared" si="72"/>
        <v>0</v>
      </c>
      <c r="AJ83" s="181">
        <f t="shared" si="73"/>
        <v>0</v>
      </c>
      <c r="AK83" s="68">
        <f>+IF(AJ83&gt;=Parametros!$H$41,Parametros!$H$41*($X83+$Y83)/2,AI83)</f>
        <v>0</v>
      </c>
      <c r="AL83" s="242">
        <f t="shared" si="74"/>
        <v>0</v>
      </c>
      <c r="AM83" s="68">
        <f t="shared" si="75"/>
        <v>0</v>
      </c>
      <c r="AO83" s="143">
        <f>+IF(AL83&gt;=Parametros!$H$41,0,'Calculo Excedentes'!D83+'Calculo Excedentes'!K83)</f>
        <v>0</v>
      </c>
      <c r="AP83" s="146">
        <f t="shared" si="76"/>
        <v>0</v>
      </c>
      <c r="AS83" s="243">
        <f>+IF(AL83&lt;Parametros!$H$41,AP83,0)</f>
        <v>0</v>
      </c>
      <c r="AT83" s="68">
        <f t="shared" si="77"/>
        <v>0</v>
      </c>
      <c r="AU83" s="68">
        <f t="shared" si="78"/>
        <v>0</v>
      </c>
      <c r="AV83" s="181">
        <f t="shared" si="79"/>
        <v>0</v>
      </c>
      <c r="AW83" s="68">
        <f>+IF(AV83&gt;=Parametros!$H$41,Parametros!$H$41*($X83+$Y83)/2,AU83)</f>
        <v>0</v>
      </c>
      <c r="AX83" s="242">
        <f t="shared" si="80"/>
        <v>0</v>
      </c>
      <c r="AY83" s="68">
        <f t="shared" si="81"/>
        <v>0</v>
      </c>
      <c r="BA83" s="181">
        <f>+IF(AV83&lt;Parametros!$H$41,$AP83,0)</f>
        <v>0</v>
      </c>
      <c r="BB83" s="68">
        <f t="shared" si="82"/>
        <v>0</v>
      </c>
      <c r="BC83" s="68">
        <f t="shared" si="83"/>
        <v>0</v>
      </c>
      <c r="BD83" s="181">
        <f>IF($X83+$Y83=0,0,MIN(Parametros!$H$41,BC83/(($X83+$Y83)/2)))</f>
        <v>0</v>
      </c>
      <c r="BE83" s="68">
        <f>+IF(BD83&gt;=Parametros!$H$41,Parametros!$H$41*($X83+$Y83)/2,BC83)</f>
        <v>0</v>
      </c>
      <c r="BF83" s="68">
        <f t="shared" si="84"/>
        <v>0</v>
      </c>
    </row>
    <row r="84" spans="1:68" x14ac:dyDescent="0.25">
      <c r="A84" s="248" t="s">
        <v>265</v>
      </c>
      <c r="B84" s="130"/>
      <c r="D84" s="224"/>
      <c r="E84" s="227"/>
      <c r="F84" s="229"/>
      <c r="G84" s="230"/>
      <c r="H84" s="230"/>
      <c r="I84" s="231"/>
      <c r="J84" s="5"/>
      <c r="K84" s="224"/>
      <c r="L84" s="227"/>
      <c r="M84" s="230">
        <v>0</v>
      </c>
      <c r="N84" s="230">
        <v>0</v>
      </c>
      <c r="O84" s="231">
        <v>0</v>
      </c>
      <c r="P84" s="5"/>
      <c r="Q84" s="143">
        <f t="shared" ref="Q84" si="85">+I84+O84</f>
        <v>0</v>
      </c>
      <c r="R84" s="9">
        <f t="shared" ref="R84" si="86">+IF(Q84&gt;0,Q84,0)</f>
        <v>0</v>
      </c>
      <c r="S84" s="144">
        <f t="shared" ref="S84" si="87">+R84/$R$87</f>
        <v>0</v>
      </c>
      <c r="T84" s="12"/>
      <c r="U84" s="143">
        <f t="shared" ref="U84" si="88">+IF(R84&gt;0,D84+K84,0)</f>
        <v>0</v>
      </c>
      <c r="V84" s="144">
        <f t="shared" ref="V84" si="89">+U84/$U$87</f>
        <v>0</v>
      </c>
      <c r="X84" s="68">
        <v>0</v>
      </c>
      <c r="Y84" s="68">
        <f>+'Calculo Intereses PERS NAT'!G639</f>
        <v>0</v>
      </c>
      <c r="Z84" s="68">
        <f>+'Calculo Intereses PERS NAT'!J639</f>
        <v>0</v>
      </c>
      <c r="AA84" s="68">
        <f>+V84*Parametros!$I$39</f>
        <v>0</v>
      </c>
      <c r="AB84" s="68">
        <f t="shared" ref="AB84" si="90">+Z84+AA84</f>
        <v>0</v>
      </c>
      <c r="AC84" s="181">
        <f t="shared" ref="AC84" si="91">IF(X84+Y84=0,0,AB84/((X84+Y84)/2))</f>
        <v>0</v>
      </c>
      <c r="AD84" s="68">
        <f>+IF(AC84&gt;Parametros!$H$41,Parametros!$H$41*(X84+Y84)/2,AB84)</f>
        <v>0</v>
      </c>
      <c r="AE84" s="68">
        <f t="shared" ref="AE84" si="92">+AB84-AD84</f>
        <v>0</v>
      </c>
      <c r="AF84" s="12"/>
      <c r="AG84" s="181">
        <f>+IF(AC84&lt;Parametros!$H$41,V84,0)</f>
        <v>0</v>
      </c>
      <c r="AH84" s="68">
        <f t="shared" ref="AH84" si="93">IF($AG$87=0,0,AG84/$AG$87*$AE$87)</f>
        <v>0</v>
      </c>
      <c r="AI84" s="68">
        <f t="shared" ref="AI84" si="94">+AD84+AH84</f>
        <v>0</v>
      </c>
      <c r="AJ84" s="181">
        <f t="shared" ref="AJ84" si="95">IF($X84+$Y84=0,0,AI84/(($X84+$Y84)/2))</f>
        <v>0</v>
      </c>
      <c r="AK84" s="68">
        <f>+IF(AJ84&gt;=Parametros!$H$41,Parametros!$H$41*($X84+$Y84)/2,AI84)</f>
        <v>0</v>
      </c>
      <c r="AL84" s="242">
        <f t="shared" ref="AL84" si="96">IF($X84+$Y84=0,0,AK84/(($X84+$Y84)/2))</f>
        <v>0</v>
      </c>
      <c r="AM84" s="68">
        <f t="shared" ref="AM84" si="97">AI84-AK84</f>
        <v>0</v>
      </c>
      <c r="AO84" s="232">
        <v>9</v>
      </c>
      <c r="AP84" s="146">
        <f t="shared" si="76"/>
        <v>1.1905673570691807E-5</v>
      </c>
      <c r="AS84" s="243">
        <f>+IF(AL84&lt;Parametros!$H$41,AP84,0)</f>
        <v>1.1905673570691807E-5</v>
      </c>
      <c r="AT84" s="68">
        <f t="shared" ref="AT84" si="98">IF($AS$87=0,0,AS84/$AS$87*$AM$87)</f>
        <v>0.21670567365493784</v>
      </c>
      <c r="AU84" s="68">
        <f t="shared" ref="AU84" si="99">+AK84+AT84</f>
        <v>0.21670567365493784</v>
      </c>
      <c r="AV84" s="181">
        <f t="shared" ref="AV84" si="100">IF($X84+$Y84=0,0,AU84/(($X84+$Y84)/2))</f>
        <v>0</v>
      </c>
      <c r="AW84" s="68">
        <f>+IF(AV84&gt;=Parametros!$H$41,Parametros!$H$41*($X84+$Y84)/2,AU84)</f>
        <v>0.21670567365493784</v>
      </c>
      <c r="AX84" s="242">
        <f t="shared" si="80"/>
        <v>0</v>
      </c>
      <c r="AY84" s="68">
        <f t="shared" si="81"/>
        <v>0</v>
      </c>
      <c r="BA84" s="181">
        <f>+IF(AV84&lt;Parametros!$H$41,$AP84,0)</f>
        <v>1.1905673570691807E-5</v>
      </c>
      <c r="BB84" s="68">
        <f t="shared" si="82"/>
        <v>1.5684938928446197</v>
      </c>
      <c r="BC84" s="68">
        <f t="shared" si="83"/>
        <v>1.7851995664995575</v>
      </c>
      <c r="BD84" s="181">
        <f>IF($X84+$Y84=0,0,MIN(Parametros!$H$41,BC84/(($X84+$Y84)/2)))</f>
        <v>0</v>
      </c>
      <c r="BE84" s="68">
        <f>+IF(BD84&gt;=Parametros!$H$41,Parametros!$H$41*($X84+$Y84)/2,BC84)</f>
        <v>1.7851995664995575</v>
      </c>
      <c r="BF84" s="68">
        <f t="shared" si="84"/>
        <v>0</v>
      </c>
    </row>
    <row r="85" spans="1:68" ht="13.8" thickBot="1" x14ac:dyDescent="0.3">
      <c r="A85" s="129"/>
      <c r="B85" s="137" t="s">
        <v>178</v>
      </c>
      <c r="D85" s="138">
        <f>+SUM(D53:D84)</f>
        <v>3987.22</v>
      </c>
      <c r="E85" s="138">
        <f t="shared" ref="E85:I85" si="101">+SUM(E53:E84)</f>
        <v>5414.3899999999994</v>
      </c>
      <c r="F85" s="138">
        <f t="shared" si="101"/>
        <v>0</v>
      </c>
      <c r="G85" s="138">
        <f t="shared" si="101"/>
        <v>1555.0157999999999</v>
      </c>
      <c r="H85" s="138">
        <f t="shared" si="101"/>
        <v>0</v>
      </c>
      <c r="I85" s="138">
        <f t="shared" si="101"/>
        <v>-2982.1858000000002</v>
      </c>
      <c r="J85" s="5"/>
      <c r="K85" s="138">
        <f t="shared" ref="K85" si="102">+SUM(K53:K84)</f>
        <v>0</v>
      </c>
      <c r="L85" s="138">
        <f t="shared" ref="L85" si="103">+SUM(L53:L84)</f>
        <v>0</v>
      </c>
      <c r="M85" s="138">
        <f t="shared" ref="M85:N85" si="104">+SUM(M53:M84)</f>
        <v>0</v>
      </c>
      <c r="N85" s="138">
        <f t="shared" si="104"/>
        <v>0</v>
      </c>
      <c r="O85" s="138">
        <f>+SUM(O53:O84)</f>
        <v>0</v>
      </c>
      <c r="P85" s="5"/>
      <c r="Q85" s="138">
        <f t="shared" ref="Q85" si="105">+SUM(Q53:Q84)</f>
        <v>-2982.1858000000002</v>
      </c>
      <c r="R85" s="138">
        <f>+SUM(R53:R84)</f>
        <v>1400.5050999999999</v>
      </c>
      <c r="S85" s="244">
        <f>+R85/$R$87</f>
        <v>1.9496565551950788E-3</v>
      </c>
      <c r="T85" s="12"/>
      <c r="U85" s="138">
        <f>+SUM(U53:U84)</f>
        <v>2295.91</v>
      </c>
      <c r="V85" s="244">
        <f>+U85/$U$87</f>
        <v>9.6226948519741412E-4</v>
      </c>
      <c r="X85" s="138">
        <f t="shared" ref="X85:AB85" si="106">+SUM(X53:X84)</f>
        <v>27700.550000000007</v>
      </c>
      <c r="Y85" s="138">
        <f>+SUM(Y53:Y84)</f>
        <v>33516.639999999999</v>
      </c>
      <c r="Z85" s="138">
        <f t="shared" si="106"/>
        <v>2057.8874091780822</v>
      </c>
      <c r="AA85" s="265">
        <f>+SUM(AA53:AA84)</f>
        <v>53.802898819752215</v>
      </c>
      <c r="AB85" s="138">
        <f t="shared" si="106"/>
        <v>2111.6903079978347</v>
      </c>
      <c r="AC85" s="182"/>
      <c r="AD85" s="178">
        <f>+SUM(AD53:AD84)</f>
        <v>1859.283819130434</v>
      </c>
      <c r="AE85" s="178">
        <f>+SUM(AE53:AE84)</f>
        <v>252.4064888674005</v>
      </c>
      <c r="AF85" s="12"/>
      <c r="AG85" s="182">
        <f>+SUM(AG53:AG84)</f>
        <v>7.4725920783189309E-4</v>
      </c>
      <c r="AH85" s="178">
        <f>+SUM(AH53:AH84)</f>
        <v>638.57291454034328</v>
      </c>
      <c r="AI85" s="178">
        <f>+SUM(AI53:AI84)</f>
        <v>2497.856733670777</v>
      </c>
      <c r="AJ85" s="178"/>
      <c r="AK85" s="178">
        <f>+SUM(AK53:AK84)</f>
        <v>2049.5315168493153</v>
      </c>
      <c r="AL85" s="178"/>
      <c r="AM85" s="178">
        <f>+SUM(AM53:AM84)</f>
        <v>448.32521682146228</v>
      </c>
      <c r="AO85" s="178">
        <f>+SUM(AO53:AO83)</f>
        <v>1691.31</v>
      </c>
      <c r="AP85" s="266">
        <f>+AO85/$AO$87</f>
        <v>2.2373538629829734E-3</v>
      </c>
      <c r="AS85" s="182">
        <f>+SUM(AS53:AS84)</f>
        <v>2.2492595365536652E-3</v>
      </c>
      <c r="AT85" s="178">
        <f>+SUM(AT53:AT84)</f>
        <v>40.94075821913637</v>
      </c>
      <c r="AU85" s="178">
        <f>+SUM(AU53:AU84)</f>
        <v>2090.4722750684514</v>
      </c>
      <c r="AV85" s="184">
        <f>IF($X85+$Y85=0,0,AU85/(($X85+$Y85)/2))</f>
        <v>6.8296904025436367E-2</v>
      </c>
      <c r="AW85" s="178">
        <f>+SUM(AW53:AW84)</f>
        <v>2090.4722750684514</v>
      </c>
      <c r="AX85" s="178"/>
      <c r="AY85" s="178">
        <f>+SUM(AY53:AY84)</f>
        <v>0</v>
      </c>
      <c r="BA85" s="247">
        <f>+SUM(BA53:BA84)</f>
        <v>2.2492595365536652E-3</v>
      </c>
      <c r="BB85" s="178">
        <f>+SUM(BB53:BB84)</f>
        <v>296.3250945491817</v>
      </c>
      <c r="BC85" s="178">
        <f>+SUM(BC53:BC84)</f>
        <v>2386.7973696176327</v>
      </c>
      <c r="BD85" s="184">
        <f>IF($X85+$Y85=0,0,BC85/(($X85+$Y85)/2))</f>
        <v>7.7978011392474331E-2</v>
      </c>
      <c r="BE85" s="178">
        <f>+SUM(BE53:BE84)</f>
        <v>2153.7306621007465</v>
      </c>
      <c r="BF85" s="178">
        <f>+SUM(BF53:BF84)</f>
        <v>233.06670751688691</v>
      </c>
    </row>
    <row r="86" spans="1:68" ht="13.8" thickBot="1" x14ac:dyDescent="0.3">
      <c r="D86" s="59"/>
      <c r="E86" s="59"/>
      <c r="K86" s="239"/>
      <c r="L86" s="240"/>
      <c r="M86" s="59"/>
      <c r="S86" s="147"/>
      <c r="V86" s="147"/>
      <c r="Y86" s="70"/>
      <c r="Z86" s="70"/>
      <c r="AC86" s="183"/>
      <c r="AG86" s="183"/>
      <c r="AP86" s="147"/>
      <c r="AS86" s="183"/>
      <c r="AZ86" s="12"/>
    </row>
    <row r="87" spans="1:68" s="1" customFormat="1" ht="13.8" thickBot="1" x14ac:dyDescent="0.3">
      <c r="B87" s="148" t="s">
        <v>21</v>
      </c>
      <c r="C87" s="4"/>
      <c r="D87" s="149">
        <f t="shared" ref="D87:I87" si="107">+D51+D85</f>
        <v>3079528.07</v>
      </c>
      <c r="E87" s="150">
        <f t="shared" si="107"/>
        <v>1198406.0699999996</v>
      </c>
      <c r="F87" s="150">
        <f t="shared" si="107"/>
        <v>44692</v>
      </c>
      <c r="G87" s="150">
        <f t="shared" si="107"/>
        <v>1201015.9472999999</v>
      </c>
      <c r="H87" s="150">
        <f t="shared" si="107"/>
        <v>0</v>
      </c>
      <c r="I87" s="151">
        <f t="shared" si="107"/>
        <v>635414.0527</v>
      </c>
      <c r="J87" s="6"/>
      <c r="K87" s="149">
        <f>+K51+K85</f>
        <v>0</v>
      </c>
      <c r="L87" s="150">
        <f>+L51+L85</f>
        <v>0</v>
      </c>
      <c r="M87" s="150">
        <f>+M51+M85</f>
        <v>0</v>
      </c>
      <c r="N87" s="150">
        <f>+N51+N85</f>
        <v>0</v>
      </c>
      <c r="O87" s="151">
        <f>+O51+O85</f>
        <v>0</v>
      </c>
      <c r="P87" s="6"/>
      <c r="Q87" s="149">
        <f>+Q51+Q85</f>
        <v>635414.0527</v>
      </c>
      <c r="R87" s="150">
        <f>+R51+R85</f>
        <v>718334.26059999992</v>
      </c>
      <c r="S87" s="152">
        <f>+R87/$R$87</f>
        <v>1</v>
      </c>
      <c r="U87" s="149">
        <f>+U51+U85</f>
        <v>2385932.46</v>
      </c>
      <c r="V87" s="152">
        <f>+U87/$U$87</f>
        <v>1</v>
      </c>
      <c r="W87" s="13"/>
      <c r="X87" s="149">
        <f>+X51+X85</f>
        <v>2681908.939999999</v>
      </c>
      <c r="Y87" s="149">
        <f>+Y51+Y85</f>
        <v>3394417.62</v>
      </c>
      <c r="Z87" s="149">
        <f>+Z51+Z85</f>
        <v>181579.54482712326</v>
      </c>
      <c r="AA87" s="149">
        <f>+AA51+AA85</f>
        <v>55912.506472876747</v>
      </c>
      <c r="AB87" s="149">
        <f>+AB51+AB85</f>
        <v>237492.05130000005</v>
      </c>
      <c r="AC87" s="184"/>
      <c r="AD87" s="149">
        <f>+AD51+AD85</f>
        <v>196678.36999797157</v>
      </c>
      <c r="AE87" s="149">
        <f>+AE51+AE85</f>
        <v>40813.681302028519</v>
      </c>
      <c r="AF87"/>
      <c r="AG87" s="185">
        <f>+AG51+AG85</f>
        <v>4.7760245484903624E-2</v>
      </c>
      <c r="AH87" s="149">
        <f>+AH51+AH85</f>
        <v>40813.681302028526</v>
      </c>
      <c r="AI87" s="149">
        <f>+AI51+AI85</f>
        <v>237492.05130000008</v>
      </c>
      <c r="AJ87" s="179"/>
      <c r="AK87" s="149">
        <f>+AK51+AK85</f>
        <v>219289.95190636141</v>
      </c>
      <c r="AL87" s="149"/>
      <c r="AM87" s="149">
        <f>+AM51+AM85</f>
        <v>18202.099393638669</v>
      </c>
      <c r="AN87" s="12"/>
      <c r="AO87" s="149">
        <f>+AO51+AO85</f>
        <v>755942.1100000001</v>
      </c>
      <c r="AP87" s="236">
        <f>+AO87/$AO$87</f>
        <v>1</v>
      </c>
      <c r="AQ87" s="12"/>
      <c r="AR87" s="12"/>
      <c r="AS87" s="185">
        <f>+AS51+AS85</f>
        <v>1.0000119056735706</v>
      </c>
      <c r="AT87" s="149">
        <f>+AT51+AT85</f>
        <v>18202.099393638673</v>
      </c>
      <c r="AU87" s="149">
        <f>+AU51+AU85</f>
        <v>237492.05130000008</v>
      </c>
      <c r="AV87" s="214"/>
      <c r="AW87" s="149">
        <f>+AW51+AW85</f>
        <v>226330.15903986897</v>
      </c>
      <c r="AX87" s="149"/>
      <c r="AY87" s="149">
        <f>+AY51+AY85</f>
        <v>11161.892260131079</v>
      </c>
      <c r="AZ87" s="96"/>
      <c r="BA87" s="185">
        <f>+BA51+BA85</f>
        <v>8.472449034490219E-2</v>
      </c>
      <c r="BB87" s="149">
        <f>+BB51+BB85</f>
        <v>11161.892260131079</v>
      </c>
      <c r="BC87" s="149">
        <f>+BC51+BC85</f>
        <v>237492.05130000005</v>
      </c>
      <c r="BD87" s="13"/>
      <c r="BE87" s="149">
        <f>+BE51+BE85</f>
        <v>233735.44140710073</v>
      </c>
      <c r="BF87" s="149">
        <f>+BF51+BF85</f>
        <v>3756.6098928993279</v>
      </c>
      <c r="BG87" s="13"/>
      <c r="BH87" s="13"/>
      <c r="BI87" s="13"/>
      <c r="BJ87" s="13"/>
      <c r="BK87" s="13"/>
      <c r="BL87" s="13"/>
      <c r="BM87" s="13"/>
      <c r="BN87" s="13"/>
      <c r="BO87" s="13"/>
      <c r="BP87" s="13"/>
    </row>
    <row r="88" spans="1:68" x14ac:dyDescent="0.25">
      <c r="D88" s="59"/>
      <c r="E88" s="59"/>
      <c r="F88" s="59"/>
      <c r="K88" s="59"/>
      <c r="L88" s="59"/>
      <c r="V88" s="216" t="s">
        <v>278</v>
      </c>
      <c r="X88" s="218">
        <v>2682937.54</v>
      </c>
      <c r="Y88" s="218">
        <v>3392743.59</v>
      </c>
      <c r="Z88" s="70"/>
      <c r="AD88" s="70"/>
      <c r="AK88" s="70"/>
      <c r="AL88" s="70"/>
      <c r="AP88" s="216" t="s">
        <v>247</v>
      </c>
      <c r="AX88" s="70"/>
    </row>
    <row r="89" spans="1:68" x14ac:dyDescent="0.25">
      <c r="D89" s="5"/>
      <c r="V89" s="216" t="s">
        <v>250</v>
      </c>
      <c r="X89" s="217"/>
      <c r="Z89" s="70"/>
      <c r="AA89" s="70"/>
      <c r="AB89" s="70"/>
      <c r="AE89" s="70">
        <f>+AD87+AE87</f>
        <v>237492.05130000011</v>
      </c>
      <c r="AM89" s="70">
        <f>+AK87+AM87</f>
        <v>237492.05130000008</v>
      </c>
      <c r="AP89" s="216" t="s">
        <v>250</v>
      </c>
      <c r="AY89" s="70">
        <f>+AW87+AY87</f>
        <v>237492.05130000005</v>
      </c>
      <c r="BF89" s="70">
        <f>+BE87+BF87</f>
        <v>237492.05130000005</v>
      </c>
    </row>
    <row r="90" spans="1:68" ht="13.8" thickBot="1" x14ac:dyDescent="0.3">
      <c r="V90" s="216" t="s">
        <v>69</v>
      </c>
      <c r="X90" s="218">
        <v>-1028.6099999999999</v>
      </c>
      <c r="AP90" s="216" t="s">
        <v>251</v>
      </c>
    </row>
    <row r="91" spans="1:68" ht="13.8" thickBot="1" x14ac:dyDescent="0.3">
      <c r="D91" s="5"/>
      <c r="V91" s="219" t="s">
        <v>234</v>
      </c>
      <c r="X91" s="220">
        <f>SUM(X88:X90)</f>
        <v>2681908.9300000002</v>
      </c>
      <c r="Y91" s="220">
        <f>SUM(Y88:Y90)</f>
        <v>3392743.59</v>
      </c>
      <c r="AB91" s="70"/>
      <c r="AP91" s="219" t="s">
        <v>234</v>
      </c>
    </row>
    <row r="92" spans="1:68" x14ac:dyDescent="0.25">
      <c r="V92" s="216" t="s">
        <v>235</v>
      </c>
      <c r="X92" s="228">
        <f>+X87-X91</f>
        <v>9.9999988451600075E-3</v>
      </c>
      <c r="Y92" s="228">
        <f>+Y87-Y91</f>
        <v>1674.0300000002608</v>
      </c>
      <c r="AP92" s="216" t="s">
        <v>235</v>
      </c>
    </row>
    <row r="95" spans="1:68" x14ac:dyDescent="0.25">
      <c r="V95" s="216"/>
      <c r="X95" s="264"/>
      <c r="Y95" s="218"/>
      <c r="AP95" s="216"/>
    </row>
    <row r="96" spans="1:68" x14ac:dyDescent="0.25">
      <c r="V96" s="216"/>
      <c r="Y96" s="218"/>
      <c r="AP96" s="216"/>
    </row>
    <row r="97" spans="22:42" x14ac:dyDescent="0.25">
      <c r="V97" s="216"/>
      <c r="Y97" s="218"/>
      <c r="AP97" s="216"/>
    </row>
    <row r="98" spans="22:42" x14ac:dyDescent="0.25">
      <c r="Y98" s="218"/>
    </row>
  </sheetData>
  <mergeCells count="9">
    <mergeCell ref="U4:V4"/>
    <mergeCell ref="D4:I4"/>
    <mergeCell ref="K4:O4"/>
    <mergeCell ref="Q4:S4"/>
    <mergeCell ref="BA4:BD4"/>
    <mergeCell ref="AO4:AP4"/>
    <mergeCell ref="X4:AE4"/>
    <mergeCell ref="AG4:AM4"/>
    <mergeCell ref="AS4:AV4"/>
  </mergeCells>
  <phoneticPr fontId="0" type="noConversion"/>
  <pageMargins left="0.38" right="0.75" top="0.63" bottom="1" header="0" footer="0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27"/>
  <sheetViews>
    <sheetView workbookViewId="0">
      <selection activeCell="G24" sqref="G24"/>
    </sheetView>
  </sheetViews>
  <sheetFormatPr baseColWidth="10" defaultRowHeight="13.2" x14ac:dyDescent="0.25"/>
  <cols>
    <col min="1" max="1" width="11.44140625" style="1"/>
    <col min="3" max="3" width="15" bestFit="1" customWidth="1"/>
    <col min="4" max="4" width="24.44140625" bestFit="1" customWidth="1"/>
    <col min="6" max="6" width="14.44140625" customWidth="1"/>
    <col min="7" max="7" width="14.5546875" customWidth="1"/>
    <col min="8" max="8" width="2.44140625" customWidth="1"/>
    <col min="9" max="9" width="17" customWidth="1"/>
    <col min="10" max="10" width="17.33203125" customWidth="1"/>
    <col min="13" max="13" width="13.33203125" bestFit="1" customWidth="1"/>
    <col min="14" max="14" width="11.44140625" style="1"/>
    <col min="16" max="16" width="17" customWidth="1"/>
    <col min="22" max="22" width="17.109375" customWidth="1"/>
    <col min="23" max="23" width="16.33203125" customWidth="1"/>
    <col min="24" max="24" width="12.6640625" customWidth="1"/>
    <col min="25" max="25" width="11.44140625" style="1"/>
    <col min="28" max="28" width="11.44140625" style="1"/>
    <col min="29" max="29" width="11.6640625" customWidth="1"/>
    <col min="30" max="30" width="17" customWidth="1"/>
    <col min="36" max="36" width="16.5546875" customWidth="1"/>
    <col min="37" max="37" width="15.5546875" customWidth="1"/>
  </cols>
  <sheetData>
    <row r="1" spans="2:38" x14ac:dyDescent="0.25">
      <c r="B1" s="1" t="s">
        <v>72</v>
      </c>
    </row>
    <row r="2" spans="2:38" ht="13.8" x14ac:dyDescent="0.25">
      <c r="B2" s="1" t="s">
        <v>189</v>
      </c>
    </row>
    <row r="3" spans="2:38" x14ac:dyDescent="0.25">
      <c r="B3" s="51"/>
      <c r="C3" s="53"/>
      <c r="D3" s="53"/>
      <c r="E3" s="54"/>
      <c r="F3" s="54"/>
      <c r="G3" s="54"/>
      <c r="H3" s="20"/>
      <c r="I3" s="55"/>
      <c r="J3" s="56"/>
      <c r="K3" s="20"/>
      <c r="L3" s="20"/>
      <c r="M3" s="20"/>
      <c r="AC3" s="77">
        <v>40883</v>
      </c>
      <c r="AG3" s="94">
        <v>10</v>
      </c>
      <c r="AH3" s="94" t="e">
        <f>+#REF!+AG3</f>
        <v>#REF!</v>
      </c>
      <c r="AJ3" s="95">
        <f>31-5</f>
        <v>26</v>
      </c>
      <c r="AK3" s="87" t="e">
        <f>+AG3*#REF!/365*AJ3</f>
        <v>#REF!</v>
      </c>
      <c r="AL3" s="78" t="e">
        <f>+#REF!+AK3</f>
        <v>#REF!</v>
      </c>
    </row>
    <row r="4" spans="2:38" x14ac:dyDescent="0.25"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AC4" s="85">
        <v>40754</v>
      </c>
      <c r="AD4" s="7"/>
      <c r="AE4" s="7"/>
      <c r="AF4" s="7"/>
      <c r="AG4" s="47">
        <v>10</v>
      </c>
      <c r="AH4" s="47" t="e">
        <f>+#REF!+AG4</f>
        <v>#REF!</v>
      </c>
      <c r="AJ4" s="48">
        <f>2+31+30+31+30+31</f>
        <v>155</v>
      </c>
      <c r="AK4" s="49" t="e">
        <f>+AG4*#REF!/365*AJ4</f>
        <v>#REF!</v>
      </c>
      <c r="AL4" s="78" t="e">
        <f>+#REF!+AK4</f>
        <v>#REF!</v>
      </c>
    </row>
    <row r="5" spans="2:38" x14ac:dyDescent="0.25">
      <c r="B5" s="172" t="str">
        <f>CONCATENATE("APORTACIONES Y CALCULO DE INTERESES CORRESPONDIENTES AL AÑO ",YEAR(Parametros!$H$11))</f>
        <v>APORTACIONES Y CALCULO DE INTERESES CORRESPONDIENTES AL AÑO 2015</v>
      </c>
      <c r="C5" s="53"/>
      <c r="D5" s="53"/>
      <c r="E5" s="54"/>
      <c r="G5" s="54"/>
      <c r="H5" s="20"/>
      <c r="I5" s="55"/>
      <c r="J5" s="56"/>
      <c r="K5" s="20"/>
      <c r="L5" s="20"/>
      <c r="M5" s="20"/>
      <c r="AC5" s="85">
        <v>40865</v>
      </c>
      <c r="AD5" s="7"/>
      <c r="AE5" s="7"/>
      <c r="AF5" s="7"/>
      <c r="AG5" s="47">
        <v>20</v>
      </c>
      <c r="AH5" s="47" t="e">
        <f t="shared" ref="AH5" si="0">+AH4+AG5</f>
        <v>#REF!</v>
      </c>
      <c r="AJ5" s="48">
        <f>30-17+31</f>
        <v>44</v>
      </c>
      <c r="AK5" s="49" t="e">
        <f>+AG5*#REF!/365*AJ5</f>
        <v>#REF!</v>
      </c>
      <c r="AL5" s="78" t="e">
        <f t="shared" ref="AL5:AL7" si="1">+AL4+AK5</f>
        <v>#REF!</v>
      </c>
    </row>
    <row r="6" spans="2:38" x14ac:dyDescent="0.25">
      <c r="B6" s="69" t="s">
        <v>186</v>
      </c>
      <c r="C6" s="173" t="str">
        <f>+'Calculo Excedentes'!A7</f>
        <v>CA-1</v>
      </c>
      <c r="D6" s="171" t="s">
        <v>187</v>
      </c>
      <c r="E6" s="176" t="str">
        <f>+'Calculo Excedentes'!B7</f>
        <v>ACECENTA</v>
      </c>
      <c r="F6" s="174"/>
      <c r="G6" s="175"/>
      <c r="H6" s="20"/>
      <c r="I6" s="39" t="s">
        <v>73</v>
      </c>
      <c r="J6" s="39" t="s">
        <v>74</v>
      </c>
      <c r="K6" s="39" t="s">
        <v>75</v>
      </c>
      <c r="L6" s="20"/>
      <c r="M6" s="20"/>
      <c r="AC6" s="85"/>
      <c r="AD6" s="7"/>
      <c r="AE6" s="7"/>
      <c r="AF6" s="7"/>
      <c r="AG6" s="47">
        <v>92.92</v>
      </c>
      <c r="AH6" s="47"/>
      <c r="AJ6" s="48">
        <v>365</v>
      </c>
      <c r="AK6" s="49" t="e">
        <f>+AG6*#REF!/365*AJ6</f>
        <v>#REF!</v>
      </c>
      <c r="AL6" s="78" t="e">
        <f t="shared" si="1"/>
        <v>#REF!</v>
      </c>
    </row>
    <row r="7" spans="2:38" x14ac:dyDescent="0.25">
      <c r="B7" s="40" t="s">
        <v>76</v>
      </c>
      <c r="C7" s="40" t="s">
        <v>77</v>
      </c>
      <c r="D7" s="40" t="s">
        <v>78</v>
      </c>
      <c r="E7" s="40" t="s">
        <v>79</v>
      </c>
      <c r="F7" s="40" t="s">
        <v>80</v>
      </c>
      <c r="G7" s="40" t="s">
        <v>81</v>
      </c>
      <c r="H7" s="20"/>
      <c r="I7" s="42" t="s">
        <v>82</v>
      </c>
      <c r="J7" s="164" t="s">
        <v>185</v>
      </c>
      <c r="K7" s="42" t="s">
        <v>84</v>
      </c>
      <c r="L7" s="20"/>
      <c r="M7" s="20"/>
      <c r="AC7" s="85"/>
      <c r="AD7" s="7"/>
      <c r="AE7" s="7"/>
      <c r="AF7" s="7"/>
      <c r="AG7" s="47"/>
      <c r="AH7" s="47"/>
      <c r="AJ7" s="48"/>
      <c r="AK7" s="49" t="e">
        <f>+AG7*#REF!/365*AJ7</f>
        <v>#REF!</v>
      </c>
      <c r="AL7" s="78" t="e">
        <f t="shared" si="1"/>
        <v>#REF!</v>
      </c>
    </row>
    <row r="8" spans="2:38" x14ac:dyDescent="0.25">
      <c r="B8" s="158">
        <f>+Parametros!$H$11-365</f>
        <v>42004</v>
      </c>
      <c r="C8" s="161"/>
      <c r="D8" s="162"/>
      <c r="E8" s="159"/>
      <c r="F8" s="159">
        <f>+'[2]produccion cooperativas asociad'!$E$2</f>
        <v>112628.56</v>
      </c>
      <c r="G8" s="165">
        <f>+F8-E8</f>
        <v>112628.56</v>
      </c>
      <c r="H8" s="20"/>
      <c r="I8" s="167">
        <f>IF(B8&gt;0,(Parametros!$H$11-'Calculo Intereses COOPS'!B8),0)</f>
        <v>365</v>
      </c>
      <c r="J8" s="168">
        <f>(F8-E8)*Parametros!$H$37/365*'Calculo Intereses COOPS'!I8</f>
        <v>6194.5707999999986</v>
      </c>
      <c r="K8" s="169">
        <f>+J8</f>
        <v>6194.5707999999986</v>
      </c>
      <c r="L8" s="20"/>
      <c r="M8" s="233" t="e">
        <f>+F24+F46+F88+F109+F130+F154+#REF!+F176+F197+F222+F264+F286+F307+F328+F352+F380+F402+F444</f>
        <v>#REF!</v>
      </c>
      <c r="N8" s="235">
        <v>0.05</v>
      </c>
      <c r="O8" t="e">
        <f>+M8*N8</f>
        <v>#REF!</v>
      </c>
    </row>
    <row r="9" spans="2:38" x14ac:dyDescent="0.25">
      <c r="B9" s="160">
        <v>42049</v>
      </c>
      <c r="C9" s="221"/>
      <c r="D9" s="162" t="s">
        <v>236</v>
      </c>
      <c r="E9" s="159"/>
      <c r="F9" s="159">
        <v>8114.29</v>
      </c>
      <c r="G9" s="165">
        <f>+G8+F9-E9</f>
        <v>120742.84999999999</v>
      </c>
      <c r="H9" s="20"/>
      <c r="I9" s="167">
        <f>IF(B9&gt;0,(Parametros!$H$11-'Calculo Intereses COOPS'!B9),0)</f>
        <v>320</v>
      </c>
      <c r="J9" s="168">
        <f>(F9-E9)*Parametros!$H$37/365*'Calculo Intereses COOPS'!I9</f>
        <v>391.26439452054797</v>
      </c>
      <c r="K9" s="169">
        <f>+J9+K8</f>
        <v>6585.8351945205468</v>
      </c>
      <c r="L9" s="20"/>
      <c r="M9" s="234">
        <f>+'Calculo Excedentes'!Y51</f>
        <v>3360900.98</v>
      </c>
    </row>
    <row r="10" spans="2:38" x14ac:dyDescent="0.25">
      <c r="B10" s="160">
        <v>42228</v>
      </c>
      <c r="C10" s="221"/>
      <c r="D10" s="162" t="s">
        <v>269</v>
      </c>
      <c r="E10" s="159"/>
      <c r="F10" s="159">
        <v>6000</v>
      </c>
      <c r="G10" s="165">
        <f t="shared" ref="G10:G23" si="2">+G9+F10-E10</f>
        <v>126742.84999999999</v>
      </c>
      <c r="H10" s="20"/>
      <c r="I10" s="167">
        <f>IF(B10&gt;0,(Parametros!$H$11-'Calculo Intereses COOPS'!B10),0)</f>
        <v>141</v>
      </c>
      <c r="J10" s="168">
        <f>(F10-E10)*Parametros!$H$37/365*'Calculo Intereses COOPS'!I10</f>
        <v>127.47945205479451</v>
      </c>
      <c r="K10" s="169">
        <f t="shared" ref="K10:K23" si="3">+J10+K9</f>
        <v>6713.3146465753416</v>
      </c>
      <c r="L10" s="20"/>
      <c r="M10" s="233" t="e">
        <f>+M9-M8</f>
        <v>#REF!</v>
      </c>
    </row>
    <row r="11" spans="2:38" x14ac:dyDescent="0.25">
      <c r="B11" s="160">
        <v>42250</v>
      </c>
      <c r="C11" s="161"/>
      <c r="D11" s="162" t="s">
        <v>269</v>
      </c>
      <c r="E11" s="159"/>
      <c r="F11" s="159">
        <v>2000</v>
      </c>
      <c r="G11" s="165">
        <f>+G10+F11-E11</f>
        <v>128742.84999999999</v>
      </c>
      <c r="H11" s="20"/>
      <c r="I11" s="167">
        <f>IF(B11&gt;0,(Parametros!$H$11-'Calculo Intereses COOPS'!B11),0)</f>
        <v>119</v>
      </c>
      <c r="J11" s="168">
        <f>(F11-E11)*Parametros!$H$37/365*'Calculo Intereses COOPS'!I11</f>
        <v>35.863013698630134</v>
      </c>
      <c r="K11" s="169">
        <f t="shared" si="3"/>
        <v>6749.1776602739719</v>
      </c>
      <c r="L11" s="20"/>
      <c r="M11" s="20"/>
    </row>
    <row r="12" spans="2:38" x14ac:dyDescent="0.25">
      <c r="B12" s="160">
        <v>42285</v>
      </c>
      <c r="C12" s="161"/>
      <c r="D12" s="162" t="s">
        <v>269</v>
      </c>
      <c r="E12" s="159"/>
      <c r="F12" s="159">
        <v>2000</v>
      </c>
      <c r="G12" s="165">
        <f>+G11+F12-E12</f>
        <v>130742.84999999999</v>
      </c>
      <c r="H12" s="20"/>
      <c r="I12" s="167">
        <f>IF(B12&gt;0,(Parametros!$H$11-'Calculo Intereses COOPS'!B12),0)</f>
        <v>84</v>
      </c>
      <c r="J12" s="168">
        <f>(F12-E12)*Parametros!$H$37/365*'Calculo Intereses COOPS'!I12</f>
        <v>25.315068493150683</v>
      </c>
      <c r="K12" s="169">
        <f t="shared" si="3"/>
        <v>6774.4927287671226</v>
      </c>
      <c r="L12" s="20"/>
      <c r="M12" s="80" t="e">
        <f>+J24+J46+J88+J109+J130+J154+#REF!+J176+J197+J222+J264+J286+J307+J328+J352+J380+J402+J444</f>
        <v>#REF!</v>
      </c>
    </row>
    <row r="13" spans="2:38" x14ac:dyDescent="0.25">
      <c r="B13" s="160">
        <v>42285</v>
      </c>
      <c r="C13" s="161"/>
      <c r="D13" s="162" t="s">
        <v>269</v>
      </c>
      <c r="E13" s="159"/>
      <c r="F13" s="159">
        <v>2000</v>
      </c>
      <c r="G13" s="165">
        <f>+G12+F13-E13</f>
        <v>132742.84999999998</v>
      </c>
      <c r="H13" s="20"/>
      <c r="I13" s="167">
        <f>IF(B13&gt;0,(Parametros!$H$11-'Calculo Intereses COOPS'!B13),0)</f>
        <v>84</v>
      </c>
      <c r="J13" s="168">
        <f>(F13-E13)*Parametros!$H$37/365*'Calculo Intereses COOPS'!I13</f>
        <v>25.315068493150683</v>
      </c>
      <c r="K13" s="169">
        <f t="shared" si="3"/>
        <v>6799.8077972602732</v>
      </c>
      <c r="L13" s="20"/>
      <c r="M13" s="234">
        <f>+'Calculo Excedentes'!Z51</f>
        <v>179521.65741794519</v>
      </c>
      <c r="O13" s="5" t="e">
        <f>+O8-M13</f>
        <v>#REF!</v>
      </c>
    </row>
    <row r="14" spans="2:38" x14ac:dyDescent="0.25">
      <c r="B14" s="160"/>
      <c r="C14" s="161"/>
      <c r="D14" s="162"/>
      <c r="E14" s="159"/>
      <c r="F14" s="159"/>
      <c r="G14" s="165">
        <f>+G13+F14-E14</f>
        <v>132742.84999999998</v>
      </c>
      <c r="H14" s="20"/>
      <c r="I14" s="167">
        <f>IF(B14&gt;0,(Parametros!$H$11-'Calculo Intereses COOPS'!B14),0)</f>
        <v>0</v>
      </c>
      <c r="J14" s="168">
        <f>(F14-E14)*Parametros!$H$37/365*'Calculo Intereses COOPS'!I14</f>
        <v>0</v>
      </c>
      <c r="K14" s="169">
        <f t="shared" si="3"/>
        <v>6799.8077972602732</v>
      </c>
      <c r="L14" s="20"/>
      <c r="M14" s="80" t="e">
        <f>+M13-M12</f>
        <v>#REF!</v>
      </c>
    </row>
    <row r="15" spans="2:38" x14ac:dyDescent="0.25">
      <c r="B15" s="160"/>
      <c r="C15" s="161"/>
      <c r="D15" s="162"/>
      <c r="E15" s="159"/>
      <c r="F15" s="159"/>
      <c r="G15" s="165">
        <f t="shared" si="2"/>
        <v>132742.84999999998</v>
      </c>
      <c r="H15" s="20"/>
      <c r="I15" s="167">
        <f>IF(B15&gt;0,(Parametros!$H$11-'Calculo Intereses COOPS'!B15),0)</f>
        <v>0</v>
      </c>
      <c r="J15" s="168">
        <f>(F15-E15)*Parametros!$H$37/365*'Calculo Intereses COOPS'!I15</f>
        <v>0</v>
      </c>
      <c r="K15" s="169">
        <f t="shared" si="3"/>
        <v>6799.8077972602732</v>
      </c>
      <c r="L15" s="20"/>
      <c r="M15" s="20"/>
    </row>
    <row r="16" spans="2:38" x14ac:dyDescent="0.25">
      <c r="B16" s="160"/>
      <c r="C16" s="161"/>
      <c r="D16" s="163"/>
      <c r="E16" s="159"/>
      <c r="F16" s="159"/>
      <c r="G16" s="165">
        <f t="shared" si="2"/>
        <v>132742.84999999998</v>
      </c>
      <c r="H16" s="20"/>
      <c r="I16" s="167">
        <f>IF(B16&gt;0,(Parametros!$H$11-'Calculo Intereses COOPS'!B16),0)</f>
        <v>0</v>
      </c>
      <c r="J16" s="168">
        <f>(F16-E16)*Parametros!$H$37/365*'Calculo Intereses COOPS'!I16</f>
        <v>0</v>
      </c>
      <c r="K16" s="169">
        <f t="shared" si="3"/>
        <v>6799.8077972602732</v>
      </c>
      <c r="L16" s="20"/>
      <c r="M16" s="20">
        <f>+F24*5%</f>
        <v>6637.142499999999</v>
      </c>
    </row>
    <row r="17" spans="2:13" x14ac:dyDescent="0.25">
      <c r="B17" s="160"/>
      <c r="C17" s="161"/>
      <c r="D17" s="163"/>
      <c r="E17" s="159"/>
      <c r="F17" s="159"/>
      <c r="G17" s="165">
        <f t="shared" si="2"/>
        <v>132742.84999999998</v>
      </c>
      <c r="H17" s="20"/>
      <c r="I17" s="167">
        <f>IF(B17&gt;0,(Parametros!$H$11-'Calculo Intereses COOPS'!B17),0)</f>
        <v>0</v>
      </c>
      <c r="J17" s="168">
        <f>(F17-E17)*Parametros!$H$37/365*'Calculo Intereses COOPS'!I17</f>
        <v>0</v>
      </c>
      <c r="K17" s="169">
        <f t="shared" si="3"/>
        <v>6799.8077972602732</v>
      </c>
      <c r="L17" s="20"/>
      <c r="M17" s="233">
        <f>+M16-J24</f>
        <v>-162.6652972602742</v>
      </c>
    </row>
    <row r="18" spans="2:13" x14ac:dyDescent="0.25">
      <c r="B18" s="160"/>
      <c r="C18" s="161"/>
      <c r="D18" s="163"/>
      <c r="E18" s="159"/>
      <c r="F18" s="159"/>
      <c r="G18" s="165">
        <f t="shared" si="2"/>
        <v>132742.84999999998</v>
      </c>
      <c r="H18" s="20"/>
      <c r="I18" s="167">
        <f>IF(B18&gt;0,(Parametros!$H$11-'Calculo Intereses COOPS'!B18),0)</f>
        <v>0</v>
      </c>
      <c r="J18" s="168">
        <f>(F18-E18)*Parametros!$H$37/365*'Calculo Intereses COOPS'!I18</f>
        <v>0</v>
      </c>
      <c r="K18" s="169">
        <f t="shared" si="3"/>
        <v>6799.8077972602732</v>
      </c>
      <c r="L18" s="20"/>
      <c r="M18" s="20"/>
    </row>
    <row r="19" spans="2:13" x14ac:dyDescent="0.25">
      <c r="B19" s="160"/>
      <c r="C19" s="161"/>
      <c r="D19" s="163"/>
      <c r="E19" s="159"/>
      <c r="F19" s="159"/>
      <c r="G19" s="165">
        <f t="shared" si="2"/>
        <v>132742.84999999998</v>
      </c>
      <c r="H19" s="20"/>
      <c r="I19" s="167">
        <f>IF(B19&gt;0,(Parametros!$H$11-'Calculo Intereses COOPS'!B19),0)</f>
        <v>0</v>
      </c>
      <c r="J19" s="168">
        <f>(F19-E19)*Parametros!$H$37/365*'Calculo Intereses COOPS'!I19</f>
        <v>0</v>
      </c>
      <c r="K19" s="169">
        <f t="shared" si="3"/>
        <v>6799.8077972602732</v>
      </c>
      <c r="L19" s="20"/>
      <c r="M19" s="20"/>
    </row>
    <row r="20" spans="2:13" x14ac:dyDescent="0.25">
      <c r="B20" s="160"/>
      <c r="C20" s="161"/>
      <c r="D20" s="163"/>
      <c r="E20" s="159"/>
      <c r="F20" s="159"/>
      <c r="G20" s="165">
        <f t="shared" si="2"/>
        <v>132742.84999999998</v>
      </c>
      <c r="H20" s="20"/>
      <c r="I20" s="167">
        <f>IF(B20&gt;0,(Parametros!$H$11-'Calculo Intereses COOPS'!B20),0)</f>
        <v>0</v>
      </c>
      <c r="J20" s="168">
        <f>(F20-E20)*Parametros!$H$37/365*'Calculo Intereses COOPS'!I20</f>
        <v>0</v>
      </c>
      <c r="K20" s="169">
        <f t="shared" si="3"/>
        <v>6799.8077972602732</v>
      </c>
      <c r="L20" s="20"/>
      <c r="M20" s="20"/>
    </row>
    <row r="21" spans="2:13" x14ac:dyDescent="0.25">
      <c r="B21" s="160"/>
      <c r="C21" s="161"/>
      <c r="D21" s="163"/>
      <c r="E21" s="159"/>
      <c r="F21" s="159"/>
      <c r="G21" s="165">
        <f t="shared" si="2"/>
        <v>132742.84999999998</v>
      </c>
      <c r="H21" s="20"/>
      <c r="I21" s="167">
        <f>IF(B21&gt;0,(Parametros!$H$11-'Calculo Intereses COOPS'!B21),0)</f>
        <v>0</v>
      </c>
      <c r="J21" s="168">
        <f>(F21-E21)*Parametros!$H$37/365*'Calculo Intereses COOPS'!I21</f>
        <v>0</v>
      </c>
      <c r="K21" s="169">
        <f t="shared" si="3"/>
        <v>6799.8077972602732</v>
      </c>
      <c r="L21" s="20"/>
      <c r="M21" s="20"/>
    </row>
    <row r="22" spans="2:13" x14ac:dyDescent="0.25">
      <c r="B22" s="160"/>
      <c r="C22" s="161"/>
      <c r="D22" s="163"/>
      <c r="E22" s="159"/>
      <c r="F22" s="159"/>
      <c r="G22" s="165">
        <f t="shared" si="2"/>
        <v>132742.84999999998</v>
      </c>
      <c r="H22" s="20"/>
      <c r="I22" s="167">
        <f>IF(B22&gt;0,(Parametros!$H$11-'Calculo Intereses COOPS'!B22),0)</f>
        <v>0</v>
      </c>
      <c r="J22" s="168">
        <f>(F22-E22)*Parametros!$H$37/365*'Calculo Intereses COOPS'!I22</f>
        <v>0</v>
      </c>
      <c r="K22" s="169">
        <f t="shared" si="3"/>
        <v>6799.8077972602732</v>
      </c>
      <c r="L22" s="20"/>
      <c r="M22" s="20"/>
    </row>
    <row r="23" spans="2:13" x14ac:dyDescent="0.25">
      <c r="B23" s="160"/>
      <c r="C23" s="161"/>
      <c r="D23" s="163"/>
      <c r="E23" s="159"/>
      <c r="F23" s="159"/>
      <c r="G23" s="165">
        <f t="shared" si="2"/>
        <v>132742.84999999998</v>
      </c>
      <c r="H23" s="20"/>
      <c r="I23" s="167">
        <f>IF(B23&gt;0,(Parametros!$H$11-'Calculo Intereses COOPS'!B23),0)</f>
        <v>0</v>
      </c>
      <c r="J23" s="168">
        <f>(F23-E23)*Parametros!$H$37/365*'Calculo Intereses COOPS'!I23</f>
        <v>0</v>
      </c>
      <c r="K23" s="169">
        <f t="shared" si="3"/>
        <v>6799.8077972602732</v>
      </c>
      <c r="L23" s="20"/>
      <c r="M23" s="20"/>
    </row>
    <row r="24" spans="2:13" x14ac:dyDescent="0.25">
      <c r="B24" s="20"/>
      <c r="C24" s="20"/>
      <c r="D24" s="52" t="s">
        <v>21</v>
      </c>
      <c r="E24" s="166">
        <f>SUM(E8:E23)</f>
        <v>0</v>
      </c>
      <c r="F24" s="166">
        <f>SUM(F8:F23)</f>
        <v>132742.84999999998</v>
      </c>
      <c r="G24" s="166">
        <f>+G23</f>
        <v>132742.84999999998</v>
      </c>
      <c r="J24" s="170">
        <f>SUM(J8:J23)</f>
        <v>6799.8077972602732</v>
      </c>
      <c r="L24" s="20"/>
      <c r="M24" s="20"/>
    </row>
    <row r="25" spans="2:13" x14ac:dyDescent="0.25"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</row>
    <row r="27" spans="2:13" x14ac:dyDescent="0.25">
      <c r="B27" s="172" t="str">
        <f>CONCATENATE("APORTACIONES Y CALCULO DE INTERESES CORRESPONDIENTES AL AÑO ",YEAR(Parametros!$H$11))</f>
        <v>APORTACIONES Y CALCULO DE INTERESES CORRESPONDIENTES AL AÑO 2015</v>
      </c>
      <c r="C27" s="53"/>
      <c r="D27" s="53"/>
      <c r="E27" s="54"/>
      <c r="F27" s="54"/>
      <c r="G27" s="54"/>
      <c r="H27" s="20"/>
      <c r="I27" s="55"/>
      <c r="J27" s="56"/>
      <c r="K27" s="20"/>
    </row>
    <row r="28" spans="2:13" x14ac:dyDescent="0.25">
      <c r="B28" s="69" t="s">
        <v>186</v>
      </c>
      <c r="C28" s="173" t="str">
        <f>+'Calculo Excedentes'!A8</f>
        <v>CA-2</v>
      </c>
      <c r="D28" s="171" t="s">
        <v>187</v>
      </c>
      <c r="E28" s="176" t="str">
        <f>+'Calculo Excedentes'!B8</f>
        <v>ACACSEMERSA</v>
      </c>
      <c r="F28" s="174"/>
      <c r="G28" s="175"/>
      <c r="H28" s="20"/>
      <c r="I28" s="39" t="s">
        <v>73</v>
      </c>
      <c r="J28" s="39" t="s">
        <v>74</v>
      </c>
      <c r="K28" s="39" t="s">
        <v>75</v>
      </c>
    </row>
    <row r="29" spans="2:13" x14ac:dyDescent="0.25">
      <c r="B29" s="40" t="s">
        <v>76</v>
      </c>
      <c r="C29" s="40" t="s">
        <v>77</v>
      </c>
      <c r="D29" s="40" t="s">
        <v>78</v>
      </c>
      <c r="E29" s="40" t="s">
        <v>79</v>
      </c>
      <c r="F29" s="40" t="s">
        <v>80</v>
      </c>
      <c r="G29" s="40" t="s">
        <v>81</v>
      </c>
      <c r="H29" s="20"/>
      <c r="I29" s="42" t="s">
        <v>82</v>
      </c>
      <c r="J29" s="164" t="s">
        <v>185</v>
      </c>
      <c r="K29" s="42" t="s">
        <v>84</v>
      </c>
    </row>
    <row r="30" spans="2:13" x14ac:dyDescent="0.25">
      <c r="B30" s="158">
        <f>+Parametros!$H$11-365</f>
        <v>42004</v>
      </c>
      <c r="C30" s="161"/>
      <c r="D30" s="162"/>
      <c r="E30" s="159"/>
      <c r="F30" s="159">
        <f>+'[2]produccion cooperativas asociad'!$E$3</f>
        <v>91771.44</v>
      </c>
      <c r="G30" s="165">
        <f>+F30-E30</f>
        <v>91771.44</v>
      </c>
      <c r="H30" s="20"/>
      <c r="I30" s="167">
        <f>IF(B30&gt;0,(Parametros!$H$11-'Calculo Intereses COOPS'!B30),0)</f>
        <v>365</v>
      </c>
      <c r="J30" s="168">
        <f>(F30-E30)*Parametros!$H$37/365*'Calculo Intereses COOPS'!I30</f>
        <v>5047.4292000000005</v>
      </c>
      <c r="K30" s="169">
        <f>+J30</f>
        <v>5047.4292000000005</v>
      </c>
    </row>
    <row r="31" spans="2:13" x14ac:dyDescent="0.25">
      <c r="B31" s="160">
        <v>42049</v>
      </c>
      <c r="C31" s="161"/>
      <c r="D31" s="162" t="s">
        <v>236</v>
      </c>
      <c r="E31" s="159"/>
      <c r="F31" s="159">
        <v>6400</v>
      </c>
      <c r="G31" s="165">
        <f>+G30+F31-E31</f>
        <v>98171.44</v>
      </c>
      <c r="H31" s="20"/>
      <c r="I31" s="167">
        <f>IF(B31&gt;0,(Parametros!$H$11-'Calculo Intereses COOPS'!B31),0)</f>
        <v>320</v>
      </c>
      <c r="J31" s="168">
        <f>(F31-E31)*Parametros!$H$37/365*'Calculo Intereses COOPS'!I31</f>
        <v>308.60273972602738</v>
      </c>
      <c r="K31" s="169">
        <f>+J31+K30</f>
        <v>5356.0319397260282</v>
      </c>
    </row>
    <row r="32" spans="2:13" x14ac:dyDescent="0.25">
      <c r="B32" s="160">
        <v>42270</v>
      </c>
      <c r="C32" s="221"/>
      <c r="D32" s="162" t="s">
        <v>270</v>
      </c>
      <c r="E32" s="159"/>
      <c r="F32" s="159">
        <v>12500</v>
      </c>
      <c r="G32" s="165">
        <f t="shared" ref="G32:G45" si="4">+G31+F32-E32</f>
        <v>110671.44</v>
      </c>
      <c r="H32" s="20"/>
      <c r="I32" s="167">
        <f>IF(B32&gt;0,(Parametros!$H$11-'Calculo Intereses COOPS'!B32),0)</f>
        <v>99</v>
      </c>
      <c r="J32" s="168">
        <f>(F32-E32)*Parametros!$H$37/365*'Calculo Intereses COOPS'!I32</f>
        <v>186.47260273972603</v>
      </c>
      <c r="K32" s="169">
        <f t="shared" ref="K32:K45" si="5">+J32+K31</f>
        <v>5542.5045424657546</v>
      </c>
    </row>
    <row r="33" spans="2:11" x14ac:dyDescent="0.25">
      <c r="B33" s="160"/>
      <c r="C33" s="161"/>
      <c r="D33" s="162"/>
      <c r="E33" s="159"/>
      <c r="F33" s="159"/>
      <c r="G33" s="165">
        <f t="shared" si="4"/>
        <v>110671.44</v>
      </c>
      <c r="H33" s="20"/>
      <c r="I33" s="167">
        <f>IF(B33&gt;0,(Parametros!$H$11-'Calculo Intereses COOPS'!B33),0)</f>
        <v>0</v>
      </c>
      <c r="J33" s="168">
        <f>(F33-E33)*Parametros!$H$37/365*'Calculo Intereses COOPS'!I33</f>
        <v>0</v>
      </c>
      <c r="K33" s="169">
        <f t="shared" si="5"/>
        <v>5542.5045424657546</v>
      </c>
    </row>
    <row r="34" spans="2:11" x14ac:dyDescent="0.25">
      <c r="B34" s="160"/>
      <c r="C34" s="221"/>
      <c r="D34" s="162"/>
      <c r="E34" s="159"/>
      <c r="F34" s="159"/>
      <c r="G34" s="165">
        <f t="shared" si="4"/>
        <v>110671.44</v>
      </c>
      <c r="H34" s="20"/>
      <c r="I34" s="167">
        <f>IF(B34&gt;0,(Parametros!$H$11-'Calculo Intereses COOPS'!B34),0)</f>
        <v>0</v>
      </c>
      <c r="J34" s="168">
        <f>(F34-E34)*Parametros!$H$37/365*'Calculo Intereses COOPS'!I34</f>
        <v>0</v>
      </c>
      <c r="K34" s="169">
        <f t="shared" si="5"/>
        <v>5542.5045424657546</v>
      </c>
    </row>
    <row r="35" spans="2:11" x14ac:dyDescent="0.25">
      <c r="B35" s="160"/>
      <c r="C35" s="221"/>
      <c r="D35" s="162"/>
      <c r="E35" s="159"/>
      <c r="F35" s="159"/>
      <c r="G35" s="165">
        <f t="shared" si="4"/>
        <v>110671.44</v>
      </c>
      <c r="H35" s="20"/>
      <c r="I35" s="167">
        <f>IF(B35&gt;0,(Parametros!$H$11-'Calculo Intereses COOPS'!B35),0)</f>
        <v>0</v>
      </c>
      <c r="J35" s="168">
        <f>(F35-E35)*Parametros!$H$37/365*'Calculo Intereses COOPS'!I35</f>
        <v>0</v>
      </c>
      <c r="K35" s="169">
        <f t="shared" si="5"/>
        <v>5542.5045424657546</v>
      </c>
    </row>
    <row r="36" spans="2:11" x14ac:dyDescent="0.25">
      <c r="B36" s="160"/>
      <c r="C36" s="161"/>
      <c r="D36" s="162"/>
      <c r="E36" s="159"/>
      <c r="F36" s="159"/>
      <c r="G36" s="165">
        <f t="shared" si="4"/>
        <v>110671.44</v>
      </c>
      <c r="H36" s="20"/>
      <c r="I36" s="167">
        <f>IF(B36&gt;0,(Parametros!$H$11-'Calculo Intereses COOPS'!B36),0)</f>
        <v>0</v>
      </c>
      <c r="J36" s="168">
        <f>(F36-E36)*Parametros!$H$37/365*'Calculo Intereses COOPS'!I36</f>
        <v>0</v>
      </c>
      <c r="K36" s="169">
        <f t="shared" si="5"/>
        <v>5542.5045424657546</v>
      </c>
    </row>
    <row r="37" spans="2:11" x14ac:dyDescent="0.25">
      <c r="B37" s="160"/>
      <c r="C37" s="221"/>
      <c r="D37" s="162"/>
      <c r="E37" s="159"/>
      <c r="F37" s="159"/>
      <c r="G37" s="165">
        <f t="shared" si="4"/>
        <v>110671.44</v>
      </c>
      <c r="H37" s="20"/>
      <c r="I37" s="167">
        <f>IF(B37&gt;0,(Parametros!$H$11-'Calculo Intereses COOPS'!B37),0)</f>
        <v>0</v>
      </c>
      <c r="J37" s="168">
        <f>(F37-E37)*Parametros!$H$37/365*'Calculo Intereses COOPS'!I37</f>
        <v>0</v>
      </c>
      <c r="K37" s="169">
        <f t="shared" si="5"/>
        <v>5542.5045424657546</v>
      </c>
    </row>
    <row r="38" spans="2:11" x14ac:dyDescent="0.25">
      <c r="B38" s="160"/>
      <c r="C38" s="221"/>
      <c r="D38" s="162"/>
      <c r="E38" s="159"/>
      <c r="F38" s="159"/>
      <c r="G38" s="165">
        <f t="shared" si="4"/>
        <v>110671.44</v>
      </c>
      <c r="H38" s="20"/>
      <c r="I38" s="167">
        <f>IF(B38&gt;0,(Parametros!$H$11-'Calculo Intereses COOPS'!B38),0)</f>
        <v>0</v>
      </c>
      <c r="J38" s="168">
        <f>(F38-E38)*Parametros!$H$37/365*'Calculo Intereses COOPS'!I38</f>
        <v>0</v>
      </c>
      <c r="K38" s="169">
        <f t="shared" si="5"/>
        <v>5542.5045424657546</v>
      </c>
    </row>
    <row r="39" spans="2:11" x14ac:dyDescent="0.25">
      <c r="B39" s="160"/>
      <c r="C39" s="161"/>
      <c r="D39" s="163"/>
      <c r="E39" s="159"/>
      <c r="F39" s="159"/>
      <c r="G39" s="165">
        <f t="shared" si="4"/>
        <v>110671.44</v>
      </c>
      <c r="H39" s="20"/>
      <c r="I39" s="167">
        <f>IF(B39&gt;0,(Parametros!$H$11-'Calculo Intereses COOPS'!B39),0)</f>
        <v>0</v>
      </c>
      <c r="J39" s="168">
        <f>(F39-E39)*Parametros!$H$37/365*'Calculo Intereses COOPS'!I39</f>
        <v>0</v>
      </c>
      <c r="K39" s="169">
        <f t="shared" si="5"/>
        <v>5542.5045424657546</v>
      </c>
    </row>
    <row r="40" spans="2:11" x14ac:dyDescent="0.25">
      <c r="B40" s="160"/>
      <c r="C40" s="161"/>
      <c r="D40" s="163"/>
      <c r="E40" s="159"/>
      <c r="F40" s="159"/>
      <c r="G40" s="165">
        <f t="shared" si="4"/>
        <v>110671.44</v>
      </c>
      <c r="H40" s="20"/>
      <c r="I40" s="167">
        <f>IF(B40&gt;0,(Parametros!$H$11-'Calculo Intereses COOPS'!B40),0)</f>
        <v>0</v>
      </c>
      <c r="J40" s="168">
        <f>(F40-E40)*Parametros!$H$37/365*'Calculo Intereses COOPS'!I40</f>
        <v>0</v>
      </c>
      <c r="K40" s="169">
        <f t="shared" si="5"/>
        <v>5542.5045424657546</v>
      </c>
    </row>
    <row r="41" spans="2:11" x14ac:dyDescent="0.25">
      <c r="B41" s="160"/>
      <c r="C41" s="161"/>
      <c r="D41" s="163"/>
      <c r="E41" s="159"/>
      <c r="F41" s="159"/>
      <c r="G41" s="165">
        <f t="shared" si="4"/>
        <v>110671.44</v>
      </c>
      <c r="H41" s="20"/>
      <c r="I41" s="167">
        <f>IF(B41&gt;0,(Parametros!$H$11-'Calculo Intereses COOPS'!B41),0)</f>
        <v>0</v>
      </c>
      <c r="J41" s="168">
        <f>(F41-E41)*Parametros!$H$37/365*'Calculo Intereses COOPS'!I41</f>
        <v>0</v>
      </c>
      <c r="K41" s="169">
        <f t="shared" si="5"/>
        <v>5542.5045424657546</v>
      </c>
    </row>
    <row r="42" spans="2:11" x14ac:dyDescent="0.25">
      <c r="B42" s="160"/>
      <c r="C42" s="161"/>
      <c r="D42" s="163"/>
      <c r="E42" s="159"/>
      <c r="F42" s="159"/>
      <c r="G42" s="165">
        <f t="shared" si="4"/>
        <v>110671.44</v>
      </c>
      <c r="H42" s="20"/>
      <c r="I42" s="167">
        <f>IF(B42&gt;0,(Parametros!$H$11-'Calculo Intereses COOPS'!B42),0)</f>
        <v>0</v>
      </c>
      <c r="J42" s="168">
        <f>(F42-E42)*Parametros!$H$37/365*'Calculo Intereses COOPS'!I42</f>
        <v>0</v>
      </c>
      <c r="K42" s="169">
        <f t="shared" si="5"/>
        <v>5542.5045424657546</v>
      </c>
    </row>
    <row r="43" spans="2:11" x14ac:dyDescent="0.25">
      <c r="B43" s="160"/>
      <c r="C43" s="161"/>
      <c r="D43" s="163"/>
      <c r="E43" s="159"/>
      <c r="F43" s="159"/>
      <c r="G43" s="165">
        <f t="shared" si="4"/>
        <v>110671.44</v>
      </c>
      <c r="H43" s="20"/>
      <c r="I43" s="167">
        <f>IF(B43&gt;0,(Parametros!$H$11-'Calculo Intereses COOPS'!B43),0)</f>
        <v>0</v>
      </c>
      <c r="J43" s="168">
        <f>(F43-E43)*Parametros!$H$37/365*'Calculo Intereses COOPS'!I43</f>
        <v>0</v>
      </c>
      <c r="K43" s="169">
        <f t="shared" si="5"/>
        <v>5542.5045424657546</v>
      </c>
    </row>
    <row r="44" spans="2:11" x14ac:dyDescent="0.25">
      <c r="B44" s="160"/>
      <c r="C44" s="161"/>
      <c r="D44" s="163"/>
      <c r="E44" s="159"/>
      <c r="F44" s="159"/>
      <c r="G44" s="165">
        <f t="shared" si="4"/>
        <v>110671.44</v>
      </c>
      <c r="H44" s="20"/>
      <c r="I44" s="167">
        <f>IF(B44&gt;0,(Parametros!$H$11-'Calculo Intereses COOPS'!B44),0)</f>
        <v>0</v>
      </c>
      <c r="J44" s="168">
        <f>(F44-E44)*Parametros!$H$37/365*'Calculo Intereses COOPS'!I44</f>
        <v>0</v>
      </c>
      <c r="K44" s="169">
        <f t="shared" si="5"/>
        <v>5542.5045424657546</v>
      </c>
    </row>
    <row r="45" spans="2:11" x14ac:dyDescent="0.25">
      <c r="B45" s="160"/>
      <c r="C45" s="161"/>
      <c r="D45" s="163"/>
      <c r="E45" s="159"/>
      <c r="F45" s="159"/>
      <c r="G45" s="165">
        <f t="shared" si="4"/>
        <v>110671.44</v>
      </c>
      <c r="H45" s="20"/>
      <c r="I45" s="167">
        <f>IF(B45&gt;0,(Parametros!$H$11-'Calculo Intereses COOPS'!B45),0)</f>
        <v>0</v>
      </c>
      <c r="J45" s="168">
        <f>(F45-E45)*Parametros!$H$37/365*'Calculo Intereses COOPS'!I45</f>
        <v>0</v>
      </c>
      <c r="K45" s="169">
        <f t="shared" si="5"/>
        <v>5542.5045424657546</v>
      </c>
    </row>
    <row r="46" spans="2:11" x14ac:dyDescent="0.25">
      <c r="B46" s="20"/>
      <c r="C46" s="20"/>
      <c r="D46" s="52" t="s">
        <v>21</v>
      </c>
      <c r="E46" s="166">
        <f>SUM(E30:E45)</f>
        <v>0</v>
      </c>
      <c r="F46" s="166">
        <f>SUM(F30:F45)</f>
        <v>110671.44</v>
      </c>
      <c r="G46" s="166">
        <f>+G45</f>
        <v>110671.44</v>
      </c>
      <c r="J46" s="170">
        <f>SUM(J30:J45)</f>
        <v>5542.5045424657546</v>
      </c>
    </row>
    <row r="47" spans="2:11" x14ac:dyDescent="0.25">
      <c r="F47" s="65"/>
    </row>
    <row r="48" spans="2:11" x14ac:dyDescent="0.25">
      <c r="B48" s="172" t="str">
        <f>CONCATENATE("APORTACIONES Y CALCULO DE INTERESES CORRESPONDIENTES AL AÑO ",YEAR(Parametros!$H$11))</f>
        <v>APORTACIONES Y CALCULO DE INTERESES CORRESPONDIENTES AL AÑO 2015</v>
      </c>
      <c r="C48" s="53"/>
      <c r="D48" s="53"/>
      <c r="E48" s="54"/>
      <c r="F48" s="54"/>
      <c r="G48" s="54"/>
      <c r="H48" s="20"/>
      <c r="I48" s="55"/>
      <c r="J48" s="56"/>
      <c r="K48" s="20"/>
    </row>
    <row r="49" spans="2:11" x14ac:dyDescent="0.25">
      <c r="B49" s="69" t="s">
        <v>186</v>
      </c>
      <c r="C49" s="173" t="str">
        <f>+'Calculo Excedentes'!A9</f>
        <v>CA-3</v>
      </c>
      <c r="D49" s="171" t="s">
        <v>187</v>
      </c>
      <c r="E49" s="176" t="str">
        <f>+'Calculo Excedentes'!B9</f>
        <v>ACACCIBA</v>
      </c>
      <c r="F49" s="174"/>
      <c r="G49" s="175"/>
      <c r="H49" s="20"/>
      <c r="I49" s="39" t="s">
        <v>73</v>
      </c>
      <c r="J49" s="39" t="s">
        <v>74</v>
      </c>
      <c r="K49" s="39" t="s">
        <v>75</v>
      </c>
    </row>
    <row r="50" spans="2:11" x14ac:dyDescent="0.25">
      <c r="B50" s="40" t="s">
        <v>76</v>
      </c>
      <c r="C50" s="40" t="s">
        <v>77</v>
      </c>
      <c r="D50" s="40" t="s">
        <v>78</v>
      </c>
      <c r="E50" s="40" t="s">
        <v>79</v>
      </c>
      <c r="F50" s="40" t="s">
        <v>80</v>
      </c>
      <c r="G50" s="40" t="s">
        <v>81</v>
      </c>
      <c r="H50" s="20"/>
      <c r="I50" s="42" t="s">
        <v>82</v>
      </c>
      <c r="J50" s="164" t="s">
        <v>185</v>
      </c>
      <c r="K50" s="42" t="s">
        <v>84</v>
      </c>
    </row>
    <row r="51" spans="2:11" x14ac:dyDescent="0.25">
      <c r="B51" s="158">
        <f>+Parametros!$H$11-365</f>
        <v>42004</v>
      </c>
      <c r="C51" s="161"/>
      <c r="D51" s="162"/>
      <c r="E51" s="159"/>
      <c r="F51" s="159">
        <f>+'[2]produccion cooperativas asociad'!$E$4</f>
        <v>11428.57</v>
      </c>
      <c r="G51" s="165">
        <f>+F51-E51</f>
        <v>11428.57</v>
      </c>
      <c r="H51" s="20"/>
      <c r="I51" s="167">
        <f>IF(B51&gt;0,(Parametros!$H$11-'Calculo Intereses COOPS'!B51),0)</f>
        <v>365</v>
      </c>
      <c r="J51" s="168">
        <f>(F51-E51)*Parametros!$H$37/365*'Calculo Intereses COOPS'!I51</f>
        <v>628.57134999999994</v>
      </c>
      <c r="K51" s="169">
        <f>+J51</f>
        <v>628.57134999999994</v>
      </c>
    </row>
    <row r="52" spans="2:11" x14ac:dyDescent="0.25">
      <c r="B52" s="160">
        <v>42049</v>
      </c>
      <c r="C52" s="161"/>
      <c r="D52" s="162" t="s">
        <v>236</v>
      </c>
      <c r="E52" s="159"/>
      <c r="F52" s="159">
        <v>457.15</v>
      </c>
      <c r="G52" s="165">
        <f>+G51+F52-E52</f>
        <v>11885.72</v>
      </c>
      <c r="H52" s="20"/>
      <c r="I52" s="167">
        <f>IF(B52&gt;0,(Parametros!$H$11-'Calculo Intereses COOPS'!B52),0)</f>
        <v>320</v>
      </c>
      <c r="J52" s="168">
        <f>(F52-E52)*Parametros!$H$37/365*'Calculo Intereses COOPS'!I52</f>
        <v>22.04339726027397</v>
      </c>
      <c r="K52" s="169">
        <f>+J52+K51</f>
        <v>650.61474726027393</v>
      </c>
    </row>
    <row r="53" spans="2:11" x14ac:dyDescent="0.25">
      <c r="B53" s="160">
        <v>42123</v>
      </c>
      <c r="C53" s="161"/>
      <c r="D53" s="162" t="s">
        <v>270</v>
      </c>
      <c r="E53" s="159"/>
      <c r="F53" s="159">
        <v>114.29</v>
      </c>
      <c r="G53" s="165">
        <f>+G52+F53</f>
        <v>12000.01</v>
      </c>
      <c r="H53" s="20"/>
      <c r="I53" s="167">
        <f>IF(B53&gt;0,(Parametros!$H$11-'Calculo Intereses COOPS'!B53),0)</f>
        <v>246</v>
      </c>
      <c r="J53" s="168">
        <f>(F53-E53)*Parametros!$H$37/365*'Calculo Intereses COOPS'!I53</f>
        <v>4.236558082191781</v>
      </c>
      <c r="K53" s="169">
        <f t="shared" ref="K53:K66" si="6">+J53+K52</f>
        <v>654.85130534246571</v>
      </c>
    </row>
    <row r="54" spans="2:11" x14ac:dyDescent="0.25">
      <c r="B54" s="160">
        <v>42207</v>
      </c>
      <c r="C54" s="161"/>
      <c r="D54" s="162" t="s">
        <v>270</v>
      </c>
      <c r="E54" s="159"/>
      <c r="F54" s="159">
        <v>2971.54</v>
      </c>
      <c r="G54" s="165">
        <f>+G53+F54</f>
        <v>14971.55</v>
      </c>
      <c r="H54" s="20"/>
      <c r="I54" s="167">
        <f>IF(B54&gt;0,(Parametros!$H$11-'Calculo Intereses COOPS'!B54),0)</f>
        <v>162</v>
      </c>
      <c r="J54" s="168">
        <f>(F54-E54)*Parametros!$H$37/365*'Calculo Intereses COOPS'!I54</f>
        <v>72.538140821917807</v>
      </c>
      <c r="K54" s="169">
        <f t="shared" si="6"/>
        <v>727.38944616438357</v>
      </c>
    </row>
    <row r="55" spans="2:11" x14ac:dyDescent="0.25">
      <c r="B55" s="160">
        <v>42216</v>
      </c>
      <c r="C55" s="161"/>
      <c r="D55" s="162" t="s">
        <v>270</v>
      </c>
      <c r="E55" s="159"/>
      <c r="F55" s="159">
        <v>114.29</v>
      </c>
      <c r="G55" s="165">
        <f>+G54+F55</f>
        <v>15085.84</v>
      </c>
      <c r="H55" s="20"/>
      <c r="I55" s="167">
        <f>IF(B55&gt;0,(Parametros!$H$11-'Calculo Intereses COOPS'!B55),0)</f>
        <v>153</v>
      </c>
      <c r="J55" s="168">
        <f>(F55-E55)*Parametros!$H$37/365*'Calculo Intereses COOPS'!I55</f>
        <v>2.6349324657534252</v>
      </c>
      <c r="K55" s="169">
        <f t="shared" si="6"/>
        <v>730.02437863013699</v>
      </c>
    </row>
    <row r="56" spans="2:11" x14ac:dyDescent="0.25">
      <c r="B56" s="160"/>
      <c r="C56" s="161"/>
      <c r="D56" s="162"/>
      <c r="E56" s="159"/>
      <c r="F56" s="159"/>
      <c r="G56" s="165">
        <f>+G55+F56</f>
        <v>15085.84</v>
      </c>
      <c r="H56" s="20"/>
      <c r="I56" s="167">
        <f>IF(B56&gt;0,(Parametros!$H$11-'Calculo Intereses COOPS'!B56),0)</f>
        <v>0</v>
      </c>
      <c r="J56" s="168">
        <f>(F56-E56)*Parametros!$H$37/365*'Calculo Intereses COOPS'!I56</f>
        <v>0</v>
      </c>
      <c r="K56" s="169">
        <f t="shared" si="6"/>
        <v>730.02437863013699</v>
      </c>
    </row>
    <row r="57" spans="2:11" x14ac:dyDescent="0.25">
      <c r="B57" s="160"/>
      <c r="C57" s="161"/>
      <c r="D57" s="163"/>
      <c r="E57" s="159"/>
      <c r="F57" s="159"/>
      <c r="G57" s="165">
        <f t="shared" ref="G57:G65" si="7">+G56+F57</f>
        <v>15085.84</v>
      </c>
      <c r="H57" s="20"/>
      <c r="I57" s="167">
        <f>IF(B57&gt;0,(Parametros!$H$11-'Calculo Intereses COOPS'!B57),0)</f>
        <v>0</v>
      </c>
      <c r="J57" s="168">
        <f>(F57-E57)*Parametros!$H$37/365*'Calculo Intereses COOPS'!I57</f>
        <v>0</v>
      </c>
      <c r="K57" s="169">
        <f t="shared" si="6"/>
        <v>730.02437863013699</v>
      </c>
    </row>
    <row r="58" spans="2:11" x14ac:dyDescent="0.25">
      <c r="B58" s="160"/>
      <c r="C58" s="161"/>
      <c r="D58" s="163"/>
      <c r="E58" s="159"/>
      <c r="F58" s="159"/>
      <c r="G58" s="165">
        <f t="shared" si="7"/>
        <v>15085.84</v>
      </c>
      <c r="H58" s="20"/>
      <c r="I58" s="167">
        <f>IF(B58&gt;0,(Parametros!$H$11-'Calculo Intereses COOPS'!B58),0)</f>
        <v>0</v>
      </c>
      <c r="J58" s="168">
        <f>(F58-E58)*Parametros!$H$37/365*'Calculo Intereses COOPS'!I58</f>
        <v>0</v>
      </c>
      <c r="K58" s="169">
        <f t="shared" si="6"/>
        <v>730.02437863013699</v>
      </c>
    </row>
    <row r="59" spans="2:11" x14ac:dyDescent="0.25">
      <c r="B59" s="160"/>
      <c r="C59" s="161"/>
      <c r="D59" s="163"/>
      <c r="E59" s="159"/>
      <c r="F59" s="159"/>
      <c r="G59" s="165">
        <f t="shared" si="7"/>
        <v>15085.84</v>
      </c>
      <c r="H59" s="20"/>
      <c r="I59" s="167">
        <f>IF(B59&gt;0,(Parametros!$H$11-'Calculo Intereses COOPS'!B59),0)</f>
        <v>0</v>
      </c>
      <c r="J59" s="168">
        <f>(F59-E59)*Parametros!$H$37/365*'Calculo Intereses COOPS'!I59</f>
        <v>0</v>
      </c>
      <c r="K59" s="169">
        <f t="shared" si="6"/>
        <v>730.02437863013699</v>
      </c>
    </row>
    <row r="60" spans="2:11" x14ac:dyDescent="0.25">
      <c r="B60" s="160"/>
      <c r="C60" s="161"/>
      <c r="D60" s="163"/>
      <c r="E60" s="159"/>
      <c r="F60" s="159"/>
      <c r="G60" s="165">
        <f t="shared" si="7"/>
        <v>15085.84</v>
      </c>
      <c r="H60" s="20"/>
      <c r="I60" s="167">
        <f>IF(B60&gt;0,(Parametros!$H$11-'Calculo Intereses COOPS'!B60),0)</f>
        <v>0</v>
      </c>
      <c r="J60" s="168">
        <f>(F60-E60)*Parametros!$H$37/365*'Calculo Intereses COOPS'!I60</f>
        <v>0</v>
      </c>
      <c r="K60" s="169">
        <f t="shared" si="6"/>
        <v>730.02437863013699</v>
      </c>
    </row>
    <row r="61" spans="2:11" x14ac:dyDescent="0.25">
      <c r="B61" s="160"/>
      <c r="C61" s="161"/>
      <c r="D61" s="163"/>
      <c r="E61" s="159"/>
      <c r="F61" s="159"/>
      <c r="G61" s="165">
        <f t="shared" si="7"/>
        <v>15085.84</v>
      </c>
      <c r="H61" s="20"/>
      <c r="I61" s="167">
        <f>IF(B61&gt;0,(Parametros!$H$11-'Calculo Intereses COOPS'!B61),0)</f>
        <v>0</v>
      </c>
      <c r="J61" s="168">
        <f>(F61-E61)*Parametros!$H$37/365*'Calculo Intereses COOPS'!I61</f>
        <v>0</v>
      </c>
      <c r="K61" s="169">
        <f t="shared" si="6"/>
        <v>730.02437863013699</v>
      </c>
    </row>
    <row r="62" spans="2:11" x14ac:dyDescent="0.25">
      <c r="B62" s="160"/>
      <c r="C62" s="161"/>
      <c r="D62" s="163"/>
      <c r="E62" s="159"/>
      <c r="F62" s="159"/>
      <c r="G62" s="165">
        <f t="shared" si="7"/>
        <v>15085.84</v>
      </c>
      <c r="H62" s="20"/>
      <c r="I62" s="167">
        <f>IF(B62&gt;0,(Parametros!$H$11-'Calculo Intereses COOPS'!B62),0)</f>
        <v>0</v>
      </c>
      <c r="J62" s="168">
        <f>(F62-E62)*Parametros!$H$37/365*'Calculo Intereses COOPS'!I62</f>
        <v>0</v>
      </c>
      <c r="K62" s="169">
        <f t="shared" si="6"/>
        <v>730.02437863013699</v>
      </c>
    </row>
    <row r="63" spans="2:11" x14ac:dyDescent="0.25">
      <c r="B63" s="160"/>
      <c r="C63" s="161"/>
      <c r="D63" s="163"/>
      <c r="E63" s="159"/>
      <c r="F63" s="159"/>
      <c r="G63" s="165">
        <f t="shared" si="7"/>
        <v>15085.84</v>
      </c>
      <c r="H63" s="20"/>
      <c r="I63" s="167">
        <f>IF(B63&gt;0,(Parametros!$H$11-'Calculo Intereses COOPS'!B63),0)</f>
        <v>0</v>
      </c>
      <c r="J63" s="168">
        <f>(F63-E63)*Parametros!$H$37/365*'Calculo Intereses COOPS'!I63</f>
        <v>0</v>
      </c>
      <c r="K63" s="169">
        <f t="shared" si="6"/>
        <v>730.02437863013699</v>
      </c>
    </row>
    <row r="64" spans="2:11" x14ac:dyDescent="0.25">
      <c r="B64" s="160"/>
      <c r="C64" s="161"/>
      <c r="D64" s="163"/>
      <c r="E64" s="159"/>
      <c r="F64" s="159"/>
      <c r="G64" s="165">
        <f t="shared" si="7"/>
        <v>15085.84</v>
      </c>
      <c r="H64" s="20"/>
      <c r="I64" s="167">
        <f>IF(B64&gt;0,(Parametros!$H$11-'Calculo Intereses COOPS'!B64),0)</f>
        <v>0</v>
      </c>
      <c r="J64" s="168">
        <f>(F64-E64)*Parametros!$H$37/365*'Calculo Intereses COOPS'!I64</f>
        <v>0</v>
      </c>
      <c r="K64" s="169">
        <f t="shared" si="6"/>
        <v>730.02437863013699</v>
      </c>
    </row>
    <row r="65" spans="2:11" x14ac:dyDescent="0.25">
      <c r="B65" s="160"/>
      <c r="C65" s="161"/>
      <c r="D65" s="163"/>
      <c r="E65" s="159"/>
      <c r="F65" s="159"/>
      <c r="G65" s="165">
        <f t="shared" si="7"/>
        <v>15085.84</v>
      </c>
      <c r="H65" s="20"/>
      <c r="I65" s="167">
        <f>IF(B65&gt;0,(Parametros!$H$11-'Calculo Intereses COOPS'!B65),0)</f>
        <v>0</v>
      </c>
      <c r="J65" s="168">
        <f>(F65-E65)*Parametros!$H$37/365*'Calculo Intereses COOPS'!I65</f>
        <v>0</v>
      </c>
      <c r="K65" s="169">
        <f t="shared" si="6"/>
        <v>730.02437863013699</v>
      </c>
    </row>
    <row r="66" spans="2:11" x14ac:dyDescent="0.25">
      <c r="B66" s="160"/>
      <c r="C66" s="161"/>
      <c r="D66" s="163"/>
      <c r="E66" s="159"/>
      <c r="F66" s="159"/>
      <c r="G66" s="165">
        <f>+G65+F66</f>
        <v>15085.84</v>
      </c>
      <c r="H66" s="20"/>
      <c r="I66" s="167">
        <f>IF(B66&gt;0,(Parametros!$H$11-'Calculo Intereses COOPS'!B66),0)</f>
        <v>0</v>
      </c>
      <c r="J66" s="168">
        <f>(F66-E66)*Parametros!$H$37/365*'Calculo Intereses COOPS'!I66</f>
        <v>0</v>
      </c>
      <c r="K66" s="169">
        <f t="shared" si="6"/>
        <v>730.02437863013699</v>
      </c>
    </row>
    <row r="67" spans="2:11" x14ac:dyDescent="0.25">
      <c r="B67" s="20"/>
      <c r="C67" s="20"/>
      <c r="D67" s="52" t="s">
        <v>21</v>
      </c>
      <c r="E67" s="166">
        <f>SUM(E51:E66)</f>
        <v>0</v>
      </c>
      <c r="F67" s="166">
        <f>SUM(F51:F66)</f>
        <v>15085.84</v>
      </c>
      <c r="G67" s="166">
        <f>+G66</f>
        <v>15085.84</v>
      </c>
      <c r="J67" s="170">
        <f>SUM(J51:J66)</f>
        <v>730.02437863013699</v>
      </c>
    </row>
    <row r="69" spans="2:11" x14ac:dyDescent="0.25">
      <c r="B69" s="172" t="str">
        <f>CONCATENATE("APORTACIONES Y CALCULO DE INTERESES CORRESPONDIENTES AL AÑO ",YEAR(Parametros!$H$11))</f>
        <v>APORTACIONES Y CALCULO DE INTERESES CORRESPONDIENTES AL AÑO 2015</v>
      </c>
      <c r="C69" s="53"/>
      <c r="D69" s="53"/>
      <c r="E69" s="54"/>
      <c r="F69" s="54"/>
      <c r="G69" s="54"/>
      <c r="H69" s="20"/>
      <c r="I69" s="55"/>
      <c r="J69" s="56"/>
      <c r="K69" s="20"/>
    </row>
    <row r="70" spans="2:11" x14ac:dyDescent="0.25">
      <c r="B70" s="69" t="s">
        <v>186</v>
      </c>
      <c r="C70" s="173" t="str">
        <f>+'Calculo Excedentes'!A10</f>
        <v>CA-4</v>
      </c>
      <c r="D70" s="171" t="s">
        <v>187</v>
      </c>
      <c r="E70" s="176" t="str">
        <f>+'Calculo Excedentes'!B10</f>
        <v>ACACME</v>
      </c>
      <c r="F70" s="174"/>
      <c r="G70" s="175"/>
      <c r="H70" s="20"/>
      <c r="I70" s="39" t="s">
        <v>73</v>
      </c>
      <c r="J70" s="39" t="s">
        <v>74</v>
      </c>
      <c r="K70" s="39" t="s">
        <v>75</v>
      </c>
    </row>
    <row r="71" spans="2:11" x14ac:dyDescent="0.25">
      <c r="B71" s="40" t="s">
        <v>76</v>
      </c>
      <c r="C71" s="40" t="s">
        <v>77</v>
      </c>
      <c r="D71" s="40" t="s">
        <v>78</v>
      </c>
      <c r="E71" s="40" t="s">
        <v>79</v>
      </c>
      <c r="F71" s="40" t="s">
        <v>80</v>
      </c>
      <c r="G71" s="40" t="s">
        <v>81</v>
      </c>
      <c r="H71" s="20"/>
      <c r="I71" s="42" t="s">
        <v>82</v>
      </c>
      <c r="J71" s="164" t="s">
        <v>185</v>
      </c>
      <c r="K71" s="42" t="s">
        <v>84</v>
      </c>
    </row>
    <row r="72" spans="2:11" x14ac:dyDescent="0.25">
      <c r="B72" s="158">
        <f>+Parametros!$H$11-365</f>
        <v>42004</v>
      </c>
      <c r="C72" s="161"/>
      <c r="D72" s="162"/>
      <c r="E72" s="159"/>
      <c r="F72" s="159">
        <f>+'[2]produccion cooperativas asociad'!$E$5</f>
        <v>66799.929999999993</v>
      </c>
      <c r="G72" s="165">
        <f>+F72-E72</f>
        <v>66799.929999999993</v>
      </c>
      <c r="H72" s="20"/>
      <c r="I72" s="167">
        <f>IF(B72&gt;0,(Parametros!$H$11-'Calculo Intereses COOPS'!B72),0)</f>
        <v>365</v>
      </c>
      <c r="J72" s="168">
        <f>(F72-E72)*Parametros!$H$37/365*'Calculo Intereses COOPS'!I72</f>
        <v>3673.9961499999995</v>
      </c>
      <c r="K72" s="169">
        <f>+J72</f>
        <v>3673.9961499999995</v>
      </c>
    </row>
    <row r="73" spans="2:11" x14ac:dyDescent="0.25">
      <c r="B73" s="160">
        <v>42049</v>
      </c>
      <c r="C73" s="221"/>
      <c r="D73" s="162" t="s">
        <v>236</v>
      </c>
      <c r="E73" s="159"/>
      <c r="F73" s="159">
        <v>4571.43</v>
      </c>
      <c r="G73" s="165">
        <f>+G72+F73-E73</f>
        <v>71371.359999999986</v>
      </c>
      <c r="H73" s="20"/>
      <c r="I73" s="167">
        <f>IF(B73&gt;0,(Parametros!$H$11-'Calculo Intereses COOPS'!B73),0)</f>
        <v>320</v>
      </c>
      <c r="J73" s="168">
        <f>(F73-E73)*Parametros!$H$37/365*'Calculo Intereses COOPS'!I73</f>
        <v>220.43059726027397</v>
      </c>
      <c r="K73" s="169">
        <f>+J73+K72</f>
        <v>3894.4267472602733</v>
      </c>
    </row>
    <row r="74" spans="2:11" x14ac:dyDescent="0.25">
      <c r="B74" s="160">
        <v>42131</v>
      </c>
      <c r="C74" s="221"/>
      <c r="D74" s="162" t="s">
        <v>88</v>
      </c>
      <c r="E74" s="159"/>
      <c r="F74" s="159">
        <v>4000</v>
      </c>
      <c r="G74" s="165">
        <f t="shared" ref="G74:G87" si="8">+G73+F74-E74</f>
        <v>75371.359999999986</v>
      </c>
      <c r="H74" s="20"/>
      <c r="I74" s="167">
        <f>IF(B74&gt;0,(Parametros!$H$11-'Calculo Intereses COOPS'!B74),0)</f>
        <v>238</v>
      </c>
      <c r="J74" s="168">
        <f>(F74-E74)*Parametros!$H$37/365*'Calculo Intereses COOPS'!I74</f>
        <v>143.45205479452054</v>
      </c>
      <c r="K74" s="169">
        <f t="shared" ref="K74:K87" si="9">+J74+K73</f>
        <v>4037.8788020547936</v>
      </c>
    </row>
    <row r="75" spans="2:11" x14ac:dyDescent="0.25">
      <c r="B75" s="160">
        <v>42241</v>
      </c>
      <c r="C75" s="221"/>
      <c r="D75" s="162" t="s">
        <v>88</v>
      </c>
      <c r="E75" s="159"/>
      <c r="F75" s="159">
        <v>6000</v>
      </c>
      <c r="G75" s="165">
        <f t="shared" si="8"/>
        <v>81371.359999999986</v>
      </c>
      <c r="H75" s="20"/>
      <c r="I75" s="167">
        <f>IF(B75&gt;0,(Parametros!$H$11-'Calculo Intereses COOPS'!B75),0)</f>
        <v>128</v>
      </c>
      <c r="J75" s="168">
        <f>(F75-E75)*Parametros!$H$37/365*'Calculo Intereses COOPS'!I75</f>
        <v>115.72602739726027</v>
      </c>
      <c r="K75" s="169">
        <f t="shared" si="9"/>
        <v>4153.6048294520542</v>
      </c>
    </row>
    <row r="76" spans="2:11" x14ac:dyDescent="0.25">
      <c r="B76" s="160">
        <v>42285</v>
      </c>
      <c r="C76" s="221"/>
      <c r="D76" s="162" t="s">
        <v>88</v>
      </c>
      <c r="E76" s="159"/>
      <c r="F76" s="159">
        <v>10000</v>
      </c>
      <c r="G76" s="165">
        <f t="shared" si="8"/>
        <v>91371.359999999986</v>
      </c>
      <c r="H76" s="20"/>
      <c r="I76" s="167">
        <f>IF(B76&gt;0,(Parametros!$H$11-'Calculo Intereses COOPS'!B76),0)</f>
        <v>84</v>
      </c>
      <c r="J76" s="168">
        <f>(F76-E76)*Parametros!$H$37/365*'Calculo Intereses COOPS'!I76</f>
        <v>126.57534246575342</v>
      </c>
      <c r="K76" s="169">
        <f t="shared" si="9"/>
        <v>4280.1801719178075</v>
      </c>
    </row>
    <row r="77" spans="2:11" x14ac:dyDescent="0.25">
      <c r="B77" s="160">
        <v>42369</v>
      </c>
      <c r="C77" s="221"/>
      <c r="D77" s="162" t="s">
        <v>271</v>
      </c>
      <c r="E77" s="159"/>
      <c r="F77" s="159">
        <v>796.72</v>
      </c>
      <c r="G77" s="165">
        <f t="shared" si="8"/>
        <v>92168.079999999987</v>
      </c>
      <c r="H77" s="20"/>
      <c r="I77" s="167">
        <f>IF(B77&gt;0,(Parametros!$H$11-'Calculo Intereses COOPS'!B77),0)</f>
        <v>0</v>
      </c>
      <c r="J77" s="168">
        <f>(F77-E77)*Parametros!$H$37/365*'Calculo Intereses COOPS'!I77</f>
        <v>0</v>
      </c>
      <c r="K77" s="169">
        <f t="shared" si="9"/>
        <v>4280.1801719178075</v>
      </c>
    </row>
    <row r="78" spans="2:11" x14ac:dyDescent="0.25">
      <c r="B78" s="160"/>
      <c r="C78" s="161"/>
      <c r="D78" s="162"/>
      <c r="E78" s="159"/>
      <c r="F78" s="159"/>
      <c r="G78" s="165">
        <f t="shared" si="8"/>
        <v>92168.079999999987</v>
      </c>
      <c r="H78" s="20"/>
      <c r="I78" s="167">
        <f>IF(B78&gt;0,(Parametros!$H$11-'Calculo Intereses COOPS'!B78),0)</f>
        <v>0</v>
      </c>
      <c r="J78" s="168">
        <f>(F78-E78)*Parametros!$H$37/365*'Calculo Intereses COOPS'!I78</f>
        <v>0</v>
      </c>
      <c r="K78" s="169">
        <f t="shared" si="9"/>
        <v>4280.1801719178075</v>
      </c>
    </row>
    <row r="79" spans="2:11" x14ac:dyDescent="0.25">
      <c r="B79" s="160"/>
      <c r="C79" s="161"/>
      <c r="D79" s="162"/>
      <c r="E79" s="159"/>
      <c r="F79" s="159"/>
      <c r="G79" s="165">
        <f t="shared" si="8"/>
        <v>92168.079999999987</v>
      </c>
      <c r="H79" s="20"/>
      <c r="I79" s="167">
        <f>IF(B79&gt;0,(Parametros!$H$11-'Calculo Intereses COOPS'!B79),0)</f>
        <v>0</v>
      </c>
      <c r="J79" s="168">
        <f>(F79-E79)*Parametros!$H$37/365*'Calculo Intereses COOPS'!I79</f>
        <v>0</v>
      </c>
      <c r="K79" s="169">
        <f t="shared" si="9"/>
        <v>4280.1801719178075</v>
      </c>
    </row>
    <row r="80" spans="2:11" x14ac:dyDescent="0.25">
      <c r="B80" s="160"/>
      <c r="C80" s="161"/>
      <c r="D80" s="163"/>
      <c r="E80" s="159"/>
      <c r="F80" s="159"/>
      <c r="G80" s="165">
        <f t="shared" si="8"/>
        <v>92168.079999999987</v>
      </c>
      <c r="H80" s="20"/>
      <c r="I80" s="167">
        <f>IF(B80&gt;0,(Parametros!$H$11-'Calculo Intereses COOPS'!B80),0)</f>
        <v>0</v>
      </c>
      <c r="J80" s="168">
        <f>(F80-E80)*Parametros!$H$37/365*'Calculo Intereses COOPS'!I80</f>
        <v>0</v>
      </c>
      <c r="K80" s="169">
        <f t="shared" si="9"/>
        <v>4280.1801719178075</v>
      </c>
    </row>
    <row r="81" spans="2:11" x14ac:dyDescent="0.25">
      <c r="B81" s="160"/>
      <c r="C81" s="161"/>
      <c r="D81" s="163"/>
      <c r="E81" s="159"/>
      <c r="F81" s="159"/>
      <c r="G81" s="165">
        <f t="shared" si="8"/>
        <v>92168.079999999987</v>
      </c>
      <c r="H81" s="20"/>
      <c r="I81" s="167">
        <f>IF(B81&gt;0,(Parametros!$H$11-'Calculo Intereses COOPS'!B81),0)</f>
        <v>0</v>
      </c>
      <c r="J81" s="168">
        <f>(F81-E81)*Parametros!$H$37/365*'Calculo Intereses COOPS'!I81</f>
        <v>0</v>
      </c>
      <c r="K81" s="169">
        <f t="shared" si="9"/>
        <v>4280.1801719178075</v>
      </c>
    </row>
    <row r="82" spans="2:11" x14ac:dyDescent="0.25">
      <c r="B82" s="160"/>
      <c r="C82" s="161"/>
      <c r="D82" s="163"/>
      <c r="E82" s="159"/>
      <c r="F82" s="159"/>
      <c r="G82" s="165">
        <f t="shared" si="8"/>
        <v>92168.079999999987</v>
      </c>
      <c r="H82" s="20"/>
      <c r="I82" s="167">
        <f>IF(B82&gt;0,(Parametros!$H$11-'Calculo Intereses COOPS'!B82),0)</f>
        <v>0</v>
      </c>
      <c r="J82" s="168">
        <f>(F82-E82)*Parametros!$H$37/365*'Calculo Intereses COOPS'!I82</f>
        <v>0</v>
      </c>
      <c r="K82" s="169">
        <f t="shared" si="9"/>
        <v>4280.1801719178075</v>
      </c>
    </row>
    <row r="83" spans="2:11" x14ac:dyDescent="0.25">
      <c r="B83" s="160"/>
      <c r="C83" s="161"/>
      <c r="D83" s="163"/>
      <c r="E83" s="159"/>
      <c r="F83" s="159"/>
      <c r="G83" s="165">
        <f t="shared" si="8"/>
        <v>92168.079999999987</v>
      </c>
      <c r="H83" s="20"/>
      <c r="I83" s="167">
        <f>IF(B83&gt;0,(Parametros!$H$11-'Calculo Intereses COOPS'!B83),0)</f>
        <v>0</v>
      </c>
      <c r="J83" s="168">
        <f>(F83-E83)*Parametros!$H$37/365*'Calculo Intereses COOPS'!I83</f>
        <v>0</v>
      </c>
      <c r="K83" s="169">
        <f t="shared" si="9"/>
        <v>4280.1801719178075</v>
      </c>
    </row>
    <row r="84" spans="2:11" x14ac:dyDescent="0.25">
      <c r="B84" s="160"/>
      <c r="C84" s="161"/>
      <c r="D84" s="163"/>
      <c r="E84" s="159"/>
      <c r="F84" s="159"/>
      <c r="G84" s="165">
        <f t="shared" si="8"/>
        <v>92168.079999999987</v>
      </c>
      <c r="H84" s="20"/>
      <c r="I84" s="167">
        <f>IF(B84&gt;0,(Parametros!$H$11-'Calculo Intereses COOPS'!B84),0)</f>
        <v>0</v>
      </c>
      <c r="J84" s="168">
        <f>(F84-E84)*Parametros!$H$37/365*'Calculo Intereses COOPS'!I84</f>
        <v>0</v>
      </c>
      <c r="K84" s="169">
        <f t="shared" si="9"/>
        <v>4280.1801719178075</v>
      </c>
    </row>
    <row r="85" spans="2:11" x14ac:dyDescent="0.25">
      <c r="B85" s="160"/>
      <c r="C85" s="161"/>
      <c r="D85" s="163"/>
      <c r="E85" s="159"/>
      <c r="F85" s="159"/>
      <c r="G85" s="165">
        <f t="shared" si="8"/>
        <v>92168.079999999987</v>
      </c>
      <c r="H85" s="20"/>
      <c r="I85" s="167">
        <f>IF(B85&gt;0,(Parametros!$H$11-'Calculo Intereses COOPS'!B85),0)</f>
        <v>0</v>
      </c>
      <c r="J85" s="168">
        <f>(F85-E85)*Parametros!$H$37/365*'Calculo Intereses COOPS'!I85</f>
        <v>0</v>
      </c>
      <c r="K85" s="169">
        <f t="shared" si="9"/>
        <v>4280.1801719178075</v>
      </c>
    </row>
    <row r="86" spans="2:11" x14ac:dyDescent="0.25">
      <c r="B86" s="160"/>
      <c r="C86" s="161"/>
      <c r="D86" s="163"/>
      <c r="E86" s="159"/>
      <c r="F86" s="159"/>
      <c r="G86" s="165">
        <f t="shared" si="8"/>
        <v>92168.079999999987</v>
      </c>
      <c r="H86" s="20"/>
      <c r="I86" s="167">
        <f>IF(B86&gt;0,(Parametros!$H$11-'Calculo Intereses COOPS'!B86),0)</f>
        <v>0</v>
      </c>
      <c r="J86" s="168">
        <f>(F86-E86)*Parametros!$H$37/365*'Calculo Intereses COOPS'!I86</f>
        <v>0</v>
      </c>
      <c r="K86" s="169">
        <f t="shared" si="9"/>
        <v>4280.1801719178075</v>
      </c>
    </row>
    <row r="87" spans="2:11" x14ac:dyDescent="0.25">
      <c r="B87" s="160"/>
      <c r="C87" s="161"/>
      <c r="D87" s="163"/>
      <c r="E87" s="159"/>
      <c r="F87" s="159"/>
      <c r="G87" s="165">
        <f t="shared" si="8"/>
        <v>92168.079999999987</v>
      </c>
      <c r="H87" s="20"/>
      <c r="I87" s="167">
        <f>IF(B87&gt;0,(Parametros!$H$11-'Calculo Intereses COOPS'!B87),0)</f>
        <v>0</v>
      </c>
      <c r="J87" s="168">
        <f>(F87-E87)*Parametros!$H$37/365*'Calculo Intereses COOPS'!I87</f>
        <v>0</v>
      </c>
      <c r="K87" s="169">
        <f t="shared" si="9"/>
        <v>4280.1801719178075</v>
      </c>
    </row>
    <row r="88" spans="2:11" x14ac:dyDescent="0.25">
      <c r="B88" s="20"/>
      <c r="C88" s="20"/>
      <c r="D88" s="52" t="s">
        <v>21</v>
      </c>
      <c r="E88" s="166">
        <f>SUM(E72:E87)</f>
        <v>0</v>
      </c>
      <c r="F88" s="166">
        <f>SUM(F72:F87)</f>
        <v>92168.079999999987</v>
      </c>
      <c r="G88" s="166">
        <f>+G87</f>
        <v>92168.079999999987</v>
      </c>
      <c r="J88" s="170">
        <f>SUM(J72:J87)</f>
        <v>4280.1801719178075</v>
      </c>
    </row>
    <row r="90" spans="2:11" x14ac:dyDescent="0.25">
      <c r="B90" s="172" t="str">
        <f>CONCATENATE("APORTACIONES Y CALCULO DE INTERESES CORRESPONDIENTES AL AÑO ",YEAR(Parametros!$H$11))</f>
        <v>APORTACIONES Y CALCULO DE INTERESES CORRESPONDIENTES AL AÑO 2015</v>
      </c>
      <c r="C90" s="53"/>
      <c r="D90" s="53"/>
      <c r="E90" s="54"/>
      <c r="F90" s="54"/>
      <c r="G90" s="54"/>
      <c r="H90" s="20"/>
      <c r="I90" s="55"/>
      <c r="J90" s="56"/>
      <c r="K90" s="20"/>
    </row>
    <row r="91" spans="2:11" x14ac:dyDescent="0.25">
      <c r="B91" s="69" t="s">
        <v>186</v>
      </c>
      <c r="C91" s="173" t="str">
        <f>+'Calculo Excedentes'!A11</f>
        <v>CA-5</v>
      </c>
      <c r="D91" s="171" t="s">
        <v>187</v>
      </c>
      <c r="E91" s="176" t="str">
        <f>+'Calculo Excedentes'!B11</f>
        <v>ACODJAR</v>
      </c>
      <c r="F91" s="174"/>
      <c r="G91" s="175"/>
      <c r="H91" s="20"/>
      <c r="I91" s="39" t="s">
        <v>73</v>
      </c>
      <c r="J91" s="39" t="s">
        <v>74</v>
      </c>
      <c r="K91" s="39" t="s">
        <v>75</v>
      </c>
    </row>
    <row r="92" spans="2:11" x14ac:dyDescent="0.25">
      <c r="B92" s="40" t="s">
        <v>76</v>
      </c>
      <c r="C92" s="40" t="s">
        <v>77</v>
      </c>
      <c r="D92" s="40" t="s">
        <v>78</v>
      </c>
      <c r="E92" s="40" t="s">
        <v>79</v>
      </c>
      <c r="F92" s="40" t="s">
        <v>80</v>
      </c>
      <c r="G92" s="40" t="s">
        <v>81</v>
      </c>
      <c r="H92" s="20"/>
      <c r="I92" s="42" t="s">
        <v>82</v>
      </c>
      <c r="J92" s="164" t="s">
        <v>185</v>
      </c>
      <c r="K92" s="42" t="s">
        <v>84</v>
      </c>
    </row>
    <row r="93" spans="2:11" x14ac:dyDescent="0.25">
      <c r="B93" s="158">
        <f>+Parametros!$H$11-365</f>
        <v>42004</v>
      </c>
      <c r="C93" s="161"/>
      <c r="D93" s="162"/>
      <c r="E93" s="159"/>
      <c r="F93" s="159">
        <f>+'[2]produccion cooperativas asociad'!$E$6</f>
        <v>119199.99</v>
      </c>
      <c r="G93" s="165">
        <f>+F93-E93</f>
        <v>119199.99</v>
      </c>
      <c r="H93" s="20"/>
      <c r="I93" s="167">
        <f>IF(B93&gt;0,(Parametros!$H$11-'Calculo Intereses COOPS'!B93),0)</f>
        <v>365</v>
      </c>
      <c r="J93" s="168">
        <f>(F93-E93)*Parametros!$H$37/365*'Calculo Intereses COOPS'!I93</f>
        <v>6555.9994500000003</v>
      </c>
      <c r="K93" s="169">
        <f>+J93</f>
        <v>6555.9994500000003</v>
      </c>
    </row>
    <row r="94" spans="2:11" x14ac:dyDescent="0.25">
      <c r="B94" s="160">
        <v>42049</v>
      </c>
      <c r="C94" s="221"/>
      <c r="D94" s="162" t="s">
        <v>236</v>
      </c>
      <c r="E94" s="159"/>
      <c r="F94" s="159">
        <v>8685.7199999999993</v>
      </c>
      <c r="G94" s="165">
        <f>+G93+F94-E94</f>
        <v>127885.71</v>
      </c>
      <c r="H94" s="20"/>
      <c r="I94" s="167">
        <f>IF(B94&gt;0,(Parametros!$H$11-'Calculo Intereses COOPS'!B94),0)</f>
        <v>320</v>
      </c>
      <c r="J94" s="168">
        <f>(F94-E94)*Parametros!$H$37/365*'Calculo Intereses COOPS'!I94</f>
        <v>418.81827945205481</v>
      </c>
      <c r="K94" s="169">
        <f>+J94+K93</f>
        <v>6974.8177294520547</v>
      </c>
    </row>
    <row r="95" spans="2:11" x14ac:dyDescent="0.25">
      <c r="B95" s="160">
        <v>42240</v>
      </c>
      <c r="C95" s="221"/>
      <c r="D95" s="162" t="s">
        <v>88</v>
      </c>
      <c r="E95" s="159"/>
      <c r="F95" s="159">
        <v>20000</v>
      </c>
      <c r="G95" s="165">
        <f t="shared" ref="G95:G108" si="10">+G94+F95-E95</f>
        <v>147885.71000000002</v>
      </c>
      <c r="H95" s="20"/>
      <c r="I95" s="167">
        <f>IF(B95&gt;0,(Parametros!$H$11-'Calculo Intereses COOPS'!B95),0)</f>
        <v>129</v>
      </c>
      <c r="J95" s="168">
        <f>(F95-E95)*Parametros!$H$37/365*'Calculo Intereses COOPS'!I95</f>
        <v>388.76712328767127</v>
      </c>
      <c r="K95" s="169">
        <f t="shared" ref="K95:K108" si="11">+J95+K94</f>
        <v>7363.5848527397256</v>
      </c>
    </row>
    <row r="96" spans="2:11" x14ac:dyDescent="0.25">
      <c r="B96" s="160"/>
      <c r="C96" s="221"/>
      <c r="D96" s="162"/>
      <c r="E96" s="159"/>
      <c r="F96" s="159"/>
      <c r="G96" s="165">
        <f t="shared" si="10"/>
        <v>147885.71000000002</v>
      </c>
      <c r="H96" s="20"/>
      <c r="I96" s="167">
        <f>IF(B96&gt;0,(Parametros!$H$11-'Calculo Intereses COOPS'!B96),0)</f>
        <v>0</v>
      </c>
      <c r="J96" s="168">
        <f>(F96-E96)*Parametros!$H$37/365*'Calculo Intereses COOPS'!I96</f>
        <v>0</v>
      </c>
      <c r="K96" s="169">
        <f t="shared" si="11"/>
        <v>7363.5848527397256</v>
      </c>
    </row>
    <row r="97" spans="2:11" x14ac:dyDescent="0.25">
      <c r="B97" s="160"/>
      <c r="C97" s="221"/>
      <c r="D97" s="162"/>
      <c r="E97" s="159"/>
      <c r="F97" s="159"/>
      <c r="G97" s="165">
        <f t="shared" si="10"/>
        <v>147885.71000000002</v>
      </c>
      <c r="H97" s="20"/>
      <c r="I97" s="167">
        <f>IF(B97&gt;0,(Parametros!$H$11-'Calculo Intereses COOPS'!B97),0)</f>
        <v>0</v>
      </c>
      <c r="J97" s="168">
        <f>(F97-E97)*Parametros!$H$37/365*'Calculo Intereses COOPS'!I97</f>
        <v>0</v>
      </c>
      <c r="K97" s="169">
        <f t="shared" si="11"/>
        <v>7363.5848527397256</v>
      </c>
    </row>
    <row r="98" spans="2:11" x14ac:dyDescent="0.25">
      <c r="B98" s="160"/>
      <c r="C98" s="161"/>
      <c r="D98" s="162"/>
      <c r="E98" s="159"/>
      <c r="F98" s="159"/>
      <c r="G98" s="165">
        <f t="shared" si="10"/>
        <v>147885.71000000002</v>
      </c>
      <c r="H98" s="20"/>
      <c r="I98" s="167">
        <f>IF(B98&gt;0,(Parametros!$H$11-'Calculo Intereses COOPS'!B98),0)</f>
        <v>0</v>
      </c>
      <c r="J98" s="168">
        <f>(F98-E98)*Parametros!$H$37/365*'Calculo Intereses COOPS'!I98</f>
        <v>0</v>
      </c>
      <c r="K98" s="169">
        <f t="shared" si="11"/>
        <v>7363.5848527397256</v>
      </c>
    </row>
    <row r="99" spans="2:11" x14ac:dyDescent="0.25">
      <c r="B99" s="160"/>
      <c r="C99" s="161"/>
      <c r="D99" s="162"/>
      <c r="E99" s="159"/>
      <c r="F99" s="159"/>
      <c r="G99" s="165">
        <f t="shared" si="10"/>
        <v>147885.71000000002</v>
      </c>
      <c r="H99" s="20"/>
      <c r="I99" s="167">
        <f>IF(B99&gt;0,(Parametros!$H$11-'Calculo Intereses COOPS'!B99),0)</f>
        <v>0</v>
      </c>
      <c r="J99" s="168">
        <f>(F99-E99)*Parametros!$H$37/365*'Calculo Intereses COOPS'!I99</f>
        <v>0</v>
      </c>
      <c r="K99" s="169">
        <f t="shared" si="11"/>
        <v>7363.5848527397256</v>
      </c>
    </row>
    <row r="100" spans="2:11" x14ac:dyDescent="0.25">
      <c r="B100" s="160"/>
      <c r="C100" s="161"/>
      <c r="D100" s="163"/>
      <c r="E100" s="159"/>
      <c r="F100" s="159"/>
      <c r="G100" s="165">
        <f t="shared" si="10"/>
        <v>147885.71000000002</v>
      </c>
      <c r="H100" s="20"/>
      <c r="I100" s="167">
        <f>IF(B100&gt;0,(Parametros!$H$11-'Calculo Intereses COOPS'!B100),0)</f>
        <v>0</v>
      </c>
      <c r="J100" s="168">
        <f>(F100-E100)*Parametros!$H$37/365*'Calculo Intereses COOPS'!I100</f>
        <v>0</v>
      </c>
      <c r="K100" s="169">
        <f t="shared" si="11"/>
        <v>7363.5848527397256</v>
      </c>
    </row>
    <row r="101" spans="2:11" x14ac:dyDescent="0.25">
      <c r="B101" s="160"/>
      <c r="C101" s="161"/>
      <c r="D101" s="163"/>
      <c r="E101" s="159"/>
      <c r="F101" s="159"/>
      <c r="G101" s="165">
        <f t="shared" si="10"/>
        <v>147885.71000000002</v>
      </c>
      <c r="H101" s="20"/>
      <c r="I101" s="167">
        <f>IF(B101&gt;0,(Parametros!$H$11-'Calculo Intereses COOPS'!B101),0)</f>
        <v>0</v>
      </c>
      <c r="J101" s="168">
        <f>(F101-E101)*Parametros!$H$37/365*'Calculo Intereses COOPS'!I101</f>
        <v>0</v>
      </c>
      <c r="K101" s="169">
        <f t="shared" si="11"/>
        <v>7363.5848527397256</v>
      </c>
    </row>
    <row r="102" spans="2:11" x14ac:dyDescent="0.25">
      <c r="B102" s="160"/>
      <c r="C102" s="161"/>
      <c r="D102" s="163"/>
      <c r="E102" s="159"/>
      <c r="F102" s="159"/>
      <c r="G102" s="165">
        <f t="shared" si="10"/>
        <v>147885.71000000002</v>
      </c>
      <c r="H102" s="20"/>
      <c r="I102" s="167">
        <f>IF(B102&gt;0,(Parametros!$H$11-'Calculo Intereses COOPS'!B102),0)</f>
        <v>0</v>
      </c>
      <c r="J102" s="168">
        <f>(F102-E102)*Parametros!$H$37/365*'Calculo Intereses COOPS'!I102</f>
        <v>0</v>
      </c>
      <c r="K102" s="169">
        <f t="shared" si="11"/>
        <v>7363.5848527397256</v>
      </c>
    </row>
    <row r="103" spans="2:11" x14ac:dyDescent="0.25">
      <c r="B103" s="160"/>
      <c r="C103" s="161"/>
      <c r="D103" s="163"/>
      <c r="E103" s="159"/>
      <c r="F103" s="159"/>
      <c r="G103" s="165">
        <f t="shared" si="10"/>
        <v>147885.71000000002</v>
      </c>
      <c r="H103" s="20"/>
      <c r="I103" s="167">
        <f>IF(B103&gt;0,(Parametros!$H$11-'Calculo Intereses COOPS'!B103),0)</f>
        <v>0</v>
      </c>
      <c r="J103" s="168">
        <f>(F103-E103)*Parametros!$H$37/365*'Calculo Intereses COOPS'!I103</f>
        <v>0</v>
      </c>
      <c r="K103" s="169">
        <f t="shared" si="11"/>
        <v>7363.5848527397256</v>
      </c>
    </row>
    <row r="104" spans="2:11" x14ac:dyDescent="0.25">
      <c r="B104" s="160"/>
      <c r="C104" s="161"/>
      <c r="D104" s="163"/>
      <c r="E104" s="159"/>
      <c r="F104" s="159"/>
      <c r="G104" s="165">
        <f t="shared" si="10"/>
        <v>147885.71000000002</v>
      </c>
      <c r="H104" s="20"/>
      <c r="I104" s="167">
        <f>IF(B104&gt;0,(Parametros!$H$11-'Calculo Intereses COOPS'!B104),0)</f>
        <v>0</v>
      </c>
      <c r="J104" s="168">
        <f>(F104-E104)*Parametros!$H$37/365*'Calculo Intereses COOPS'!I104</f>
        <v>0</v>
      </c>
      <c r="K104" s="169">
        <f t="shared" si="11"/>
        <v>7363.5848527397256</v>
      </c>
    </row>
    <row r="105" spans="2:11" x14ac:dyDescent="0.25">
      <c r="B105" s="160"/>
      <c r="C105" s="161"/>
      <c r="D105" s="163"/>
      <c r="E105" s="159"/>
      <c r="F105" s="159"/>
      <c r="G105" s="165">
        <f t="shared" si="10"/>
        <v>147885.71000000002</v>
      </c>
      <c r="H105" s="20"/>
      <c r="I105" s="167">
        <f>IF(B105&gt;0,(Parametros!$H$11-'Calculo Intereses COOPS'!B105),0)</f>
        <v>0</v>
      </c>
      <c r="J105" s="168">
        <f>(F105-E105)*Parametros!$H$37/365*'Calculo Intereses COOPS'!I105</f>
        <v>0</v>
      </c>
      <c r="K105" s="169">
        <f t="shared" si="11"/>
        <v>7363.5848527397256</v>
      </c>
    </row>
    <row r="106" spans="2:11" x14ac:dyDescent="0.25">
      <c r="B106" s="160"/>
      <c r="C106" s="161"/>
      <c r="D106" s="163"/>
      <c r="E106" s="159"/>
      <c r="F106" s="159"/>
      <c r="G106" s="165">
        <f t="shared" si="10"/>
        <v>147885.71000000002</v>
      </c>
      <c r="H106" s="20"/>
      <c r="I106" s="167">
        <f>IF(B106&gt;0,(Parametros!$H$11-'Calculo Intereses COOPS'!B106),0)</f>
        <v>0</v>
      </c>
      <c r="J106" s="168">
        <f>(F106-E106)*Parametros!$H$37/365*'Calculo Intereses COOPS'!I106</f>
        <v>0</v>
      </c>
      <c r="K106" s="169">
        <f t="shared" si="11"/>
        <v>7363.5848527397256</v>
      </c>
    </row>
    <row r="107" spans="2:11" x14ac:dyDescent="0.25">
      <c r="B107" s="160"/>
      <c r="C107" s="161"/>
      <c r="D107" s="163"/>
      <c r="E107" s="159"/>
      <c r="F107" s="159"/>
      <c r="G107" s="165">
        <f t="shared" si="10"/>
        <v>147885.71000000002</v>
      </c>
      <c r="H107" s="20"/>
      <c r="I107" s="167">
        <f>IF(B107&gt;0,(Parametros!$H$11-'Calculo Intereses COOPS'!B107),0)</f>
        <v>0</v>
      </c>
      <c r="J107" s="168">
        <f>(F107-E107)*Parametros!$H$37/365*'Calculo Intereses COOPS'!I107</f>
        <v>0</v>
      </c>
      <c r="K107" s="169">
        <f t="shared" si="11"/>
        <v>7363.5848527397256</v>
      </c>
    </row>
    <row r="108" spans="2:11" x14ac:dyDescent="0.25">
      <c r="B108" s="160"/>
      <c r="C108" s="161"/>
      <c r="D108" s="163"/>
      <c r="E108" s="159"/>
      <c r="F108" s="159"/>
      <c r="G108" s="165">
        <f t="shared" si="10"/>
        <v>147885.71000000002</v>
      </c>
      <c r="H108" s="20"/>
      <c r="I108" s="167">
        <f>IF(B108&gt;0,(Parametros!$H$11-'Calculo Intereses COOPS'!B108),0)</f>
        <v>0</v>
      </c>
      <c r="J108" s="168">
        <f>(F108-E108)*Parametros!$H$37/365*'Calculo Intereses COOPS'!I108</f>
        <v>0</v>
      </c>
      <c r="K108" s="169">
        <f t="shared" si="11"/>
        <v>7363.5848527397256</v>
      </c>
    </row>
    <row r="109" spans="2:11" x14ac:dyDescent="0.25">
      <c r="B109" s="20"/>
      <c r="C109" s="20"/>
      <c r="D109" s="52" t="s">
        <v>21</v>
      </c>
      <c r="E109" s="166">
        <f>SUM(E93:E108)</f>
        <v>0</v>
      </c>
      <c r="F109" s="166">
        <f>SUM(F93:F108)</f>
        <v>147885.71000000002</v>
      </c>
      <c r="G109" s="166">
        <f>+G108</f>
        <v>147885.71000000002</v>
      </c>
      <c r="J109" s="170">
        <f>SUM(J93:J108)</f>
        <v>7363.5848527397256</v>
      </c>
    </row>
    <row r="111" spans="2:11" x14ac:dyDescent="0.25">
      <c r="B111" s="172" t="str">
        <f>CONCATENATE("APORTACIONES Y CALCULO DE INTERESES CORRESPONDIENTES AL AÑO ",YEAR(Parametros!$H$11))</f>
        <v>APORTACIONES Y CALCULO DE INTERESES CORRESPONDIENTES AL AÑO 2015</v>
      </c>
      <c r="C111" s="53"/>
      <c r="D111" s="53"/>
      <c r="E111" s="54"/>
      <c r="F111" s="54"/>
      <c r="G111" s="54"/>
      <c r="H111" s="20"/>
      <c r="I111" s="55"/>
      <c r="J111" s="56"/>
      <c r="K111" s="20"/>
    </row>
    <row r="112" spans="2:11" x14ac:dyDescent="0.25">
      <c r="B112" s="69" t="s">
        <v>186</v>
      </c>
      <c r="C112" s="173" t="str">
        <f>+'Calculo Excedentes'!A12</f>
        <v>CA-6</v>
      </c>
      <c r="D112" s="171" t="s">
        <v>187</v>
      </c>
      <c r="E112" s="176" t="str">
        <f>+'Calculo Excedentes'!B12</f>
        <v>FEDECACES</v>
      </c>
      <c r="F112" s="174"/>
      <c r="G112" s="175"/>
      <c r="H112" s="20"/>
      <c r="I112" s="39" t="s">
        <v>73</v>
      </c>
      <c r="J112" s="39" t="s">
        <v>74</v>
      </c>
      <c r="K112" s="39" t="s">
        <v>75</v>
      </c>
    </row>
    <row r="113" spans="2:11" x14ac:dyDescent="0.25">
      <c r="B113" s="40" t="s">
        <v>76</v>
      </c>
      <c r="C113" s="40" t="s">
        <v>77</v>
      </c>
      <c r="D113" s="40" t="s">
        <v>78</v>
      </c>
      <c r="E113" s="40" t="s">
        <v>79</v>
      </c>
      <c r="F113" s="40" t="s">
        <v>80</v>
      </c>
      <c r="G113" s="40" t="s">
        <v>81</v>
      </c>
      <c r="H113" s="20"/>
      <c r="I113" s="42" t="s">
        <v>82</v>
      </c>
      <c r="J113" s="164" t="s">
        <v>185</v>
      </c>
      <c r="K113" s="42" t="s">
        <v>84</v>
      </c>
    </row>
    <row r="114" spans="2:11" x14ac:dyDescent="0.25">
      <c r="B114" s="158">
        <f>+Parametros!$H$11-365</f>
        <v>42004</v>
      </c>
      <c r="C114" s="161"/>
      <c r="D114" s="162" t="s">
        <v>88</v>
      </c>
      <c r="E114" s="159"/>
      <c r="F114" s="159">
        <f>+'[2]produccion cooperativas asociad'!$E$7</f>
        <v>1529028.58</v>
      </c>
      <c r="G114" s="165">
        <f>+F114-E114</f>
        <v>1529028.58</v>
      </c>
      <c r="H114" s="20"/>
      <c r="I114" s="167">
        <f>IF(B114&gt;0,(Parametros!$H$11-'Calculo Intereses COOPS'!B114),0)</f>
        <v>365</v>
      </c>
      <c r="J114" s="168">
        <f>(F114-E114)*Parametros!$H$37/365*'Calculo Intereses COOPS'!I114</f>
        <v>84096.57190000001</v>
      </c>
      <c r="K114" s="169">
        <f>+J114</f>
        <v>84096.57190000001</v>
      </c>
    </row>
    <row r="115" spans="2:11" x14ac:dyDescent="0.25">
      <c r="B115" s="160">
        <v>42049</v>
      </c>
      <c r="C115" s="221"/>
      <c r="D115" s="162" t="s">
        <v>236</v>
      </c>
      <c r="E115" s="159"/>
      <c r="F115" s="159">
        <v>103314.29</v>
      </c>
      <c r="G115" s="165">
        <f>+G114+F115-E115</f>
        <v>1632342.87</v>
      </c>
      <c r="H115" s="20"/>
      <c r="I115" s="167">
        <f>IF(B115&gt;0,(Parametros!$H$11-'Calculo Intereses COOPS'!B115),0)</f>
        <v>320</v>
      </c>
      <c r="J115" s="168">
        <f>(F115-E115)*Parametros!$H$37/365*'Calculo Intereses COOPS'!I115</f>
        <v>4981.7301479452053</v>
      </c>
      <c r="K115" s="169">
        <f>+J115+K114</f>
        <v>89078.30204794521</v>
      </c>
    </row>
    <row r="116" spans="2:11" x14ac:dyDescent="0.25">
      <c r="B116" s="160"/>
      <c r="C116" s="221"/>
      <c r="D116" s="162"/>
      <c r="E116" s="159"/>
      <c r="F116" s="159"/>
      <c r="G116" s="165">
        <f t="shared" ref="G116:G129" si="12">+G115+F116-E116</f>
        <v>1632342.87</v>
      </c>
      <c r="H116" s="20"/>
      <c r="I116" s="167">
        <f>IF(B116&gt;0,(Parametros!$H$11-'Calculo Intereses COOPS'!B116),0)</f>
        <v>0</v>
      </c>
      <c r="J116" s="168">
        <f>(F116-E116)*Parametros!$H$37/365*'Calculo Intereses COOPS'!I116</f>
        <v>0</v>
      </c>
      <c r="K116" s="169">
        <f t="shared" ref="K116:K129" si="13">+J116+K115</f>
        <v>89078.30204794521</v>
      </c>
    </row>
    <row r="117" spans="2:11" x14ac:dyDescent="0.25">
      <c r="B117" s="160"/>
      <c r="C117" s="221"/>
      <c r="D117" s="162"/>
      <c r="E117" s="159"/>
      <c r="F117" s="159"/>
      <c r="G117" s="165">
        <f t="shared" si="12"/>
        <v>1632342.87</v>
      </c>
      <c r="H117" s="20"/>
      <c r="I117" s="167">
        <f>IF(B117&gt;0,(Parametros!$H$11-'Calculo Intereses COOPS'!B117),0)</f>
        <v>0</v>
      </c>
      <c r="J117" s="168">
        <f>(F117-E117)*Parametros!$H$37/365*'Calculo Intereses COOPS'!I117</f>
        <v>0</v>
      </c>
      <c r="K117" s="169">
        <f t="shared" si="13"/>
        <v>89078.30204794521</v>
      </c>
    </row>
    <row r="118" spans="2:11" x14ac:dyDescent="0.25">
      <c r="B118" s="160"/>
      <c r="C118" s="221"/>
      <c r="D118" s="162"/>
      <c r="E118" s="159"/>
      <c r="F118" s="159"/>
      <c r="G118" s="165">
        <f t="shared" si="12"/>
        <v>1632342.87</v>
      </c>
      <c r="H118" s="20"/>
      <c r="I118" s="167">
        <f>IF(B118&gt;0,(Parametros!$H$11-'Calculo Intereses COOPS'!B118),0)</f>
        <v>0</v>
      </c>
      <c r="J118" s="168">
        <f>(F118-E118)*Parametros!$H$37/365*'Calculo Intereses COOPS'!I118</f>
        <v>0</v>
      </c>
      <c r="K118" s="169">
        <f t="shared" si="13"/>
        <v>89078.30204794521</v>
      </c>
    </row>
    <row r="119" spans="2:11" x14ac:dyDescent="0.25">
      <c r="B119" s="160"/>
      <c r="C119" s="221"/>
      <c r="D119" s="162"/>
      <c r="E119" s="159"/>
      <c r="F119" s="159"/>
      <c r="G119" s="165">
        <f t="shared" si="12"/>
        <v>1632342.87</v>
      </c>
      <c r="H119" s="20"/>
      <c r="I119" s="167">
        <f>IF(B119&gt;0,(Parametros!$H$11-'Calculo Intereses COOPS'!B119),0)</f>
        <v>0</v>
      </c>
      <c r="J119" s="168">
        <f>(F119-E119)*Parametros!$H$37/365*'Calculo Intereses COOPS'!I119</f>
        <v>0</v>
      </c>
      <c r="K119" s="169">
        <f t="shared" si="13"/>
        <v>89078.30204794521</v>
      </c>
    </row>
    <row r="120" spans="2:11" x14ac:dyDescent="0.25">
      <c r="B120" s="160"/>
      <c r="C120" s="161"/>
      <c r="D120" s="162"/>
      <c r="E120" s="159"/>
      <c r="F120" s="159"/>
      <c r="G120" s="165">
        <f t="shared" si="12"/>
        <v>1632342.87</v>
      </c>
      <c r="H120" s="20"/>
      <c r="I120" s="167">
        <f>IF(B120&gt;0,(Parametros!$H$11-'Calculo Intereses COOPS'!B120),0)</f>
        <v>0</v>
      </c>
      <c r="J120" s="168">
        <f>(F120-E120)*Parametros!$H$37/365*'Calculo Intereses COOPS'!I120</f>
        <v>0</v>
      </c>
      <c r="K120" s="169">
        <f t="shared" si="13"/>
        <v>89078.30204794521</v>
      </c>
    </row>
    <row r="121" spans="2:11" x14ac:dyDescent="0.25">
      <c r="B121" s="160"/>
      <c r="C121" s="161"/>
      <c r="D121" s="163"/>
      <c r="E121" s="159"/>
      <c r="F121" s="159"/>
      <c r="G121" s="165">
        <f t="shared" si="12"/>
        <v>1632342.87</v>
      </c>
      <c r="H121" s="20"/>
      <c r="I121" s="167">
        <f>IF(B121&gt;0,(Parametros!$H$11-'Calculo Intereses COOPS'!B121),0)</f>
        <v>0</v>
      </c>
      <c r="J121" s="168">
        <f>(F121-E121)*Parametros!$H$37/365*'Calculo Intereses COOPS'!I121</f>
        <v>0</v>
      </c>
      <c r="K121" s="169">
        <f t="shared" si="13"/>
        <v>89078.30204794521</v>
      </c>
    </row>
    <row r="122" spans="2:11" x14ac:dyDescent="0.25">
      <c r="B122" s="160"/>
      <c r="C122" s="161"/>
      <c r="D122" s="163"/>
      <c r="E122" s="159"/>
      <c r="F122" s="159"/>
      <c r="G122" s="165">
        <f t="shared" si="12"/>
        <v>1632342.87</v>
      </c>
      <c r="H122" s="20"/>
      <c r="I122" s="167">
        <f>IF(B122&gt;0,(Parametros!$H$11-'Calculo Intereses COOPS'!B122),0)</f>
        <v>0</v>
      </c>
      <c r="J122" s="168">
        <f>(F122-E122)*Parametros!$H$37/365*'Calculo Intereses COOPS'!I122</f>
        <v>0</v>
      </c>
      <c r="K122" s="169">
        <f t="shared" si="13"/>
        <v>89078.30204794521</v>
      </c>
    </row>
    <row r="123" spans="2:11" x14ac:dyDescent="0.25">
      <c r="B123" s="160"/>
      <c r="C123" s="161"/>
      <c r="D123" s="163"/>
      <c r="E123" s="159"/>
      <c r="F123" s="159"/>
      <c r="G123" s="165">
        <f t="shared" si="12"/>
        <v>1632342.87</v>
      </c>
      <c r="H123" s="20"/>
      <c r="I123" s="167">
        <f>IF(B123&gt;0,(Parametros!$H$11-'Calculo Intereses COOPS'!B123),0)</f>
        <v>0</v>
      </c>
      <c r="J123" s="168">
        <f>(F123-E123)*Parametros!$H$37/365*'Calculo Intereses COOPS'!I123</f>
        <v>0</v>
      </c>
      <c r="K123" s="169">
        <f t="shared" si="13"/>
        <v>89078.30204794521</v>
      </c>
    </row>
    <row r="124" spans="2:11" x14ac:dyDescent="0.25">
      <c r="B124" s="160"/>
      <c r="C124" s="161"/>
      <c r="D124" s="163"/>
      <c r="E124" s="159"/>
      <c r="F124" s="159"/>
      <c r="G124" s="165">
        <f t="shared" si="12"/>
        <v>1632342.87</v>
      </c>
      <c r="H124" s="20"/>
      <c r="I124" s="167">
        <f>IF(B124&gt;0,(Parametros!$H$11-'Calculo Intereses COOPS'!B124),0)</f>
        <v>0</v>
      </c>
      <c r="J124" s="168">
        <f>(F124-E124)*Parametros!$H$37/365*'Calculo Intereses COOPS'!I124</f>
        <v>0</v>
      </c>
      <c r="K124" s="169">
        <f t="shared" si="13"/>
        <v>89078.30204794521</v>
      </c>
    </row>
    <row r="125" spans="2:11" x14ac:dyDescent="0.25">
      <c r="B125" s="160"/>
      <c r="C125" s="161"/>
      <c r="D125" s="163"/>
      <c r="E125" s="159"/>
      <c r="F125" s="159"/>
      <c r="G125" s="165">
        <f t="shared" si="12"/>
        <v>1632342.87</v>
      </c>
      <c r="H125" s="20"/>
      <c r="I125" s="167">
        <f>IF(B125&gt;0,(Parametros!$H$11-'Calculo Intereses COOPS'!B125),0)</f>
        <v>0</v>
      </c>
      <c r="J125" s="168">
        <f>(F125-E125)*Parametros!$H$37/365*'Calculo Intereses COOPS'!I125</f>
        <v>0</v>
      </c>
      <c r="K125" s="169">
        <f t="shared" si="13"/>
        <v>89078.30204794521</v>
      </c>
    </row>
    <row r="126" spans="2:11" x14ac:dyDescent="0.25">
      <c r="B126" s="160"/>
      <c r="C126" s="161"/>
      <c r="D126" s="163"/>
      <c r="E126" s="159"/>
      <c r="F126" s="159"/>
      <c r="G126" s="165">
        <f t="shared" si="12"/>
        <v>1632342.87</v>
      </c>
      <c r="H126" s="20"/>
      <c r="I126" s="167">
        <f>IF(B126&gt;0,(Parametros!$H$11-'Calculo Intereses COOPS'!B126),0)</f>
        <v>0</v>
      </c>
      <c r="J126" s="168">
        <f>(F126-E126)*Parametros!$H$37/365*'Calculo Intereses COOPS'!I126</f>
        <v>0</v>
      </c>
      <c r="K126" s="169">
        <f t="shared" si="13"/>
        <v>89078.30204794521</v>
      </c>
    </row>
    <row r="127" spans="2:11" x14ac:dyDescent="0.25">
      <c r="B127" s="160"/>
      <c r="C127" s="161"/>
      <c r="D127" s="163"/>
      <c r="E127" s="159"/>
      <c r="F127" s="159"/>
      <c r="G127" s="165">
        <f t="shared" si="12"/>
        <v>1632342.87</v>
      </c>
      <c r="H127" s="20"/>
      <c r="I127" s="167">
        <f>IF(B127&gt;0,(Parametros!$H$11-'Calculo Intereses COOPS'!B127),0)</f>
        <v>0</v>
      </c>
      <c r="J127" s="168">
        <f>(F127-E127)*Parametros!$H$37/365*'Calculo Intereses COOPS'!I127</f>
        <v>0</v>
      </c>
      <c r="K127" s="169">
        <f t="shared" si="13"/>
        <v>89078.30204794521</v>
      </c>
    </row>
    <row r="128" spans="2:11" x14ac:dyDescent="0.25">
      <c r="B128" s="160"/>
      <c r="C128" s="161"/>
      <c r="D128" s="163"/>
      <c r="E128" s="159"/>
      <c r="F128" s="159"/>
      <c r="G128" s="165">
        <f t="shared" si="12"/>
        <v>1632342.87</v>
      </c>
      <c r="H128" s="20"/>
      <c r="I128" s="167">
        <f>IF(B128&gt;0,(Parametros!$H$11-'Calculo Intereses COOPS'!B128),0)</f>
        <v>0</v>
      </c>
      <c r="J128" s="168">
        <f>(F128-E128)*Parametros!$H$37/365*'Calculo Intereses COOPS'!I128</f>
        <v>0</v>
      </c>
      <c r="K128" s="169">
        <f t="shared" si="13"/>
        <v>89078.30204794521</v>
      </c>
    </row>
    <row r="129" spans="2:11" x14ac:dyDescent="0.25">
      <c r="B129" s="160"/>
      <c r="C129" s="161"/>
      <c r="D129" s="163"/>
      <c r="E129" s="159"/>
      <c r="F129" s="159"/>
      <c r="G129" s="165">
        <f t="shared" si="12"/>
        <v>1632342.87</v>
      </c>
      <c r="H129" s="20"/>
      <c r="I129" s="167">
        <f>IF(B129&gt;0,(Parametros!$H$11-'Calculo Intereses COOPS'!B129),0)</f>
        <v>0</v>
      </c>
      <c r="J129" s="168">
        <f>(F129-E129)*Parametros!$H$37/365*'Calculo Intereses COOPS'!I129</f>
        <v>0</v>
      </c>
      <c r="K129" s="169">
        <f t="shared" si="13"/>
        <v>89078.30204794521</v>
      </c>
    </row>
    <row r="130" spans="2:11" x14ac:dyDescent="0.25">
      <c r="B130" s="20"/>
      <c r="C130" s="20"/>
      <c r="D130" s="52" t="s">
        <v>21</v>
      </c>
      <c r="E130" s="166">
        <f>SUM(E114:E129)</f>
        <v>0</v>
      </c>
      <c r="F130" s="166">
        <f>SUM(F114:F129)</f>
        <v>1632342.87</v>
      </c>
      <c r="G130" s="166">
        <f>+G129</f>
        <v>1632342.87</v>
      </c>
      <c r="J130" s="170">
        <f>SUM(J114:J129)</f>
        <v>89078.30204794521</v>
      </c>
    </row>
    <row r="132" spans="2:11" x14ac:dyDescent="0.25">
      <c r="B132" s="172" t="str">
        <f>CONCATENATE("APORTACIONES Y CALCULO DE INTERESES CORRESPONDIENTES AL AÑO ",YEAR(Parametros!$H$11))</f>
        <v>APORTACIONES Y CALCULO DE INTERESES CORRESPONDIENTES AL AÑO 2015</v>
      </c>
      <c r="C132" s="53"/>
      <c r="D132" s="53"/>
      <c r="E132" s="54"/>
      <c r="F132" s="54"/>
      <c r="G132" s="54"/>
      <c r="H132" s="20"/>
      <c r="I132" s="55"/>
      <c r="J132" s="56"/>
      <c r="K132" s="20"/>
    </row>
    <row r="133" spans="2:11" x14ac:dyDescent="0.25">
      <c r="B133" s="69" t="s">
        <v>186</v>
      </c>
      <c r="C133" s="173" t="str">
        <f>+'Calculo Excedentes'!A13</f>
        <v>CA-7</v>
      </c>
      <c r="D133" s="171" t="s">
        <v>187</v>
      </c>
      <c r="E133" s="176" t="str">
        <f>+'Calculo Excedentes'!B13</f>
        <v>ACACESPSA</v>
      </c>
      <c r="F133" s="174"/>
      <c r="G133" s="175"/>
      <c r="H133" s="20"/>
      <c r="I133" s="39" t="s">
        <v>73</v>
      </c>
      <c r="J133" s="39" t="s">
        <v>74</v>
      </c>
      <c r="K133" s="39" t="s">
        <v>75</v>
      </c>
    </row>
    <row r="134" spans="2:11" x14ac:dyDescent="0.25">
      <c r="B134" s="40" t="s">
        <v>76</v>
      </c>
      <c r="C134" s="40" t="s">
        <v>77</v>
      </c>
      <c r="D134" s="40" t="s">
        <v>78</v>
      </c>
      <c r="E134" s="40" t="s">
        <v>79</v>
      </c>
      <c r="F134" s="40" t="s">
        <v>80</v>
      </c>
      <c r="G134" s="40" t="s">
        <v>81</v>
      </c>
      <c r="H134" s="20"/>
      <c r="I134" s="42" t="s">
        <v>82</v>
      </c>
      <c r="J134" s="164" t="s">
        <v>185</v>
      </c>
      <c r="K134" s="42" t="s">
        <v>84</v>
      </c>
    </row>
    <row r="135" spans="2:11" x14ac:dyDescent="0.25">
      <c r="B135" s="158">
        <f>+Parametros!$H$11-365</f>
        <v>42004</v>
      </c>
      <c r="C135" s="161"/>
      <c r="D135" s="162"/>
      <c r="E135" s="159"/>
      <c r="F135" s="159">
        <f>+'[2]produccion cooperativas asociad'!$E$8</f>
        <v>57855.17</v>
      </c>
      <c r="G135" s="165">
        <f>+F135-E135</f>
        <v>57855.17</v>
      </c>
      <c r="H135" s="20"/>
      <c r="I135" s="167">
        <f>IF(B135&gt;0,(Parametros!$H$11-'Calculo Intereses COOPS'!B135),0)</f>
        <v>365</v>
      </c>
      <c r="J135" s="168">
        <f>(F135-E135)*Parametros!$H$37/365*'Calculo Intereses COOPS'!I135</f>
        <v>3182.0343499999999</v>
      </c>
      <c r="K135" s="169">
        <f>+J135</f>
        <v>3182.0343499999999</v>
      </c>
    </row>
    <row r="136" spans="2:11" x14ac:dyDescent="0.25">
      <c r="B136" s="160">
        <v>41973</v>
      </c>
      <c r="C136" s="161"/>
      <c r="D136" s="162" t="s">
        <v>88</v>
      </c>
      <c r="E136" s="159"/>
      <c r="F136" s="159">
        <v>139.29</v>
      </c>
      <c r="G136" s="165">
        <f>+G135+F136-E136</f>
        <v>57994.46</v>
      </c>
      <c r="H136" s="20"/>
      <c r="I136" s="167">
        <f>IF(B136&gt;0,(Parametros!$H$11-'Calculo Intereses COOPS'!B136),0)</f>
        <v>396</v>
      </c>
      <c r="J136" s="168">
        <f>(F136-E136)*Parametros!$H$37/365*'Calculo Intereses COOPS'!I136</f>
        <v>8.3116060273972607</v>
      </c>
      <c r="K136" s="169">
        <f>+J136+K135</f>
        <v>3190.3459560273973</v>
      </c>
    </row>
    <row r="137" spans="2:11" x14ac:dyDescent="0.25">
      <c r="B137" s="160">
        <v>42035</v>
      </c>
      <c r="C137" s="161"/>
      <c r="D137" s="162" t="s">
        <v>88</v>
      </c>
      <c r="E137" s="159"/>
      <c r="F137" s="159">
        <v>114.29</v>
      </c>
      <c r="G137" s="165">
        <f t="shared" ref="G137:G153" si="14">+G136+F137-E137</f>
        <v>58108.75</v>
      </c>
      <c r="H137" s="20"/>
      <c r="I137" s="167">
        <f>IF(B137&gt;0,(Parametros!$H$11-'Calculo Intereses COOPS'!B137),0)</f>
        <v>334</v>
      </c>
      <c r="J137" s="168">
        <f>(F137-E137)*Parametros!$H$37/365*'Calculo Intereses COOPS'!I137</f>
        <v>5.7520747945205484</v>
      </c>
      <c r="K137" s="169">
        <f t="shared" ref="K137:K153" si="15">+J137+K136</f>
        <v>3196.0980308219177</v>
      </c>
    </row>
    <row r="138" spans="2:11" x14ac:dyDescent="0.25">
      <c r="B138" s="160">
        <v>42063</v>
      </c>
      <c r="C138" s="161"/>
      <c r="D138" s="162" t="s">
        <v>88</v>
      </c>
      <c r="E138" s="159"/>
      <c r="F138" s="159">
        <v>114.29</v>
      </c>
      <c r="G138" s="165">
        <f t="shared" si="14"/>
        <v>58223.040000000001</v>
      </c>
      <c r="H138" s="20"/>
      <c r="I138" s="167">
        <f>IF(B138&gt;0,(Parametros!$H$11-'Calculo Intereses COOPS'!B138),0)</f>
        <v>306</v>
      </c>
      <c r="J138" s="168">
        <f>(F138-E138)*Parametros!$H$37/365*'Calculo Intereses COOPS'!I138</f>
        <v>5.2698649315068504</v>
      </c>
      <c r="K138" s="169">
        <f t="shared" si="15"/>
        <v>3201.3678957534248</v>
      </c>
    </row>
    <row r="139" spans="2:11" x14ac:dyDescent="0.25">
      <c r="B139" s="160">
        <v>42080</v>
      </c>
      <c r="C139" s="221"/>
      <c r="D139" s="162" t="s">
        <v>88</v>
      </c>
      <c r="E139" s="159"/>
      <c r="F139" s="159">
        <v>114.29</v>
      </c>
      <c r="G139" s="165">
        <f t="shared" si="14"/>
        <v>58337.33</v>
      </c>
      <c r="H139" s="20"/>
      <c r="I139" s="167">
        <f>IF(B139&gt;0,(Parametros!$H$11-'Calculo Intereses COOPS'!B139),0)</f>
        <v>289</v>
      </c>
      <c r="J139" s="168">
        <f>(F139-E139)*Parametros!$H$37/365*'Calculo Intereses COOPS'!I139</f>
        <v>4.9770946575342476</v>
      </c>
      <c r="K139" s="169">
        <f t="shared" si="15"/>
        <v>3206.3449904109589</v>
      </c>
    </row>
    <row r="140" spans="2:11" x14ac:dyDescent="0.25">
      <c r="B140" s="160">
        <v>42049</v>
      </c>
      <c r="C140" s="161"/>
      <c r="D140" s="162" t="s">
        <v>236</v>
      </c>
      <c r="E140" s="159"/>
      <c r="F140" s="159">
        <v>4571.4399999999996</v>
      </c>
      <c r="G140" s="165">
        <f t="shared" si="14"/>
        <v>62908.770000000004</v>
      </c>
      <c r="H140" s="20"/>
      <c r="I140" s="167">
        <f>IF(B140&gt;0,(Parametros!$H$11-'Calculo Intereses COOPS'!B140),0)</f>
        <v>320</v>
      </c>
      <c r="J140" s="168">
        <f>(F140-E140)*Parametros!$H$37/365*'Calculo Intereses COOPS'!I140</f>
        <v>220.43107945205477</v>
      </c>
      <c r="K140" s="169">
        <f t="shared" si="15"/>
        <v>3426.7760698630136</v>
      </c>
    </row>
    <row r="141" spans="2:11" x14ac:dyDescent="0.25">
      <c r="B141" s="160">
        <v>42124</v>
      </c>
      <c r="C141" s="221"/>
      <c r="D141" s="162" t="s">
        <v>88</v>
      </c>
      <c r="E141" s="159"/>
      <c r="F141" s="159">
        <v>114.29</v>
      </c>
      <c r="G141" s="165">
        <f t="shared" si="14"/>
        <v>63023.060000000005</v>
      </c>
      <c r="H141" s="20"/>
      <c r="I141" s="167">
        <f>IF(B141&gt;0,(Parametros!$H$11-'Calculo Intereses COOPS'!B141),0)</f>
        <v>245</v>
      </c>
      <c r="J141" s="168">
        <f>(F141-E141)*Parametros!$H$37/365*'Calculo Intereses COOPS'!I141</f>
        <v>4.2193363013698635</v>
      </c>
      <c r="K141" s="169">
        <f t="shared" si="15"/>
        <v>3430.9954061643834</v>
      </c>
    </row>
    <row r="142" spans="2:11" x14ac:dyDescent="0.25">
      <c r="B142" s="160">
        <v>42157</v>
      </c>
      <c r="C142" s="221"/>
      <c r="D142" s="162" t="s">
        <v>88</v>
      </c>
      <c r="E142" s="159"/>
      <c r="F142" s="159">
        <v>114.29</v>
      </c>
      <c r="G142" s="165">
        <f t="shared" si="14"/>
        <v>63137.350000000006</v>
      </c>
      <c r="H142" s="20"/>
      <c r="I142" s="167">
        <f>IF(B142&gt;0,(Parametros!$H$11-'Calculo Intereses COOPS'!B142),0)</f>
        <v>212</v>
      </c>
      <c r="J142" s="168">
        <f>(F142-E142)*Parametros!$H$37/365*'Calculo Intereses COOPS'!I142</f>
        <v>3.6510175342465758</v>
      </c>
      <c r="K142" s="169">
        <f t="shared" si="15"/>
        <v>3434.6464236986299</v>
      </c>
    </row>
    <row r="143" spans="2:11" x14ac:dyDescent="0.25">
      <c r="B143" s="160">
        <v>42185</v>
      </c>
      <c r="C143" s="161"/>
      <c r="D143" s="162" t="s">
        <v>88</v>
      </c>
      <c r="E143" s="159"/>
      <c r="F143" s="159">
        <v>114.29</v>
      </c>
      <c r="G143" s="165">
        <f t="shared" si="14"/>
        <v>63251.640000000007</v>
      </c>
      <c r="H143" s="20"/>
      <c r="I143" s="167">
        <f>IF(B143&gt;0,(Parametros!$H$11-'Calculo Intereses COOPS'!B143),0)</f>
        <v>184</v>
      </c>
      <c r="J143" s="168">
        <f>(F143-E143)*Parametros!$H$37/365*'Calculo Intereses COOPS'!I143</f>
        <v>3.168807671232877</v>
      </c>
      <c r="K143" s="169">
        <f t="shared" si="15"/>
        <v>3437.8152313698629</v>
      </c>
    </row>
    <row r="144" spans="2:11" x14ac:dyDescent="0.25">
      <c r="B144" s="160">
        <v>42215</v>
      </c>
      <c r="C144" s="161"/>
      <c r="D144" s="162" t="s">
        <v>88</v>
      </c>
      <c r="E144" s="159"/>
      <c r="F144" s="159">
        <v>114.29</v>
      </c>
      <c r="G144" s="165">
        <f t="shared" si="14"/>
        <v>63365.930000000008</v>
      </c>
      <c r="H144" s="20"/>
      <c r="I144" s="167">
        <f>IF(B144&gt;0,(Parametros!$H$11-'Calculo Intereses COOPS'!B144),0)</f>
        <v>154</v>
      </c>
      <c r="J144" s="168">
        <f>(F144-E144)*Parametros!$H$37/365*'Calculo Intereses COOPS'!I144</f>
        <v>2.6521542465753427</v>
      </c>
      <c r="K144" s="169">
        <f t="shared" si="15"/>
        <v>3440.4673856164382</v>
      </c>
    </row>
    <row r="145" spans="2:11" x14ac:dyDescent="0.25">
      <c r="B145" s="160">
        <v>42247</v>
      </c>
      <c r="C145" s="161"/>
      <c r="D145" s="162" t="s">
        <v>88</v>
      </c>
      <c r="E145" s="159"/>
      <c r="F145" s="159">
        <v>10000</v>
      </c>
      <c r="G145" s="165">
        <f t="shared" si="14"/>
        <v>73365.930000000008</v>
      </c>
      <c r="H145" s="20"/>
      <c r="I145" s="167">
        <f>IF(B145&gt;0,(Parametros!$H$11-'Calculo Intereses COOPS'!B145),0)</f>
        <v>122</v>
      </c>
      <c r="J145" s="168">
        <f>(F145-E145)*Parametros!$H$37/365*'Calculo Intereses COOPS'!I145</f>
        <v>183.83561643835617</v>
      </c>
      <c r="K145" s="169">
        <f t="shared" si="15"/>
        <v>3624.3030020547944</v>
      </c>
    </row>
    <row r="146" spans="2:11" x14ac:dyDescent="0.25">
      <c r="B146" s="160">
        <v>42245</v>
      </c>
      <c r="C146" s="161"/>
      <c r="D146" s="162" t="s">
        <v>88</v>
      </c>
      <c r="E146" s="159"/>
      <c r="F146" s="159">
        <v>114.29</v>
      </c>
      <c r="G146" s="165">
        <f t="shared" si="14"/>
        <v>73480.22</v>
      </c>
      <c r="H146" s="20"/>
      <c r="I146" s="167">
        <f>IF(B146&gt;0,(Parametros!$H$11-'Calculo Intereses COOPS'!B146),0)</f>
        <v>124</v>
      </c>
      <c r="J146" s="168">
        <f>(F146-E146)*Parametros!$H$37/365*'Calculo Intereses COOPS'!I146</f>
        <v>2.1355008219178084</v>
      </c>
      <c r="K146" s="169">
        <f t="shared" si="15"/>
        <v>3626.4385028767124</v>
      </c>
    </row>
    <row r="147" spans="2:11" x14ac:dyDescent="0.25">
      <c r="B147" s="160">
        <v>42276</v>
      </c>
      <c r="C147" s="161"/>
      <c r="D147" s="162" t="s">
        <v>88</v>
      </c>
      <c r="E147" s="159"/>
      <c r="F147" s="159">
        <v>114.29</v>
      </c>
      <c r="G147" s="165">
        <f t="shared" si="14"/>
        <v>73594.509999999995</v>
      </c>
      <c r="H147" s="20"/>
      <c r="I147" s="167">
        <f>IF(B147&gt;0,(Parametros!$H$11-'Calculo Intereses COOPS'!B147),0)</f>
        <v>93</v>
      </c>
      <c r="J147" s="168">
        <f>(F147-E147)*Parametros!$H$37/365*'Calculo Intereses COOPS'!I147</f>
        <v>1.6016256164383564</v>
      </c>
      <c r="K147" s="169">
        <f t="shared" si="15"/>
        <v>3628.0401284931509</v>
      </c>
    </row>
    <row r="148" spans="2:11" x14ac:dyDescent="0.25">
      <c r="B148" s="160">
        <v>42307</v>
      </c>
      <c r="C148" s="161"/>
      <c r="D148" s="162" t="s">
        <v>88</v>
      </c>
      <c r="E148" s="159"/>
      <c r="F148" s="159">
        <v>114.29</v>
      </c>
      <c r="G148" s="165">
        <f t="shared" si="14"/>
        <v>73708.799999999988</v>
      </c>
      <c r="H148" s="20"/>
      <c r="I148" s="167">
        <f>IF(B148&gt;0,(Parametros!$H$11-'Calculo Intereses COOPS'!B148),0)</f>
        <v>62</v>
      </c>
      <c r="J148" s="168">
        <f>(F148-E148)*Parametros!$H$37/365*'Calculo Intereses COOPS'!I148</f>
        <v>1.0677504109589042</v>
      </c>
      <c r="K148" s="169">
        <f t="shared" si="15"/>
        <v>3629.1078789041098</v>
      </c>
    </row>
    <row r="149" spans="2:11" x14ac:dyDescent="0.25">
      <c r="B149" s="160">
        <v>42338</v>
      </c>
      <c r="C149" s="161"/>
      <c r="D149" s="162" t="s">
        <v>88</v>
      </c>
      <c r="E149" s="159"/>
      <c r="F149" s="159">
        <v>114.29</v>
      </c>
      <c r="G149" s="165">
        <f t="shared" si="14"/>
        <v>73823.089999999982</v>
      </c>
      <c r="H149" s="20"/>
      <c r="I149" s="167">
        <f>IF(B149&gt;0,(Parametros!$H$11-'Calculo Intereses COOPS'!B149),0)</f>
        <v>31</v>
      </c>
      <c r="J149" s="168">
        <f>(F149-E149)*Parametros!$H$37/365*'Calculo Intereses COOPS'!I149</f>
        <v>0.53387520547945211</v>
      </c>
      <c r="K149" s="169">
        <f t="shared" si="15"/>
        <v>3629.6417541095893</v>
      </c>
    </row>
    <row r="150" spans="2:11" x14ac:dyDescent="0.25">
      <c r="B150" s="160">
        <v>42368</v>
      </c>
      <c r="C150" s="161"/>
      <c r="D150" s="162" t="s">
        <v>88</v>
      </c>
      <c r="E150" s="159"/>
      <c r="F150" s="159">
        <v>114.29</v>
      </c>
      <c r="G150" s="165">
        <f t="shared" si="14"/>
        <v>73937.379999999976</v>
      </c>
      <c r="H150" s="20"/>
      <c r="I150" s="167">
        <f>IF(B150&gt;0,(Parametros!$H$11-'Calculo Intereses COOPS'!B150),0)</f>
        <v>1</v>
      </c>
      <c r="J150" s="168">
        <f>(F150-E150)*Parametros!$H$37/365*'Calculo Intereses COOPS'!I150</f>
        <v>1.7221780821917811E-2</v>
      </c>
      <c r="K150" s="169">
        <f t="shared" si="15"/>
        <v>3629.6589758904111</v>
      </c>
    </row>
    <row r="151" spans="2:11" x14ac:dyDescent="0.25">
      <c r="B151" s="160"/>
      <c r="C151" s="161"/>
      <c r="D151" s="162"/>
      <c r="E151" s="159"/>
      <c r="F151" s="159"/>
      <c r="G151" s="165">
        <f t="shared" si="14"/>
        <v>73937.379999999976</v>
      </c>
      <c r="H151" s="20"/>
      <c r="I151" s="167">
        <f>IF(B151&gt;0,(Parametros!$H$11-'Calculo Intereses COOPS'!B151),0)</f>
        <v>0</v>
      </c>
      <c r="J151" s="168">
        <f>(F151-E151)*Parametros!$H$37/365*'Calculo Intereses COOPS'!I151</f>
        <v>0</v>
      </c>
      <c r="K151" s="169">
        <f t="shared" si="15"/>
        <v>3629.6589758904111</v>
      </c>
    </row>
    <row r="152" spans="2:11" x14ac:dyDescent="0.25">
      <c r="B152" s="160"/>
      <c r="C152" s="161"/>
      <c r="D152" s="162"/>
      <c r="E152" s="159"/>
      <c r="F152" s="159"/>
      <c r="G152" s="165">
        <f t="shared" si="14"/>
        <v>73937.379999999976</v>
      </c>
      <c r="H152" s="20"/>
      <c r="I152" s="167">
        <f>IF(B152&gt;0,(Parametros!$H$11-'Calculo Intereses COOPS'!B152),0)</f>
        <v>0</v>
      </c>
      <c r="J152" s="168">
        <f>(F152-E152)*Parametros!$H$37/365*'Calculo Intereses COOPS'!I152</f>
        <v>0</v>
      </c>
      <c r="K152" s="169">
        <f t="shared" si="15"/>
        <v>3629.6589758904111</v>
      </c>
    </row>
    <row r="153" spans="2:11" x14ac:dyDescent="0.25">
      <c r="B153" s="160"/>
      <c r="C153" s="161"/>
      <c r="D153" s="163"/>
      <c r="E153" s="159"/>
      <c r="F153" s="159"/>
      <c r="G153" s="165">
        <f t="shared" si="14"/>
        <v>73937.379999999976</v>
      </c>
      <c r="H153" s="20"/>
      <c r="I153" s="167">
        <f>IF(B153&gt;0,(Parametros!$H$11-'Calculo Intereses COOPS'!B153),0)</f>
        <v>0</v>
      </c>
      <c r="J153" s="168">
        <f>(F153-E153)*Parametros!$H$37/365*'Calculo Intereses COOPS'!I153</f>
        <v>0</v>
      </c>
      <c r="K153" s="169">
        <f t="shared" si="15"/>
        <v>3629.6589758904111</v>
      </c>
    </row>
    <row r="154" spans="2:11" x14ac:dyDescent="0.25">
      <c r="B154" s="20"/>
      <c r="C154" s="20"/>
      <c r="D154" s="52" t="s">
        <v>21</v>
      </c>
      <c r="E154" s="166">
        <f>SUM(E135:E153)</f>
        <v>0</v>
      </c>
      <c r="F154" s="166">
        <f>SUM(F135:F153)</f>
        <v>73937.379999999976</v>
      </c>
      <c r="G154" s="166">
        <f>+G153</f>
        <v>73937.379999999976</v>
      </c>
      <c r="J154" s="170">
        <f>SUM(J135:J153)</f>
        <v>3629.6589758904111</v>
      </c>
    </row>
    <row r="157" spans="2:11" x14ac:dyDescent="0.25">
      <c r="B157" s="172" t="str">
        <f>CONCATENATE("APORTACIONES Y CALCULO DE INTERESES CORRESPONDIENTES AL AÑO ",YEAR(Parametros!$H$11))</f>
        <v>APORTACIONES Y CALCULO DE INTERESES CORRESPONDIENTES AL AÑO 2015</v>
      </c>
      <c r="C157" s="53"/>
      <c r="D157" s="53"/>
      <c r="E157" s="54"/>
      <c r="F157" s="54"/>
      <c r="G157" s="54"/>
      <c r="H157" s="20"/>
      <c r="I157" s="55"/>
      <c r="J157" s="56"/>
      <c r="K157" s="20"/>
    </row>
    <row r="158" spans="2:11" x14ac:dyDescent="0.25">
      <c r="B158" s="69" t="s">
        <v>186</v>
      </c>
      <c r="C158" s="173" t="str">
        <f>+'Calculo Excedentes'!A14</f>
        <v>CA-8</v>
      </c>
      <c r="D158" s="171" t="s">
        <v>187</v>
      </c>
      <c r="E158" s="176" t="str">
        <f>+'Calculo Excedentes'!B14</f>
        <v>ACAYCCOMAC</v>
      </c>
      <c r="F158" s="174"/>
      <c r="G158" s="175"/>
      <c r="H158" s="20"/>
      <c r="I158" s="39" t="s">
        <v>73</v>
      </c>
      <c r="J158" s="39" t="s">
        <v>74</v>
      </c>
      <c r="K158" s="39" t="s">
        <v>75</v>
      </c>
    </row>
    <row r="159" spans="2:11" x14ac:dyDescent="0.25">
      <c r="B159" s="40" t="s">
        <v>76</v>
      </c>
      <c r="C159" s="40" t="s">
        <v>77</v>
      </c>
      <c r="D159" s="40" t="s">
        <v>78</v>
      </c>
      <c r="E159" s="40" t="s">
        <v>79</v>
      </c>
      <c r="F159" s="40" t="s">
        <v>80</v>
      </c>
      <c r="G159" s="40" t="s">
        <v>81</v>
      </c>
      <c r="H159" s="20"/>
      <c r="I159" s="42" t="s">
        <v>82</v>
      </c>
      <c r="J159" s="164" t="s">
        <v>185</v>
      </c>
      <c r="K159" s="42" t="s">
        <v>84</v>
      </c>
    </row>
    <row r="160" spans="2:11" x14ac:dyDescent="0.25">
      <c r="B160" s="158">
        <f>+Parametros!$H$11-365</f>
        <v>42004</v>
      </c>
      <c r="C160" s="161"/>
      <c r="D160" s="162"/>
      <c r="E160" s="159"/>
      <c r="F160" s="159">
        <f>+'[2]produccion cooperativas asociad'!$E$9</f>
        <v>60763.5</v>
      </c>
      <c r="G160" s="165">
        <f>+F160-E160</f>
        <v>60763.5</v>
      </c>
      <c r="H160" s="20"/>
      <c r="I160" s="167">
        <f>IF(B160&gt;0,(Parametros!$H$11-'Calculo Intereses COOPS'!B160),0)</f>
        <v>365</v>
      </c>
      <c r="J160" s="168">
        <f>(F160-E160)*Parametros!$H$37/365*'Calculo Intereses COOPS'!I160</f>
        <v>3341.9924999999998</v>
      </c>
      <c r="K160" s="169">
        <f>+J160</f>
        <v>3341.9924999999998</v>
      </c>
    </row>
    <row r="161" spans="2:11" x14ac:dyDescent="0.25">
      <c r="B161" s="160">
        <v>42035</v>
      </c>
      <c r="C161" s="221"/>
      <c r="D161" s="162" t="s">
        <v>88</v>
      </c>
      <c r="E161" s="159"/>
      <c r="F161" s="159">
        <v>1371.36</v>
      </c>
      <c r="G161" s="165">
        <f>+G160+F161-E161</f>
        <v>62134.86</v>
      </c>
      <c r="H161" s="20"/>
      <c r="I161" s="167">
        <f>IF(B161&gt;0,(Parametros!$H$11-'Calculo Intereses COOPS'!B161),0)</f>
        <v>334</v>
      </c>
      <c r="J161" s="168">
        <f>(F161-E161)*Parametros!$H$37/365*'Calculo Intereses COOPS'!I161</f>
        <v>69.01885808219177</v>
      </c>
      <c r="K161" s="169">
        <f>+J161+K160</f>
        <v>3411.0113580821917</v>
      </c>
    </row>
    <row r="162" spans="2:11" x14ac:dyDescent="0.25">
      <c r="B162" s="160">
        <v>42049</v>
      </c>
      <c r="C162" s="161"/>
      <c r="D162" s="162" t="s">
        <v>236</v>
      </c>
      <c r="E162" s="159"/>
      <c r="F162" s="159">
        <v>4342.8599999999997</v>
      </c>
      <c r="G162" s="165">
        <f t="shared" ref="G162:G175" si="16">+G161+F162-E162</f>
        <v>66477.72</v>
      </c>
      <c r="H162" s="20"/>
      <c r="I162" s="167">
        <f>IF(B162&gt;0,(Parametros!$H$11-'Calculo Intereses COOPS'!B162),0)</f>
        <v>320</v>
      </c>
      <c r="J162" s="168">
        <f>(F162-E162)*Parametros!$H$37/365*'Calculo Intereses COOPS'!I162</f>
        <v>209.40913972602741</v>
      </c>
      <c r="K162" s="169">
        <f t="shared" ref="K162:K175" si="17">+J162+K161</f>
        <v>3620.4204978082189</v>
      </c>
    </row>
    <row r="163" spans="2:11" x14ac:dyDescent="0.25">
      <c r="B163" s="160">
        <v>42209</v>
      </c>
      <c r="C163" s="221"/>
      <c r="D163" s="162" t="s">
        <v>88</v>
      </c>
      <c r="E163" s="159"/>
      <c r="F163" s="159">
        <v>1942.93</v>
      </c>
      <c r="G163" s="165">
        <f t="shared" si="16"/>
        <v>68420.649999999994</v>
      </c>
      <c r="H163" s="20"/>
      <c r="I163" s="167">
        <f>IF(B163&gt;0,(Parametros!$H$11-'Calculo Intereses COOPS'!B163),0)</f>
        <v>160</v>
      </c>
      <c r="J163" s="168">
        <f>(F163-E163)*Parametros!$H$37/365*'Calculo Intereses COOPS'!I163</f>
        <v>46.843243835616441</v>
      </c>
      <c r="K163" s="169">
        <f t="shared" si="17"/>
        <v>3667.2637416438351</v>
      </c>
    </row>
    <row r="164" spans="2:11" x14ac:dyDescent="0.25">
      <c r="B164" s="160">
        <v>42223</v>
      </c>
      <c r="C164" s="221"/>
      <c r="D164" s="162" t="s">
        <v>88</v>
      </c>
      <c r="E164" s="159"/>
      <c r="F164" s="159">
        <v>2000</v>
      </c>
      <c r="G164" s="165">
        <f t="shared" si="16"/>
        <v>70420.649999999994</v>
      </c>
      <c r="H164" s="20"/>
      <c r="I164" s="167">
        <f>IF(B164&gt;0,(Parametros!$H$11-'Calculo Intereses COOPS'!B164),0)</f>
        <v>146</v>
      </c>
      <c r="J164" s="168">
        <f>(F164-E164)*Parametros!$H$37/365*'Calculo Intereses COOPS'!I164</f>
        <v>44</v>
      </c>
      <c r="K164" s="169">
        <f t="shared" si="17"/>
        <v>3711.2637416438351</v>
      </c>
    </row>
    <row r="165" spans="2:11" x14ac:dyDescent="0.25">
      <c r="B165" s="160">
        <v>42265</v>
      </c>
      <c r="C165" s="161"/>
      <c r="D165" s="162" t="s">
        <v>88</v>
      </c>
      <c r="E165" s="159"/>
      <c r="F165" s="159">
        <v>2000</v>
      </c>
      <c r="G165" s="165">
        <f t="shared" si="16"/>
        <v>72420.649999999994</v>
      </c>
      <c r="H165" s="20"/>
      <c r="I165" s="167">
        <f>IF(B165&gt;0,(Parametros!$H$11-'Calculo Intereses COOPS'!B165),0)</f>
        <v>104</v>
      </c>
      <c r="J165" s="168">
        <f>(F165-E165)*Parametros!$H$37/365*'Calculo Intereses COOPS'!I165</f>
        <v>31.342465753424655</v>
      </c>
      <c r="K165" s="169">
        <f t="shared" si="17"/>
        <v>3742.6062073972598</v>
      </c>
    </row>
    <row r="166" spans="2:11" x14ac:dyDescent="0.25">
      <c r="B166" s="160">
        <v>42297</v>
      </c>
      <c r="C166" s="161"/>
      <c r="D166" s="162" t="s">
        <v>88</v>
      </c>
      <c r="E166" s="159"/>
      <c r="F166" s="159">
        <v>2000</v>
      </c>
      <c r="G166" s="165">
        <f t="shared" si="16"/>
        <v>74420.649999999994</v>
      </c>
      <c r="H166" s="20"/>
      <c r="I166" s="167">
        <f>IF(B166&gt;0,(Parametros!$H$11-'Calculo Intereses COOPS'!B166),0)</f>
        <v>72</v>
      </c>
      <c r="J166" s="168">
        <f>(F166-E166)*Parametros!$H$37/365*'Calculo Intereses COOPS'!I166</f>
        <v>21.698630136986299</v>
      </c>
      <c r="K166" s="169">
        <f t="shared" si="17"/>
        <v>3764.304837534246</v>
      </c>
    </row>
    <row r="167" spans="2:11" x14ac:dyDescent="0.25">
      <c r="B167" s="160">
        <v>42337</v>
      </c>
      <c r="C167" s="161"/>
      <c r="D167" s="162" t="s">
        <v>88</v>
      </c>
      <c r="E167" s="159"/>
      <c r="F167" s="159">
        <v>2300</v>
      </c>
      <c r="G167" s="165">
        <f t="shared" si="16"/>
        <v>76720.649999999994</v>
      </c>
      <c r="H167" s="20"/>
      <c r="I167" s="167">
        <f>IF(B167&gt;0,(Parametros!$H$11-'Calculo Intereses COOPS'!B167),0)</f>
        <v>32</v>
      </c>
      <c r="J167" s="168">
        <f>(F167-E167)*Parametros!$H$37/365*'Calculo Intereses COOPS'!I167</f>
        <v>11.09041095890411</v>
      </c>
      <c r="K167" s="169">
        <f t="shared" si="17"/>
        <v>3775.3952484931501</v>
      </c>
    </row>
    <row r="168" spans="2:11" x14ac:dyDescent="0.25">
      <c r="B168" s="160"/>
      <c r="C168" s="161"/>
      <c r="D168" s="162"/>
      <c r="E168" s="159"/>
      <c r="F168" s="159"/>
      <c r="G168" s="165">
        <f t="shared" si="16"/>
        <v>76720.649999999994</v>
      </c>
      <c r="H168" s="20"/>
      <c r="I168" s="167">
        <f>IF(B168&gt;0,(Parametros!$H$11-'Calculo Intereses COOPS'!B168),0)</f>
        <v>0</v>
      </c>
      <c r="J168" s="168">
        <f>(F168-E168)*Parametros!$H$37/365*'Calculo Intereses COOPS'!I168</f>
        <v>0</v>
      </c>
      <c r="K168" s="169">
        <f t="shared" si="17"/>
        <v>3775.3952484931501</v>
      </c>
    </row>
    <row r="169" spans="2:11" x14ac:dyDescent="0.25">
      <c r="B169" s="160"/>
      <c r="C169" s="161"/>
      <c r="D169" s="162"/>
      <c r="E169" s="159"/>
      <c r="F169" s="159"/>
      <c r="G169" s="165">
        <f t="shared" si="16"/>
        <v>76720.649999999994</v>
      </c>
      <c r="H169" s="20"/>
      <c r="I169" s="167">
        <f>IF(B169&gt;0,(Parametros!$H$11-'Calculo Intereses COOPS'!B169),0)</f>
        <v>0</v>
      </c>
      <c r="J169" s="168">
        <f>(F169-E169)*Parametros!$H$37/365*'Calculo Intereses COOPS'!I169</f>
        <v>0</v>
      </c>
      <c r="K169" s="169">
        <f t="shared" si="17"/>
        <v>3775.3952484931501</v>
      </c>
    </row>
    <row r="170" spans="2:11" x14ac:dyDescent="0.25">
      <c r="B170" s="160"/>
      <c r="C170" s="161"/>
      <c r="D170" s="162"/>
      <c r="E170" s="159"/>
      <c r="F170" s="159"/>
      <c r="G170" s="165">
        <f t="shared" si="16"/>
        <v>76720.649999999994</v>
      </c>
      <c r="H170" s="20"/>
      <c r="I170" s="167">
        <f>IF(B170&gt;0,(Parametros!$H$11-'Calculo Intereses COOPS'!B170),0)</f>
        <v>0</v>
      </c>
      <c r="J170" s="168">
        <f>(F170-E170)*Parametros!$H$37/365*'Calculo Intereses COOPS'!I170</f>
        <v>0</v>
      </c>
      <c r="K170" s="169">
        <f t="shared" si="17"/>
        <v>3775.3952484931501</v>
      </c>
    </row>
    <row r="171" spans="2:11" x14ac:dyDescent="0.25">
      <c r="B171" s="160"/>
      <c r="C171" s="161"/>
      <c r="D171" s="162"/>
      <c r="E171" s="159"/>
      <c r="F171" s="159"/>
      <c r="G171" s="165">
        <f t="shared" si="16"/>
        <v>76720.649999999994</v>
      </c>
      <c r="H171" s="20"/>
      <c r="I171" s="167">
        <f>IF(B171&gt;0,(Parametros!$H$11-'Calculo Intereses COOPS'!B171),0)</f>
        <v>0</v>
      </c>
      <c r="J171" s="168">
        <f>(F171-E171)*Parametros!$H$37/365*'Calculo Intereses COOPS'!I171</f>
        <v>0</v>
      </c>
      <c r="K171" s="169">
        <f t="shared" si="17"/>
        <v>3775.3952484931501</v>
      </c>
    </row>
    <row r="172" spans="2:11" x14ac:dyDescent="0.25">
      <c r="B172" s="160"/>
      <c r="C172" s="161"/>
      <c r="D172" s="163"/>
      <c r="E172" s="159"/>
      <c r="F172" s="159"/>
      <c r="G172" s="165">
        <f t="shared" si="16"/>
        <v>76720.649999999994</v>
      </c>
      <c r="H172" s="20"/>
      <c r="I172" s="167">
        <f>IF(B172&gt;0,(Parametros!$H$11-'Calculo Intereses COOPS'!B172),0)</f>
        <v>0</v>
      </c>
      <c r="J172" s="168">
        <f>(F172-E172)*Parametros!$H$37/365*'Calculo Intereses COOPS'!I172</f>
        <v>0</v>
      </c>
      <c r="K172" s="169">
        <f t="shared" si="17"/>
        <v>3775.3952484931501</v>
      </c>
    </row>
    <row r="173" spans="2:11" x14ac:dyDescent="0.25">
      <c r="B173" s="160"/>
      <c r="C173" s="161"/>
      <c r="D173" s="163"/>
      <c r="E173" s="159"/>
      <c r="F173" s="159"/>
      <c r="G173" s="165">
        <f t="shared" si="16"/>
        <v>76720.649999999994</v>
      </c>
      <c r="H173" s="20"/>
      <c r="I173" s="167">
        <f>IF(B173&gt;0,(Parametros!$H$11-'Calculo Intereses COOPS'!B173),0)</f>
        <v>0</v>
      </c>
      <c r="J173" s="168">
        <f>(F173-E173)*Parametros!$H$37/365*'Calculo Intereses COOPS'!I173</f>
        <v>0</v>
      </c>
      <c r="K173" s="169">
        <f t="shared" si="17"/>
        <v>3775.3952484931501</v>
      </c>
    </row>
    <row r="174" spans="2:11" x14ac:dyDescent="0.25">
      <c r="B174" s="160"/>
      <c r="C174" s="161"/>
      <c r="D174" s="163"/>
      <c r="E174" s="159"/>
      <c r="F174" s="159"/>
      <c r="G174" s="165">
        <f t="shared" si="16"/>
        <v>76720.649999999994</v>
      </c>
      <c r="H174" s="20"/>
      <c r="I174" s="167">
        <f>IF(B174&gt;0,(Parametros!$H$11-'Calculo Intereses COOPS'!B174),0)</f>
        <v>0</v>
      </c>
      <c r="J174" s="168">
        <f>(F174-E174)*Parametros!$H$37/365*'Calculo Intereses COOPS'!I174</f>
        <v>0</v>
      </c>
      <c r="K174" s="169">
        <f t="shared" si="17"/>
        <v>3775.3952484931501</v>
      </c>
    </row>
    <row r="175" spans="2:11" x14ac:dyDescent="0.25">
      <c r="B175" s="160"/>
      <c r="C175" s="161"/>
      <c r="D175" s="163"/>
      <c r="E175" s="159"/>
      <c r="F175" s="159"/>
      <c r="G175" s="165">
        <f t="shared" si="16"/>
        <v>76720.649999999994</v>
      </c>
      <c r="H175" s="20"/>
      <c r="I175" s="167">
        <f>IF(B175&gt;0,(Parametros!$H$11-'Calculo Intereses COOPS'!B175),0)</f>
        <v>0</v>
      </c>
      <c r="J175" s="168">
        <f>(F175-E175)*Parametros!$H$37/365*'Calculo Intereses COOPS'!I175</f>
        <v>0</v>
      </c>
      <c r="K175" s="169">
        <f t="shared" si="17"/>
        <v>3775.3952484931501</v>
      </c>
    </row>
    <row r="176" spans="2:11" x14ac:dyDescent="0.25">
      <c r="B176" s="20"/>
      <c r="C176" s="20"/>
      <c r="D176" s="52" t="s">
        <v>21</v>
      </c>
      <c r="E176" s="166">
        <f>SUM(E160:E175)</f>
        <v>0</v>
      </c>
      <c r="F176" s="166">
        <f>SUM(F160:F175)</f>
        <v>76720.649999999994</v>
      </c>
      <c r="G176" s="166">
        <f>+G175</f>
        <v>76720.649999999994</v>
      </c>
      <c r="J176" s="170">
        <f>SUM(J160:J175)</f>
        <v>3775.3952484931501</v>
      </c>
    </row>
    <row r="178" spans="2:11" x14ac:dyDescent="0.25">
      <c r="B178" s="172" t="str">
        <f>CONCATENATE("APORTACIONES Y CALCULO DE INTERESES CORRESPONDIENTES AL AÑO ",YEAR(Parametros!$H$11))</f>
        <v>APORTACIONES Y CALCULO DE INTERESES CORRESPONDIENTES AL AÑO 2015</v>
      </c>
      <c r="C178" s="53"/>
      <c r="D178" s="53"/>
      <c r="E178" s="54"/>
      <c r="F178" s="54"/>
      <c r="G178" s="54"/>
      <c r="H178" s="20"/>
      <c r="I178" s="55"/>
      <c r="J178" s="56"/>
      <c r="K178" s="20"/>
    </row>
    <row r="179" spans="2:11" x14ac:dyDescent="0.25">
      <c r="B179" s="69" t="s">
        <v>186</v>
      </c>
      <c r="C179" s="173" t="str">
        <f>+'Calculo Excedentes'!A15</f>
        <v>CA-9</v>
      </c>
      <c r="D179" s="171" t="s">
        <v>187</v>
      </c>
      <c r="E179" s="176" t="str">
        <f>+'Calculo Excedentes'!B15</f>
        <v>ACOPACC</v>
      </c>
      <c r="F179" s="174"/>
      <c r="G179" s="175"/>
      <c r="H179" s="20"/>
      <c r="I179" s="39" t="s">
        <v>73</v>
      </c>
      <c r="J179" s="39" t="s">
        <v>74</v>
      </c>
      <c r="K179" s="39" t="s">
        <v>75</v>
      </c>
    </row>
    <row r="180" spans="2:11" x14ac:dyDescent="0.25">
      <c r="B180" s="40" t="s">
        <v>76</v>
      </c>
      <c r="C180" s="40" t="s">
        <v>77</v>
      </c>
      <c r="D180" s="40" t="s">
        <v>78</v>
      </c>
      <c r="E180" s="40" t="s">
        <v>79</v>
      </c>
      <c r="F180" s="40" t="s">
        <v>80</v>
      </c>
      <c r="G180" s="40" t="s">
        <v>81</v>
      </c>
      <c r="H180" s="20"/>
      <c r="I180" s="42" t="s">
        <v>82</v>
      </c>
      <c r="J180" s="164" t="s">
        <v>185</v>
      </c>
      <c r="K180" s="42" t="s">
        <v>84</v>
      </c>
    </row>
    <row r="181" spans="2:11" x14ac:dyDescent="0.25">
      <c r="B181" s="158">
        <f>+Parametros!$H$11-365</f>
        <v>42004</v>
      </c>
      <c r="C181" s="161"/>
      <c r="D181" s="162"/>
      <c r="E181" s="159"/>
      <c r="F181" s="159">
        <f>+'[2]produccion cooperativas asociad'!$E$10</f>
        <v>74800.100000000006</v>
      </c>
      <c r="G181" s="165">
        <f>+F181-E181</f>
        <v>74800.100000000006</v>
      </c>
      <c r="H181" s="20"/>
      <c r="I181" s="167">
        <f>IF(B181&gt;0,(Parametros!$H$11-'Calculo Intereses COOPS'!B181),0)</f>
        <v>365</v>
      </c>
      <c r="J181" s="168">
        <f>(F181-E181)*Parametros!$H$37/365*'Calculo Intereses COOPS'!I181</f>
        <v>4114.0055000000002</v>
      </c>
      <c r="K181" s="169">
        <f>+J181</f>
        <v>4114.0055000000002</v>
      </c>
    </row>
    <row r="182" spans="2:11" x14ac:dyDescent="0.25">
      <c r="B182" s="160">
        <v>42049</v>
      </c>
      <c r="C182" s="221"/>
      <c r="D182" s="162" t="s">
        <v>236</v>
      </c>
      <c r="E182" s="159"/>
      <c r="F182" s="159">
        <v>5257.15</v>
      </c>
      <c r="G182" s="165">
        <f>+G181+F182-E182</f>
        <v>80057.25</v>
      </c>
      <c r="H182" s="20"/>
      <c r="I182" s="167">
        <f>IF(B182&gt;0,(Parametros!$H$11-'Calculo Intereses COOPS'!B182),0)</f>
        <v>320</v>
      </c>
      <c r="J182" s="168">
        <f>(F182-E182)*Parametros!$H$37/365*'Calculo Intereses COOPS'!I182</f>
        <v>253.49545205479447</v>
      </c>
      <c r="K182" s="169">
        <f>+J182+K181</f>
        <v>4367.5009520547947</v>
      </c>
    </row>
    <row r="183" spans="2:11" x14ac:dyDescent="0.25">
      <c r="B183" s="160">
        <v>42289</v>
      </c>
      <c r="C183" s="221"/>
      <c r="D183" s="162" t="s">
        <v>88</v>
      </c>
      <c r="E183" s="159"/>
      <c r="F183" s="159">
        <v>1371.48</v>
      </c>
      <c r="G183" s="165">
        <f t="shared" ref="G183:G196" si="18">+G182+F183-E183</f>
        <v>81428.73</v>
      </c>
      <c r="H183" s="20"/>
      <c r="I183" s="167">
        <f>IF(B183&gt;0,(Parametros!$H$11-'Calculo Intereses COOPS'!B183),0)</f>
        <v>80</v>
      </c>
      <c r="J183" s="168">
        <f>(F183-E183)*Parametros!$H$37/365*'Calculo Intereses COOPS'!I183</f>
        <v>16.532909589041097</v>
      </c>
      <c r="K183" s="169">
        <f t="shared" ref="K183:K196" si="19">+J183+K182</f>
        <v>4384.0338616438357</v>
      </c>
    </row>
    <row r="184" spans="2:11" x14ac:dyDescent="0.25">
      <c r="B184" s="160">
        <v>41878</v>
      </c>
      <c r="C184" s="221"/>
      <c r="D184" s="162" t="s">
        <v>272</v>
      </c>
      <c r="E184" s="159"/>
      <c r="F184" s="159">
        <v>-56.77</v>
      </c>
      <c r="G184" s="165">
        <f t="shared" si="18"/>
        <v>81371.959999999992</v>
      </c>
      <c r="H184" s="20"/>
      <c r="I184" s="167">
        <f>IF(B184&gt;0,(Parametros!$H$11-'Calculo Intereses COOPS'!B184),0)</f>
        <v>491</v>
      </c>
      <c r="J184" s="168">
        <f>(F184-E184)*Parametros!$H$37/365*'Calculo Intereses COOPS'!I184</f>
        <v>-4.2002023287671237</v>
      </c>
      <c r="K184" s="169">
        <f t="shared" si="19"/>
        <v>4379.8336593150689</v>
      </c>
    </row>
    <row r="185" spans="2:11" x14ac:dyDescent="0.25">
      <c r="B185" s="160">
        <v>42289</v>
      </c>
      <c r="C185" s="161"/>
      <c r="D185" s="162" t="s">
        <v>88</v>
      </c>
      <c r="E185" s="159"/>
      <c r="F185" s="159">
        <v>5000</v>
      </c>
      <c r="G185" s="165">
        <f t="shared" si="18"/>
        <v>86371.959999999992</v>
      </c>
      <c r="H185" s="20"/>
      <c r="I185" s="167">
        <f>IF(B185&gt;0,(Parametros!$H$11-'Calculo Intereses COOPS'!B185),0)</f>
        <v>80</v>
      </c>
      <c r="J185" s="168">
        <f>(F185-E185)*Parametros!$H$37/365*'Calculo Intereses COOPS'!I185</f>
        <v>60.273972602739725</v>
      </c>
      <c r="K185" s="169">
        <f t="shared" si="19"/>
        <v>4440.1076319178082</v>
      </c>
    </row>
    <row r="186" spans="2:11" x14ac:dyDescent="0.25">
      <c r="B186" s="160">
        <v>42352</v>
      </c>
      <c r="C186" s="161"/>
      <c r="D186" s="162" t="s">
        <v>88</v>
      </c>
      <c r="E186" s="159"/>
      <c r="F186" s="159">
        <v>5000</v>
      </c>
      <c r="G186" s="165">
        <f t="shared" si="18"/>
        <v>91371.959999999992</v>
      </c>
      <c r="H186" s="20"/>
      <c r="I186" s="167">
        <f>IF(B186&gt;0,(Parametros!$H$11-'Calculo Intereses COOPS'!B186),0)</f>
        <v>17</v>
      </c>
      <c r="J186" s="168">
        <f>(F186-E186)*Parametros!$H$37/365*'Calculo Intereses COOPS'!I186</f>
        <v>12.808219178082192</v>
      </c>
      <c r="K186" s="169">
        <f t="shared" si="19"/>
        <v>4452.9158510958905</v>
      </c>
    </row>
    <row r="187" spans="2:11" x14ac:dyDescent="0.25">
      <c r="B187" s="160"/>
      <c r="C187" s="161"/>
      <c r="D187" s="162"/>
      <c r="E187" s="159"/>
      <c r="F187" s="159"/>
      <c r="G187" s="165">
        <f t="shared" si="18"/>
        <v>91371.959999999992</v>
      </c>
      <c r="H187" s="20"/>
      <c r="I187" s="167">
        <f>IF(B187&gt;0,(Parametros!$H$11-'Calculo Intereses COOPS'!B187),0)</f>
        <v>0</v>
      </c>
      <c r="J187" s="168">
        <f>(F187-E187)*Parametros!$H$37/365*'Calculo Intereses COOPS'!I187</f>
        <v>0</v>
      </c>
      <c r="K187" s="169">
        <f t="shared" si="19"/>
        <v>4452.9158510958905</v>
      </c>
    </row>
    <row r="188" spans="2:11" x14ac:dyDescent="0.25">
      <c r="B188" s="160"/>
      <c r="C188" s="161"/>
      <c r="D188" s="163"/>
      <c r="E188" s="159"/>
      <c r="F188" s="159"/>
      <c r="G188" s="165">
        <f t="shared" si="18"/>
        <v>91371.959999999992</v>
      </c>
      <c r="H188" s="20"/>
      <c r="I188" s="167">
        <f>IF(B188&gt;0,(Parametros!$H$11-'Calculo Intereses COOPS'!B188),0)</f>
        <v>0</v>
      </c>
      <c r="J188" s="168">
        <f>(F188-E188)*Parametros!$H$37/365*'Calculo Intereses COOPS'!I188</f>
        <v>0</v>
      </c>
      <c r="K188" s="169">
        <f t="shared" si="19"/>
        <v>4452.9158510958905</v>
      </c>
    </row>
    <row r="189" spans="2:11" x14ac:dyDescent="0.25">
      <c r="B189" s="160"/>
      <c r="C189" s="161"/>
      <c r="D189" s="163"/>
      <c r="E189" s="159"/>
      <c r="F189" s="159"/>
      <c r="G189" s="165">
        <f t="shared" si="18"/>
        <v>91371.959999999992</v>
      </c>
      <c r="H189" s="20"/>
      <c r="I189" s="167">
        <f>IF(B189&gt;0,(Parametros!$H$11-'Calculo Intereses COOPS'!B189),0)</f>
        <v>0</v>
      </c>
      <c r="J189" s="168">
        <f>(F189-E189)*Parametros!$H$37/365*'Calculo Intereses COOPS'!I189</f>
        <v>0</v>
      </c>
      <c r="K189" s="169">
        <f t="shared" si="19"/>
        <v>4452.9158510958905</v>
      </c>
    </row>
    <row r="190" spans="2:11" x14ac:dyDescent="0.25">
      <c r="B190" s="160"/>
      <c r="C190" s="161"/>
      <c r="D190" s="163"/>
      <c r="E190" s="159"/>
      <c r="F190" s="159"/>
      <c r="G190" s="165">
        <f t="shared" si="18"/>
        <v>91371.959999999992</v>
      </c>
      <c r="H190" s="20"/>
      <c r="I190" s="167">
        <f>IF(B190&gt;0,(Parametros!$H$11-'Calculo Intereses COOPS'!B190),0)</f>
        <v>0</v>
      </c>
      <c r="J190" s="168">
        <f>(F190-E190)*Parametros!$H$37/365*'Calculo Intereses COOPS'!I190</f>
        <v>0</v>
      </c>
      <c r="K190" s="169">
        <f t="shared" si="19"/>
        <v>4452.9158510958905</v>
      </c>
    </row>
    <row r="191" spans="2:11" x14ac:dyDescent="0.25">
      <c r="B191" s="160"/>
      <c r="C191" s="161"/>
      <c r="D191" s="163"/>
      <c r="E191" s="159"/>
      <c r="F191" s="159"/>
      <c r="G191" s="165">
        <f t="shared" si="18"/>
        <v>91371.959999999992</v>
      </c>
      <c r="H191" s="20"/>
      <c r="I191" s="167">
        <f>IF(B191&gt;0,(Parametros!$H$11-'Calculo Intereses COOPS'!B191),0)</f>
        <v>0</v>
      </c>
      <c r="J191" s="168">
        <f>(F191-E191)*Parametros!$H$37/365*'Calculo Intereses COOPS'!I191</f>
        <v>0</v>
      </c>
      <c r="K191" s="169">
        <f t="shared" si="19"/>
        <v>4452.9158510958905</v>
      </c>
    </row>
    <row r="192" spans="2:11" x14ac:dyDescent="0.25">
      <c r="B192" s="160"/>
      <c r="C192" s="161"/>
      <c r="D192" s="163"/>
      <c r="E192" s="159"/>
      <c r="F192" s="159"/>
      <c r="G192" s="165">
        <f t="shared" si="18"/>
        <v>91371.959999999992</v>
      </c>
      <c r="H192" s="20"/>
      <c r="I192" s="167">
        <f>IF(B192&gt;0,(Parametros!$H$11-'Calculo Intereses COOPS'!B192),0)</f>
        <v>0</v>
      </c>
      <c r="J192" s="168">
        <f>(F192-E192)*Parametros!$H$37/365*'Calculo Intereses COOPS'!I192</f>
        <v>0</v>
      </c>
      <c r="K192" s="169">
        <f t="shared" si="19"/>
        <v>4452.9158510958905</v>
      </c>
    </row>
    <row r="193" spans="2:11" x14ac:dyDescent="0.25">
      <c r="B193" s="160"/>
      <c r="C193" s="161"/>
      <c r="D193" s="163"/>
      <c r="E193" s="159"/>
      <c r="F193" s="159"/>
      <c r="G193" s="165">
        <f t="shared" si="18"/>
        <v>91371.959999999992</v>
      </c>
      <c r="H193" s="20"/>
      <c r="I193" s="167">
        <f>IF(B193&gt;0,(Parametros!$H$11-'Calculo Intereses COOPS'!B193),0)</f>
        <v>0</v>
      </c>
      <c r="J193" s="168">
        <f>(F193-E193)*Parametros!$H$37/365*'Calculo Intereses COOPS'!I193</f>
        <v>0</v>
      </c>
      <c r="K193" s="169">
        <f t="shared" si="19"/>
        <v>4452.9158510958905</v>
      </c>
    </row>
    <row r="194" spans="2:11" x14ac:dyDescent="0.25">
      <c r="B194" s="160"/>
      <c r="C194" s="161"/>
      <c r="D194" s="163"/>
      <c r="E194" s="159"/>
      <c r="F194" s="159"/>
      <c r="G194" s="165">
        <f t="shared" si="18"/>
        <v>91371.959999999992</v>
      </c>
      <c r="H194" s="20"/>
      <c r="I194" s="167">
        <f>IF(B194&gt;0,(Parametros!$H$11-'Calculo Intereses COOPS'!B194),0)</f>
        <v>0</v>
      </c>
      <c r="J194" s="168">
        <f>(F194-E194)*Parametros!$H$37/365*'Calculo Intereses COOPS'!I194</f>
        <v>0</v>
      </c>
      <c r="K194" s="169">
        <f t="shared" si="19"/>
        <v>4452.9158510958905</v>
      </c>
    </row>
    <row r="195" spans="2:11" x14ac:dyDescent="0.25">
      <c r="B195" s="160"/>
      <c r="C195" s="161"/>
      <c r="D195" s="163"/>
      <c r="E195" s="159"/>
      <c r="F195" s="159"/>
      <c r="G195" s="165">
        <f t="shared" si="18"/>
        <v>91371.959999999992</v>
      </c>
      <c r="H195" s="20"/>
      <c r="I195" s="167">
        <f>IF(B195&gt;0,(Parametros!$H$11-'Calculo Intereses COOPS'!B195),0)</f>
        <v>0</v>
      </c>
      <c r="J195" s="168">
        <f>(F195-E195)*Parametros!$H$37/365*'Calculo Intereses COOPS'!I195</f>
        <v>0</v>
      </c>
      <c r="K195" s="169">
        <f t="shared" si="19"/>
        <v>4452.9158510958905</v>
      </c>
    </row>
    <row r="196" spans="2:11" x14ac:dyDescent="0.25">
      <c r="B196" s="160"/>
      <c r="C196" s="161"/>
      <c r="D196" s="163"/>
      <c r="E196" s="159"/>
      <c r="F196" s="159"/>
      <c r="G196" s="165">
        <f t="shared" si="18"/>
        <v>91371.959999999992</v>
      </c>
      <c r="H196" s="20"/>
      <c r="I196" s="167">
        <f>IF(B196&gt;0,(Parametros!$H$11-'Calculo Intereses COOPS'!B196),0)</f>
        <v>0</v>
      </c>
      <c r="J196" s="168">
        <f>(F196-E196)*Parametros!$H$37/365*'Calculo Intereses COOPS'!I196</f>
        <v>0</v>
      </c>
      <c r="K196" s="169">
        <f t="shared" si="19"/>
        <v>4452.9158510958905</v>
      </c>
    </row>
    <row r="197" spans="2:11" x14ac:dyDescent="0.25">
      <c r="B197" s="20"/>
      <c r="C197" s="20"/>
      <c r="D197" s="52" t="s">
        <v>21</v>
      </c>
      <c r="E197" s="166">
        <f>SUM(E181:E196)</f>
        <v>0</v>
      </c>
      <c r="F197" s="166">
        <f>SUM(F181:F196)</f>
        <v>91371.959999999992</v>
      </c>
      <c r="G197" s="166">
        <f>+G196</f>
        <v>91371.959999999992</v>
      </c>
      <c r="J197" s="170">
        <f>SUM(J181:J196)</f>
        <v>4452.9158510958905</v>
      </c>
    </row>
    <row r="199" spans="2:11" x14ac:dyDescent="0.25">
      <c r="B199" s="172" t="str">
        <f>CONCATENATE("APORTACIONES Y CALCULO DE INTERESES CORRESPONDIENTES AL AÑO ",YEAR(Parametros!$H$11))</f>
        <v>APORTACIONES Y CALCULO DE INTERESES CORRESPONDIENTES AL AÑO 2015</v>
      </c>
      <c r="C199" s="53"/>
      <c r="D199" s="53"/>
      <c r="E199" s="54"/>
      <c r="F199" s="54"/>
      <c r="G199" s="54"/>
      <c r="H199" s="20"/>
      <c r="I199" s="55"/>
      <c r="J199" s="56"/>
      <c r="K199" s="20"/>
    </row>
    <row r="200" spans="2:11" x14ac:dyDescent="0.25">
      <c r="B200" s="69" t="s">
        <v>186</v>
      </c>
      <c r="C200" s="173" t="str">
        <f>+'Calculo Excedentes'!A16</f>
        <v>CA-10</v>
      </c>
      <c r="D200" s="171" t="s">
        <v>187</v>
      </c>
      <c r="E200" s="176" t="str">
        <f>+'Calculo Excedentes'!B16</f>
        <v>ACACEMIHA</v>
      </c>
      <c r="F200" s="174"/>
      <c r="G200" s="175"/>
      <c r="H200" s="20"/>
      <c r="I200" s="39" t="s">
        <v>73</v>
      </c>
      <c r="J200" s="39" t="s">
        <v>74</v>
      </c>
      <c r="K200" s="39" t="s">
        <v>75</v>
      </c>
    </row>
    <row r="201" spans="2:11" x14ac:dyDescent="0.25">
      <c r="B201" s="40" t="s">
        <v>76</v>
      </c>
      <c r="C201" s="40" t="s">
        <v>77</v>
      </c>
      <c r="D201" s="40" t="s">
        <v>78</v>
      </c>
      <c r="E201" s="40" t="s">
        <v>79</v>
      </c>
      <c r="F201" s="40" t="s">
        <v>80</v>
      </c>
      <c r="G201" s="40" t="s">
        <v>81</v>
      </c>
      <c r="H201" s="20"/>
      <c r="I201" s="42" t="s">
        <v>82</v>
      </c>
      <c r="J201" s="164" t="s">
        <v>185</v>
      </c>
      <c r="K201" s="42" t="s">
        <v>84</v>
      </c>
    </row>
    <row r="202" spans="2:11" x14ac:dyDescent="0.25">
      <c r="B202" s="158">
        <f>+Parametros!$H$11-365</f>
        <v>42004</v>
      </c>
      <c r="C202" s="161"/>
      <c r="D202" s="162"/>
      <c r="E202" s="159"/>
      <c r="F202" s="159">
        <f>+'[2]produccion cooperativas asociad'!$E$11</f>
        <v>58111.12</v>
      </c>
      <c r="G202" s="165">
        <f>+F202-E202</f>
        <v>58111.12</v>
      </c>
      <c r="H202" s="20"/>
      <c r="I202" s="167">
        <f>IF(B202&gt;0,(Parametros!$H$11-'Calculo Intereses COOPS'!B202),0)</f>
        <v>365</v>
      </c>
      <c r="J202" s="168">
        <f>(F202-E202)*Parametros!$H$37/365*'Calculo Intereses COOPS'!I202</f>
        <v>3196.1116000000002</v>
      </c>
      <c r="K202" s="169">
        <f>+J202</f>
        <v>3196.1116000000002</v>
      </c>
    </row>
    <row r="203" spans="2:11" x14ac:dyDescent="0.25">
      <c r="B203" s="160">
        <v>42035</v>
      </c>
      <c r="C203" s="161"/>
      <c r="D203" s="162" t="s">
        <v>88</v>
      </c>
      <c r="E203" s="159"/>
      <c r="F203" s="159">
        <v>1000</v>
      </c>
      <c r="G203" s="165">
        <f>+G202+F203-E203</f>
        <v>59111.12</v>
      </c>
      <c r="H203" s="20"/>
      <c r="I203" s="167">
        <f>IF(B203&gt;0,(Parametros!$H$11-'Calculo Intereses COOPS'!B203),0)</f>
        <v>334</v>
      </c>
      <c r="J203" s="168">
        <f>(F203-E203)*Parametros!$H$37/365*'Calculo Intereses COOPS'!I203</f>
        <v>50.328767123287669</v>
      </c>
      <c r="K203" s="169">
        <f>+J203+K202</f>
        <v>3246.4403671232881</v>
      </c>
    </row>
    <row r="204" spans="2:11" x14ac:dyDescent="0.25">
      <c r="B204" s="160">
        <v>42035</v>
      </c>
      <c r="C204" s="161"/>
      <c r="D204" s="162" t="s">
        <v>88</v>
      </c>
      <c r="E204" s="159"/>
      <c r="F204" s="159">
        <v>64.510000000000005</v>
      </c>
      <c r="G204" s="165">
        <f t="shared" ref="G204:G221" si="20">+G203+F204-E204</f>
        <v>59175.630000000005</v>
      </c>
      <c r="H204" s="20"/>
      <c r="I204" s="167">
        <f>IF(B204&gt;0,(Parametros!$H$11-'Calculo Intereses COOPS'!B204),0)</f>
        <v>334</v>
      </c>
      <c r="J204" s="168">
        <f>(F204-E204)*Parametros!$H$37/365*'Calculo Intereses COOPS'!I204</f>
        <v>3.2467087671232884</v>
      </c>
      <c r="K204" s="169">
        <f t="shared" ref="K204:K221" si="21">+J204+K203</f>
        <v>3249.6870758904115</v>
      </c>
    </row>
    <row r="205" spans="2:11" x14ac:dyDescent="0.25">
      <c r="B205" s="160">
        <v>42063</v>
      </c>
      <c r="C205" s="161"/>
      <c r="D205" s="162" t="s">
        <v>88</v>
      </c>
      <c r="E205" s="159"/>
      <c r="F205" s="159">
        <v>1114.29</v>
      </c>
      <c r="G205" s="165">
        <f t="shared" si="20"/>
        <v>60289.920000000006</v>
      </c>
      <c r="H205" s="20"/>
      <c r="I205" s="167">
        <f>IF(B205&gt;0,(Parametros!$H$11-'Calculo Intereses COOPS'!B205),0)</f>
        <v>306</v>
      </c>
      <c r="J205" s="168">
        <f>(F205-E205)*Parametros!$H$37/365*'Calculo Intereses COOPS'!I205</f>
        <v>51.379453972602732</v>
      </c>
      <c r="K205" s="169">
        <f t="shared" si="21"/>
        <v>3301.0665298630142</v>
      </c>
    </row>
    <row r="206" spans="2:11" x14ac:dyDescent="0.25">
      <c r="B206" s="160">
        <v>42094</v>
      </c>
      <c r="C206" s="221"/>
      <c r="D206" s="162" t="s">
        <v>88</v>
      </c>
      <c r="E206" s="159"/>
      <c r="F206" s="159">
        <v>1114.29</v>
      </c>
      <c r="G206" s="165">
        <f t="shared" si="20"/>
        <v>61404.210000000006</v>
      </c>
      <c r="H206" s="20"/>
      <c r="I206" s="167">
        <f>IF(B206&gt;0,(Parametros!$H$11-'Calculo Intereses COOPS'!B206),0)</f>
        <v>275</v>
      </c>
      <c r="J206" s="168">
        <f>(F206-E206)*Parametros!$H$37/365*'Calculo Intereses COOPS'!I206</f>
        <v>46.174345890410954</v>
      </c>
      <c r="K206" s="169">
        <f t="shared" si="21"/>
        <v>3347.2408757534254</v>
      </c>
    </row>
    <row r="207" spans="2:11" x14ac:dyDescent="0.25">
      <c r="B207" s="160">
        <v>42049</v>
      </c>
      <c r="C207" s="161"/>
      <c r="D207" s="162" t="s">
        <v>238</v>
      </c>
      <c r="E207" s="159"/>
      <c r="F207" s="159">
        <v>3885.72</v>
      </c>
      <c r="G207" s="165">
        <f t="shared" si="20"/>
        <v>65289.930000000008</v>
      </c>
      <c r="H207" s="20"/>
      <c r="I207" s="167">
        <f>IF(B207&gt;0,(Parametros!$H$11-'Calculo Intereses COOPS'!B207),0)</f>
        <v>320</v>
      </c>
      <c r="J207" s="168">
        <f>(F207-E207)*Parametros!$H$37/365*'Calculo Intereses COOPS'!I207</f>
        <v>187.36622465753425</v>
      </c>
      <c r="K207" s="169">
        <f t="shared" si="21"/>
        <v>3534.6071004109594</v>
      </c>
    </row>
    <row r="208" spans="2:11" x14ac:dyDescent="0.25">
      <c r="B208" s="160">
        <v>42124</v>
      </c>
      <c r="C208" s="221"/>
      <c r="D208" s="162" t="s">
        <v>88</v>
      </c>
      <c r="E208" s="159"/>
      <c r="F208" s="159">
        <v>1195.8</v>
      </c>
      <c r="G208" s="165">
        <f t="shared" si="20"/>
        <v>66485.73000000001</v>
      </c>
      <c r="H208" s="20"/>
      <c r="I208" s="167">
        <f>IF(B208&gt;0,(Parametros!$H$11-'Calculo Intereses COOPS'!B208),0)</f>
        <v>245</v>
      </c>
      <c r="J208" s="168">
        <f>(F208-E208)*Parametros!$H$37/365*'Calculo Intereses COOPS'!I208</f>
        <v>44.146315068493145</v>
      </c>
      <c r="K208" s="169">
        <f t="shared" si="21"/>
        <v>3578.7534154794525</v>
      </c>
    </row>
    <row r="209" spans="2:11" x14ac:dyDescent="0.25">
      <c r="B209" s="160">
        <v>42124</v>
      </c>
      <c r="C209" s="221"/>
      <c r="D209" s="162" t="s">
        <v>273</v>
      </c>
      <c r="E209" s="159"/>
      <c r="F209" s="159">
        <v>28.76</v>
      </c>
      <c r="G209" s="165">
        <f t="shared" si="20"/>
        <v>66514.490000000005</v>
      </c>
      <c r="H209" s="20"/>
      <c r="I209" s="167">
        <f>IF(B209&gt;0,(Parametros!$H$11-'Calculo Intereses COOPS'!B209),0)</f>
        <v>245</v>
      </c>
      <c r="J209" s="168">
        <f>(F209-E209)*Parametros!$H$37/365*'Calculo Intereses COOPS'!I209</f>
        <v>1.0617561643835616</v>
      </c>
      <c r="K209" s="169">
        <f t="shared" si="21"/>
        <v>3579.815171643836</v>
      </c>
    </row>
    <row r="210" spans="2:11" x14ac:dyDescent="0.25">
      <c r="B210" s="160">
        <v>42155</v>
      </c>
      <c r="C210" s="161"/>
      <c r="D210" s="162" t="s">
        <v>88</v>
      </c>
      <c r="E210" s="159"/>
      <c r="F210" s="159">
        <v>1114.29</v>
      </c>
      <c r="G210" s="165">
        <f t="shared" si="20"/>
        <v>67628.78</v>
      </c>
      <c r="H210" s="20"/>
      <c r="I210" s="167">
        <f>IF(B210&gt;0,(Parametros!$H$11-'Calculo Intereses COOPS'!B210),0)</f>
        <v>214</v>
      </c>
      <c r="J210" s="168">
        <f>(F210-E210)*Parametros!$H$37/365*'Calculo Intereses COOPS'!I210</f>
        <v>35.932036438356164</v>
      </c>
      <c r="K210" s="169">
        <f t="shared" si="21"/>
        <v>3615.7472080821922</v>
      </c>
    </row>
    <row r="211" spans="2:11" x14ac:dyDescent="0.25">
      <c r="B211" s="160">
        <v>42157</v>
      </c>
      <c r="C211" s="161"/>
      <c r="D211" s="162" t="s">
        <v>88</v>
      </c>
      <c r="E211" s="159"/>
      <c r="F211" s="159">
        <v>93.73</v>
      </c>
      <c r="G211" s="165">
        <f t="shared" si="20"/>
        <v>67722.509999999995</v>
      </c>
      <c r="H211" s="20"/>
      <c r="I211" s="167">
        <f>IF(B211&gt;0,(Parametros!$H$11-'Calculo Intereses COOPS'!B211),0)</f>
        <v>212</v>
      </c>
      <c r="J211" s="168">
        <f>(F211-E211)*Parametros!$H$37/365*'Calculo Intereses COOPS'!I211</f>
        <v>2.9942241095890409</v>
      </c>
      <c r="K211" s="169">
        <f t="shared" si="21"/>
        <v>3618.7414321917813</v>
      </c>
    </row>
    <row r="212" spans="2:11" x14ac:dyDescent="0.25">
      <c r="B212" s="160">
        <v>42124</v>
      </c>
      <c r="C212" s="161"/>
      <c r="D212" s="162" t="s">
        <v>273</v>
      </c>
      <c r="E212" s="159"/>
      <c r="F212" s="159">
        <v>20.56</v>
      </c>
      <c r="G212" s="165">
        <f t="shared" si="20"/>
        <v>67743.069999999992</v>
      </c>
      <c r="H212" s="20"/>
      <c r="I212" s="167">
        <f>IF(B212&gt;0,(Parametros!$H$11-'Calculo Intereses COOPS'!B212),0)</f>
        <v>245</v>
      </c>
      <c r="J212" s="168">
        <f>(F212-E212)*Parametros!$H$37/365*'Calculo Intereses COOPS'!I212</f>
        <v>0.7590301369863014</v>
      </c>
      <c r="K212" s="169">
        <f t="shared" si="21"/>
        <v>3619.5004623287678</v>
      </c>
    </row>
    <row r="213" spans="2:11" x14ac:dyDescent="0.25">
      <c r="B213" s="160">
        <v>42185</v>
      </c>
      <c r="C213" s="161"/>
      <c r="D213" s="162" t="s">
        <v>88</v>
      </c>
      <c r="E213" s="159"/>
      <c r="F213" s="159">
        <v>114.29</v>
      </c>
      <c r="G213" s="165">
        <f t="shared" si="20"/>
        <v>67857.359999999986</v>
      </c>
      <c r="H213" s="20"/>
      <c r="I213" s="167">
        <f>IF(B213&gt;0,(Parametros!$H$11-'Calculo Intereses COOPS'!B213),0)</f>
        <v>184</v>
      </c>
      <c r="J213" s="168">
        <f>(F213-E213)*Parametros!$H$37/365*'Calculo Intereses COOPS'!I213</f>
        <v>3.168807671232877</v>
      </c>
      <c r="K213" s="169">
        <f t="shared" si="21"/>
        <v>3622.6692700000008</v>
      </c>
    </row>
    <row r="214" spans="2:11" x14ac:dyDescent="0.25">
      <c r="B214" s="160">
        <v>42216</v>
      </c>
      <c r="C214" s="161"/>
      <c r="D214" s="162" t="s">
        <v>88</v>
      </c>
      <c r="E214" s="159"/>
      <c r="F214" s="159">
        <v>2114.27</v>
      </c>
      <c r="G214" s="165">
        <f t="shared" si="20"/>
        <v>69971.62999999999</v>
      </c>
      <c r="H214" s="20"/>
      <c r="I214" s="167">
        <f>IF(B214&gt;0,(Parametros!$H$11-'Calculo Intereses COOPS'!B214),0)</f>
        <v>153</v>
      </c>
      <c r="J214" s="168">
        <f>(F214-E214)*Parametros!$H$37/365*'Calculo Intereses COOPS'!I214</f>
        <v>48.744060410958902</v>
      </c>
      <c r="K214" s="169">
        <f t="shared" si="21"/>
        <v>3671.4133304109596</v>
      </c>
    </row>
    <row r="215" spans="2:11" x14ac:dyDescent="0.25">
      <c r="B215" s="160">
        <v>42247</v>
      </c>
      <c r="C215" s="161"/>
      <c r="D215" s="162" t="s">
        <v>88</v>
      </c>
      <c r="E215" s="159"/>
      <c r="F215" s="159">
        <v>1714.29</v>
      </c>
      <c r="G215" s="165">
        <f t="shared" si="20"/>
        <v>71685.919999999984</v>
      </c>
      <c r="H215" s="20"/>
      <c r="I215" s="167">
        <f>IF(B215&gt;0,(Parametros!$H$11-'Calculo Intereses COOPS'!B215),0)</f>
        <v>122</v>
      </c>
      <c r="J215" s="168">
        <f>(F215-E215)*Parametros!$H$37/365*'Calculo Intereses COOPS'!I215</f>
        <v>31.514755890410957</v>
      </c>
      <c r="K215" s="169">
        <f t="shared" si="21"/>
        <v>3702.9280863013705</v>
      </c>
    </row>
    <row r="216" spans="2:11" x14ac:dyDescent="0.25">
      <c r="B216" s="160">
        <v>42277</v>
      </c>
      <c r="C216" s="161"/>
      <c r="D216" s="162" t="s">
        <v>88</v>
      </c>
      <c r="E216" s="159"/>
      <c r="F216" s="159">
        <v>1714.23</v>
      </c>
      <c r="G216" s="165">
        <f t="shared" si="20"/>
        <v>73400.14999999998</v>
      </c>
      <c r="H216" s="20"/>
      <c r="I216" s="167">
        <f>IF(B216&gt;0,(Parametros!$H$11-'Calculo Intereses COOPS'!B216),0)</f>
        <v>92</v>
      </c>
      <c r="J216" s="168">
        <f>(F216-E216)*Parametros!$H$37/365*'Calculo Intereses COOPS'!I216</f>
        <v>23.76439397260274</v>
      </c>
      <c r="K216" s="169">
        <f t="shared" si="21"/>
        <v>3726.6924802739732</v>
      </c>
    </row>
    <row r="217" spans="2:11" x14ac:dyDescent="0.25">
      <c r="B217" s="160">
        <v>42307</v>
      </c>
      <c r="C217" s="161"/>
      <c r="D217" s="162" t="s">
        <v>88</v>
      </c>
      <c r="E217" s="159"/>
      <c r="F217" s="159">
        <v>1714.29</v>
      </c>
      <c r="G217" s="165">
        <f t="shared" si="20"/>
        <v>75114.439999999973</v>
      </c>
      <c r="H217" s="20"/>
      <c r="I217" s="167">
        <f>IF(B217&gt;0,(Parametros!$H$11-'Calculo Intereses COOPS'!B217),0)</f>
        <v>62</v>
      </c>
      <c r="J217" s="168">
        <f>(F217-E217)*Parametros!$H$37/365*'Calculo Intereses COOPS'!I217</f>
        <v>16.015695616438354</v>
      </c>
      <c r="K217" s="169">
        <f t="shared" si="21"/>
        <v>3742.7081758904114</v>
      </c>
    </row>
    <row r="218" spans="2:11" x14ac:dyDescent="0.25">
      <c r="B218" s="160">
        <v>42338</v>
      </c>
      <c r="C218" s="161"/>
      <c r="D218" s="162" t="s">
        <v>88</v>
      </c>
      <c r="E218" s="159"/>
      <c r="F218" s="159">
        <v>1714.29</v>
      </c>
      <c r="G218" s="165">
        <f t="shared" si="20"/>
        <v>76828.729999999967</v>
      </c>
      <c r="H218" s="20"/>
      <c r="I218" s="167">
        <f>IF(B218&gt;0,(Parametros!$H$11-'Calculo Intereses COOPS'!B218),0)</f>
        <v>31</v>
      </c>
      <c r="J218" s="168">
        <f>(F218-E218)*Parametros!$H$37/365*'Calculo Intereses COOPS'!I218</f>
        <v>8.0078478082191769</v>
      </c>
      <c r="K218" s="169">
        <f t="shared" si="21"/>
        <v>3750.7160236986306</v>
      </c>
    </row>
    <row r="219" spans="2:11" x14ac:dyDescent="0.25">
      <c r="B219" s="160">
        <v>42367</v>
      </c>
      <c r="C219" s="161"/>
      <c r="D219" s="162" t="s">
        <v>88</v>
      </c>
      <c r="E219" s="159"/>
      <c r="F219" s="159">
        <v>1714.29</v>
      </c>
      <c r="G219" s="165">
        <f t="shared" si="20"/>
        <v>78543.01999999996</v>
      </c>
      <c r="H219" s="20"/>
      <c r="I219" s="167">
        <f>IF(B219&gt;0,(Parametros!$H$11-'Calculo Intereses COOPS'!B219),0)</f>
        <v>2</v>
      </c>
      <c r="J219" s="168">
        <f>(F219-E219)*Parametros!$H$37/365*'Calculo Intereses COOPS'!I219</f>
        <v>0.51663534246575338</v>
      </c>
      <c r="K219" s="169">
        <f t="shared" si="21"/>
        <v>3751.2326590410962</v>
      </c>
    </row>
    <row r="220" spans="2:11" x14ac:dyDescent="0.25">
      <c r="B220" s="160">
        <v>42338</v>
      </c>
      <c r="C220" s="161"/>
      <c r="D220" s="162" t="s">
        <v>271</v>
      </c>
      <c r="E220" s="159"/>
      <c r="F220" s="159">
        <v>15.7</v>
      </c>
      <c r="G220" s="165">
        <f t="shared" si="20"/>
        <v>78558.719999999958</v>
      </c>
      <c r="H220" s="20"/>
      <c r="I220" s="167">
        <f>IF(B220&gt;0,(Parametros!$H$11-'Calculo Intereses COOPS'!B220),0)</f>
        <v>31</v>
      </c>
      <c r="J220" s="168">
        <f>(F220-E220)*Parametros!$H$37/365*'Calculo Intereses COOPS'!I220</f>
        <v>7.3338356164383556E-2</v>
      </c>
      <c r="K220" s="169">
        <f t="shared" si="21"/>
        <v>3751.3059973972604</v>
      </c>
    </row>
    <row r="221" spans="2:11" x14ac:dyDescent="0.25">
      <c r="B221" s="160"/>
      <c r="C221" s="161"/>
      <c r="D221" s="163"/>
      <c r="E221" s="159"/>
      <c r="F221" s="159"/>
      <c r="G221" s="165">
        <f t="shared" si="20"/>
        <v>78558.719999999958</v>
      </c>
      <c r="H221" s="20"/>
      <c r="I221" s="167">
        <f>IF(B221&gt;0,(Parametros!$H$11-'Calculo Intereses COOPS'!B221),0)</f>
        <v>0</v>
      </c>
      <c r="J221" s="168">
        <f>(F221-E221)*Parametros!$H$37/365*'Calculo Intereses COOPS'!I221</f>
        <v>0</v>
      </c>
      <c r="K221" s="169">
        <f t="shared" si="21"/>
        <v>3751.3059973972604</v>
      </c>
    </row>
    <row r="222" spans="2:11" x14ac:dyDescent="0.25">
      <c r="B222" s="20"/>
      <c r="C222" s="20"/>
      <c r="D222" s="52" t="s">
        <v>21</v>
      </c>
      <c r="E222" s="166">
        <f>SUM(E202:E221)</f>
        <v>0</v>
      </c>
      <c r="F222" s="166">
        <f>SUM(F202:F221)</f>
        <v>78558.719999999958</v>
      </c>
      <c r="G222" s="166">
        <f>+G221</f>
        <v>78558.719999999958</v>
      </c>
      <c r="J222" s="170">
        <f>SUM(J202:J221)</f>
        <v>3751.3059973972604</v>
      </c>
    </row>
    <row r="224" spans="2:11" x14ac:dyDescent="0.25">
      <c r="B224" s="172" t="str">
        <f>CONCATENATE("APORTACIONES Y CALCULO DE INTERESES CORRESPONDIENTES AL AÑO ",YEAR(Parametros!$H$11))</f>
        <v>APORTACIONES Y CALCULO DE INTERESES CORRESPONDIENTES AL AÑO 2015</v>
      </c>
      <c r="C224" s="53"/>
      <c r="D224" s="53"/>
      <c r="E224" s="54"/>
      <c r="F224" s="54"/>
      <c r="G224" s="54"/>
      <c r="H224" s="20"/>
      <c r="I224" s="55"/>
      <c r="J224" s="56"/>
      <c r="K224" s="20"/>
    </row>
    <row r="225" spans="2:12" x14ac:dyDescent="0.25">
      <c r="B225" s="69" t="s">
        <v>186</v>
      </c>
      <c r="C225" s="173" t="str">
        <f>+'Calculo Excedentes'!A17</f>
        <v>CA-11</v>
      </c>
      <c r="D225" s="171" t="s">
        <v>187</v>
      </c>
      <c r="E225" s="176" t="str">
        <f>+'Calculo Excedentes'!B17</f>
        <v>ACAPRODUSCA</v>
      </c>
      <c r="F225" s="174"/>
      <c r="G225" s="175"/>
      <c r="H225" s="20"/>
      <c r="I225" s="39" t="s">
        <v>73</v>
      </c>
      <c r="J225" s="39" t="s">
        <v>74</v>
      </c>
      <c r="K225" s="39" t="s">
        <v>75</v>
      </c>
    </row>
    <row r="226" spans="2:12" x14ac:dyDescent="0.25">
      <c r="B226" s="40" t="s">
        <v>76</v>
      </c>
      <c r="C226" s="40" t="s">
        <v>77</v>
      </c>
      <c r="D226" s="40" t="s">
        <v>78</v>
      </c>
      <c r="E226" s="40" t="s">
        <v>79</v>
      </c>
      <c r="F226" s="40" t="s">
        <v>80</v>
      </c>
      <c r="G226" s="40" t="s">
        <v>81</v>
      </c>
      <c r="H226" s="20"/>
      <c r="I226" s="42" t="s">
        <v>82</v>
      </c>
      <c r="J226" s="164" t="s">
        <v>185</v>
      </c>
      <c r="K226" s="42" t="s">
        <v>84</v>
      </c>
    </row>
    <row r="227" spans="2:12" x14ac:dyDescent="0.25">
      <c r="B227" s="158">
        <f>+Parametros!$H$11-365</f>
        <v>42004</v>
      </c>
      <c r="C227" s="161"/>
      <c r="D227" s="162"/>
      <c r="E227" s="159"/>
      <c r="F227" s="159">
        <f>+'[2]produccion cooperativas asociad'!$E$12</f>
        <v>5644.0099999999993</v>
      </c>
      <c r="G227" s="165">
        <f>+F227-E227</f>
        <v>5644.0099999999993</v>
      </c>
      <c r="H227" s="20"/>
      <c r="I227" s="167">
        <f>IF(B227&gt;0,(Parametros!$H$11-'Calculo Intereses COOPS'!B227),0)</f>
        <v>365</v>
      </c>
      <c r="J227" s="168">
        <f>(F227-E227)*Parametros!$H$37/365*'Calculo Intereses COOPS'!I227</f>
        <v>310.42054999999999</v>
      </c>
      <c r="K227" s="169">
        <f>+J227</f>
        <v>310.42054999999999</v>
      </c>
      <c r="L227">
        <f>11428.56-5784.55</f>
        <v>5644.0099999999993</v>
      </c>
    </row>
    <row r="228" spans="2:12" x14ac:dyDescent="0.25">
      <c r="B228" s="160">
        <v>42048</v>
      </c>
      <c r="C228" s="161"/>
      <c r="D228" s="162" t="s">
        <v>88</v>
      </c>
      <c r="E228" s="159"/>
      <c r="F228" s="159">
        <f>5771.37+13.18</f>
        <v>5784.55</v>
      </c>
      <c r="G228" s="165">
        <f>+G227+F228-E228</f>
        <v>11428.56</v>
      </c>
      <c r="H228" s="20"/>
      <c r="I228" s="167">
        <f>IF(B228&gt;0,(Parametros!$H$11-'Calculo Intereses COOPS'!B228),0)</f>
        <v>321</v>
      </c>
      <c r="J228" s="168">
        <f>(F228-E228)*Parametros!$H$37/365*'Calculo Intereses COOPS'!I228</f>
        <v>279.79789109589041</v>
      </c>
      <c r="K228" s="169">
        <f>+J228+K227</f>
        <v>590.2184410958904</v>
      </c>
    </row>
    <row r="229" spans="2:12" x14ac:dyDescent="0.25">
      <c r="B229" s="160">
        <v>42049</v>
      </c>
      <c r="C229" s="161"/>
      <c r="D229" s="162" t="s">
        <v>238</v>
      </c>
      <c r="E229" s="159"/>
      <c r="F229" s="159">
        <v>342.86</v>
      </c>
      <c r="G229" s="165">
        <f>+G228+F229</f>
        <v>11771.42</v>
      </c>
      <c r="H229" s="20"/>
      <c r="I229" s="167">
        <f>IF(B229&gt;0,(Parametros!$H$11-'Calculo Intereses COOPS'!B229),0)</f>
        <v>320</v>
      </c>
      <c r="J229" s="168">
        <f>(F229-E229)*Parametros!$H$37/365*'Calculo Intereses COOPS'!I229</f>
        <v>16.532427397260278</v>
      </c>
      <c r="K229" s="169">
        <f t="shared" ref="K229:K242" si="22">+J229+K228</f>
        <v>606.75086849315062</v>
      </c>
    </row>
    <row r="230" spans="2:12" x14ac:dyDescent="0.25">
      <c r="B230" s="160"/>
      <c r="C230" s="161"/>
      <c r="D230" s="162"/>
      <c r="E230" s="159">
        <v>11428.57</v>
      </c>
      <c r="F230" s="159"/>
      <c r="G230" s="165">
        <f>+G229+F230</f>
        <v>11771.42</v>
      </c>
      <c r="H230" s="20"/>
      <c r="I230" s="167">
        <f>IF(B230&gt;0,(Parametros!$H$11-'Calculo Intereses COOPS'!B230),0)</f>
        <v>0</v>
      </c>
      <c r="J230" s="168">
        <f>(F230-E230)*Parametros!$H$37/365*'Calculo Intereses COOPS'!I230</f>
        <v>0</v>
      </c>
      <c r="K230" s="169">
        <f t="shared" si="22"/>
        <v>606.75086849315062</v>
      </c>
    </row>
    <row r="231" spans="2:12" x14ac:dyDescent="0.25">
      <c r="B231" s="160"/>
      <c r="C231" s="161"/>
      <c r="D231" s="162"/>
      <c r="E231" s="159">
        <f>+E230-F228-F227</f>
        <v>1.0000000000218279E-2</v>
      </c>
      <c r="F231" s="159"/>
      <c r="G231" s="165">
        <f>+G230+F231</f>
        <v>11771.42</v>
      </c>
      <c r="H231" s="20"/>
      <c r="I231" s="167">
        <f>IF(B231&gt;0,(Parametros!$H$11-'Calculo Intereses COOPS'!B231),0)</f>
        <v>0</v>
      </c>
      <c r="J231" s="168">
        <f>(F231-E231)*Parametros!$H$37/365*'Calculo Intereses COOPS'!I231</f>
        <v>0</v>
      </c>
      <c r="K231" s="169">
        <f t="shared" si="22"/>
        <v>606.75086849315062</v>
      </c>
    </row>
    <row r="232" spans="2:12" x14ac:dyDescent="0.25">
      <c r="B232" s="160"/>
      <c r="C232" s="161"/>
      <c r="D232" s="162"/>
      <c r="E232" s="159"/>
      <c r="F232" s="159"/>
      <c r="G232" s="165">
        <f>+G231+F232</f>
        <v>11771.42</v>
      </c>
      <c r="H232" s="20"/>
      <c r="I232" s="167">
        <f>IF(B232&gt;0,(Parametros!$H$11-'Calculo Intereses COOPS'!B232),0)</f>
        <v>0</v>
      </c>
      <c r="J232" s="168">
        <f>(F232-E232)*Parametros!$H$37/365*'Calculo Intereses COOPS'!I232</f>
        <v>0</v>
      </c>
      <c r="K232" s="169">
        <f t="shared" si="22"/>
        <v>606.75086849315062</v>
      </c>
    </row>
    <row r="233" spans="2:12" x14ac:dyDescent="0.25">
      <c r="B233" s="160"/>
      <c r="C233" s="161"/>
      <c r="D233" s="163"/>
      <c r="E233" s="159"/>
      <c r="F233" s="159"/>
      <c r="G233" s="165">
        <f t="shared" ref="G233:G241" si="23">+G232+F233</f>
        <v>11771.42</v>
      </c>
      <c r="H233" s="20"/>
      <c r="I233" s="167">
        <f>IF(B233&gt;0,(Parametros!$H$11-'Calculo Intereses COOPS'!B233),0)</f>
        <v>0</v>
      </c>
      <c r="J233" s="168">
        <f>(F233-E233)*Parametros!$H$37/365*'Calculo Intereses COOPS'!I233</f>
        <v>0</v>
      </c>
      <c r="K233" s="169">
        <f t="shared" si="22"/>
        <v>606.75086849315062</v>
      </c>
    </row>
    <row r="234" spans="2:12" x14ac:dyDescent="0.25">
      <c r="B234" s="160"/>
      <c r="C234" s="161"/>
      <c r="D234" s="163"/>
      <c r="E234" s="159"/>
      <c r="F234" s="159"/>
      <c r="G234" s="165">
        <f t="shared" si="23"/>
        <v>11771.42</v>
      </c>
      <c r="H234" s="20"/>
      <c r="I234" s="167">
        <f>IF(B234&gt;0,(Parametros!$H$11-'Calculo Intereses COOPS'!B234),0)</f>
        <v>0</v>
      </c>
      <c r="J234" s="168">
        <f>(F234-E234)*Parametros!$H$37/365*'Calculo Intereses COOPS'!I234</f>
        <v>0</v>
      </c>
      <c r="K234" s="169">
        <f t="shared" si="22"/>
        <v>606.75086849315062</v>
      </c>
    </row>
    <row r="235" spans="2:12" x14ac:dyDescent="0.25">
      <c r="B235" s="160"/>
      <c r="C235" s="161"/>
      <c r="D235" s="163"/>
      <c r="E235" s="159"/>
      <c r="F235" s="159"/>
      <c r="G235" s="165">
        <f t="shared" si="23"/>
        <v>11771.42</v>
      </c>
      <c r="H235" s="20"/>
      <c r="I235" s="167">
        <f>IF(B235&gt;0,(Parametros!$H$11-'Calculo Intereses COOPS'!B235),0)</f>
        <v>0</v>
      </c>
      <c r="J235" s="168">
        <f>(F235-E235)*Parametros!$H$37/365*'Calculo Intereses COOPS'!I235</f>
        <v>0</v>
      </c>
      <c r="K235" s="169">
        <f t="shared" si="22"/>
        <v>606.75086849315062</v>
      </c>
    </row>
    <row r="236" spans="2:12" x14ac:dyDescent="0.25">
      <c r="B236" s="160"/>
      <c r="C236" s="161"/>
      <c r="D236" s="163"/>
      <c r="E236" s="159"/>
      <c r="F236" s="159"/>
      <c r="G236" s="165">
        <f t="shared" si="23"/>
        <v>11771.42</v>
      </c>
      <c r="H236" s="20"/>
      <c r="I236" s="167">
        <f>IF(B236&gt;0,(Parametros!$H$11-'Calculo Intereses COOPS'!B236),0)</f>
        <v>0</v>
      </c>
      <c r="J236" s="168">
        <f>(F236-E236)*Parametros!$H$37/365*'Calculo Intereses COOPS'!I236</f>
        <v>0</v>
      </c>
      <c r="K236" s="169">
        <f t="shared" si="22"/>
        <v>606.75086849315062</v>
      </c>
    </row>
    <row r="237" spans="2:12" x14ac:dyDescent="0.25">
      <c r="B237" s="160"/>
      <c r="C237" s="161"/>
      <c r="D237" s="163"/>
      <c r="E237" s="159"/>
      <c r="F237" s="159"/>
      <c r="G237" s="165">
        <f t="shared" si="23"/>
        <v>11771.42</v>
      </c>
      <c r="H237" s="20"/>
      <c r="I237" s="167">
        <f>IF(B237&gt;0,(Parametros!$H$11-'Calculo Intereses COOPS'!B237),0)</f>
        <v>0</v>
      </c>
      <c r="J237" s="168">
        <f>(F237-E237)*Parametros!$H$37/365*'Calculo Intereses COOPS'!I237</f>
        <v>0</v>
      </c>
      <c r="K237" s="169">
        <f t="shared" si="22"/>
        <v>606.75086849315062</v>
      </c>
    </row>
    <row r="238" spans="2:12" x14ac:dyDescent="0.25">
      <c r="B238" s="160"/>
      <c r="C238" s="161"/>
      <c r="D238" s="163"/>
      <c r="E238" s="159"/>
      <c r="F238" s="159"/>
      <c r="G238" s="165">
        <f t="shared" si="23"/>
        <v>11771.42</v>
      </c>
      <c r="H238" s="20"/>
      <c r="I238" s="167">
        <f>IF(B238&gt;0,(Parametros!$H$11-'Calculo Intereses COOPS'!B238),0)</f>
        <v>0</v>
      </c>
      <c r="J238" s="168">
        <f>(F238-E238)*Parametros!$H$37/365*'Calculo Intereses COOPS'!I238</f>
        <v>0</v>
      </c>
      <c r="K238" s="169">
        <f t="shared" si="22"/>
        <v>606.75086849315062</v>
      </c>
    </row>
    <row r="239" spans="2:12" x14ac:dyDescent="0.25">
      <c r="B239" s="160"/>
      <c r="C239" s="161"/>
      <c r="D239" s="163"/>
      <c r="E239" s="159"/>
      <c r="F239" s="159"/>
      <c r="G239" s="165">
        <f t="shared" si="23"/>
        <v>11771.42</v>
      </c>
      <c r="H239" s="20"/>
      <c r="I239" s="167">
        <f>IF(B239&gt;0,(Parametros!$H$11-'Calculo Intereses COOPS'!B239),0)</f>
        <v>0</v>
      </c>
      <c r="J239" s="168">
        <f>(F239-E239)*Parametros!$H$37/365*'Calculo Intereses COOPS'!I239</f>
        <v>0</v>
      </c>
      <c r="K239" s="169">
        <f t="shared" si="22"/>
        <v>606.75086849315062</v>
      </c>
    </row>
    <row r="240" spans="2:12" x14ac:dyDescent="0.25">
      <c r="B240" s="160"/>
      <c r="C240" s="161"/>
      <c r="D240" s="163"/>
      <c r="E240" s="159"/>
      <c r="F240" s="159"/>
      <c r="G240" s="165">
        <f t="shared" si="23"/>
        <v>11771.42</v>
      </c>
      <c r="H240" s="20"/>
      <c r="I240" s="167">
        <f>IF(B240&gt;0,(Parametros!$H$11-'Calculo Intereses COOPS'!B240),0)</f>
        <v>0</v>
      </c>
      <c r="J240" s="168">
        <f>(F240-E240)*Parametros!$H$37/365*'Calculo Intereses COOPS'!I240</f>
        <v>0</v>
      </c>
      <c r="K240" s="169">
        <f t="shared" si="22"/>
        <v>606.75086849315062</v>
      </c>
    </row>
    <row r="241" spans="2:11" x14ac:dyDescent="0.25">
      <c r="B241" s="160"/>
      <c r="C241" s="161"/>
      <c r="D241" s="163"/>
      <c r="E241" s="159"/>
      <c r="F241" s="159"/>
      <c r="G241" s="165">
        <f t="shared" si="23"/>
        <v>11771.42</v>
      </c>
      <c r="H241" s="20"/>
      <c r="I241" s="167">
        <f>IF(B241&gt;0,(Parametros!$H$11-'Calculo Intereses COOPS'!B241),0)</f>
        <v>0</v>
      </c>
      <c r="J241" s="168">
        <f>(F241-E241)*Parametros!$H$37/365*'Calculo Intereses COOPS'!I241</f>
        <v>0</v>
      </c>
      <c r="K241" s="169">
        <f t="shared" si="22"/>
        <v>606.75086849315062</v>
      </c>
    </row>
    <row r="242" spans="2:11" x14ac:dyDescent="0.25">
      <c r="B242" s="160"/>
      <c r="C242" s="161"/>
      <c r="D242" s="163"/>
      <c r="E242" s="159"/>
      <c r="F242" s="159"/>
      <c r="G242" s="165">
        <f>+G241+F242</f>
        <v>11771.42</v>
      </c>
      <c r="H242" s="20"/>
      <c r="I242" s="167">
        <f>IF(B242&gt;0,(Parametros!$H$11-'Calculo Intereses COOPS'!B242),0)</f>
        <v>0</v>
      </c>
      <c r="J242" s="168">
        <f>(F242-E242)*Parametros!$H$37/365*'Calculo Intereses COOPS'!I242</f>
        <v>0</v>
      </c>
      <c r="K242" s="169">
        <f t="shared" si="22"/>
        <v>606.75086849315062</v>
      </c>
    </row>
    <row r="243" spans="2:11" x14ac:dyDescent="0.25">
      <c r="B243" s="20"/>
      <c r="C243" s="20"/>
      <c r="D243" s="52" t="s">
        <v>21</v>
      </c>
      <c r="E243" s="166">
        <f>SUM(E227:E242)</f>
        <v>11428.58</v>
      </c>
      <c r="F243" s="166">
        <f>SUM(F227:F242)</f>
        <v>11771.42</v>
      </c>
      <c r="G243" s="166">
        <f>+G242</f>
        <v>11771.42</v>
      </c>
      <c r="J243" s="170">
        <f>SUM(J227:J242)</f>
        <v>606.75086849315062</v>
      </c>
    </row>
    <row r="245" spans="2:11" x14ac:dyDescent="0.25">
      <c r="B245" s="172" t="str">
        <f>CONCATENATE("APORTACIONES Y CALCULO DE INTERESES CORRESPONDIENTES AL AÑO ",YEAR(Parametros!$H$11))</f>
        <v>APORTACIONES Y CALCULO DE INTERESES CORRESPONDIENTES AL AÑO 2015</v>
      </c>
      <c r="C245" s="53"/>
      <c r="D245" s="53"/>
      <c r="E245" s="54"/>
      <c r="F245" s="54"/>
      <c r="G245" s="54"/>
      <c r="H245" s="20"/>
      <c r="I245" s="55"/>
      <c r="J245" s="56"/>
      <c r="K245" s="20"/>
    </row>
    <row r="246" spans="2:11" x14ac:dyDescent="0.25">
      <c r="B246" s="69" t="s">
        <v>186</v>
      </c>
      <c r="C246" s="173" t="str">
        <f>+'Calculo Excedentes'!A18</f>
        <v>CA-12</v>
      </c>
      <c r="D246" s="171" t="s">
        <v>187</v>
      </c>
      <c r="E246" s="176" t="str">
        <f>+'Calculo Excedentes'!B18</f>
        <v>ACACYPAC</v>
      </c>
      <c r="F246" s="174"/>
      <c r="G246" s="175"/>
      <c r="H246" s="20"/>
      <c r="I246" s="39" t="s">
        <v>73</v>
      </c>
      <c r="J246" s="39" t="s">
        <v>74</v>
      </c>
      <c r="K246" s="39" t="s">
        <v>75</v>
      </c>
    </row>
    <row r="247" spans="2:11" x14ac:dyDescent="0.25">
      <c r="B247" s="40" t="s">
        <v>76</v>
      </c>
      <c r="C247" s="40" t="s">
        <v>77</v>
      </c>
      <c r="D247" s="40" t="s">
        <v>78</v>
      </c>
      <c r="E247" s="40" t="s">
        <v>79</v>
      </c>
      <c r="F247" s="40" t="s">
        <v>80</v>
      </c>
      <c r="G247" s="40" t="s">
        <v>81</v>
      </c>
      <c r="H247" s="20"/>
      <c r="I247" s="42" t="s">
        <v>82</v>
      </c>
      <c r="J247" s="164" t="s">
        <v>185</v>
      </c>
      <c r="K247" s="42" t="s">
        <v>84</v>
      </c>
    </row>
    <row r="248" spans="2:11" x14ac:dyDescent="0.25">
      <c r="B248" s="158">
        <f>+Parametros!$H$11-365</f>
        <v>42004</v>
      </c>
      <c r="C248" s="161"/>
      <c r="D248" s="162"/>
      <c r="E248" s="159"/>
      <c r="F248" s="159">
        <f>+'[2]produccion cooperativas asociad'!$E$13</f>
        <v>93317.27</v>
      </c>
      <c r="G248" s="165">
        <f>+F248-E248</f>
        <v>93317.27</v>
      </c>
      <c r="H248" s="20"/>
      <c r="I248" s="167">
        <f>IF(B248&gt;0,(Parametros!$H$11-'Calculo Intereses COOPS'!B248),0)</f>
        <v>365</v>
      </c>
      <c r="J248" s="168">
        <f>(F248-E248)*Parametros!$H$37/365*'Calculo Intereses COOPS'!I248</f>
        <v>5132.44985</v>
      </c>
      <c r="K248" s="169">
        <f>+J248</f>
        <v>5132.44985</v>
      </c>
    </row>
    <row r="249" spans="2:11" x14ac:dyDescent="0.25">
      <c r="B249" s="160">
        <v>41849</v>
      </c>
      <c r="C249" s="221"/>
      <c r="D249" s="162" t="s">
        <v>88</v>
      </c>
      <c r="E249" s="159"/>
      <c r="F249" s="159">
        <v>2000</v>
      </c>
      <c r="G249" s="165">
        <f>+G248+F249-E249</f>
        <v>95317.27</v>
      </c>
      <c r="H249" s="20"/>
      <c r="I249" s="167">
        <f>IF(B249&gt;0,(Parametros!$H$11-'Calculo Intereses COOPS'!B249),0)</f>
        <v>520</v>
      </c>
      <c r="J249" s="168">
        <f>(F249-E249)*Parametros!$H$37/365*'Calculo Intereses COOPS'!I249</f>
        <v>156.71232876712327</v>
      </c>
      <c r="K249" s="169">
        <f>+J249+K248</f>
        <v>5289.1621787671229</v>
      </c>
    </row>
    <row r="250" spans="2:11" x14ac:dyDescent="0.25">
      <c r="B250" s="160">
        <v>42049</v>
      </c>
      <c r="C250" s="221"/>
      <c r="D250" s="162" t="s">
        <v>239</v>
      </c>
      <c r="E250" s="159"/>
      <c r="F250" s="159">
        <v>6742.87</v>
      </c>
      <c r="G250" s="165">
        <f t="shared" ref="G250:G263" si="24">+G249+F250-E250</f>
        <v>102060.14</v>
      </c>
      <c r="H250" s="20"/>
      <c r="I250" s="167">
        <f>IF(B250&gt;0,(Parametros!$H$11-'Calculo Intereses COOPS'!B250),0)</f>
        <v>320</v>
      </c>
      <c r="J250" s="168">
        <f>(F250-E250)*Parametros!$H$37/365*'Calculo Intereses COOPS'!I250</f>
        <v>325.13564931506846</v>
      </c>
      <c r="K250" s="169">
        <f t="shared" ref="K250:K263" si="25">+J250+K249</f>
        <v>5614.2978280821917</v>
      </c>
    </row>
    <row r="251" spans="2:11" x14ac:dyDescent="0.25">
      <c r="B251" s="160">
        <v>42215</v>
      </c>
      <c r="C251" s="221"/>
      <c r="D251" s="162" t="s">
        <v>88</v>
      </c>
      <c r="E251" s="159"/>
      <c r="F251" s="159">
        <v>1942.93</v>
      </c>
      <c r="G251" s="165">
        <f t="shared" si="24"/>
        <v>104003.06999999999</v>
      </c>
      <c r="H251" s="20"/>
      <c r="I251" s="167">
        <f>IF(B251&gt;0,(Parametros!$H$11-'Calculo Intereses COOPS'!B251),0)</f>
        <v>154</v>
      </c>
      <c r="J251" s="168">
        <f>(F251-E251)*Parametros!$H$37/365*'Calculo Intereses COOPS'!I251</f>
        <v>45.086622191780826</v>
      </c>
      <c r="K251" s="169">
        <f t="shared" si="25"/>
        <v>5659.3844502739721</v>
      </c>
    </row>
    <row r="252" spans="2:11" x14ac:dyDescent="0.25">
      <c r="B252" s="160">
        <v>42235</v>
      </c>
      <c r="C252" s="221"/>
      <c r="D252" s="162" t="s">
        <v>88</v>
      </c>
      <c r="E252" s="159"/>
      <c r="F252" s="159">
        <v>2000</v>
      </c>
      <c r="G252" s="165">
        <f t="shared" si="24"/>
        <v>106003.06999999999</v>
      </c>
      <c r="H252" s="20"/>
      <c r="I252" s="167">
        <f>IF(B252&gt;0,(Parametros!$H$11-'Calculo Intereses COOPS'!B252),0)</f>
        <v>134</v>
      </c>
      <c r="J252" s="168">
        <f>(F252-E252)*Parametros!$H$37/365*'Calculo Intereses COOPS'!I252</f>
        <v>40.383561643835613</v>
      </c>
      <c r="K252" s="169">
        <f t="shared" si="25"/>
        <v>5699.7680119178076</v>
      </c>
    </row>
    <row r="253" spans="2:11" x14ac:dyDescent="0.25">
      <c r="B253" s="160">
        <v>42249</v>
      </c>
      <c r="C253" s="221"/>
      <c r="D253" s="162" t="s">
        <v>88</v>
      </c>
      <c r="E253" s="159"/>
      <c r="F253" s="159">
        <v>2000</v>
      </c>
      <c r="G253" s="165">
        <f t="shared" si="24"/>
        <v>108003.06999999999</v>
      </c>
      <c r="H253" s="20"/>
      <c r="I253" s="167">
        <f>IF(B253&gt;0,(Parametros!$H$11-'Calculo Intereses COOPS'!B253),0)</f>
        <v>120</v>
      </c>
      <c r="J253" s="168">
        <f>(F253-E253)*Parametros!$H$37/365*'Calculo Intereses COOPS'!I253</f>
        <v>36.164383561643831</v>
      </c>
      <c r="K253" s="169">
        <f t="shared" si="25"/>
        <v>5735.9323954794518</v>
      </c>
    </row>
    <row r="254" spans="2:11" x14ac:dyDescent="0.25">
      <c r="B254" s="160">
        <v>42280</v>
      </c>
      <c r="C254" s="161"/>
      <c r="D254" s="162" t="s">
        <v>88</v>
      </c>
      <c r="E254" s="159"/>
      <c r="F254" s="159">
        <v>2000</v>
      </c>
      <c r="G254" s="165">
        <f t="shared" si="24"/>
        <v>110003.06999999999</v>
      </c>
      <c r="H254" s="20"/>
      <c r="I254" s="167">
        <f>IF(B254&gt;0,(Parametros!$H$11-'Calculo Intereses COOPS'!B254),0)</f>
        <v>89</v>
      </c>
      <c r="J254" s="168">
        <f>(F254-E254)*Parametros!$H$37/365*'Calculo Intereses COOPS'!I254</f>
        <v>26.821917808219176</v>
      </c>
      <c r="K254" s="169">
        <f t="shared" si="25"/>
        <v>5762.7543132876708</v>
      </c>
    </row>
    <row r="255" spans="2:11" x14ac:dyDescent="0.25">
      <c r="B255" s="160">
        <v>42312</v>
      </c>
      <c r="C255" s="161"/>
      <c r="D255" s="162" t="s">
        <v>88</v>
      </c>
      <c r="E255" s="159"/>
      <c r="F255" s="159">
        <v>2000</v>
      </c>
      <c r="G255" s="165">
        <f t="shared" si="24"/>
        <v>112003.06999999999</v>
      </c>
      <c r="H255" s="20"/>
      <c r="I255" s="167">
        <f>IF(B255&gt;0,(Parametros!$H$11-'Calculo Intereses COOPS'!B255),0)</f>
        <v>57</v>
      </c>
      <c r="J255" s="168">
        <f>(F255-E255)*Parametros!$H$37/365*'Calculo Intereses COOPS'!I255</f>
        <v>17.17808219178082</v>
      </c>
      <c r="K255" s="169">
        <f t="shared" si="25"/>
        <v>5779.9323954794518</v>
      </c>
    </row>
    <row r="256" spans="2:11" x14ac:dyDescent="0.25">
      <c r="B256" s="160">
        <v>42353</v>
      </c>
      <c r="C256" s="161"/>
      <c r="D256" s="162" t="s">
        <v>88</v>
      </c>
      <c r="E256" s="159"/>
      <c r="F256" s="159">
        <v>2000</v>
      </c>
      <c r="G256" s="165">
        <f t="shared" si="24"/>
        <v>114003.06999999999</v>
      </c>
      <c r="H256" s="20"/>
      <c r="I256" s="167">
        <f>IF(B256&gt;0,(Parametros!$H$11-'Calculo Intereses COOPS'!B256),0)</f>
        <v>16</v>
      </c>
      <c r="J256" s="168">
        <f>(F256-E256)*Parametros!$H$37/365*'Calculo Intereses COOPS'!I256</f>
        <v>4.8219178082191778</v>
      </c>
      <c r="K256" s="169">
        <f t="shared" si="25"/>
        <v>5784.7543132876708</v>
      </c>
    </row>
    <row r="257" spans="2:11" x14ac:dyDescent="0.25">
      <c r="B257" s="160">
        <v>42338</v>
      </c>
      <c r="C257" s="161"/>
      <c r="D257" s="162" t="s">
        <v>274</v>
      </c>
      <c r="E257" s="159"/>
      <c r="F257" s="159">
        <v>20.32</v>
      </c>
      <c r="G257" s="165">
        <f t="shared" si="24"/>
        <v>114023.39</v>
      </c>
      <c r="H257" s="20"/>
      <c r="I257" s="167">
        <f>IF(B257&gt;0,(Parametros!$H$11-'Calculo Intereses COOPS'!B257),0)</f>
        <v>31</v>
      </c>
      <c r="J257" s="168">
        <f>(F257-E257)*Parametros!$H$37/365*'Calculo Intereses COOPS'!I257</f>
        <v>9.4919452054794504E-2</v>
      </c>
      <c r="K257" s="169">
        <f t="shared" si="25"/>
        <v>5784.8492327397253</v>
      </c>
    </row>
    <row r="258" spans="2:11" x14ac:dyDescent="0.25">
      <c r="B258" s="160"/>
      <c r="C258" s="161"/>
      <c r="D258" s="163"/>
      <c r="E258" s="159"/>
      <c r="F258" s="159"/>
      <c r="G258" s="165">
        <f t="shared" si="24"/>
        <v>114023.39</v>
      </c>
      <c r="H258" s="20"/>
      <c r="I258" s="167">
        <f>IF(B258&gt;0,(Parametros!$H$11-'Calculo Intereses COOPS'!B258),0)</f>
        <v>0</v>
      </c>
      <c r="J258" s="168">
        <f>(F258-E258)*Parametros!$H$37/365*'Calculo Intereses COOPS'!I258</f>
        <v>0</v>
      </c>
      <c r="K258" s="169">
        <f t="shared" si="25"/>
        <v>5784.8492327397253</v>
      </c>
    </row>
    <row r="259" spans="2:11" x14ac:dyDescent="0.25">
      <c r="B259" s="160"/>
      <c r="C259" s="161"/>
      <c r="D259" s="163"/>
      <c r="E259" s="159"/>
      <c r="F259" s="159"/>
      <c r="G259" s="165">
        <f t="shared" si="24"/>
        <v>114023.39</v>
      </c>
      <c r="H259" s="20"/>
      <c r="I259" s="167">
        <f>IF(B259&gt;0,(Parametros!$H$11-'Calculo Intereses COOPS'!B259),0)</f>
        <v>0</v>
      </c>
      <c r="J259" s="168">
        <f>(F259-E259)*Parametros!$H$37/365*'Calculo Intereses COOPS'!I259</f>
        <v>0</v>
      </c>
      <c r="K259" s="169">
        <f t="shared" si="25"/>
        <v>5784.8492327397253</v>
      </c>
    </row>
    <row r="260" spans="2:11" x14ac:dyDescent="0.25">
      <c r="B260" s="160"/>
      <c r="C260" s="161"/>
      <c r="D260" s="163"/>
      <c r="E260" s="159"/>
      <c r="F260" s="159"/>
      <c r="G260" s="165">
        <f t="shared" si="24"/>
        <v>114023.39</v>
      </c>
      <c r="H260" s="20"/>
      <c r="I260" s="167">
        <f>IF(B260&gt;0,(Parametros!$H$11-'Calculo Intereses COOPS'!B260),0)</f>
        <v>0</v>
      </c>
      <c r="J260" s="168">
        <f>(F260-E260)*Parametros!$H$37/365*'Calculo Intereses COOPS'!I260</f>
        <v>0</v>
      </c>
      <c r="K260" s="169">
        <f t="shared" si="25"/>
        <v>5784.8492327397253</v>
      </c>
    </row>
    <row r="261" spans="2:11" x14ac:dyDescent="0.25">
      <c r="B261" s="160"/>
      <c r="C261" s="161"/>
      <c r="D261" s="163"/>
      <c r="E261" s="159"/>
      <c r="F261" s="159"/>
      <c r="G261" s="165">
        <f t="shared" si="24"/>
        <v>114023.39</v>
      </c>
      <c r="H261" s="20"/>
      <c r="I261" s="167">
        <f>IF(B261&gt;0,(Parametros!$H$11-'Calculo Intereses COOPS'!B261),0)</f>
        <v>0</v>
      </c>
      <c r="J261" s="168">
        <f>(F261-E261)*Parametros!$H$37/365*'Calculo Intereses COOPS'!I261</f>
        <v>0</v>
      </c>
      <c r="K261" s="169">
        <f t="shared" si="25"/>
        <v>5784.8492327397253</v>
      </c>
    </row>
    <row r="262" spans="2:11" x14ac:dyDescent="0.25">
      <c r="B262" s="160"/>
      <c r="C262" s="161"/>
      <c r="D262" s="163"/>
      <c r="E262" s="159"/>
      <c r="F262" s="159"/>
      <c r="G262" s="165">
        <f t="shared" si="24"/>
        <v>114023.39</v>
      </c>
      <c r="H262" s="20"/>
      <c r="I262" s="167">
        <f>IF(B262&gt;0,(Parametros!$H$11-'Calculo Intereses COOPS'!B262),0)</f>
        <v>0</v>
      </c>
      <c r="J262" s="168">
        <f>(F262-E262)*Parametros!$H$37/365*'Calculo Intereses COOPS'!I262</f>
        <v>0</v>
      </c>
      <c r="K262" s="169">
        <f t="shared" si="25"/>
        <v>5784.8492327397253</v>
      </c>
    </row>
    <row r="263" spans="2:11" x14ac:dyDescent="0.25">
      <c r="B263" s="160"/>
      <c r="C263" s="161"/>
      <c r="D263" s="163"/>
      <c r="E263" s="159"/>
      <c r="F263" s="159"/>
      <c r="G263" s="165">
        <f t="shared" si="24"/>
        <v>114023.39</v>
      </c>
      <c r="H263" s="20"/>
      <c r="I263" s="167">
        <f>IF(B263&gt;0,(Parametros!$H$11-'Calculo Intereses COOPS'!B263),0)</f>
        <v>0</v>
      </c>
      <c r="J263" s="168">
        <f>(F263-E263)*Parametros!$H$37/365*'Calculo Intereses COOPS'!I263</f>
        <v>0</v>
      </c>
      <c r="K263" s="169">
        <f t="shared" si="25"/>
        <v>5784.8492327397253</v>
      </c>
    </row>
    <row r="264" spans="2:11" x14ac:dyDescent="0.25">
      <c r="B264" s="20"/>
      <c r="C264" s="20"/>
      <c r="D264" s="52" t="s">
        <v>21</v>
      </c>
      <c r="E264" s="166">
        <f>SUM(E248:E263)</f>
        <v>0</v>
      </c>
      <c r="F264" s="166">
        <f>SUM(F248:F263)</f>
        <v>114023.39</v>
      </c>
      <c r="G264" s="166">
        <f>+G263</f>
        <v>114023.39</v>
      </c>
      <c r="J264" s="170">
        <f>SUM(J248:J263)</f>
        <v>5784.8492327397253</v>
      </c>
    </row>
    <row r="266" spans="2:11" x14ac:dyDescent="0.25">
      <c r="B266" s="172" t="str">
        <f>CONCATENATE("APORTACIONES Y CALCULO DE INTERESES CORRESPONDIENTES AL AÑO ",YEAR(Parametros!$H$11))</f>
        <v>APORTACIONES Y CALCULO DE INTERESES CORRESPONDIENTES AL AÑO 2015</v>
      </c>
      <c r="C266" s="53"/>
      <c r="D266" s="53"/>
      <c r="E266" s="54"/>
      <c r="F266" s="54"/>
      <c r="G266" s="54"/>
      <c r="H266" s="20"/>
      <c r="I266" s="55"/>
      <c r="J266" s="56"/>
      <c r="K266" s="20"/>
    </row>
    <row r="267" spans="2:11" x14ac:dyDescent="0.25">
      <c r="B267" s="69" t="s">
        <v>186</v>
      </c>
      <c r="C267" s="173" t="str">
        <f>+'Calculo Excedentes'!A19</f>
        <v>CA-13</v>
      </c>
      <c r="D267" s="171" t="s">
        <v>187</v>
      </c>
      <c r="E267" s="176" t="str">
        <f>+'Calculo Excedentes'!B19</f>
        <v>COANDES</v>
      </c>
      <c r="F267" s="174"/>
      <c r="G267" s="175"/>
      <c r="H267" s="20"/>
      <c r="I267" s="39" t="s">
        <v>73</v>
      </c>
      <c r="J267" s="39" t="s">
        <v>74</v>
      </c>
      <c r="K267" s="39" t="s">
        <v>75</v>
      </c>
    </row>
    <row r="268" spans="2:11" x14ac:dyDescent="0.25">
      <c r="B268" s="40" t="s">
        <v>76</v>
      </c>
      <c r="C268" s="40" t="s">
        <v>77</v>
      </c>
      <c r="D268" s="40" t="s">
        <v>78</v>
      </c>
      <c r="E268" s="40" t="s">
        <v>79</v>
      </c>
      <c r="F268" s="40" t="s">
        <v>80</v>
      </c>
      <c r="G268" s="40" t="s">
        <v>81</v>
      </c>
      <c r="H268" s="20"/>
      <c r="I268" s="42" t="s">
        <v>82</v>
      </c>
      <c r="J268" s="164" t="s">
        <v>185</v>
      </c>
      <c r="K268" s="42" t="s">
        <v>84</v>
      </c>
    </row>
    <row r="269" spans="2:11" x14ac:dyDescent="0.25">
      <c r="B269" s="158">
        <f>+Parametros!$H$11-365</f>
        <v>42004</v>
      </c>
      <c r="C269" s="161"/>
      <c r="D269" s="162"/>
      <c r="E269" s="159"/>
      <c r="F269" s="159">
        <f>+'[2]produccion cooperativas asociad'!$E$14</f>
        <v>29942.65</v>
      </c>
      <c r="G269" s="165">
        <f>+F269-E269</f>
        <v>29942.65</v>
      </c>
      <c r="H269" s="20"/>
      <c r="I269" s="167">
        <f>IF(B269&gt;0,(Parametros!$H$11-'Calculo Intereses COOPS'!B269),0)</f>
        <v>365</v>
      </c>
      <c r="J269" s="168">
        <f>(F269-E269)*Parametros!$H$37/365*'Calculo Intereses COOPS'!I269</f>
        <v>1646.8457500000004</v>
      </c>
      <c r="K269" s="169">
        <f>+J269</f>
        <v>1646.8457500000004</v>
      </c>
    </row>
    <row r="270" spans="2:11" x14ac:dyDescent="0.25">
      <c r="B270" s="160">
        <v>42035</v>
      </c>
      <c r="C270" s="161"/>
      <c r="D270" s="162" t="s">
        <v>88</v>
      </c>
      <c r="E270" s="159"/>
      <c r="F270" s="159">
        <f>+[3]Sheet1!$AA$555</f>
        <v>114.28</v>
      </c>
      <c r="G270" s="165">
        <f>+G269+F270-E270</f>
        <v>30056.93</v>
      </c>
      <c r="H270" s="20"/>
      <c r="I270" s="167">
        <f>IF(B270&gt;0,(Parametros!$H$11-'Calculo Intereses COOPS'!B270),0)</f>
        <v>334</v>
      </c>
      <c r="J270" s="168">
        <f>(F270-E270)*Parametros!$H$37/365*'Calculo Intereses COOPS'!I270</f>
        <v>5.7515715068493147</v>
      </c>
      <c r="K270" s="169">
        <f>+J270+K269</f>
        <v>1652.5973215068498</v>
      </c>
    </row>
    <row r="271" spans="2:11" x14ac:dyDescent="0.25">
      <c r="B271" s="160">
        <v>42063</v>
      </c>
      <c r="C271" s="161"/>
      <c r="D271" s="162" t="s">
        <v>88</v>
      </c>
      <c r="E271" s="159"/>
      <c r="F271" s="159">
        <f>+[3]Sheet1!$AA$555</f>
        <v>114.28</v>
      </c>
      <c r="G271" s="165">
        <f t="shared" ref="G271:G285" si="26">+G270+F271-E271</f>
        <v>30171.21</v>
      </c>
      <c r="H271" s="20"/>
      <c r="I271" s="167">
        <f>IF(B271&gt;0,(Parametros!$H$11-'Calculo Intereses COOPS'!B271),0)</f>
        <v>306</v>
      </c>
      <c r="J271" s="168">
        <f>(F271-E271)*Parametros!$H$37/365*'Calculo Intereses COOPS'!I271</f>
        <v>5.2694038356164379</v>
      </c>
      <c r="K271" s="169">
        <f t="shared" ref="K271:K283" si="27">+J271+K270</f>
        <v>1657.8667253424662</v>
      </c>
    </row>
    <row r="272" spans="2:11" x14ac:dyDescent="0.25">
      <c r="B272" s="160">
        <v>42094</v>
      </c>
      <c r="C272" s="221"/>
      <c r="D272" s="162" t="s">
        <v>88</v>
      </c>
      <c r="E272" s="159"/>
      <c r="F272" s="159">
        <v>114.28</v>
      </c>
      <c r="G272" s="165">
        <f t="shared" si="26"/>
        <v>30285.489999999998</v>
      </c>
      <c r="H272" s="20"/>
      <c r="I272" s="167">
        <f>IF(B272&gt;0,(Parametros!$H$11-'Calculo Intereses COOPS'!B272),0)</f>
        <v>275</v>
      </c>
      <c r="J272" s="168">
        <f>(F272-E272)*Parametros!$H$37/365*'Calculo Intereses COOPS'!I272</f>
        <v>4.7355753424657534</v>
      </c>
      <c r="K272" s="169">
        <f t="shared" si="27"/>
        <v>1662.6023006849321</v>
      </c>
    </row>
    <row r="273" spans="2:11" x14ac:dyDescent="0.25">
      <c r="B273" s="160">
        <v>42049</v>
      </c>
      <c r="C273" s="161"/>
      <c r="D273" s="162" t="s">
        <v>236</v>
      </c>
      <c r="E273" s="159"/>
      <c r="F273" s="159">
        <v>2171.4299999999998</v>
      </c>
      <c r="G273" s="165">
        <f t="shared" si="26"/>
        <v>32456.92</v>
      </c>
      <c r="H273" s="20"/>
      <c r="I273" s="167">
        <f>IF(B273&gt;0,(Parametros!$H$11-'Calculo Intereses COOPS'!B273),0)</f>
        <v>320</v>
      </c>
      <c r="J273" s="168">
        <f>(F273-E273)*Parametros!$H$37/365*'Calculo Intereses COOPS'!I273</f>
        <v>104.7045698630137</v>
      </c>
      <c r="K273" s="169">
        <f t="shared" si="27"/>
        <v>1767.3068705479457</v>
      </c>
    </row>
    <row r="274" spans="2:11" x14ac:dyDescent="0.25">
      <c r="B274" s="160">
        <v>42104</v>
      </c>
      <c r="C274" s="221"/>
      <c r="D274" s="162" t="s">
        <v>88</v>
      </c>
      <c r="E274" s="159"/>
      <c r="F274" s="159">
        <v>114.28</v>
      </c>
      <c r="G274" s="165">
        <f t="shared" si="26"/>
        <v>32571.199999999997</v>
      </c>
      <c r="H274" s="20"/>
      <c r="I274" s="167">
        <f>IF(B274&gt;0,(Parametros!$H$11-'Calculo Intereses COOPS'!B274),0)</f>
        <v>265</v>
      </c>
      <c r="J274" s="168">
        <f>(F274-E274)*Parametros!$H$37/365*'Calculo Intereses COOPS'!I274</f>
        <v>4.5633726027397259</v>
      </c>
      <c r="K274" s="169">
        <f t="shared" si="27"/>
        <v>1771.8702431506854</v>
      </c>
    </row>
    <row r="275" spans="2:11" x14ac:dyDescent="0.25">
      <c r="B275" s="160">
        <v>42132</v>
      </c>
      <c r="C275" s="221"/>
      <c r="D275" s="162" t="s">
        <v>88</v>
      </c>
      <c r="E275" s="159"/>
      <c r="F275" s="159">
        <v>114.28</v>
      </c>
      <c r="G275" s="165">
        <f t="shared" si="26"/>
        <v>32685.479999999996</v>
      </c>
      <c r="H275" s="20"/>
      <c r="I275" s="167">
        <f>IF(B275&gt;0,(Parametros!$H$11-'Calculo Intereses COOPS'!B275),0)</f>
        <v>237</v>
      </c>
      <c r="J275" s="168">
        <f>(F275-E275)*Parametros!$H$37/365*'Calculo Intereses COOPS'!I275</f>
        <v>4.081204931506849</v>
      </c>
      <c r="K275" s="169">
        <f t="shared" si="27"/>
        <v>1775.9514480821922</v>
      </c>
    </row>
    <row r="276" spans="2:11" x14ac:dyDescent="0.25">
      <c r="B276" s="160">
        <v>42160</v>
      </c>
      <c r="C276" s="161"/>
      <c r="D276" s="162" t="s">
        <v>88</v>
      </c>
      <c r="E276" s="159"/>
      <c r="F276" s="159">
        <v>114.28</v>
      </c>
      <c r="G276" s="165">
        <f t="shared" si="26"/>
        <v>32799.759999999995</v>
      </c>
      <c r="H276" s="20"/>
      <c r="I276" s="167">
        <f>IF(B276&gt;0,(Parametros!$H$11-'Calculo Intereses COOPS'!B276),0)</f>
        <v>209</v>
      </c>
      <c r="J276" s="168">
        <f>(F276-E276)*Parametros!$H$37/365*'Calculo Intereses COOPS'!I276</f>
        <v>3.5990372602739726</v>
      </c>
      <c r="K276" s="169">
        <f t="shared" si="27"/>
        <v>1779.5504853424661</v>
      </c>
    </row>
    <row r="277" spans="2:11" x14ac:dyDescent="0.25">
      <c r="B277" s="160">
        <v>42195</v>
      </c>
      <c r="C277" s="161"/>
      <c r="D277" s="162" t="s">
        <v>88</v>
      </c>
      <c r="E277" s="159"/>
      <c r="F277" s="159">
        <v>114.28</v>
      </c>
      <c r="G277" s="165">
        <f t="shared" si="26"/>
        <v>32914.039999999994</v>
      </c>
      <c r="H277" s="20"/>
      <c r="I277" s="167">
        <f>IF(B277&gt;0,(Parametros!$H$11-'Calculo Intereses COOPS'!B277),0)</f>
        <v>174</v>
      </c>
      <c r="J277" s="168">
        <f>(F277-E277)*Parametros!$H$37/365*'Calculo Intereses COOPS'!I277</f>
        <v>2.9963276712328768</v>
      </c>
      <c r="K277" s="169">
        <f t="shared" si="27"/>
        <v>1782.546813013699</v>
      </c>
    </row>
    <row r="278" spans="2:11" x14ac:dyDescent="0.25">
      <c r="B278" s="160">
        <v>42230</v>
      </c>
      <c r="C278" s="161"/>
      <c r="D278" s="162" t="s">
        <v>88</v>
      </c>
      <c r="E278" s="159"/>
      <c r="F278" s="159">
        <v>114.28</v>
      </c>
      <c r="G278" s="165">
        <f t="shared" si="26"/>
        <v>33028.319999999992</v>
      </c>
      <c r="H278" s="20"/>
      <c r="I278" s="167">
        <f>IF(B278&gt;0,(Parametros!$H$11-'Calculo Intereses COOPS'!B278),0)</f>
        <v>139</v>
      </c>
      <c r="J278" s="168">
        <f>(F278-E278)*Parametros!$H$37/365*'Calculo Intereses COOPS'!I278</f>
        <v>2.393618082191781</v>
      </c>
      <c r="K278" s="169">
        <f t="shared" si="27"/>
        <v>1784.9404310958907</v>
      </c>
    </row>
    <row r="279" spans="2:11" x14ac:dyDescent="0.25">
      <c r="B279" s="160">
        <v>42286</v>
      </c>
      <c r="C279" s="161"/>
      <c r="D279" s="162" t="s">
        <v>88</v>
      </c>
      <c r="E279" s="159"/>
      <c r="F279" s="159">
        <v>114.28</v>
      </c>
      <c r="G279" s="165">
        <f t="shared" si="26"/>
        <v>33142.599999999991</v>
      </c>
      <c r="H279" s="20"/>
      <c r="I279" s="167">
        <f>IF(B279&gt;0,(Parametros!$H$11-'Calculo Intereses COOPS'!B279),0)</f>
        <v>83</v>
      </c>
      <c r="J279" s="168">
        <f>(F279-E279)*Parametros!$H$37/365*'Calculo Intereses COOPS'!I279</f>
        <v>1.4292827397260273</v>
      </c>
      <c r="K279" s="169">
        <f t="shared" si="27"/>
        <v>1786.3697138356167</v>
      </c>
    </row>
    <row r="280" spans="2:11" x14ac:dyDescent="0.25">
      <c r="B280" s="160">
        <v>42303</v>
      </c>
      <c r="C280" s="161"/>
      <c r="D280" s="162" t="s">
        <v>88</v>
      </c>
      <c r="E280" s="159"/>
      <c r="F280" s="159">
        <v>114.28</v>
      </c>
      <c r="G280" s="165">
        <f t="shared" si="26"/>
        <v>33256.87999999999</v>
      </c>
      <c r="H280" s="20"/>
      <c r="I280" s="167">
        <f>IF(B280&gt;0,(Parametros!$H$11-'Calculo Intereses COOPS'!B280),0)</f>
        <v>66</v>
      </c>
      <c r="J280" s="168">
        <f>(F280-E280)*Parametros!$H$37/365*'Calculo Intereses COOPS'!I280</f>
        <v>1.1365380821917808</v>
      </c>
      <c r="K280" s="169">
        <f t="shared" si="27"/>
        <v>1787.5062519178084</v>
      </c>
    </row>
    <row r="281" spans="2:11" x14ac:dyDescent="0.25">
      <c r="B281" s="160">
        <v>42321</v>
      </c>
      <c r="C281" s="161"/>
      <c r="D281" s="162" t="s">
        <v>88</v>
      </c>
      <c r="E281" s="159"/>
      <c r="F281" s="159">
        <v>114.28</v>
      </c>
      <c r="G281" s="165">
        <f t="shared" si="26"/>
        <v>33371.159999999989</v>
      </c>
      <c r="H281" s="20"/>
      <c r="I281" s="167">
        <f>IF(B281&gt;0,(Parametros!$H$11-'Calculo Intereses COOPS'!B281),0)</f>
        <v>48</v>
      </c>
      <c r="J281" s="168">
        <f>(F281-E281)*Parametros!$H$37/365*'Calculo Intereses COOPS'!I281</f>
        <v>0.82657315068493142</v>
      </c>
      <c r="K281" s="169">
        <f t="shared" si="27"/>
        <v>1788.3328250684933</v>
      </c>
    </row>
    <row r="282" spans="2:11" x14ac:dyDescent="0.25">
      <c r="B282" s="160">
        <v>42349</v>
      </c>
      <c r="C282" s="161"/>
      <c r="D282" s="162" t="s">
        <v>88</v>
      </c>
      <c r="E282" s="159"/>
      <c r="F282" s="159">
        <v>114.28</v>
      </c>
      <c r="G282" s="165">
        <f t="shared" si="26"/>
        <v>33485.439999999988</v>
      </c>
      <c r="H282" s="20"/>
      <c r="I282" s="167">
        <f>IF(B282&gt;0,(Parametros!$H$11-'Calculo Intereses COOPS'!B282),0)</f>
        <v>20</v>
      </c>
      <c r="J282" s="168">
        <f>(F282-E282)*Parametros!$H$37/365*'Calculo Intereses COOPS'!I282</f>
        <v>0.3444054794520548</v>
      </c>
      <c r="K282" s="169">
        <f t="shared" si="27"/>
        <v>1788.6772305479453</v>
      </c>
    </row>
    <row r="283" spans="2:11" x14ac:dyDescent="0.25">
      <c r="B283" s="160"/>
      <c r="C283" s="161"/>
      <c r="D283" s="162"/>
      <c r="E283" s="159"/>
      <c r="F283" s="159"/>
      <c r="G283" s="165">
        <f t="shared" si="26"/>
        <v>33485.439999999988</v>
      </c>
      <c r="H283" s="20"/>
      <c r="I283" s="167">
        <f>IF(B283&gt;0,(Parametros!$H$11-'Calculo Intereses COOPS'!B283),0)</f>
        <v>0</v>
      </c>
      <c r="J283" s="168">
        <f>(F283-E283)*Parametros!$H$37/365*'Calculo Intereses COOPS'!I283</f>
        <v>0</v>
      </c>
      <c r="K283" s="169">
        <f t="shared" si="27"/>
        <v>1788.6772305479453</v>
      </c>
    </row>
    <row r="284" spans="2:11" x14ac:dyDescent="0.25">
      <c r="B284" s="160"/>
      <c r="C284" s="161"/>
      <c r="D284" s="162"/>
      <c r="E284" s="159"/>
      <c r="F284" s="159"/>
      <c r="G284" s="165">
        <f t="shared" si="26"/>
        <v>33485.439999999988</v>
      </c>
      <c r="H284" s="20"/>
      <c r="I284" s="167">
        <f>IF(B284&gt;0,(Parametros!$H$11-'Calculo Intereses COOPS'!B284),0)</f>
        <v>0</v>
      </c>
      <c r="J284" s="168">
        <f>(F284-E284)*Parametros!$H$37/365*'Calculo Intereses COOPS'!I284</f>
        <v>0</v>
      </c>
      <c r="K284" s="169">
        <f>+J284+K283</f>
        <v>1788.6772305479453</v>
      </c>
    </row>
    <row r="285" spans="2:11" x14ac:dyDescent="0.25">
      <c r="B285" s="160"/>
      <c r="C285" s="161"/>
      <c r="D285" s="162"/>
      <c r="E285" s="159"/>
      <c r="F285" s="159"/>
      <c r="G285" s="165">
        <f t="shared" si="26"/>
        <v>33485.439999999988</v>
      </c>
      <c r="H285" s="20"/>
      <c r="I285" s="167">
        <f>IF(B285&gt;0,(Parametros!$H$11-'Calculo Intereses COOPS'!B285),0)</f>
        <v>0</v>
      </c>
      <c r="J285" s="168">
        <f>(F285-E285)*Parametros!$H$37/365*'Calculo Intereses COOPS'!I285</f>
        <v>0</v>
      </c>
      <c r="K285" s="169">
        <f>+J285+K284</f>
        <v>1788.6772305479453</v>
      </c>
    </row>
    <row r="286" spans="2:11" x14ac:dyDescent="0.25">
      <c r="B286" s="20"/>
      <c r="C286" s="20"/>
      <c r="D286" s="52" t="s">
        <v>21</v>
      </c>
      <c r="E286" s="166">
        <f>SUM(E269:E285)</f>
        <v>0</v>
      </c>
      <c r="F286" s="166">
        <f>SUM(F269:F285)</f>
        <v>33485.439999999988</v>
      </c>
      <c r="G286" s="166">
        <f>+G285</f>
        <v>33485.439999999988</v>
      </c>
      <c r="J286" s="170">
        <f>SUM(J269:J285)</f>
        <v>1788.6772305479453</v>
      </c>
    </row>
    <row r="288" spans="2:11" x14ac:dyDescent="0.25">
      <c r="B288" s="172" t="str">
        <f>CONCATENATE("APORTACIONES Y CALCULO DE INTERESES CORRESPONDIENTES AL AÑO ",YEAR(Parametros!$H$11))</f>
        <v>APORTACIONES Y CALCULO DE INTERESES CORRESPONDIENTES AL AÑO 2015</v>
      </c>
      <c r="C288" s="53"/>
      <c r="D288" s="53"/>
      <c r="E288" s="54"/>
      <c r="F288" s="54"/>
      <c r="G288" s="54"/>
      <c r="H288" s="20"/>
      <c r="I288" s="55"/>
      <c r="J288" s="56"/>
      <c r="K288" s="20"/>
    </row>
    <row r="289" spans="2:11" x14ac:dyDescent="0.25">
      <c r="B289" s="69" t="s">
        <v>186</v>
      </c>
      <c r="C289" s="173" t="str">
        <f>+'Calculo Excedentes'!A20</f>
        <v>CA-14</v>
      </c>
      <c r="D289" s="171" t="s">
        <v>187</v>
      </c>
      <c r="E289" s="176" t="str">
        <f>+'Calculo Excedentes'!B20</f>
        <v>ACACU DE R.L.</v>
      </c>
      <c r="F289" s="174"/>
      <c r="G289" s="175"/>
      <c r="H289" s="20"/>
      <c r="I289" s="39" t="s">
        <v>73</v>
      </c>
      <c r="J289" s="39" t="s">
        <v>74</v>
      </c>
      <c r="K289" s="39" t="s">
        <v>75</v>
      </c>
    </row>
    <row r="290" spans="2:11" x14ac:dyDescent="0.25">
      <c r="B290" s="40" t="s">
        <v>76</v>
      </c>
      <c r="C290" s="40" t="s">
        <v>77</v>
      </c>
      <c r="D290" s="40" t="s">
        <v>78</v>
      </c>
      <c r="E290" s="40" t="s">
        <v>79</v>
      </c>
      <c r="F290" s="40" t="s">
        <v>80</v>
      </c>
      <c r="G290" s="40" t="s">
        <v>81</v>
      </c>
      <c r="H290" s="20"/>
      <c r="I290" s="42" t="s">
        <v>82</v>
      </c>
      <c r="J290" s="164" t="s">
        <v>185</v>
      </c>
      <c r="K290" s="42" t="s">
        <v>84</v>
      </c>
    </row>
    <row r="291" spans="2:11" x14ac:dyDescent="0.25">
      <c r="B291" s="158">
        <f>+Parametros!$H$11-365</f>
        <v>42004</v>
      </c>
      <c r="C291" s="161"/>
      <c r="D291" s="162"/>
      <c r="E291" s="159"/>
      <c r="F291" s="159">
        <f>+'[2]produccion cooperativas asociad'!$E$15</f>
        <v>48972.800000000003</v>
      </c>
      <c r="G291" s="165">
        <f>+F291-E291</f>
        <v>48972.800000000003</v>
      </c>
      <c r="H291" s="20"/>
      <c r="I291" s="167">
        <f>IF(B291&gt;0,(Parametros!$H$11-'Calculo Intereses COOPS'!B291),0)</f>
        <v>365</v>
      </c>
      <c r="J291" s="168">
        <f>(F291-E291)*Parametros!$H$37/365*'Calculo Intereses COOPS'!I291</f>
        <v>2693.5040000000004</v>
      </c>
      <c r="K291" s="169">
        <f>+J291</f>
        <v>2693.5040000000004</v>
      </c>
    </row>
    <row r="292" spans="2:11" x14ac:dyDescent="0.25">
      <c r="B292" s="160">
        <v>42049</v>
      </c>
      <c r="C292" s="161"/>
      <c r="D292" s="162" t="s">
        <v>236</v>
      </c>
      <c r="E292" s="159"/>
      <c r="F292" s="159">
        <v>3428.57</v>
      </c>
      <c r="G292" s="165">
        <f>+G291+F292-E292</f>
        <v>52401.37</v>
      </c>
      <c r="H292" s="20"/>
      <c r="I292" s="167">
        <f>IF(B292&gt;0,(Parametros!$H$11-'Calculo Intereses COOPS'!B292),0)</f>
        <v>320</v>
      </c>
      <c r="J292" s="168">
        <f>(F292-E292)*Parametros!$H$37/365*'Calculo Intereses COOPS'!I292</f>
        <v>165.32282739726028</v>
      </c>
      <c r="K292" s="169">
        <f>+J292+K291</f>
        <v>2858.8268273972608</v>
      </c>
    </row>
    <row r="293" spans="2:11" x14ac:dyDescent="0.25">
      <c r="B293" s="160">
        <v>42131</v>
      </c>
      <c r="C293" s="221"/>
      <c r="D293" s="162" t="s">
        <v>88</v>
      </c>
      <c r="E293" s="159"/>
      <c r="F293" s="159">
        <v>1371.48</v>
      </c>
      <c r="G293" s="165">
        <f t="shared" ref="G293:G306" si="28">+G292+F293-E293</f>
        <v>53772.850000000006</v>
      </c>
      <c r="H293" s="20"/>
      <c r="I293" s="167">
        <f>IF(B293&gt;0,(Parametros!$H$11-'Calculo Intereses COOPS'!B293),0)</f>
        <v>238</v>
      </c>
      <c r="J293" s="168">
        <f>(F293-E293)*Parametros!$H$37/365*'Calculo Intereses COOPS'!I293</f>
        <v>49.185406027397264</v>
      </c>
      <c r="K293" s="169">
        <f t="shared" ref="K293:K306" si="29">+J293+K292</f>
        <v>2908.012233424658</v>
      </c>
    </row>
    <row r="294" spans="2:11" x14ac:dyDescent="0.25">
      <c r="B294" s="160">
        <v>42199</v>
      </c>
      <c r="C294" s="221"/>
      <c r="D294" s="162" t="s">
        <v>88</v>
      </c>
      <c r="E294" s="159"/>
      <c r="F294" s="159">
        <v>12000</v>
      </c>
      <c r="G294" s="165">
        <f t="shared" si="28"/>
        <v>65772.850000000006</v>
      </c>
      <c r="H294" s="20"/>
      <c r="I294" s="167">
        <f>IF(B294&gt;0,(Parametros!$H$11-'Calculo Intereses COOPS'!B294),0)</f>
        <v>170</v>
      </c>
      <c r="J294" s="168">
        <f>(F294-E294)*Parametros!$H$37/365*'Calculo Intereses COOPS'!I294</f>
        <v>307.39726027397256</v>
      </c>
      <c r="K294" s="169">
        <f t="shared" si="29"/>
        <v>3215.4094936986307</v>
      </c>
    </row>
    <row r="295" spans="2:11" x14ac:dyDescent="0.25">
      <c r="B295" s="160"/>
      <c r="C295" s="221"/>
      <c r="D295" s="162"/>
      <c r="E295" s="159"/>
      <c r="F295" s="159"/>
      <c r="G295" s="165">
        <f t="shared" si="28"/>
        <v>65772.850000000006</v>
      </c>
      <c r="H295" s="20"/>
      <c r="I295" s="167">
        <f>IF(B295&gt;0,(Parametros!$H$11-'Calculo Intereses COOPS'!B295),0)</f>
        <v>0</v>
      </c>
      <c r="J295" s="168">
        <f>(F295-E295)*Parametros!$H$37/365*'Calculo Intereses COOPS'!I295</f>
        <v>0</v>
      </c>
      <c r="K295" s="169">
        <f t="shared" si="29"/>
        <v>3215.4094936986307</v>
      </c>
    </row>
    <row r="296" spans="2:11" x14ac:dyDescent="0.25">
      <c r="B296" s="160"/>
      <c r="C296" s="161"/>
      <c r="D296" s="162"/>
      <c r="E296" s="159"/>
      <c r="F296" s="159"/>
      <c r="G296" s="165">
        <f t="shared" si="28"/>
        <v>65772.850000000006</v>
      </c>
      <c r="H296" s="20"/>
      <c r="I296" s="167">
        <f>IF(B296&gt;0,(Parametros!$H$11-'Calculo Intereses COOPS'!B296),0)</f>
        <v>0</v>
      </c>
      <c r="J296" s="168">
        <f>(F296-E296)*Parametros!$H$37/365*'Calculo Intereses COOPS'!I296</f>
        <v>0</v>
      </c>
      <c r="K296" s="169">
        <f t="shared" si="29"/>
        <v>3215.4094936986307</v>
      </c>
    </row>
    <row r="297" spans="2:11" x14ac:dyDescent="0.25">
      <c r="B297" s="160"/>
      <c r="C297" s="161"/>
      <c r="D297" s="162"/>
      <c r="E297" s="159"/>
      <c r="F297" s="159"/>
      <c r="G297" s="165">
        <f t="shared" si="28"/>
        <v>65772.850000000006</v>
      </c>
      <c r="H297" s="20"/>
      <c r="I297" s="167">
        <f>IF(B297&gt;0,(Parametros!$H$11-'Calculo Intereses COOPS'!B297),0)</f>
        <v>0</v>
      </c>
      <c r="J297" s="168">
        <f>(F297-E297)*Parametros!$H$37/365*'Calculo Intereses COOPS'!I297</f>
        <v>0</v>
      </c>
      <c r="K297" s="169">
        <f t="shared" si="29"/>
        <v>3215.4094936986307</v>
      </c>
    </row>
    <row r="298" spans="2:11" x14ac:dyDescent="0.25">
      <c r="B298" s="160"/>
      <c r="C298" s="161"/>
      <c r="D298" s="162"/>
      <c r="E298" s="159"/>
      <c r="F298" s="159"/>
      <c r="G298" s="165">
        <f t="shared" si="28"/>
        <v>65772.850000000006</v>
      </c>
      <c r="H298" s="20"/>
      <c r="I298" s="167">
        <f>IF(B298&gt;0,(Parametros!$H$11-'Calculo Intereses COOPS'!B298),0)</f>
        <v>0</v>
      </c>
      <c r="J298" s="168">
        <f>(F298-E298)*Parametros!$H$37/365*'Calculo Intereses COOPS'!I298</f>
        <v>0</v>
      </c>
      <c r="K298" s="169">
        <f t="shared" si="29"/>
        <v>3215.4094936986307</v>
      </c>
    </row>
    <row r="299" spans="2:11" x14ac:dyDescent="0.25">
      <c r="B299" s="160"/>
      <c r="C299" s="161"/>
      <c r="D299" s="162"/>
      <c r="E299" s="159"/>
      <c r="F299" s="159"/>
      <c r="G299" s="165">
        <f t="shared" si="28"/>
        <v>65772.850000000006</v>
      </c>
      <c r="H299" s="20"/>
      <c r="I299" s="167">
        <f>IF(B299&gt;0,(Parametros!$H$11-'Calculo Intereses COOPS'!B299),0)</f>
        <v>0</v>
      </c>
      <c r="J299" s="168">
        <f>(F299-E299)*Parametros!$H$37/365*'Calculo Intereses COOPS'!I299</f>
        <v>0</v>
      </c>
      <c r="K299" s="169">
        <f t="shared" si="29"/>
        <v>3215.4094936986307</v>
      </c>
    </row>
    <row r="300" spans="2:11" x14ac:dyDescent="0.25">
      <c r="B300" s="160"/>
      <c r="C300" s="161"/>
      <c r="D300" s="162"/>
      <c r="E300" s="159"/>
      <c r="F300" s="159"/>
      <c r="G300" s="165">
        <f t="shared" si="28"/>
        <v>65772.850000000006</v>
      </c>
      <c r="H300" s="20"/>
      <c r="I300" s="167">
        <f>IF(B300&gt;0,(Parametros!$H$11-'Calculo Intereses COOPS'!B300),0)</f>
        <v>0</v>
      </c>
      <c r="J300" s="168">
        <f>(F300-E300)*Parametros!$H$37/365*'Calculo Intereses COOPS'!I300</f>
        <v>0</v>
      </c>
      <c r="K300" s="169">
        <f t="shared" si="29"/>
        <v>3215.4094936986307</v>
      </c>
    </row>
    <row r="301" spans="2:11" x14ac:dyDescent="0.25">
      <c r="B301" s="160"/>
      <c r="C301" s="161"/>
      <c r="D301" s="163"/>
      <c r="E301" s="159"/>
      <c r="F301" s="159"/>
      <c r="G301" s="165">
        <f t="shared" si="28"/>
        <v>65772.850000000006</v>
      </c>
      <c r="H301" s="20"/>
      <c r="I301" s="167">
        <f>IF(B301&gt;0,(Parametros!$H$11-'Calculo Intereses COOPS'!B301),0)</f>
        <v>0</v>
      </c>
      <c r="J301" s="168">
        <f>(F301-E301)*Parametros!$H$37/365*'Calculo Intereses COOPS'!I301</f>
        <v>0</v>
      </c>
      <c r="K301" s="169">
        <f t="shared" si="29"/>
        <v>3215.4094936986307</v>
      </c>
    </row>
    <row r="302" spans="2:11" x14ac:dyDescent="0.25">
      <c r="B302" s="160"/>
      <c r="C302" s="161"/>
      <c r="D302" s="163"/>
      <c r="E302" s="159"/>
      <c r="F302" s="159"/>
      <c r="G302" s="165">
        <f t="shared" si="28"/>
        <v>65772.850000000006</v>
      </c>
      <c r="H302" s="20"/>
      <c r="I302" s="167">
        <f>IF(B302&gt;0,(Parametros!$H$11-'Calculo Intereses COOPS'!B302),0)</f>
        <v>0</v>
      </c>
      <c r="J302" s="168">
        <f>(F302-E302)*Parametros!$H$37/365*'Calculo Intereses COOPS'!I302</f>
        <v>0</v>
      </c>
      <c r="K302" s="169">
        <f t="shared" si="29"/>
        <v>3215.4094936986307</v>
      </c>
    </row>
    <row r="303" spans="2:11" x14ac:dyDescent="0.25">
      <c r="B303" s="160"/>
      <c r="C303" s="161"/>
      <c r="D303" s="163"/>
      <c r="E303" s="159"/>
      <c r="F303" s="159"/>
      <c r="G303" s="165">
        <f t="shared" si="28"/>
        <v>65772.850000000006</v>
      </c>
      <c r="H303" s="20"/>
      <c r="I303" s="167">
        <f>IF(B303&gt;0,(Parametros!$H$11-'Calculo Intereses COOPS'!B303),0)</f>
        <v>0</v>
      </c>
      <c r="J303" s="168">
        <f>(F303-E303)*Parametros!$H$37/365*'Calculo Intereses COOPS'!I303</f>
        <v>0</v>
      </c>
      <c r="K303" s="169">
        <f t="shared" si="29"/>
        <v>3215.4094936986307</v>
      </c>
    </row>
    <row r="304" spans="2:11" x14ac:dyDescent="0.25">
      <c r="B304" s="160"/>
      <c r="C304" s="161"/>
      <c r="D304" s="163"/>
      <c r="E304" s="159"/>
      <c r="F304" s="159"/>
      <c r="G304" s="165">
        <f t="shared" si="28"/>
        <v>65772.850000000006</v>
      </c>
      <c r="H304" s="20"/>
      <c r="I304" s="167">
        <f>IF(B304&gt;0,(Parametros!$H$11-'Calculo Intereses COOPS'!B304),0)</f>
        <v>0</v>
      </c>
      <c r="J304" s="168">
        <f>(F304-E304)*Parametros!$H$37/365*'Calculo Intereses COOPS'!I304</f>
        <v>0</v>
      </c>
      <c r="K304" s="169">
        <f t="shared" si="29"/>
        <v>3215.4094936986307</v>
      </c>
    </row>
    <row r="305" spans="2:11" x14ac:dyDescent="0.25">
      <c r="B305" s="160"/>
      <c r="C305" s="161"/>
      <c r="D305" s="163"/>
      <c r="E305" s="159"/>
      <c r="F305" s="159"/>
      <c r="G305" s="165">
        <f t="shared" si="28"/>
        <v>65772.850000000006</v>
      </c>
      <c r="H305" s="20"/>
      <c r="I305" s="167">
        <f>IF(B305&gt;0,(Parametros!$H$11-'Calculo Intereses COOPS'!B305),0)</f>
        <v>0</v>
      </c>
      <c r="J305" s="168">
        <f>(F305-E305)*Parametros!$H$37/365*'Calculo Intereses COOPS'!I305</f>
        <v>0</v>
      </c>
      <c r="K305" s="169">
        <f t="shared" si="29"/>
        <v>3215.4094936986307</v>
      </c>
    </row>
    <row r="306" spans="2:11" x14ac:dyDescent="0.25">
      <c r="B306" s="160"/>
      <c r="C306" s="161"/>
      <c r="D306" s="163"/>
      <c r="E306" s="159"/>
      <c r="F306" s="159"/>
      <c r="G306" s="165">
        <f t="shared" si="28"/>
        <v>65772.850000000006</v>
      </c>
      <c r="H306" s="20"/>
      <c r="I306" s="167">
        <f>IF(B306&gt;0,(Parametros!$H$11-'Calculo Intereses COOPS'!B306),0)</f>
        <v>0</v>
      </c>
      <c r="J306" s="168">
        <f>(F306-E306)*Parametros!$H$37/365*'Calculo Intereses COOPS'!I306</f>
        <v>0</v>
      </c>
      <c r="K306" s="169">
        <f t="shared" si="29"/>
        <v>3215.4094936986307</v>
      </c>
    </row>
    <row r="307" spans="2:11" x14ac:dyDescent="0.25">
      <c r="B307" s="20"/>
      <c r="C307" s="20"/>
      <c r="D307" s="52" t="s">
        <v>21</v>
      </c>
      <c r="E307" s="166">
        <f>SUM(E291:E306)</f>
        <v>0</v>
      </c>
      <c r="F307" s="166">
        <f>SUM(F291:F306)</f>
        <v>65772.850000000006</v>
      </c>
      <c r="G307" s="166">
        <f>+G306</f>
        <v>65772.850000000006</v>
      </c>
      <c r="J307" s="170">
        <f>SUM(J291:J306)</f>
        <v>3215.4094936986307</v>
      </c>
    </row>
    <row r="309" spans="2:11" x14ac:dyDescent="0.25">
      <c r="B309" s="172" t="str">
        <f>CONCATENATE("APORTACIONES Y CALCULO DE INTERESES CORRESPONDIENTES AL AÑO ",YEAR(Parametros!$H$11))</f>
        <v>APORTACIONES Y CALCULO DE INTERESES CORRESPONDIENTES AL AÑO 2015</v>
      </c>
      <c r="C309" s="53"/>
      <c r="D309" s="53"/>
      <c r="E309" s="54"/>
      <c r="F309" s="54"/>
      <c r="G309" s="54"/>
      <c r="H309" s="20"/>
      <c r="I309" s="55"/>
      <c r="J309" s="56"/>
      <c r="K309" s="20"/>
    </row>
    <row r="310" spans="2:11" x14ac:dyDescent="0.25">
      <c r="B310" s="69" t="s">
        <v>186</v>
      </c>
      <c r="C310" s="173" t="str">
        <f>+'Calculo Excedentes'!A21</f>
        <v>CA-15</v>
      </c>
      <c r="D310" s="171" t="s">
        <v>187</v>
      </c>
      <c r="E310" s="176" t="str">
        <f>+'Calculo Excedentes'!B21</f>
        <v>ACOPUS</v>
      </c>
      <c r="F310" s="174"/>
      <c r="G310" s="175"/>
      <c r="H310" s="20"/>
      <c r="I310" s="39" t="s">
        <v>73</v>
      </c>
      <c r="J310" s="39" t="s">
        <v>74</v>
      </c>
      <c r="K310" s="39" t="s">
        <v>75</v>
      </c>
    </row>
    <row r="311" spans="2:11" x14ac:dyDescent="0.25">
      <c r="B311" s="40" t="s">
        <v>76</v>
      </c>
      <c r="C311" s="40" t="s">
        <v>77</v>
      </c>
      <c r="D311" s="40" t="s">
        <v>78</v>
      </c>
      <c r="E311" s="40" t="s">
        <v>79</v>
      </c>
      <c r="F311" s="40" t="s">
        <v>80</v>
      </c>
      <c r="G311" s="40" t="s">
        <v>81</v>
      </c>
      <c r="H311" s="20"/>
      <c r="I311" s="42" t="s">
        <v>82</v>
      </c>
      <c r="J311" s="164" t="s">
        <v>185</v>
      </c>
      <c r="K311" s="42" t="s">
        <v>84</v>
      </c>
    </row>
    <row r="312" spans="2:11" x14ac:dyDescent="0.25">
      <c r="B312" s="158">
        <f>+Parametros!$H$11-365</f>
        <v>42004</v>
      </c>
      <c r="C312" s="161"/>
      <c r="D312" s="162"/>
      <c r="E312" s="159"/>
      <c r="F312" s="159">
        <f>+'[2]produccion cooperativas asociad'!$E$16</f>
        <v>49938.36</v>
      </c>
      <c r="G312" s="165">
        <f>+F312-E312</f>
        <v>49938.36</v>
      </c>
      <c r="H312" s="20"/>
      <c r="I312" s="167">
        <f>IF(B312&gt;0,(Parametros!$H$11-'Calculo Intereses COOPS'!B312),0)</f>
        <v>365</v>
      </c>
      <c r="J312" s="168">
        <f>(F312-E312)*Parametros!$H$37/365*'Calculo Intereses COOPS'!I312</f>
        <v>2746.6098000000002</v>
      </c>
      <c r="K312" s="169">
        <f>+J312</f>
        <v>2746.6098000000002</v>
      </c>
    </row>
    <row r="313" spans="2:11" x14ac:dyDescent="0.25">
      <c r="B313" s="160">
        <v>42049</v>
      </c>
      <c r="C313" s="221"/>
      <c r="D313" s="162" t="s">
        <v>236</v>
      </c>
      <c r="E313" s="159"/>
      <c r="F313" s="159">
        <v>3262.9</v>
      </c>
      <c r="G313" s="165">
        <f>+G312+F313-E313</f>
        <v>53201.26</v>
      </c>
      <c r="H313" s="20"/>
      <c r="I313" s="167">
        <f>IF(B313&gt;0,(Parametros!$H$11-'Calculo Intereses COOPS'!B313),0)</f>
        <v>320</v>
      </c>
      <c r="J313" s="168">
        <f>(F313-E313)*Parametros!$H$37/365*'Calculo Intereses COOPS'!I313</f>
        <v>157.33435616438359</v>
      </c>
      <c r="K313" s="169">
        <f>+J313+K312</f>
        <v>2903.9441561643839</v>
      </c>
    </row>
    <row r="314" spans="2:11" x14ac:dyDescent="0.25">
      <c r="B314" s="160">
        <v>42368</v>
      </c>
      <c r="C314" s="221"/>
      <c r="D314" s="162" t="s">
        <v>88</v>
      </c>
      <c r="E314" s="159"/>
      <c r="F314" s="159">
        <v>5000</v>
      </c>
      <c r="G314" s="165">
        <f t="shared" ref="G314:G327" si="30">+G313+F314-E314</f>
        <v>58201.26</v>
      </c>
      <c r="H314" s="20"/>
      <c r="I314" s="167">
        <f>IF(B314&gt;0,(Parametros!$H$11-'Calculo Intereses COOPS'!B314),0)</f>
        <v>1</v>
      </c>
      <c r="J314" s="168">
        <f>(F314-E314)*Parametros!$H$37/365*'Calculo Intereses COOPS'!I314</f>
        <v>0.75342465753424659</v>
      </c>
      <c r="K314" s="169">
        <f t="shared" ref="K314:K327" si="31">+J314+K313</f>
        <v>2904.6975808219181</v>
      </c>
    </row>
    <row r="315" spans="2:11" x14ac:dyDescent="0.25">
      <c r="B315" s="160"/>
      <c r="C315" s="221"/>
      <c r="D315" s="162"/>
      <c r="E315" s="159"/>
      <c r="F315" s="159"/>
      <c r="G315" s="165">
        <f t="shared" si="30"/>
        <v>58201.26</v>
      </c>
      <c r="H315" s="20"/>
      <c r="I315" s="167">
        <f>IF(B315&gt;0,(Parametros!$H$11-'Calculo Intereses COOPS'!B315),0)</f>
        <v>0</v>
      </c>
      <c r="J315" s="168">
        <f>(F315-E315)*Parametros!$H$37/365*'Calculo Intereses COOPS'!I315</f>
        <v>0</v>
      </c>
      <c r="K315" s="169">
        <f t="shared" si="31"/>
        <v>2904.6975808219181</v>
      </c>
    </row>
    <row r="316" spans="2:11" x14ac:dyDescent="0.25">
      <c r="B316" s="160"/>
      <c r="C316" s="221"/>
      <c r="D316" s="162"/>
      <c r="E316" s="159"/>
      <c r="F316" s="159"/>
      <c r="G316" s="165">
        <f t="shared" si="30"/>
        <v>58201.26</v>
      </c>
      <c r="H316" s="20"/>
      <c r="I316" s="167">
        <f>IF(B316&gt;0,(Parametros!$H$11-'Calculo Intereses COOPS'!B316),0)</f>
        <v>0</v>
      </c>
      <c r="J316" s="168">
        <f>(F316-E316)*Parametros!$H$37/365*'Calculo Intereses COOPS'!I316</f>
        <v>0</v>
      </c>
      <c r="K316" s="169">
        <f t="shared" si="31"/>
        <v>2904.6975808219181</v>
      </c>
    </row>
    <row r="317" spans="2:11" x14ac:dyDescent="0.25">
      <c r="B317" s="160"/>
      <c r="C317" s="162"/>
      <c r="D317" s="162"/>
      <c r="E317" s="159"/>
      <c r="F317" s="159"/>
      <c r="G317" s="165">
        <f t="shared" si="30"/>
        <v>58201.26</v>
      </c>
      <c r="H317" s="20"/>
      <c r="I317" s="167">
        <f>IF(B317&gt;0,(Parametros!$H$11-'Calculo Intereses COOPS'!B317),0)</f>
        <v>0</v>
      </c>
      <c r="J317" s="168">
        <f>(F317-E317)*Parametros!$H$37/365*'Calculo Intereses COOPS'!I317</f>
        <v>0</v>
      </c>
      <c r="K317" s="169">
        <f t="shared" si="31"/>
        <v>2904.6975808219181</v>
      </c>
    </row>
    <row r="318" spans="2:11" x14ac:dyDescent="0.25">
      <c r="B318" s="160"/>
      <c r="C318" s="161"/>
      <c r="D318" s="162"/>
      <c r="E318" s="159"/>
      <c r="F318" s="159"/>
      <c r="G318" s="165">
        <f t="shared" si="30"/>
        <v>58201.26</v>
      </c>
      <c r="H318" s="20"/>
      <c r="I318" s="167">
        <f>IF(B318&gt;0,(Parametros!$H$11-'Calculo Intereses COOPS'!B318),0)</f>
        <v>0</v>
      </c>
      <c r="J318" s="168">
        <f>(F318-E318)*Parametros!$H$37/365*'Calculo Intereses COOPS'!I318</f>
        <v>0</v>
      </c>
      <c r="K318" s="169">
        <f t="shared" si="31"/>
        <v>2904.6975808219181</v>
      </c>
    </row>
    <row r="319" spans="2:11" x14ac:dyDescent="0.25">
      <c r="B319" s="160"/>
      <c r="C319" s="161"/>
      <c r="D319" s="163"/>
      <c r="E319" s="159"/>
      <c r="F319" s="159"/>
      <c r="G319" s="165">
        <f t="shared" si="30"/>
        <v>58201.26</v>
      </c>
      <c r="H319" s="20"/>
      <c r="I319" s="167">
        <f>IF(B319&gt;0,(Parametros!$H$11-'Calculo Intereses COOPS'!B319),0)</f>
        <v>0</v>
      </c>
      <c r="J319" s="168">
        <f>(F319-E319)*Parametros!$H$37/365*'Calculo Intereses COOPS'!I319</f>
        <v>0</v>
      </c>
      <c r="K319" s="169">
        <f t="shared" si="31"/>
        <v>2904.6975808219181</v>
      </c>
    </row>
    <row r="320" spans="2:11" x14ac:dyDescent="0.25">
      <c r="B320" s="160"/>
      <c r="C320" s="161"/>
      <c r="D320" s="163"/>
      <c r="E320" s="159"/>
      <c r="F320" s="159"/>
      <c r="G320" s="165">
        <f t="shared" si="30"/>
        <v>58201.26</v>
      </c>
      <c r="H320" s="20"/>
      <c r="I320" s="167">
        <f>IF(B320&gt;0,(Parametros!$H$11-'Calculo Intereses COOPS'!B320),0)</f>
        <v>0</v>
      </c>
      <c r="J320" s="168">
        <f>(F320-E320)*Parametros!$H$37/365*'Calculo Intereses COOPS'!I320</f>
        <v>0</v>
      </c>
      <c r="K320" s="169">
        <f t="shared" si="31"/>
        <v>2904.6975808219181</v>
      </c>
    </row>
    <row r="321" spans="2:11" x14ac:dyDescent="0.25">
      <c r="B321" s="160"/>
      <c r="C321" s="161"/>
      <c r="D321" s="163"/>
      <c r="E321" s="159"/>
      <c r="F321" s="159"/>
      <c r="G321" s="165">
        <f t="shared" si="30"/>
        <v>58201.26</v>
      </c>
      <c r="H321" s="20"/>
      <c r="I321" s="167">
        <f>IF(B321&gt;0,(Parametros!$H$11-'Calculo Intereses COOPS'!B321),0)</f>
        <v>0</v>
      </c>
      <c r="J321" s="168">
        <f>(F321-E321)*Parametros!$H$37/365*'Calculo Intereses COOPS'!I321</f>
        <v>0</v>
      </c>
      <c r="K321" s="169">
        <f t="shared" si="31"/>
        <v>2904.6975808219181</v>
      </c>
    </row>
    <row r="322" spans="2:11" x14ac:dyDescent="0.25">
      <c r="B322" s="160"/>
      <c r="C322" s="161"/>
      <c r="D322" s="163"/>
      <c r="E322" s="159"/>
      <c r="F322" s="159"/>
      <c r="G322" s="165">
        <f t="shared" si="30"/>
        <v>58201.26</v>
      </c>
      <c r="H322" s="20"/>
      <c r="I322" s="167">
        <f>IF(B322&gt;0,(Parametros!$H$11-'Calculo Intereses COOPS'!B322),0)</f>
        <v>0</v>
      </c>
      <c r="J322" s="168">
        <f>(F322-E322)*Parametros!$H$37/365*'Calculo Intereses COOPS'!I322</f>
        <v>0</v>
      </c>
      <c r="K322" s="169">
        <f t="shared" si="31"/>
        <v>2904.6975808219181</v>
      </c>
    </row>
    <row r="323" spans="2:11" x14ac:dyDescent="0.25">
      <c r="B323" s="160"/>
      <c r="C323" s="161"/>
      <c r="D323" s="163"/>
      <c r="E323" s="159"/>
      <c r="F323" s="159"/>
      <c r="G323" s="165">
        <f t="shared" si="30"/>
        <v>58201.26</v>
      </c>
      <c r="H323" s="20"/>
      <c r="I323" s="167">
        <f>IF(B323&gt;0,(Parametros!$H$11-'Calculo Intereses COOPS'!B323),0)</f>
        <v>0</v>
      </c>
      <c r="J323" s="168">
        <f>(F323-E323)*Parametros!$H$37/365*'Calculo Intereses COOPS'!I323</f>
        <v>0</v>
      </c>
      <c r="K323" s="169">
        <f t="shared" si="31"/>
        <v>2904.6975808219181</v>
      </c>
    </row>
    <row r="324" spans="2:11" x14ac:dyDescent="0.25">
      <c r="B324" s="160"/>
      <c r="C324" s="161"/>
      <c r="D324" s="163"/>
      <c r="E324" s="159"/>
      <c r="F324" s="159"/>
      <c r="G324" s="165">
        <f t="shared" si="30"/>
        <v>58201.26</v>
      </c>
      <c r="H324" s="20"/>
      <c r="I324" s="167">
        <f>IF(B324&gt;0,(Parametros!$H$11-'Calculo Intereses COOPS'!B324),0)</f>
        <v>0</v>
      </c>
      <c r="J324" s="168">
        <f>(F324-E324)*Parametros!$H$37/365*'Calculo Intereses COOPS'!I324</f>
        <v>0</v>
      </c>
      <c r="K324" s="169">
        <f t="shared" si="31"/>
        <v>2904.6975808219181</v>
      </c>
    </row>
    <row r="325" spans="2:11" x14ac:dyDescent="0.25">
      <c r="B325" s="160"/>
      <c r="C325" s="161"/>
      <c r="D325" s="163"/>
      <c r="E325" s="159"/>
      <c r="F325" s="159"/>
      <c r="G325" s="165">
        <f t="shared" si="30"/>
        <v>58201.26</v>
      </c>
      <c r="H325" s="20"/>
      <c r="I325" s="167">
        <f>IF(B325&gt;0,(Parametros!$H$11-'Calculo Intereses COOPS'!B325),0)</f>
        <v>0</v>
      </c>
      <c r="J325" s="168">
        <f>(F325-E325)*Parametros!$H$37/365*'Calculo Intereses COOPS'!I325</f>
        <v>0</v>
      </c>
      <c r="K325" s="169">
        <f t="shared" si="31"/>
        <v>2904.6975808219181</v>
      </c>
    </row>
    <row r="326" spans="2:11" x14ac:dyDescent="0.25">
      <c r="B326" s="160"/>
      <c r="C326" s="161"/>
      <c r="D326" s="163"/>
      <c r="E326" s="159"/>
      <c r="F326" s="159"/>
      <c r="G326" s="165">
        <f t="shared" si="30"/>
        <v>58201.26</v>
      </c>
      <c r="H326" s="20"/>
      <c r="I326" s="167">
        <f>IF(B326&gt;0,(Parametros!$H$11-'Calculo Intereses COOPS'!B326),0)</f>
        <v>0</v>
      </c>
      <c r="J326" s="168">
        <f>(F326-E326)*Parametros!$H$37/365*'Calculo Intereses COOPS'!I326</f>
        <v>0</v>
      </c>
      <c r="K326" s="169">
        <f t="shared" si="31"/>
        <v>2904.6975808219181</v>
      </c>
    </row>
    <row r="327" spans="2:11" x14ac:dyDescent="0.25">
      <c r="B327" s="160"/>
      <c r="C327" s="161"/>
      <c r="D327" s="163"/>
      <c r="E327" s="159"/>
      <c r="F327" s="159"/>
      <c r="G327" s="165">
        <f t="shared" si="30"/>
        <v>58201.26</v>
      </c>
      <c r="H327" s="20"/>
      <c r="I327" s="167">
        <f>IF(B327&gt;0,(Parametros!$H$11-'Calculo Intereses COOPS'!B327),0)</f>
        <v>0</v>
      </c>
      <c r="J327" s="168">
        <f>(F327-E327)*Parametros!$H$37/365*'Calculo Intereses COOPS'!I327</f>
        <v>0</v>
      </c>
      <c r="K327" s="169">
        <f t="shared" si="31"/>
        <v>2904.6975808219181</v>
      </c>
    </row>
    <row r="328" spans="2:11" x14ac:dyDescent="0.25">
      <c r="B328" s="20"/>
      <c r="C328" s="20"/>
      <c r="D328" s="52" t="s">
        <v>21</v>
      </c>
      <c r="E328" s="166">
        <f>SUM(E312:E327)</f>
        <v>0</v>
      </c>
      <c r="F328" s="166">
        <f>SUM(F312:F327)</f>
        <v>58201.26</v>
      </c>
      <c r="G328" s="166">
        <f>+G327</f>
        <v>58201.26</v>
      </c>
      <c r="J328" s="170">
        <f>SUM(J312:J327)</f>
        <v>2904.6975808219181</v>
      </c>
    </row>
    <row r="331" spans="2:11" x14ac:dyDescent="0.25">
      <c r="B331" s="172" t="str">
        <f>CONCATENATE("APORTACIONES Y CALCULO DE INTERESES CORRESPONDIENTES AL AÑO ",YEAR(Parametros!$H$11))</f>
        <v>APORTACIONES Y CALCULO DE INTERESES CORRESPONDIENTES AL AÑO 2015</v>
      </c>
      <c r="C331" s="53"/>
      <c r="D331" s="53"/>
      <c r="E331" s="54"/>
      <c r="F331" s="54"/>
      <c r="G331" s="54"/>
      <c r="H331" s="20"/>
      <c r="I331" s="55"/>
      <c r="J331" s="56"/>
      <c r="K331" s="20"/>
    </row>
    <row r="332" spans="2:11" x14ac:dyDescent="0.25">
      <c r="B332" s="69" t="s">
        <v>186</v>
      </c>
      <c r="C332" s="173" t="str">
        <f>+'Calculo Excedentes'!A22</f>
        <v>CA-16</v>
      </c>
      <c r="D332" s="171" t="s">
        <v>187</v>
      </c>
      <c r="E332" s="176" t="str">
        <f>+'Calculo Excedentes'!B22</f>
        <v>ACOPACTO</v>
      </c>
      <c r="F332" s="174"/>
      <c r="G332" s="175"/>
      <c r="H332" s="20"/>
      <c r="I332" s="39" t="s">
        <v>73</v>
      </c>
      <c r="J332" s="39" t="s">
        <v>74</v>
      </c>
      <c r="K332" s="39" t="s">
        <v>75</v>
      </c>
    </row>
    <row r="333" spans="2:11" x14ac:dyDescent="0.25">
      <c r="B333" s="40" t="s">
        <v>76</v>
      </c>
      <c r="C333" s="40" t="s">
        <v>77</v>
      </c>
      <c r="D333" s="40" t="s">
        <v>78</v>
      </c>
      <c r="E333" s="40" t="s">
        <v>79</v>
      </c>
      <c r="F333" s="40" t="s">
        <v>80</v>
      </c>
      <c r="G333" s="40" t="s">
        <v>81</v>
      </c>
      <c r="H333" s="20"/>
      <c r="I333" s="42" t="s">
        <v>82</v>
      </c>
      <c r="J333" s="164" t="s">
        <v>185</v>
      </c>
      <c r="K333" s="42" t="s">
        <v>84</v>
      </c>
    </row>
    <row r="334" spans="2:11" x14ac:dyDescent="0.25">
      <c r="B334" s="158">
        <f>+Parametros!$H$11-365</f>
        <v>42004</v>
      </c>
      <c r="C334" s="161"/>
      <c r="D334" s="162"/>
      <c r="E334" s="159"/>
      <c r="F334" s="159">
        <f>+'[2]produccion cooperativas asociad'!$E$17</f>
        <v>62573.7</v>
      </c>
      <c r="G334" s="165">
        <f>+F334-E334</f>
        <v>62573.7</v>
      </c>
      <c r="H334" s="20"/>
      <c r="I334" s="167">
        <f>IF(B334&gt;0,(Parametros!$H$11-'Calculo Intereses COOPS'!B334),0)</f>
        <v>365</v>
      </c>
      <c r="J334" s="168">
        <f>(F334-E334)*Parametros!$H$37/365*'Calculo Intereses COOPS'!I334</f>
        <v>3441.5535</v>
      </c>
      <c r="K334" s="169">
        <f>+J334</f>
        <v>3441.5535</v>
      </c>
    </row>
    <row r="335" spans="2:11" x14ac:dyDescent="0.25">
      <c r="B335" s="160">
        <v>42035</v>
      </c>
      <c r="C335" s="161"/>
      <c r="D335" s="162" t="s">
        <v>88</v>
      </c>
      <c r="E335" s="159"/>
      <c r="F335" s="159">
        <v>1000</v>
      </c>
      <c r="G335" s="165">
        <f>+G334+F335-E335</f>
        <v>63573.7</v>
      </c>
      <c r="H335" s="20"/>
      <c r="I335" s="167">
        <f>IF(B335&gt;0,(Parametros!$H$11-'Calculo Intereses COOPS'!B335),0)</f>
        <v>334</v>
      </c>
      <c r="J335" s="168">
        <f>(F335-E335)*Parametros!$H$37/365*'Calculo Intereses COOPS'!I335</f>
        <v>50.328767123287669</v>
      </c>
      <c r="K335" s="169">
        <f>+J335+K334</f>
        <v>3491.8822671232879</v>
      </c>
    </row>
    <row r="336" spans="2:11" x14ac:dyDescent="0.25">
      <c r="B336" s="160">
        <v>42063</v>
      </c>
      <c r="C336" s="221"/>
      <c r="D336" s="162" t="s">
        <v>88</v>
      </c>
      <c r="E336" s="159"/>
      <c r="F336" s="159">
        <v>1000</v>
      </c>
      <c r="G336" s="165">
        <f t="shared" ref="G336:G351" si="32">+G335+F336-E336</f>
        <v>64573.7</v>
      </c>
      <c r="H336" s="20"/>
      <c r="I336" s="167">
        <f>IF(B336&gt;0,(Parametros!$H$11-'Calculo Intereses COOPS'!B336),0)</f>
        <v>306</v>
      </c>
      <c r="J336" s="168">
        <f>(F336-E336)*Parametros!$H$37/365*'Calculo Intereses COOPS'!I336</f>
        <v>46.109589041095887</v>
      </c>
      <c r="K336" s="169">
        <f t="shared" ref="K336:K351" si="33">+J336+K335</f>
        <v>3537.9918561643835</v>
      </c>
    </row>
    <row r="337" spans="2:11" x14ac:dyDescent="0.25">
      <c r="B337" s="160">
        <v>42094</v>
      </c>
      <c r="C337" s="221"/>
      <c r="D337" s="162" t="s">
        <v>88</v>
      </c>
      <c r="E337" s="159"/>
      <c r="F337" s="159">
        <v>1000</v>
      </c>
      <c r="G337" s="165">
        <f t="shared" si="32"/>
        <v>65573.7</v>
      </c>
      <c r="H337" s="20"/>
      <c r="I337" s="167">
        <f>IF(B337&gt;0,(Parametros!$H$11-'Calculo Intereses COOPS'!B337),0)</f>
        <v>275</v>
      </c>
      <c r="J337" s="168">
        <f>(F337-E337)*Parametros!$H$37/365*'Calculo Intereses COOPS'!I337</f>
        <v>41.438356164383556</v>
      </c>
      <c r="K337" s="169">
        <f t="shared" si="33"/>
        <v>3579.4302123287671</v>
      </c>
    </row>
    <row r="338" spans="2:11" x14ac:dyDescent="0.25">
      <c r="B338" s="160">
        <v>42049</v>
      </c>
      <c r="C338" s="221"/>
      <c r="D338" s="162" t="s">
        <v>236</v>
      </c>
      <c r="E338" s="159"/>
      <c r="F338" s="159">
        <v>4369.16</v>
      </c>
      <c r="G338" s="165">
        <f t="shared" si="32"/>
        <v>69942.86</v>
      </c>
      <c r="H338" s="20"/>
      <c r="I338" s="167">
        <f>IF(B338&gt;0,(Parametros!$H$11-'Calculo Intereses COOPS'!B338),0)</f>
        <v>320</v>
      </c>
      <c r="J338" s="168">
        <f>(F338-E338)*Parametros!$H$37/365*'Calculo Intereses COOPS'!I338</f>
        <v>210.67730410958904</v>
      </c>
      <c r="K338" s="169">
        <f t="shared" si="33"/>
        <v>3790.107516438356</v>
      </c>
    </row>
    <row r="339" spans="2:11" x14ac:dyDescent="0.25">
      <c r="B339" s="160">
        <v>42124</v>
      </c>
      <c r="C339" s="221"/>
      <c r="D339" s="162" t="s">
        <v>88</v>
      </c>
      <c r="E339" s="159"/>
      <c r="F339" s="159">
        <f>1000-83.12</f>
        <v>916.88</v>
      </c>
      <c r="G339" s="165">
        <f t="shared" si="32"/>
        <v>70859.740000000005</v>
      </c>
      <c r="H339" s="20"/>
      <c r="I339" s="167">
        <f>IF(B339&gt;0,(Parametros!$H$11-'Calculo Intereses COOPS'!B339),0)</f>
        <v>245</v>
      </c>
      <c r="J339" s="168">
        <f>(F339-E339)*Parametros!$H$37/365*'Calculo Intereses COOPS'!I339</f>
        <v>33.849200000000003</v>
      </c>
      <c r="K339" s="169">
        <f t="shared" si="33"/>
        <v>3823.9567164383561</v>
      </c>
    </row>
    <row r="340" spans="2:11" x14ac:dyDescent="0.25">
      <c r="B340" s="160">
        <v>42155</v>
      </c>
      <c r="C340" s="221"/>
      <c r="D340" s="162" t="s">
        <v>88</v>
      </c>
      <c r="E340" s="159"/>
      <c r="F340" s="159">
        <v>114.29</v>
      </c>
      <c r="G340" s="165">
        <f t="shared" si="32"/>
        <v>70974.03</v>
      </c>
      <c r="H340" s="20"/>
      <c r="I340" s="167">
        <f>IF(B340&gt;0,(Parametros!$H$11-'Calculo Intereses COOPS'!B340),0)</f>
        <v>214</v>
      </c>
      <c r="J340" s="168">
        <f>(F340-E340)*Parametros!$H$37/365*'Calculo Intereses COOPS'!I340</f>
        <v>3.6854610958904113</v>
      </c>
      <c r="K340" s="169">
        <f t="shared" si="33"/>
        <v>3827.6421775342465</v>
      </c>
    </row>
    <row r="341" spans="2:11" x14ac:dyDescent="0.25">
      <c r="B341" s="160">
        <v>42155</v>
      </c>
      <c r="C341" s="161"/>
      <c r="D341" s="162" t="s">
        <v>88</v>
      </c>
      <c r="E341" s="159"/>
      <c r="F341" s="159">
        <v>914.32</v>
      </c>
      <c r="G341" s="165">
        <f t="shared" si="32"/>
        <v>71888.350000000006</v>
      </c>
      <c r="H341" s="20"/>
      <c r="I341" s="167">
        <f>IF(B341&gt;0,(Parametros!$H$11-'Calculo Intereses COOPS'!B341),0)</f>
        <v>214</v>
      </c>
      <c r="J341" s="168">
        <f>(F341-E341)*Parametros!$H$37/365*'Calculo Intereses COOPS'!I341</f>
        <v>29.48368876712329</v>
      </c>
      <c r="K341" s="169">
        <f t="shared" si="33"/>
        <v>3857.1258663013696</v>
      </c>
    </row>
    <row r="342" spans="2:11" x14ac:dyDescent="0.25">
      <c r="B342" s="160">
        <v>42185</v>
      </c>
      <c r="C342" s="161"/>
      <c r="D342" s="162" t="s">
        <v>88</v>
      </c>
      <c r="E342" s="159"/>
      <c r="F342" s="159">
        <v>1000</v>
      </c>
      <c r="G342" s="165">
        <f t="shared" si="32"/>
        <v>72888.350000000006</v>
      </c>
      <c r="H342" s="20"/>
      <c r="I342" s="167">
        <f>IF(B342&gt;0,(Parametros!$H$11-'Calculo Intereses COOPS'!B342),0)</f>
        <v>184</v>
      </c>
      <c r="J342" s="168">
        <f>(F342-E342)*Parametros!$H$37/365*'Calculo Intereses COOPS'!I342</f>
        <v>27.726027397260271</v>
      </c>
      <c r="K342" s="169">
        <f t="shared" si="33"/>
        <v>3884.8518936986297</v>
      </c>
    </row>
    <row r="343" spans="2:11" x14ac:dyDescent="0.25">
      <c r="B343" s="160">
        <v>42215</v>
      </c>
      <c r="C343" s="161"/>
      <c r="D343" s="162" t="s">
        <v>88</v>
      </c>
      <c r="E343" s="159"/>
      <c r="F343" s="159">
        <v>3333.34</v>
      </c>
      <c r="G343" s="165">
        <f t="shared" si="32"/>
        <v>76221.69</v>
      </c>
      <c r="H343" s="20"/>
      <c r="I343" s="167">
        <f>IF(B343&gt;0,(Parametros!$H$11-'Calculo Intereses COOPS'!B343),0)</f>
        <v>154</v>
      </c>
      <c r="J343" s="168">
        <f>(F343-E343)*Parametros!$H$37/365*'Calculo Intereses COOPS'!I343</f>
        <v>77.351752876712339</v>
      </c>
      <c r="K343" s="169">
        <f t="shared" si="33"/>
        <v>3962.2036465753422</v>
      </c>
    </row>
    <row r="344" spans="2:11" x14ac:dyDescent="0.25">
      <c r="B344" s="160">
        <v>42215</v>
      </c>
      <c r="C344" s="161"/>
      <c r="D344" s="162" t="s">
        <v>88</v>
      </c>
      <c r="E344" s="159"/>
      <c r="F344" s="159">
        <v>1000</v>
      </c>
      <c r="G344" s="165">
        <f t="shared" si="32"/>
        <v>77221.69</v>
      </c>
      <c r="H344" s="20"/>
      <c r="I344" s="167">
        <f>IF(B344&gt;0,(Parametros!$H$11-'Calculo Intereses COOPS'!B344),0)</f>
        <v>154</v>
      </c>
      <c r="J344" s="168">
        <f>(F344-E344)*Parametros!$H$37/365*'Calculo Intereses COOPS'!I344</f>
        <v>23.205479452054792</v>
      </c>
      <c r="K344" s="169">
        <f t="shared" si="33"/>
        <v>3985.4091260273972</v>
      </c>
    </row>
    <row r="345" spans="2:11" x14ac:dyDescent="0.25">
      <c r="B345" s="160">
        <v>42247</v>
      </c>
      <c r="C345" s="161"/>
      <c r="D345" s="162" t="s">
        <v>88</v>
      </c>
      <c r="E345" s="159"/>
      <c r="F345" s="159">
        <v>3333.34</v>
      </c>
      <c r="G345" s="165">
        <f t="shared" si="32"/>
        <v>80555.03</v>
      </c>
      <c r="H345" s="20"/>
      <c r="I345" s="167">
        <f>IF(B345&gt;0,(Parametros!$H$11-'Calculo Intereses COOPS'!B345),0)</f>
        <v>122</v>
      </c>
      <c r="J345" s="168">
        <f>(F345-E345)*Parametros!$H$37/365*'Calculo Intereses COOPS'!I345</f>
        <v>61.278661369863016</v>
      </c>
      <c r="K345" s="169">
        <f t="shared" si="33"/>
        <v>4046.6877873972603</v>
      </c>
    </row>
    <row r="346" spans="2:11" x14ac:dyDescent="0.25">
      <c r="B346" s="160">
        <v>42247</v>
      </c>
      <c r="C346" s="161"/>
      <c r="D346" s="162" t="s">
        <v>88</v>
      </c>
      <c r="E346" s="159"/>
      <c r="F346" s="159">
        <v>1000</v>
      </c>
      <c r="G346" s="165">
        <f t="shared" si="32"/>
        <v>81555.03</v>
      </c>
      <c r="H346" s="20"/>
      <c r="I346" s="167">
        <f>IF(B346&gt;0,(Parametros!$H$11-'Calculo Intereses COOPS'!B346),0)</f>
        <v>122</v>
      </c>
      <c r="J346" s="168">
        <f>(F346-E346)*Parametros!$H$37/365*'Calculo Intereses COOPS'!I346</f>
        <v>18.383561643835616</v>
      </c>
      <c r="K346" s="169">
        <f t="shared" si="33"/>
        <v>4065.0713490410958</v>
      </c>
    </row>
    <row r="347" spans="2:11" x14ac:dyDescent="0.25">
      <c r="B347" s="160">
        <v>42277</v>
      </c>
      <c r="C347" s="161"/>
      <c r="D347" s="162" t="s">
        <v>88</v>
      </c>
      <c r="E347" s="159"/>
      <c r="F347" s="159">
        <v>3333.34</v>
      </c>
      <c r="G347" s="165">
        <f t="shared" si="32"/>
        <v>84888.37</v>
      </c>
      <c r="H347" s="20"/>
      <c r="I347" s="167">
        <f>IF(B347&gt;0,(Parametros!$H$11-'Calculo Intereses COOPS'!B347),0)</f>
        <v>92</v>
      </c>
      <c r="J347" s="168">
        <f>(F347-E347)*Parametros!$H$37/365*'Calculo Intereses COOPS'!I347</f>
        <v>46.210138082191783</v>
      </c>
      <c r="K347" s="169">
        <f t="shared" si="33"/>
        <v>4111.2814871232877</v>
      </c>
    </row>
    <row r="348" spans="2:11" x14ac:dyDescent="0.25">
      <c r="B348" s="160">
        <v>42306</v>
      </c>
      <c r="C348" s="161"/>
      <c r="D348" s="162" t="s">
        <v>88</v>
      </c>
      <c r="E348" s="159"/>
      <c r="F348" s="159">
        <v>1000</v>
      </c>
      <c r="G348" s="165">
        <f t="shared" si="32"/>
        <v>85888.37</v>
      </c>
      <c r="H348" s="20"/>
      <c r="I348" s="167">
        <f>IF(B348&gt;0,(Parametros!$H$11-'Calculo Intereses COOPS'!B348),0)</f>
        <v>63</v>
      </c>
      <c r="J348" s="168">
        <f>(F348-E348)*Parametros!$H$37/365*'Calculo Intereses COOPS'!I348</f>
        <v>9.493150684931507</v>
      </c>
      <c r="K348" s="169">
        <f t="shared" si="33"/>
        <v>4120.7746378082193</v>
      </c>
    </row>
    <row r="349" spans="2:11" x14ac:dyDescent="0.25">
      <c r="B349" s="160">
        <v>42336</v>
      </c>
      <c r="C349" s="161"/>
      <c r="D349" s="162" t="s">
        <v>88</v>
      </c>
      <c r="E349" s="159"/>
      <c r="F349" s="159">
        <v>1000</v>
      </c>
      <c r="G349" s="165">
        <f t="shared" si="32"/>
        <v>86888.37</v>
      </c>
      <c r="H349" s="20"/>
      <c r="I349" s="167">
        <f>IF(B349&gt;0,(Parametros!$H$11-'Calculo Intereses COOPS'!B349),0)</f>
        <v>33</v>
      </c>
      <c r="J349" s="168">
        <f>(F349-E349)*Parametros!$H$37/365*'Calculo Intereses COOPS'!I349</f>
        <v>4.9726027397260273</v>
      </c>
      <c r="K349" s="169">
        <f t="shared" si="33"/>
        <v>4125.7472405479457</v>
      </c>
    </row>
    <row r="350" spans="2:11" x14ac:dyDescent="0.25">
      <c r="B350" s="160">
        <v>42367</v>
      </c>
      <c r="C350" s="161"/>
      <c r="D350" s="162" t="s">
        <v>88</v>
      </c>
      <c r="E350" s="159"/>
      <c r="F350" s="159">
        <v>1000</v>
      </c>
      <c r="G350" s="165">
        <f t="shared" si="32"/>
        <v>87888.37</v>
      </c>
      <c r="H350" s="20"/>
      <c r="I350" s="167">
        <f>IF(B350&gt;0,(Parametros!$H$11-'Calculo Intereses COOPS'!B350),0)</f>
        <v>2</v>
      </c>
      <c r="J350" s="168">
        <f>(F350-E350)*Parametros!$H$37/365*'Calculo Intereses COOPS'!I350</f>
        <v>0.30136986301369861</v>
      </c>
      <c r="K350" s="169">
        <f t="shared" si="33"/>
        <v>4126.0486104109596</v>
      </c>
    </row>
    <row r="351" spans="2:11" x14ac:dyDescent="0.25">
      <c r="B351" s="160">
        <v>42277</v>
      </c>
      <c r="C351" s="161"/>
      <c r="D351" s="162" t="s">
        <v>88</v>
      </c>
      <c r="E351" s="159"/>
      <c r="F351" s="159">
        <v>1000</v>
      </c>
      <c r="G351" s="165">
        <f t="shared" si="32"/>
        <v>88888.37</v>
      </c>
      <c r="H351" s="20"/>
      <c r="I351" s="167">
        <f>IF(B351&gt;0,(Parametros!$H$11-'Calculo Intereses COOPS'!B351),0)</f>
        <v>92</v>
      </c>
      <c r="J351" s="168">
        <f>(F351-E351)*Parametros!$H$37/365*'Calculo Intereses COOPS'!I351</f>
        <v>13.863013698630136</v>
      </c>
      <c r="K351" s="169">
        <f t="shared" si="33"/>
        <v>4139.9116241095899</v>
      </c>
    </row>
    <row r="352" spans="2:11" x14ac:dyDescent="0.25">
      <c r="B352" s="20"/>
      <c r="C352" s="20"/>
      <c r="D352" s="52" t="s">
        <v>21</v>
      </c>
      <c r="E352" s="166">
        <f>SUM(E334:E351)</f>
        <v>0</v>
      </c>
      <c r="F352" s="166">
        <f>SUM(F334:F351)</f>
        <v>88888.37</v>
      </c>
      <c r="G352" s="166">
        <f>+G351</f>
        <v>88888.37</v>
      </c>
      <c r="J352" s="170">
        <f>SUM(J334:J351)</f>
        <v>4139.9116241095899</v>
      </c>
    </row>
    <row r="354" spans="2:14" x14ac:dyDescent="0.25">
      <c r="B354" s="172" t="str">
        <f>CONCATENATE("APORTACIONES Y CALCULO DE INTERESES CORRESPONDIENTES AL AÑO ",YEAR(Parametros!$H$11))</f>
        <v>APORTACIONES Y CALCULO DE INTERESES CORRESPONDIENTES AL AÑO 2015</v>
      </c>
      <c r="C354" s="53"/>
      <c r="D354" s="53"/>
      <c r="E354" s="54"/>
      <c r="F354" s="54"/>
      <c r="G354" s="54"/>
      <c r="H354" s="20"/>
      <c r="I354" s="55"/>
      <c r="J354" s="56"/>
      <c r="K354" s="20"/>
    </row>
    <row r="355" spans="2:14" x14ac:dyDescent="0.25">
      <c r="B355" s="69" t="s">
        <v>186</v>
      </c>
      <c r="C355" s="173" t="str">
        <f>+'Calculo Excedentes'!A23</f>
        <v>CA-17</v>
      </c>
      <c r="D355" s="171" t="s">
        <v>187</v>
      </c>
      <c r="E355" s="176" t="str">
        <f>+'Calculo Excedentes'!B23</f>
        <v>CODEZA</v>
      </c>
      <c r="F355" s="174"/>
      <c r="G355" s="175"/>
      <c r="H355" s="20"/>
      <c r="I355" s="39" t="s">
        <v>73</v>
      </c>
      <c r="J355" s="39" t="s">
        <v>74</v>
      </c>
      <c r="K355" s="39" t="s">
        <v>75</v>
      </c>
    </row>
    <row r="356" spans="2:14" x14ac:dyDescent="0.25">
      <c r="B356" s="40" t="s">
        <v>76</v>
      </c>
      <c r="C356" s="40" t="s">
        <v>77</v>
      </c>
      <c r="D356" s="40" t="s">
        <v>78</v>
      </c>
      <c r="E356" s="40" t="s">
        <v>79</v>
      </c>
      <c r="F356" s="40" t="s">
        <v>80</v>
      </c>
      <c r="G356" s="40" t="s">
        <v>81</v>
      </c>
      <c r="H356" s="20"/>
      <c r="I356" s="42" t="s">
        <v>82</v>
      </c>
      <c r="J356" s="164" t="s">
        <v>185</v>
      </c>
      <c r="K356" s="42" t="s">
        <v>84</v>
      </c>
    </row>
    <row r="357" spans="2:14" x14ac:dyDescent="0.25">
      <c r="B357" s="158">
        <f>+Parametros!$H$11-365</f>
        <v>42004</v>
      </c>
      <c r="C357" s="161"/>
      <c r="D357" s="162"/>
      <c r="E357" s="159"/>
      <c r="F357" s="159">
        <f>+'[2]produccion cooperativas asociad'!$E$18</f>
        <v>61201.32</v>
      </c>
      <c r="G357" s="165">
        <f>+F357-E357</f>
        <v>61201.32</v>
      </c>
      <c r="H357" s="20"/>
      <c r="I357" s="167">
        <f>IF(B357&gt;0,(Parametros!$H$11-'Calculo Intereses COOPS'!B357),0)</f>
        <v>365</v>
      </c>
      <c r="J357" s="168">
        <f>(F357-E357)*Parametros!$H$37/365*'Calculo Intereses COOPS'!I357</f>
        <v>3366.0725999999995</v>
      </c>
      <c r="K357" s="169">
        <f>+J357</f>
        <v>3366.0725999999995</v>
      </c>
      <c r="M357">
        <v>30400.66</v>
      </c>
      <c r="N357" s="222">
        <f>+G357-M357</f>
        <v>30800.66</v>
      </c>
    </row>
    <row r="358" spans="2:14" x14ac:dyDescent="0.25">
      <c r="B358" s="160">
        <v>42035</v>
      </c>
      <c r="C358" s="161"/>
      <c r="D358" s="162" t="s">
        <v>88</v>
      </c>
      <c r="E358" s="159"/>
      <c r="F358" s="159">
        <f>+[3]Sheet1!$AA$773</f>
        <v>228.58</v>
      </c>
      <c r="G358" s="165">
        <f>+G357+F358-E358</f>
        <v>61429.9</v>
      </c>
      <c r="H358" s="20"/>
      <c r="I358" s="167">
        <f>IF(B358&gt;0,(Parametros!$H$11-'Calculo Intereses COOPS'!B358),0)</f>
        <v>334</v>
      </c>
      <c r="J358" s="168">
        <f>(F358-E358)*Parametros!$H$37/365*'Calculo Intereses COOPS'!I358</f>
        <v>11.504149589041097</v>
      </c>
      <c r="K358" s="169">
        <f>+J358+K357</f>
        <v>3377.5767495890404</v>
      </c>
    </row>
    <row r="359" spans="2:14" x14ac:dyDescent="0.25">
      <c r="B359" s="160">
        <v>42061</v>
      </c>
      <c r="C359" s="221"/>
      <c r="D359" s="162" t="s">
        <v>88</v>
      </c>
      <c r="E359" s="159"/>
      <c r="F359" s="159">
        <v>1666.67</v>
      </c>
      <c r="G359" s="165">
        <f t="shared" ref="G359:G379" si="34">+G358+F359-E359</f>
        <v>63096.57</v>
      </c>
      <c r="H359" s="20"/>
      <c r="I359" s="167">
        <f>IF(B359&gt;0,(Parametros!$H$11-'Calculo Intereses COOPS'!B359),0)</f>
        <v>308</v>
      </c>
      <c r="J359" s="168">
        <f>(F359-E359)*Parametros!$H$37/365*'Calculo Intereses COOPS'!I359</f>
        <v>77.351752876712339</v>
      </c>
      <c r="K359" s="169">
        <f t="shared" ref="K359:K379" si="35">+J359+K358</f>
        <v>3454.9285024657529</v>
      </c>
    </row>
    <row r="360" spans="2:14" x14ac:dyDescent="0.25">
      <c r="B360" s="160">
        <v>42084</v>
      </c>
      <c r="C360" s="221"/>
      <c r="D360" s="162" t="s">
        <v>88</v>
      </c>
      <c r="E360" s="159"/>
      <c r="F360" s="159">
        <v>1061.9100000000001</v>
      </c>
      <c r="G360" s="165">
        <f t="shared" si="34"/>
        <v>64158.48</v>
      </c>
      <c r="H360" s="20"/>
      <c r="I360" s="167">
        <f>IF(B360&gt;0,(Parametros!$H$11-'Calculo Intereses COOPS'!B360),0)</f>
        <v>285</v>
      </c>
      <c r="J360" s="168">
        <f>(F360-E360)*Parametros!$H$37/365*'Calculo Intereses COOPS'!I360</f>
        <v>45.603943150684934</v>
      </c>
      <c r="K360" s="169">
        <f t="shared" si="35"/>
        <v>3500.5324456164381</v>
      </c>
    </row>
    <row r="361" spans="2:14" x14ac:dyDescent="0.25">
      <c r="B361" s="160">
        <v>42049</v>
      </c>
      <c r="C361" s="221"/>
      <c r="D361" s="162" t="s">
        <v>236</v>
      </c>
      <c r="E361" s="159"/>
      <c r="F361" s="159">
        <v>4114.29</v>
      </c>
      <c r="G361" s="165">
        <f t="shared" si="34"/>
        <v>68272.77</v>
      </c>
      <c r="H361" s="20"/>
      <c r="I361" s="167">
        <f>IF(B361&gt;0,(Parametros!$H$11-'Calculo Intereses COOPS'!B361),0)</f>
        <v>320</v>
      </c>
      <c r="J361" s="168">
        <f>(F361-E361)*Parametros!$H$37/365*'Calculo Intereses COOPS'!I361</f>
        <v>198.38768219178081</v>
      </c>
      <c r="K361" s="169">
        <f t="shared" si="35"/>
        <v>3698.9201278082187</v>
      </c>
    </row>
    <row r="362" spans="2:14" x14ac:dyDescent="0.25">
      <c r="B362" s="160">
        <v>42115</v>
      </c>
      <c r="C362" s="221"/>
      <c r="D362" s="162" t="s">
        <v>88</v>
      </c>
      <c r="E362" s="159"/>
      <c r="F362" s="159">
        <v>1028.6099999999999</v>
      </c>
      <c r="G362" s="165">
        <f t="shared" si="34"/>
        <v>69301.38</v>
      </c>
      <c r="H362" s="20"/>
      <c r="I362" s="167">
        <f>IF(B362&gt;0,(Parametros!$H$11-'Calculo Intereses COOPS'!B362),0)</f>
        <v>254</v>
      </c>
      <c r="J362" s="168">
        <f>(F362-E362)*Parametros!$H$37/365*'Calculo Intereses COOPS'!I362</f>
        <v>39.368990958904106</v>
      </c>
      <c r="K362" s="169">
        <f t="shared" si="35"/>
        <v>3738.289118767123</v>
      </c>
    </row>
    <row r="363" spans="2:14" x14ac:dyDescent="0.25">
      <c r="B363" s="160">
        <v>42124</v>
      </c>
      <c r="C363" s="221"/>
      <c r="D363" s="162" t="s">
        <v>88</v>
      </c>
      <c r="E363" s="159"/>
      <c r="F363" s="159">
        <v>114.29</v>
      </c>
      <c r="G363" s="165">
        <f t="shared" si="34"/>
        <v>69415.67</v>
      </c>
      <c r="H363" s="20"/>
      <c r="I363" s="167">
        <f>IF(B363&gt;0,(Parametros!$H$11-'Calculo Intereses COOPS'!B363),0)</f>
        <v>245</v>
      </c>
      <c r="J363" s="168">
        <f>(F363-E363)*Parametros!$H$37/365*'Calculo Intereses COOPS'!I363</f>
        <v>4.2193363013698635</v>
      </c>
      <c r="K363" s="169">
        <f t="shared" si="35"/>
        <v>3742.5084550684928</v>
      </c>
    </row>
    <row r="364" spans="2:14" x14ac:dyDescent="0.25">
      <c r="B364" s="160">
        <v>42144</v>
      </c>
      <c r="C364" s="161"/>
      <c r="D364" s="162" t="s">
        <v>88</v>
      </c>
      <c r="E364" s="159"/>
      <c r="F364" s="159">
        <v>833.33</v>
      </c>
      <c r="G364" s="165">
        <f t="shared" si="34"/>
        <v>70249</v>
      </c>
      <c r="H364" s="20"/>
      <c r="I364" s="167">
        <f>IF(B364&gt;0,(Parametros!$H$11-'Calculo Intereses COOPS'!B364),0)</f>
        <v>225</v>
      </c>
      <c r="J364" s="168">
        <f>(F364-E364)*Parametros!$H$37/365*'Calculo Intereses COOPS'!I364</f>
        <v>28.25331164383562</v>
      </c>
      <c r="K364" s="169">
        <f t="shared" si="35"/>
        <v>3770.7617667123286</v>
      </c>
    </row>
    <row r="365" spans="2:14" x14ac:dyDescent="0.25">
      <c r="B365" s="160">
        <v>42122</v>
      </c>
      <c r="C365" s="161"/>
      <c r="D365" s="162" t="s">
        <v>88</v>
      </c>
      <c r="E365" s="159"/>
      <c r="F365" s="159">
        <v>228.58</v>
      </c>
      <c r="G365" s="165">
        <f t="shared" si="34"/>
        <v>70477.58</v>
      </c>
      <c r="H365" s="20"/>
      <c r="I365" s="167">
        <f>IF(B365&gt;0,(Parametros!$H$11-'Calculo Intereses COOPS'!B365),0)</f>
        <v>247</v>
      </c>
      <c r="J365" s="168">
        <f>(F365-E365)*Parametros!$H$37/365*'Calculo Intereses COOPS'!I365</f>
        <v>8.5075597260273987</v>
      </c>
      <c r="K365" s="169">
        <f t="shared" si="35"/>
        <v>3779.2693264383561</v>
      </c>
    </row>
    <row r="366" spans="2:14" x14ac:dyDescent="0.25">
      <c r="B366" s="160">
        <v>42155</v>
      </c>
      <c r="C366" s="161"/>
      <c r="D366" s="162" t="s">
        <v>88</v>
      </c>
      <c r="E366" s="159"/>
      <c r="F366" s="159">
        <v>228.58</v>
      </c>
      <c r="G366" s="165">
        <f t="shared" si="34"/>
        <v>70706.16</v>
      </c>
      <c r="H366" s="20"/>
      <c r="I366" s="167">
        <f>IF(B366&gt;0,(Parametros!$H$11-'Calculo Intereses COOPS'!B366),0)</f>
        <v>214</v>
      </c>
      <c r="J366" s="168">
        <f>(F366-E366)*Parametros!$H$37/365*'Calculo Intereses COOPS'!I366</f>
        <v>7.3709221917808225</v>
      </c>
      <c r="K366" s="169">
        <f t="shared" si="35"/>
        <v>3786.6402486301367</v>
      </c>
    </row>
    <row r="367" spans="2:14" x14ac:dyDescent="0.25">
      <c r="B367" s="160">
        <v>42178</v>
      </c>
      <c r="C367" s="161"/>
      <c r="D367" s="162" t="s">
        <v>88</v>
      </c>
      <c r="E367" s="159"/>
      <c r="F367" s="159">
        <v>833.33</v>
      </c>
      <c r="G367" s="165">
        <f t="shared" si="34"/>
        <v>71539.490000000005</v>
      </c>
      <c r="H367" s="20"/>
      <c r="I367" s="167">
        <f>IF(B367&gt;0,(Parametros!$H$11-'Calculo Intereses COOPS'!B367),0)</f>
        <v>191</v>
      </c>
      <c r="J367" s="168">
        <f>(F367-E367)*Parametros!$H$37/365*'Calculo Intereses COOPS'!I367</f>
        <v>23.983922328767125</v>
      </c>
      <c r="K367" s="169">
        <f t="shared" si="35"/>
        <v>3810.624170958904</v>
      </c>
      <c r="M367" s="94">
        <f>+F380-G357</f>
        <v>17019.200000000019</v>
      </c>
    </row>
    <row r="368" spans="2:14" x14ac:dyDescent="0.25">
      <c r="B368" s="160">
        <v>42207</v>
      </c>
      <c r="C368" s="161"/>
      <c r="D368" s="162" t="s">
        <v>88</v>
      </c>
      <c r="E368" s="159"/>
      <c r="F368" s="159">
        <v>228.58</v>
      </c>
      <c r="G368" s="165">
        <f t="shared" si="34"/>
        <v>71768.070000000007</v>
      </c>
      <c r="H368" s="20"/>
      <c r="I368" s="167">
        <f>IF(B368&gt;0,(Parametros!$H$11-'Calculo Intereses COOPS'!B368),0)</f>
        <v>162</v>
      </c>
      <c r="J368" s="168">
        <f>(F368-E368)*Parametros!$H$37/365*'Calculo Intereses COOPS'!I368</f>
        <v>5.5798569863013707</v>
      </c>
      <c r="K368" s="169">
        <f t="shared" si="35"/>
        <v>3816.2040279452053</v>
      </c>
    </row>
    <row r="369" spans="2:13" x14ac:dyDescent="0.25">
      <c r="B369" s="160">
        <v>42209</v>
      </c>
      <c r="C369" s="161"/>
      <c r="D369" s="162" t="s">
        <v>88</v>
      </c>
      <c r="E369" s="159"/>
      <c r="F369" s="159">
        <v>800.03</v>
      </c>
      <c r="G369" s="165">
        <f t="shared" si="34"/>
        <v>72568.100000000006</v>
      </c>
      <c r="H369" s="20"/>
      <c r="I369" s="167">
        <f>IF(B369&gt;0,(Parametros!$H$11-'Calculo Intereses COOPS'!B369),0)</f>
        <v>160</v>
      </c>
      <c r="J369" s="168">
        <f>(F369-E369)*Parametros!$H$37/365*'Calculo Intereses COOPS'!I369</f>
        <v>19.288394520547946</v>
      </c>
      <c r="K369" s="169">
        <f t="shared" si="35"/>
        <v>3835.4924224657534</v>
      </c>
    </row>
    <row r="370" spans="2:13" x14ac:dyDescent="0.25">
      <c r="B370" s="160">
        <v>42216</v>
      </c>
      <c r="C370" s="161"/>
      <c r="D370" s="162" t="s">
        <v>88</v>
      </c>
      <c r="E370" s="159"/>
      <c r="F370" s="159">
        <v>114.29</v>
      </c>
      <c r="G370" s="165">
        <f t="shared" si="34"/>
        <v>72682.39</v>
      </c>
      <c r="H370" s="20"/>
      <c r="I370" s="167">
        <f>IF(B370&gt;0,(Parametros!$H$11-'Calculo Intereses COOPS'!B370),0)</f>
        <v>153</v>
      </c>
      <c r="J370" s="168">
        <f>(F370-E370)*Parametros!$H$37/365*'Calculo Intereses COOPS'!I370</f>
        <v>2.6349324657534252</v>
      </c>
      <c r="K370" s="169">
        <f t="shared" si="35"/>
        <v>3838.1273549315069</v>
      </c>
    </row>
    <row r="371" spans="2:13" x14ac:dyDescent="0.25">
      <c r="B371" s="160">
        <v>42237</v>
      </c>
      <c r="C371" s="161"/>
      <c r="D371" s="162" t="s">
        <v>88</v>
      </c>
      <c r="E371" s="159"/>
      <c r="F371" s="159">
        <v>1061.9100000000001</v>
      </c>
      <c r="G371" s="165">
        <f t="shared" si="34"/>
        <v>73744.3</v>
      </c>
      <c r="H371" s="20"/>
      <c r="I371" s="167">
        <f>IF(B371&gt;0,(Parametros!$H$11-'Calculo Intereses COOPS'!B371),0)</f>
        <v>132</v>
      </c>
      <c r="J371" s="168">
        <f>(F371-E371)*Parametros!$H$37/365*'Calculo Intereses COOPS'!I371</f>
        <v>21.121826301369865</v>
      </c>
      <c r="K371" s="169">
        <f t="shared" si="35"/>
        <v>3859.2491812328767</v>
      </c>
    </row>
    <row r="372" spans="2:13" x14ac:dyDescent="0.25">
      <c r="B372" s="160">
        <v>42268</v>
      </c>
      <c r="C372" s="161"/>
      <c r="D372" s="162" t="s">
        <v>88</v>
      </c>
      <c r="E372" s="159"/>
      <c r="F372" s="159">
        <v>833.33</v>
      </c>
      <c r="G372" s="165">
        <f t="shared" si="34"/>
        <v>74577.63</v>
      </c>
      <c r="H372" s="20"/>
      <c r="I372" s="167">
        <f>IF(B372&gt;0,(Parametros!$H$11-'Calculo Intereses COOPS'!B372),0)</f>
        <v>101</v>
      </c>
      <c r="J372" s="168">
        <f>(F372-E372)*Parametros!$H$37/365*'Calculo Intereses COOPS'!I372</f>
        <v>12.682597671232879</v>
      </c>
      <c r="K372" s="169">
        <f t="shared" si="35"/>
        <v>3871.9317789041097</v>
      </c>
    </row>
    <row r="373" spans="2:13" x14ac:dyDescent="0.25">
      <c r="B373" s="160">
        <v>42268</v>
      </c>
      <c r="C373" s="161"/>
      <c r="D373" s="162" t="s">
        <v>88</v>
      </c>
      <c r="E373" s="159"/>
      <c r="F373" s="159">
        <v>228.58</v>
      </c>
      <c r="G373" s="165">
        <f t="shared" si="34"/>
        <v>74806.210000000006</v>
      </c>
      <c r="H373" s="20"/>
      <c r="I373" s="167">
        <f>IF(B373&gt;0,(Parametros!$H$11-'Calculo Intereses COOPS'!B373),0)</f>
        <v>101</v>
      </c>
      <c r="J373" s="168">
        <f>(F373-E373)*Parametros!$H$37/365*'Calculo Intereses COOPS'!I373</f>
        <v>3.4787997260273977</v>
      </c>
      <c r="K373" s="169">
        <f t="shared" si="35"/>
        <v>3875.410578630137</v>
      </c>
      <c r="M373" s="94"/>
    </row>
    <row r="374" spans="2:13" x14ac:dyDescent="0.25">
      <c r="B374" s="160">
        <v>42298</v>
      </c>
      <c r="C374" s="161"/>
      <c r="D374" s="162" t="s">
        <v>88</v>
      </c>
      <c r="E374" s="159"/>
      <c r="F374" s="159">
        <v>228.58</v>
      </c>
      <c r="G374" s="165">
        <f t="shared" si="34"/>
        <v>75034.790000000008</v>
      </c>
      <c r="H374" s="20"/>
      <c r="I374" s="167">
        <f>IF(B374&gt;0,(Parametros!$H$11-'Calculo Intereses COOPS'!B374),0)</f>
        <v>71</v>
      </c>
      <c r="J374" s="168">
        <f>(F374-E374)*Parametros!$H$37/365*'Calculo Intereses COOPS'!I374</f>
        <v>2.4454928767123292</v>
      </c>
      <c r="K374" s="169">
        <f t="shared" si="35"/>
        <v>3877.8560715068493</v>
      </c>
    </row>
    <row r="375" spans="2:13" x14ac:dyDescent="0.25">
      <c r="B375" s="160">
        <v>42308</v>
      </c>
      <c r="C375" s="161"/>
      <c r="D375" s="162" t="s">
        <v>88</v>
      </c>
      <c r="E375" s="159"/>
      <c r="F375" s="159">
        <v>833.33</v>
      </c>
      <c r="G375" s="165">
        <f t="shared" si="34"/>
        <v>75868.12000000001</v>
      </c>
      <c r="H375" s="20"/>
      <c r="I375" s="167">
        <f>IF(B375&gt;0,(Parametros!$H$11-'Calculo Intereses COOPS'!B375),0)</f>
        <v>61</v>
      </c>
      <c r="J375" s="168">
        <f>(F375-E375)*Parametros!$H$37/365*'Calculo Intereses COOPS'!I375</f>
        <v>7.659786712328768</v>
      </c>
      <c r="K375" s="169">
        <f t="shared" si="35"/>
        <v>3885.515858219178</v>
      </c>
    </row>
    <row r="376" spans="2:13" x14ac:dyDescent="0.25">
      <c r="B376" s="160">
        <v>42331</v>
      </c>
      <c r="C376" s="161"/>
      <c r="D376" s="162" t="s">
        <v>88</v>
      </c>
      <c r="E376" s="159"/>
      <c r="F376" s="159">
        <v>833.33</v>
      </c>
      <c r="G376" s="165">
        <f t="shared" si="34"/>
        <v>76701.450000000012</v>
      </c>
      <c r="H376" s="20"/>
      <c r="I376" s="167">
        <f>IF(B376&gt;0,(Parametros!$H$11-'Calculo Intereses COOPS'!B376),0)</f>
        <v>38</v>
      </c>
      <c r="J376" s="168">
        <f>(F376-E376)*Parametros!$H$37/365*'Calculo Intereses COOPS'!I376</f>
        <v>4.7716704109589045</v>
      </c>
      <c r="K376" s="169">
        <f t="shared" si="35"/>
        <v>3890.2875286301369</v>
      </c>
    </row>
    <row r="377" spans="2:13" x14ac:dyDescent="0.25">
      <c r="B377" s="160">
        <v>42331</v>
      </c>
      <c r="C377" s="161"/>
      <c r="D377" s="162" t="s">
        <v>88</v>
      </c>
      <c r="E377" s="159"/>
      <c r="F377" s="159">
        <v>228.58</v>
      </c>
      <c r="G377" s="165">
        <f t="shared" si="34"/>
        <v>76930.030000000013</v>
      </c>
      <c r="H377" s="20"/>
      <c r="I377" s="167">
        <f>IF(B377&gt;0,(Parametros!$H$11-'Calculo Intereses COOPS'!B377),0)</f>
        <v>38</v>
      </c>
      <c r="J377" s="168">
        <f>(F377-E377)*Parametros!$H$37/365*'Calculo Intereses COOPS'!I377</f>
        <v>1.3088553424657536</v>
      </c>
      <c r="K377" s="169">
        <f t="shared" si="35"/>
        <v>3891.5963839726028</v>
      </c>
      <c r="M377" s="94">
        <f>+G377-45486.93</f>
        <v>31443.100000000013</v>
      </c>
    </row>
    <row r="378" spans="2:13" x14ac:dyDescent="0.25">
      <c r="B378" s="160">
        <v>42359</v>
      </c>
      <c r="C378" s="161"/>
      <c r="D378" s="162" t="s">
        <v>88</v>
      </c>
      <c r="E378" s="159"/>
      <c r="F378" s="159">
        <v>833.33</v>
      </c>
      <c r="G378" s="165">
        <f t="shared" si="34"/>
        <v>77763.360000000015</v>
      </c>
      <c r="H378" s="20"/>
      <c r="I378" s="167">
        <f>IF(B378&gt;0,(Parametros!$H$11-'Calculo Intereses COOPS'!B378),0)</f>
        <v>10</v>
      </c>
      <c r="J378" s="168">
        <f>(F378-E378)*Parametros!$H$37/365*'Calculo Intereses COOPS'!I378</f>
        <v>1.2557027397260276</v>
      </c>
      <c r="K378" s="169">
        <f t="shared" si="35"/>
        <v>3892.8520867123289</v>
      </c>
    </row>
    <row r="379" spans="2:13" x14ac:dyDescent="0.25">
      <c r="B379" s="160">
        <v>42359</v>
      </c>
      <c r="C379" s="161"/>
      <c r="D379" s="162" t="s">
        <v>88</v>
      </c>
      <c r="E379" s="159"/>
      <c r="F379" s="159">
        <v>457.16</v>
      </c>
      <c r="G379" s="165">
        <f t="shared" si="34"/>
        <v>78220.520000000019</v>
      </c>
      <c r="H379" s="20"/>
      <c r="I379" s="167">
        <f>IF(B379&gt;0,(Parametros!$H$11-'Calculo Intereses COOPS'!B379),0)</f>
        <v>10</v>
      </c>
      <c r="J379" s="168">
        <f>(F379-E379)*Parametros!$H$37/365*'Calculo Intereses COOPS'!I379</f>
        <v>0.68887123287671237</v>
      </c>
      <c r="K379" s="169">
        <f t="shared" si="35"/>
        <v>3893.5409579452057</v>
      </c>
    </row>
    <row r="380" spans="2:13" x14ac:dyDescent="0.25">
      <c r="B380" s="20"/>
      <c r="C380" s="20"/>
      <c r="D380" s="52" t="s">
        <v>21</v>
      </c>
      <c r="E380" s="166">
        <f>SUM(E357:E379)</f>
        <v>0</v>
      </c>
      <c r="F380" s="166">
        <f>SUM(F357:F379)</f>
        <v>78220.520000000019</v>
      </c>
      <c r="G380" s="166">
        <f>+G379</f>
        <v>78220.520000000019</v>
      </c>
      <c r="J380" s="170">
        <f>SUM(J357:J379)</f>
        <v>3893.5409579452057</v>
      </c>
    </row>
    <row r="383" spans="2:13" x14ac:dyDescent="0.25">
      <c r="B383" s="172" t="str">
        <f>CONCATENATE("APORTACIONES Y CALCULO DE INTERESES CORRESPONDIENTES AL AÑO ",YEAR(Parametros!$H$11))</f>
        <v>APORTACIONES Y CALCULO DE INTERESES CORRESPONDIENTES AL AÑO 2015</v>
      </c>
      <c r="C383" s="53"/>
      <c r="D383" s="53"/>
      <c r="E383" s="54"/>
      <c r="F383" s="54"/>
      <c r="G383" s="54"/>
      <c r="H383" s="20"/>
      <c r="I383" s="55"/>
      <c r="J383" s="56"/>
      <c r="K383" s="20"/>
    </row>
    <row r="384" spans="2:13" x14ac:dyDescent="0.25">
      <c r="B384" s="69" t="s">
        <v>186</v>
      </c>
      <c r="C384" s="173" t="str">
        <f>+'Calculo Excedentes'!A24</f>
        <v>CA-18</v>
      </c>
      <c r="D384" s="171" t="s">
        <v>187</v>
      </c>
      <c r="E384" s="176" t="str">
        <f>+'Calculo Excedentes'!B24</f>
        <v>ACOCOMET</v>
      </c>
      <c r="F384" s="174"/>
      <c r="G384" s="175"/>
      <c r="H384" s="20"/>
      <c r="I384" s="39" t="s">
        <v>73</v>
      </c>
      <c r="J384" s="39" t="s">
        <v>74</v>
      </c>
      <c r="K384" s="39" t="s">
        <v>75</v>
      </c>
    </row>
    <row r="385" spans="2:11" x14ac:dyDescent="0.25">
      <c r="B385" s="40" t="s">
        <v>76</v>
      </c>
      <c r="C385" s="40" t="s">
        <v>77</v>
      </c>
      <c r="D385" s="40" t="s">
        <v>78</v>
      </c>
      <c r="E385" s="40" t="s">
        <v>79</v>
      </c>
      <c r="F385" s="40" t="s">
        <v>80</v>
      </c>
      <c r="G385" s="40" t="s">
        <v>81</v>
      </c>
      <c r="H385" s="20"/>
      <c r="I385" s="42" t="s">
        <v>82</v>
      </c>
      <c r="J385" s="164" t="s">
        <v>185</v>
      </c>
      <c r="K385" s="42" t="s">
        <v>84</v>
      </c>
    </row>
    <row r="386" spans="2:11" x14ac:dyDescent="0.25">
      <c r="B386" s="158">
        <f>+Parametros!$H$11-365</f>
        <v>42004</v>
      </c>
      <c r="C386" s="161"/>
      <c r="D386" s="162"/>
      <c r="E386" s="159"/>
      <c r="F386" s="159">
        <f>+'[2]produccion cooperativas asociad'!$E$19</f>
        <v>72688.03</v>
      </c>
      <c r="G386" s="165">
        <f>+F386-E386</f>
        <v>72688.03</v>
      </c>
      <c r="H386" s="20"/>
      <c r="I386" s="167">
        <f>IF(B386&gt;0,(Parametros!$H$11-'Calculo Intereses COOPS'!B386),0)</f>
        <v>365</v>
      </c>
      <c r="J386" s="168">
        <f>(F386-E386)*Parametros!$H$37/365*'Calculo Intereses COOPS'!I386</f>
        <v>3997.8416499999998</v>
      </c>
      <c r="K386" s="169">
        <f>+J386</f>
        <v>3997.8416499999998</v>
      </c>
    </row>
    <row r="387" spans="2:11" x14ac:dyDescent="0.25">
      <c r="B387" s="160">
        <v>42032</v>
      </c>
      <c r="C387" s="221"/>
      <c r="D387" s="162" t="s">
        <v>274</v>
      </c>
      <c r="E387" s="159"/>
      <c r="F387" s="159">
        <v>20.9</v>
      </c>
      <c r="G387" s="165">
        <f>+G386+F387-E387</f>
        <v>72708.929999999993</v>
      </c>
      <c r="H387" s="20"/>
      <c r="I387" s="167">
        <f>IF(B387&gt;0,(Parametros!$H$11-'Calculo Intereses COOPS'!B387),0)</f>
        <v>337</v>
      </c>
      <c r="J387" s="168">
        <f>(F387-E387)*Parametros!$H$37/365*'Calculo Intereses COOPS'!I387</f>
        <v>1.0613191780821918</v>
      </c>
      <c r="K387" s="169">
        <f>+J387+K386</f>
        <v>3998.902969178082</v>
      </c>
    </row>
    <row r="388" spans="2:11" x14ac:dyDescent="0.25">
      <c r="B388" s="160">
        <v>41822</v>
      </c>
      <c r="C388" s="221"/>
      <c r="D388" s="162" t="s">
        <v>88</v>
      </c>
      <c r="E388" s="159"/>
      <c r="F388" s="159">
        <v>10000</v>
      </c>
      <c r="G388" s="165">
        <f t="shared" ref="G388:G401" si="36">+G387+F388-E388</f>
        <v>82708.929999999993</v>
      </c>
      <c r="H388" s="20"/>
      <c r="I388" s="167">
        <f>IF(B388&gt;0,(Parametros!$H$11-'Calculo Intereses COOPS'!B388),0)</f>
        <v>547</v>
      </c>
      <c r="J388" s="168">
        <f>(F388-E388)*Parametros!$H$37/365*'Calculo Intereses COOPS'!I388</f>
        <v>824.2465753424658</v>
      </c>
      <c r="K388" s="169">
        <f t="shared" ref="K388:K401" si="37">+J388+K387</f>
        <v>4823.1495445205474</v>
      </c>
    </row>
    <row r="389" spans="2:11" x14ac:dyDescent="0.25">
      <c r="B389" s="160">
        <v>42049</v>
      </c>
      <c r="C389" s="221"/>
      <c r="D389" s="162" t="s">
        <v>236</v>
      </c>
      <c r="E389" s="159"/>
      <c r="F389" s="159">
        <v>5714.29</v>
      </c>
      <c r="G389" s="165">
        <f t="shared" si="36"/>
        <v>88423.219999999987</v>
      </c>
      <c r="H389" s="20"/>
      <c r="I389" s="167">
        <f>IF(B389&gt;0,(Parametros!$H$11-'Calculo Intereses COOPS'!B389),0)</f>
        <v>320</v>
      </c>
      <c r="J389" s="168">
        <f>(F389-E389)*Parametros!$H$37/365*'Calculo Intereses COOPS'!I389</f>
        <v>275.53836712328768</v>
      </c>
      <c r="K389" s="169">
        <f t="shared" si="37"/>
        <v>5098.6879116438349</v>
      </c>
    </row>
    <row r="390" spans="2:11" x14ac:dyDescent="0.25">
      <c r="B390" s="160">
        <v>42284</v>
      </c>
      <c r="C390" s="221"/>
      <c r="D390" s="162" t="s">
        <v>88</v>
      </c>
      <c r="E390" s="159"/>
      <c r="F390" s="159">
        <v>10000</v>
      </c>
      <c r="G390" s="165">
        <f t="shared" si="36"/>
        <v>98423.219999999987</v>
      </c>
      <c r="H390" s="20"/>
      <c r="I390" s="167">
        <f>IF(B390&gt;0,(Parametros!$H$11-'Calculo Intereses COOPS'!B390),0)</f>
        <v>85</v>
      </c>
      <c r="J390" s="168">
        <f>(F390-E390)*Parametros!$H$37/365*'Calculo Intereses COOPS'!I390</f>
        <v>128.08219178082192</v>
      </c>
      <c r="K390" s="169">
        <f t="shared" si="37"/>
        <v>5226.7701034246566</v>
      </c>
    </row>
    <row r="391" spans="2:11" x14ac:dyDescent="0.25">
      <c r="B391" s="160"/>
      <c r="C391" s="221"/>
      <c r="D391" s="162"/>
      <c r="E391" s="159"/>
      <c r="F391" s="159"/>
      <c r="G391" s="165">
        <f t="shared" si="36"/>
        <v>98423.219999999987</v>
      </c>
      <c r="H391" s="20"/>
      <c r="I391" s="167">
        <f>IF(B391&gt;0,(Parametros!$H$11-'Calculo Intereses COOPS'!B391),0)</f>
        <v>0</v>
      </c>
      <c r="J391" s="168">
        <f>(F391-E391)*Parametros!$H$37/365*'Calculo Intereses COOPS'!I391</f>
        <v>0</v>
      </c>
      <c r="K391" s="169">
        <f t="shared" si="37"/>
        <v>5226.7701034246566</v>
      </c>
    </row>
    <row r="392" spans="2:11" x14ac:dyDescent="0.25">
      <c r="B392" s="160"/>
      <c r="C392" s="161"/>
      <c r="D392" s="162"/>
      <c r="E392" s="159"/>
      <c r="F392" s="159"/>
      <c r="G392" s="165">
        <f t="shared" si="36"/>
        <v>98423.219999999987</v>
      </c>
      <c r="H392" s="20"/>
      <c r="I392" s="167">
        <f>IF(B392&gt;0,(Parametros!$H$11-'Calculo Intereses COOPS'!B392),0)</f>
        <v>0</v>
      </c>
      <c r="J392" s="168">
        <f>(F392-E392)*Parametros!$H$37/365*'Calculo Intereses COOPS'!I392</f>
        <v>0</v>
      </c>
      <c r="K392" s="169">
        <f t="shared" si="37"/>
        <v>5226.7701034246566</v>
      </c>
    </row>
    <row r="393" spans="2:11" x14ac:dyDescent="0.25">
      <c r="B393" s="160"/>
      <c r="C393" s="161"/>
      <c r="D393" s="162"/>
      <c r="E393" s="159"/>
      <c r="F393" s="159"/>
      <c r="G393" s="165">
        <f t="shared" si="36"/>
        <v>98423.219999999987</v>
      </c>
      <c r="H393" s="20"/>
      <c r="I393" s="167">
        <f>IF(B393&gt;0,(Parametros!$H$11-'Calculo Intereses COOPS'!B393),0)</f>
        <v>0</v>
      </c>
      <c r="J393" s="168">
        <f>(F393-E393)*Parametros!$H$37/365*'Calculo Intereses COOPS'!I393</f>
        <v>0</v>
      </c>
      <c r="K393" s="169">
        <f t="shared" si="37"/>
        <v>5226.7701034246566</v>
      </c>
    </row>
    <row r="394" spans="2:11" x14ac:dyDescent="0.25">
      <c r="B394" s="160"/>
      <c r="C394" s="161"/>
      <c r="D394" s="162"/>
      <c r="E394" s="159"/>
      <c r="F394" s="159"/>
      <c r="G394" s="165">
        <f t="shared" si="36"/>
        <v>98423.219999999987</v>
      </c>
      <c r="H394" s="20"/>
      <c r="I394" s="167">
        <f>IF(B394&gt;0,(Parametros!$H$11-'Calculo Intereses COOPS'!B394),0)</f>
        <v>0</v>
      </c>
      <c r="J394" s="168">
        <f>(F394-E394)*Parametros!$H$37/365*'Calculo Intereses COOPS'!I394</f>
        <v>0</v>
      </c>
      <c r="K394" s="169">
        <f t="shared" si="37"/>
        <v>5226.7701034246566</v>
      </c>
    </row>
    <row r="395" spans="2:11" x14ac:dyDescent="0.25">
      <c r="B395" s="160"/>
      <c r="C395" s="161"/>
      <c r="D395" s="163"/>
      <c r="E395" s="159"/>
      <c r="F395" s="159"/>
      <c r="G395" s="165">
        <f t="shared" si="36"/>
        <v>98423.219999999987</v>
      </c>
      <c r="H395" s="20"/>
      <c r="I395" s="167">
        <f>IF(B395&gt;0,(Parametros!$H$11-'Calculo Intereses COOPS'!B395),0)</f>
        <v>0</v>
      </c>
      <c r="J395" s="168">
        <f>(F395-E395)*Parametros!$H$37/365*'Calculo Intereses COOPS'!I395</f>
        <v>0</v>
      </c>
      <c r="K395" s="169">
        <f t="shared" si="37"/>
        <v>5226.7701034246566</v>
      </c>
    </row>
    <row r="396" spans="2:11" x14ac:dyDescent="0.25">
      <c r="B396" s="160"/>
      <c r="C396" s="161"/>
      <c r="D396" s="163"/>
      <c r="E396" s="159"/>
      <c r="F396" s="159"/>
      <c r="G396" s="165">
        <f t="shared" si="36"/>
        <v>98423.219999999987</v>
      </c>
      <c r="H396" s="20"/>
      <c r="I396" s="167">
        <f>IF(B396&gt;0,(Parametros!$H$11-'Calculo Intereses COOPS'!B396),0)</f>
        <v>0</v>
      </c>
      <c r="J396" s="168">
        <f>(F396-E396)*Parametros!$H$37/365*'Calculo Intereses COOPS'!I396</f>
        <v>0</v>
      </c>
      <c r="K396" s="169">
        <f t="shared" si="37"/>
        <v>5226.7701034246566</v>
      </c>
    </row>
    <row r="397" spans="2:11" x14ac:dyDescent="0.25">
      <c r="B397" s="160"/>
      <c r="C397" s="161"/>
      <c r="D397" s="163"/>
      <c r="E397" s="159"/>
      <c r="F397" s="159"/>
      <c r="G397" s="165">
        <f t="shared" si="36"/>
        <v>98423.219999999987</v>
      </c>
      <c r="H397" s="20"/>
      <c r="I397" s="167">
        <f>IF(B397&gt;0,(Parametros!$H$11-'Calculo Intereses COOPS'!B397),0)</f>
        <v>0</v>
      </c>
      <c r="J397" s="168">
        <f>(F397-E397)*Parametros!$H$37/365*'Calculo Intereses COOPS'!I397</f>
        <v>0</v>
      </c>
      <c r="K397" s="169">
        <f t="shared" si="37"/>
        <v>5226.7701034246566</v>
      </c>
    </row>
    <row r="398" spans="2:11" x14ac:dyDescent="0.25">
      <c r="B398" s="160"/>
      <c r="C398" s="161"/>
      <c r="D398" s="163"/>
      <c r="E398" s="159"/>
      <c r="F398" s="159"/>
      <c r="G398" s="165">
        <f t="shared" si="36"/>
        <v>98423.219999999987</v>
      </c>
      <c r="H398" s="20"/>
      <c r="I398" s="167">
        <f>IF(B398&gt;0,(Parametros!$H$11-'Calculo Intereses COOPS'!B398),0)</f>
        <v>0</v>
      </c>
      <c r="J398" s="168">
        <f>(F398-E398)*Parametros!$H$37/365*'Calculo Intereses COOPS'!I398</f>
        <v>0</v>
      </c>
      <c r="K398" s="169">
        <f t="shared" si="37"/>
        <v>5226.7701034246566</v>
      </c>
    </row>
    <row r="399" spans="2:11" x14ac:dyDescent="0.25">
      <c r="B399" s="160"/>
      <c r="C399" s="161"/>
      <c r="D399" s="163"/>
      <c r="E399" s="159"/>
      <c r="F399" s="159"/>
      <c r="G399" s="165">
        <f t="shared" si="36"/>
        <v>98423.219999999987</v>
      </c>
      <c r="H399" s="20"/>
      <c r="I399" s="167">
        <f>IF(B399&gt;0,(Parametros!$H$11-'Calculo Intereses COOPS'!B399),0)</f>
        <v>0</v>
      </c>
      <c r="J399" s="168">
        <f>(F399-E399)*Parametros!$H$37/365*'Calculo Intereses COOPS'!I399</f>
        <v>0</v>
      </c>
      <c r="K399" s="169">
        <f t="shared" si="37"/>
        <v>5226.7701034246566</v>
      </c>
    </row>
    <row r="400" spans="2:11" x14ac:dyDescent="0.25">
      <c r="B400" s="160"/>
      <c r="C400" s="161"/>
      <c r="D400" s="163"/>
      <c r="E400" s="159"/>
      <c r="F400" s="159"/>
      <c r="G400" s="165">
        <f t="shared" si="36"/>
        <v>98423.219999999987</v>
      </c>
      <c r="H400" s="20"/>
      <c r="I400" s="167">
        <f>IF(B400&gt;0,(Parametros!$H$11-'Calculo Intereses COOPS'!B400),0)</f>
        <v>0</v>
      </c>
      <c r="J400" s="168">
        <f>(F400-E400)*Parametros!$H$37/365*'Calculo Intereses COOPS'!I400</f>
        <v>0</v>
      </c>
      <c r="K400" s="169">
        <f t="shared" si="37"/>
        <v>5226.7701034246566</v>
      </c>
    </row>
    <row r="401" spans="2:11" x14ac:dyDescent="0.25">
      <c r="B401" s="160"/>
      <c r="C401" s="161"/>
      <c r="D401" s="163"/>
      <c r="E401" s="159"/>
      <c r="F401" s="159"/>
      <c r="G401" s="165">
        <f t="shared" si="36"/>
        <v>98423.219999999987</v>
      </c>
      <c r="H401" s="20"/>
      <c r="I401" s="167">
        <f>IF(B401&gt;0,(Parametros!$H$11-'Calculo Intereses COOPS'!B401),0)</f>
        <v>0</v>
      </c>
      <c r="J401" s="168">
        <f>(F401-E401)*Parametros!$H$37/365*'Calculo Intereses COOPS'!I401</f>
        <v>0</v>
      </c>
      <c r="K401" s="169">
        <f t="shared" si="37"/>
        <v>5226.7701034246566</v>
      </c>
    </row>
    <row r="402" spans="2:11" x14ac:dyDescent="0.25">
      <c r="B402" s="20"/>
      <c r="C402" s="20"/>
      <c r="D402" s="52" t="s">
        <v>21</v>
      </c>
      <c r="E402" s="166">
        <f>SUM(E386:E401)</f>
        <v>0</v>
      </c>
      <c r="F402" s="166">
        <f>SUM(F386:F401)</f>
        <v>98423.219999999987</v>
      </c>
      <c r="G402" s="166">
        <f>+G401</f>
        <v>98423.219999999987</v>
      </c>
      <c r="J402" s="170">
        <f>SUM(J386:J401)</f>
        <v>5226.7701034246566</v>
      </c>
    </row>
    <row r="404" spans="2:11" x14ac:dyDescent="0.25">
      <c r="B404" s="172" t="str">
        <f>CONCATENATE("APORTACIONES Y CALCULO DE INTERESES CORRESPONDIENTES AL AÑO ",YEAR(Parametros!$H$11))</f>
        <v>APORTACIONES Y CALCULO DE INTERESES CORRESPONDIENTES AL AÑO 2015</v>
      </c>
      <c r="C404" s="53"/>
      <c r="D404" s="53"/>
      <c r="E404" s="54"/>
      <c r="G404" s="54"/>
      <c r="H404" s="20"/>
      <c r="I404" s="55"/>
      <c r="J404" s="56"/>
      <c r="K404" s="20"/>
    </row>
    <row r="405" spans="2:11" x14ac:dyDescent="0.25">
      <c r="B405" s="69" t="s">
        <v>186</v>
      </c>
      <c r="C405" s="173" t="str">
        <f>+'Calculo Excedentes'!A25</f>
        <v>CA-19</v>
      </c>
      <c r="D405" s="171" t="s">
        <v>187</v>
      </c>
      <c r="E405" s="176" t="str">
        <f>+'Calculo Excedentes'!B25</f>
        <v>ACODEZO</v>
      </c>
      <c r="F405" s="174"/>
      <c r="G405" s="175"/>
      <c r="H405" s="20"/>
      <c r="I405" s="39" t="s">
        <v>73</v>
      </c>
      <c r="J405" s="39" t="s">
        <v>74</v>
      </c>
      <c r="K405" s="39" t="s">
        <v>75</v>
      </c>
    </row>
    <row r="406" spans="2:11" x14ac:dyDescent="0.25">
      <c r="B406" s="40" t="s">
        <v>76</v>
      </c>
      <c r="C406" s="40" t="s">
        <v>77</v>
      </c>
      <c r="D406" s="40" t="s">
        <v>78</v>
      </c>
      <c r="E406" s="40" t="s">
        <v>79</v>
      </c>
      <c r="F406" s="40" t="s">
        <v>80</v>
      </c>
      <c r="G406" s="40" t="s">
        <v>81</v>
      </c>
      <c r="H406" s="20"/>
      <c r="I406" s="42" t="s">
        <v>82</v>
      </c>
      <c r="J406" s="164" t="s">
        <v>185</v>
      </c>
      <c r="K406" s="42" t="s">
        <v>84</v>
      </c>
    </row>
    <row r="407" spans="2:11" x14ac:dyDescent="0.25">
      <c r="B407" s="158">
        <f>+Parametros!$H$11-365</f>
        <v>42004</v>
      </c>
      <c r="C407" s="161"/>
      <c r="D407" s="162"/>
      <c r="E407" s="159"/>
      <c r="F407" s="159">
        <f>+'[2]produccion cooperativas asociad'!$E$20</f>
        <v>11428.57</v>
      </c>
      <c r="G407" s="165">
        <f>+F407-E407</f>
        <v>11428.57</v>
      </c>
      <c r="H407" s="20"/>
      <c r="I407" s="167">
        <f>IF(B407&gt;0,(Parametros!$H$11-'Calculo Intereses COOPS'!B407),0)</f>
        <v>365</v>
      </c>
      <c r="J407" s="168">
        <f>(F407-E407)*Parametros!$H$37/365*'Calculo Intereses COOPS'!I407</f>
        <v>628.57134999999994</v>
      </c>
      <c r="K407" s="169">
        <f>+J407</f>
        <v>628.57134999999994</v>
      </c>
    </row>
    <row r="408" spans="2:11" x14ac:dyDescent="0.25">
      <c r="B408" s="160">
        <v>42049</v>
      </c>
      <c r="C408" s="161"/>
      <c r="D408" s="162" t="s">
        <v>275</v>
      </c>
      <c r="E408" s="159"/>
      <c r="F408" s="159">
        <v>457.15</v>
      </c>
      <c r="G408" s="165">
        <f>+G407+F408-E408</f>
        <v>11885.72</v>
      </c>
      <c r="H408" s="20"/>
      <c r="I408" s="167">
        <f>IF(B408&gt;0,(Parametros!$H$11-'Calculo Intereses COOPS'!B408),0)</f>
        <v>320</v>
      </c>
      <c r="J408" s="168">
        <f>(F408-E408)*Parametros!$H$37/365*'Calculo Intereses COOPS'!I408</f>
        <v>22.04339726027397</v>
      </c>
      <c r="K408" s="169">
        <f>+J408+K407</f>
        <v>650.61474726027393</v>
      </c>
    </row>
    <row r="409" spans="2:11" x14ac:dyDescent="0.25">
      <c r="B409" s="160">
        <v>42215</v>
      </c>
      <c r="C409" s="161"/>
      <c r="D409" s="162" t="s">
        <v>88</v>
      </c>
      <c r="E409" s="159"/>
      <c r="F409" s="159">
        <v>10000</v>
      </c>
      <c r="G409" s="165">
        <f>+G408+F409</f>
        <v>21885.72</v>
      </c>
      <c r="H409" s="20"/>
      <c r="I409" s="167">
        <f>IF(B409&gt;0,(Parametros!$H$11-'Calculo Intereses COOPS'!B409),0)</f>
        <v>154</v>
      </c>
      <c r="J409" s="168">
        <f>(F409-E409)*Parametros!$H$37/365*'Calculo Intereses COOPS'!I409</f>
        <v>232.05479452054794</v>
      </c>
      <c r="K409" s="169">
        <f t="shared" ref="K409:K422" si="38">+J409+K408</f>
        <v>882.66954178082187</v>
      </c>
    </row>
    <row r="410" spans="2:11" x14ac:dyDescent="0.25">
      <c r="B410" s="160"/>
      <c r="C410" s="161"/>
      <c r="D410" s="162"/>
      <c r="E410" s="159"/>
      <c r="F410" s="159"/>
      <c r="G410" s="165">
        <f>+G409+F410</f>
        <v>21885.72</v>
      </c>
      <c r="H410" s="20"/>
      <c r="I410" s="167">
        <f>IF(B410&gt;0,(Parametros!$H$11-'Calculo Intereses COOPS'!B410),0)</f>
        <v>0</v>
      </c>
      <c r="J410" s="168">
        <f>(F410-E410)*Parametros!$H$37/365*'Calculo Intereses COOPS'!I410</f>
        <v>0</v>
      </c>
      <c r="K410" s="169">
        <f t="shared" si="38"/>
        <v>882.66954178082187</v>
      </c>
    </row>
    <row r="411" spans="2:11" x14ac:dyDescent="0.25">
      <c r="B411" s="160"/>
      <c r="C411" s="161"/>
      <c r="D411" s="162"/>
      <c r="E411" s="159"/>
      <c r="F411" s="159"/>
      <c r="G411" s="165">
        <f>+G410+F411</f>
        <v>21885.72</v>
      </c>
      <c r="H411" s="20"/>
      <c r="I411" s="167">
        <f>IF(B411&gt;0,(Parametros!$H$11-'Calculo Intereses COOPS'!B411),0)</f>
        <v>0</v>
      </c>
      <c r="J411" s="168">
        <f>(F411-E411)*Parametros!$H$37/365*'Calculo Intereses COOPS'!I411</f>
        <v>0</v>
      </c>
      <c r="K411" s="169">
        <f t="shared" si="38"/>
        <v>882.66954178082187</v>
      </c>
    </row>
    <row r="412" spans="2:11" x14ac:dyDescent="0.25">
      <c r="B412" s="160"/>
      <c r="C412" s="161"/>
      <c r="D412" s="162"/>
      <c r="E412" s="159"/>
      <c r="F412" s="159"/>
      <c r="G412" s="165">
        <f>+G411+F412</f>
        <v>21885.72</v>
      </c>
      <c r="H412" s="20"/>
      <c r="I412" s="167">
        <f>IF(B412&gt;0,(Parametros!$H$11-'Calculo Intereses COOPS'!B412),0)</f>
        <v>0</v>
      </c>
      <c r="J412" s="168">
        <f>(F412-E412)*Parametros!$H$37/365*'Calculo Intereses COOPS'!I412</f>
        <v>0</v>
      </c>
      <c r="K412" s="169">
        <f t="shared" si="38"/>
        <v>882.66954178082187</v>
      </c>
    </row>
    <row r="413" spans="2:11" x14ac:dyDescent="0.25">
      <c r="B413" s="160"/>
      <c r="C413" s="161"/>
      <c r="D413" s="163"/>
      <c r="E413" s="159"/>
      <c r="F413" s="159"/>
      <c r="G413" s="165">
        <f t="shared" ref="G413:G421" si="39">+G412+F413</f>
        <v>21885.72</v>
      </c>
      <c r="H413" s="20"/>
      <c r="I413" s="167">
        <f>IF(B413&gt;0,(Parametros!$H$11-'Calculo Intereses COOPS'!B413),0)</f>
        <v>0</v>
      </c>
      <c r="J413" s="168">
        <f>(F413-E413)*Parametros!$H$37/365*'Calculo Intereses COOPS'!I413</f>
        <v>0</v>
      </c>
      <c r="K413" s="169">
        <f t="shared" si="38"/>
        <v>882.66954178082187</v>
      </c>
    </row>
    <row r="414" spans="2:11" x14ac:dyDescent="0.25">
      <c r="B414" s="160"/>
      <c r="C414" s="161"/>
      <c r="D414" s="163"/>
      <c r="E414" s="159"/>
      <c r="F414" s="159"/>
      <c r="G414" s="165">
        <f t="shared" si="39"/>
        <v>21885.72</v>
      </c>
      <c r="H414" s="20"/>
      <c r="I414" s="167">
        <f>IF(B414&gt;0,(Parametros!$H$11-'Calculo Intereses COOPS'!B414),0)</f>
        <v>0</v>
      </c>
      <c r="J414" s="168">
        <f>(F414-E414)*Parametros!$H$37/365*'Calculo Intereses COOPS'!I414</f>
        <v>0</v>
      </c>
      <c r="K414" s="169">
        <f t="shared" si="38"/>
        <v>882.66954178082187</v>
      </c>
    </row>
    <row r="415" spans="2:11" x14ac:dyDescent="0.25">
      <c r="B415" s="160"/>
      <c r="C415" s="161"/>
      <c r="D415" s="163"/>
      <c r="E415" s="159"/>
      <c r="F415" s="159"/>
      <c r="G415" s="165">
        <f t="shared" si="39"/>
        <v>21885.72</v>
      </c>
      <c r="H415" s="20"/>
      <c r="I415" s="167">
        <f>IF(B415&gt;0,(Parametros!$H$11-'Calculo Intereses COOPS'!B415),0)</f>
        <v>0</v>
      </c>
      <c r="J415" s="168">
        <f>(F415-E415)*Parametros!$H$37/365*'Calculo Intereses COOPS'!I415</f>
        <v>0</v>
      </c>
      <c r="K415" s="169">
        <f t="shared" si="38"/>
        <v>882.66954178082187</v>
      </c>
    </row>
    <row r="416" spans="2:11" x14ac:dyDescent="0.25">
      <c r="B416" s="160"/>
      <c r="C416" s="161"/>
      <c r="D416" s="163"/>
      <c r="E416" s="159"/>
      <c r="F416" s="159"/>
      <c r="G416" s="165">
        <f t="shared" si="39"/>
        <v>21885.72</v>
      </c>
      <c r="H416" s="20"/>
      <c r="I416" s="167">
        <f>IF(B416&gt;0,(Parametros!$H$11-'Calculo Intereses COOPS'!B416),0)</f>
        <v>0</v>
      </c>
      <c r="J416" s="168">
        <f>(F416-E416)*Parametros!$H$37/365*'Calculo Intereses COOPS'!I416</f>
        <v>0</v>
      </c>
      <c r="K416" s="169">
        <f t="shared" si="38"/>
        <v>882.66954178082187</v>
      </c>
    </row>
    <row r="417" spans="2:11" x14ac:dyDescent="0.25">
      <c r="B417" s="160"/>
      <c r="C417" s="161"/>
      <c r="D417" s="163"/>
      <c r="E417" s="159"/>
      <c r="F417" s="159"/>
      <c r="G417" s="165">
        <f t="shared" si="39"/>
        <v>21885.72</v>
      </c>
      <c r="H417" s="20"/>
      <c r="I417" s="167">
        <f>IF(B417&gt;0,(Parametros!$H$11-'Calculo Intereses COOPS'!B417),0)</f>
        <v>0</v>
      </c>
      <c r="J417" s="168">
        <f>(F417-E417)*Parametros!$H$37/365*'Calculo Intereses COOPS'!I417</f>
        <v>0</v>
      </c>
      <c r="K417" s="169">
        <f t="shared" si="38"/>
        <v>882.66954178082187</v>
      </c>
    </row>
    <row r="418" spans="2:11" x14ac:dyDescent="0.25">
      <c r="B418" s="160"/>
      <c r="C418" s="161"/>
      <c r="D418" s="163"/>
      <c r="E418" s="159"/>
      <c r="F418" s="159"/>
      <c r="G418" s="165">
        <f t="shared" si="39"/>
        <v>21885.72</v>
      </c>
      <c r="H418" s="20"/>
      <c r="I418" s="167">
        <f>IF(B418&gt;0,(Parametros!$H$11-'Calculo Intereses COOPS'!B418),0)</f>
        <v>0</v>
      </c>
      <c r="J418" s="168">
        <f>(F418-E418)*Parametros!$H$37/365*'Calculo Intereses COOPS'!I418</f>
        <v>0</v>
      </c>
      <c r="K418" s="169">
        <f t="shared" si="38"/>
        <v>882.66954178082187</v>
      </c>
    </row>
    <row r="419" spans="2:11" x14ac:dyDescent="0.25">
      <c r="B419" s="160"/>
      <c r="C419" s="161"/>
      <c r="D419" s="163"/>
      <c r="E419" s="159"/>
      <c r="F419" s="159"/>
      <c r="G419" s="165">
        <f t="shared" si="39"/>
        <v>21885.72</v>
      </c>
      <c r="H419" s="20"/>
      <c r="I419" s="167">
        <f>IF(B419&gt;0,(Parametros!$H$11-'Calculo Intereses COOPS'!B419),0)</f>
        <v>0</v>
      </c>
      <c r="J419" s="168">
        <f>(F419-E419)*Parametros!$H$37/365*'Calculo Intereses COOPS'!I419</f>
        <v>0</v>
      </c>
      <c r="K419" s="169">
        <f t="shared" si="38"/>
        <v>882.66954178082187</v>
      </c>
    </row>
    <row r="420" spans="2:11" x14ac:dyDescent="0.25">
      <c r="B420" s="160"/>
      <c r="C420" s="161"/>
      <c r="D420" s="163"/>
      <c r="E420" s="159"/>
      <c r="F420" s="159"/>
      <c r="G420" s="165">
        <f t="shared" si="39"/>
        <v>21885.72</v>
      </c>
      <c r="H420" s="20"/>
      <c r="I420" s="167">
        <f>IF(B420&gt;0,(Parametros!$H$11-'Calculo Intereses COOPS'!B420),0)</f>
        <v>0</v>
      </c>
      <c r="J420" s="168">
        <f>(F420-E420)*Parametros!$H$37/365*'Calculo Intereses COOPS'!I420</f>
        <v>0</v>
      </c>
      <c r="K420" s="169">
        <f t="shared" si="38"/>
        <v>882.66954178082187</v>
      </c>
    </row>
    <row r="421" spans="2:11" x14ac:dyDescent="0.25">
      <c r="B421" s="160"/>
      <c r="C421" s="161"/>
      <c r="D421" s="163"/>
      <c r="E421" s="159"/>
      <c r="F421" s="159"/>
      <c r="G421" s="165">
        <f t="shared" si="39"/>
        <v>21885.72</v>
      </c>
      <c r="H421" s="20"/>
      <c r="I421" s="167">
        <f>IF(B421&gt;0,(Parametros!$H$11-'Calculo Intereses COOPS'!B421),0)</f>
        <v>0</v>
      </c>
      <c r="J421" s="168">
        <f>(F421-E421)*Parametros!$H$37/365*'Calculo Intereses COOPS'!I421</f>
        <v>0</v>
      </c>
      <c r="K421" s="169">
        <f t="shared" si="38"/>
        <v>882.66954178082187</v>
      </c>
    </row>
    <row r="422" spans="2:11" x14ac:dyDescent="0.25">
      <c r="B422" s="160"/>
      <c r="C422" s="161"/>
      <c r="D422" s="163"/>
      <c r="E422" s="159"/>
      <c r="F422" s="159"/>
      <c r="G422" s="165">
        <f>+G421+F422</f>
        <v>21885.72</v>
      </c>
      <c r="H422" s="20"/>
      <c r="I422" s="167">
        <f>IF(B422&gt;0,(Parametros!$H$11-'Calculo Intereses COOPS'!B422),0)</f>
        <v>0</v>
      </c>
      <c r="J422" s="168">
        <f>(F422-E422)*Parametros!$H$37/365*'Calculo Intereses COOPS'!I422</f>
        <v>0</v>
      </c>
      <c r="K422" s="169">
        <f t="shared" si="38"/>
        <v>882.66954178082187</v>
      </c>
    </row>
    <row r="423" spans="2:11" x14ac:dyDescent="0.25">
      <c r="B423" s="20"/>
      <c r="C423" s="20"/>
      <c r="D423" s="52" t="s">
        <v>21</v>
      </c>
      <c r="E423" s="166">
        <f>SUM(E407:E422)</f>
        <v>0</v>
      </c>
      <c r="F423" s="166">
        <f>SUM(F407:F422)</f>
        <v>21885.72</v>
      </c>
      <c r="G423" s="166">
        <f>+G422</f>
        <v>21885.72</v>
      </c>
      <c r="J423" s="170">
        <f>SUM(J407:J422)</f>
        <v>882.66954178082187</v>
      </c>
    </row>
    <row r="424" spans="2:11" x14ac:dyDescent="0.25">
      <c r="B424" s="20"/>
      <c r="C424" s="20"/>
      <c r="D424" s="20"/>
      <c r="E424" s="20"/>
      <c r="F424" s="20"/>
      <c r="G424" s="20"/>
      <c r="H424" s="20"/>
      <c r="I424" s="20"/>
      <c r="J424" s="20"/>
      <c r="K424" s="20"/>
    </row>
    <row r="425" spans="2:11" x14ac:dyDescent="0.25">
      <c r="B425" s="172" t="str">
        <f>CONCATENATE("APORTACIONES Y CALCULO DE INTERESES CORRESPONDIENTES AL AÑO ",YEAR(Parametros!$H$11))</f>
        <v>APORTACIONES Y CALCULO DE INTERESES CORRESPONDIENTES AL AÑO 2015</v>
      </c>
      <c r="C425" s="53"/>
      <c r="D425" s="53"/>
      <c r="E425" s="54"/>
      <c r="F425" s="54"/>
      <c r="G425" s="54"/>
      <c r="H425" s="20"/>
      <c r="I425" s="55"/>
      <c r="J425" s="56"/>
      <c r="K425" s="20"/>
    </row>
    <row r="426" spans="2:11" x14ac:dyDescent="0.25">
      <c r="B426" s="69" t="s">
        <v>186</v>
      </c>
      <c r="C426" s="173" t="str">
        <f>+'Calculo Excedentes'!A26</f>
        <v>CA-20</v>
      </c>
      <c r="D426" s="171" t="s">
        <v>187</v>
      </c>
      <c r="E426" s="176" t="str">
        <f>+'Calculo Excedentes'!B26</f>
        <v>ELECTRA</v>
      </c>
      <c r="F426" s="174"/>
      <c r="G426" s="175"/>
      <c r="H426" s="20"/>
      <c r="I426" s="39" t="s">
        <v>73</v>
      </c>
      <c r="J426" s="39" t="s">
        <v>74</v>
      </c>
      <c r="K426" s="39" t="s">
        <v>75</v>
      </c>
    </row>
    <row r="427" spans="2:11" x14ac:dyDescent="0.25">
      <c r="B427" s="40" t="s">
        <v>76</v>
      </c>
      <c r="C427" s="40" t="s">
        <v>77</v>
      </c>
      <c r="D427" s="40" t="s">
        <v>78</v>
      </c>
      <c r="E427" s="40" t="s">
        <v>79</v>
      </c>
      <c r="F427" s="40" t="s">
        <v>80</v>
      </c>
      <c r="G427" s="40" t="s">
        <v>81</v>
      </c>
      <c r="H427" s="20"/>
      <c r="I427" s="42" t="s">
        <v>82</v>
      </c>
      <c r="J427" s="164" t="s">
        <v>185</v>
      </c>
      <c r="K427" s="42" t="s">
        <v>84</v>
      </c>
    </row>
    <row r="428" spans="2:11" x14ac:dyDescent="0.25">
      <c r="B428" s="158">
        <f>+Parametros!$H$11-365</f>
        <v>42004</v>
      </c>
      <c r="C428" s="161"/>
      <c r="D428" s="162"/>
      <c r="E428" s="159"/>
      <c r="F428" s="159">
        <f>+'[2]produccion cooperativas asociad'!$E$21</f>
        <v>36114.720000000001</v>
      </c>
      <c r="G428" s="165">
        <f>+F428-E428</f>
        <v>36114.720000000001</v>
      </c>
      <c r="H428" s="20"/>
      <c r="I428" s="167">
        <f>IF(B428&gt;0,(Parametros!$H$11-'Calculo Intereses COOPS'!B428),0)</f>
        <v>365</v>
      </c>
      <c r="J428" s="168">
        <f>(F428-E428)*Parametros!$H$37/365*'Calculo Intereses COOPS'!I428</f>
        <v>1986.3096</v>
      </c>
      <c r="K428" s="169">
        <f>+J428</f>
        <v>1986.3096</v>
      </c>
    </row>
    <row r="429" spans="2:11" x14ac:dyDescent="0.25">
      <c r="B429" s="160">
        <v>42049</v>
      </c>
      <c r="C429" s="161"/>
      <c r="D429" s="162" t="s">
        <v>236</v>
      </c>
      <c r="E429" s="159"/>
      <c r="F429" s="159">
        <v>2628.57</v>
      </c>
      <c r="G429" s="165">
        <f>+G428+F429-E429</f>
        <v>38743.29</v>
      </c>
      <c r="H429" s="20"/>
      <c r="I429" s="167">
        <f>IF(B429&gt;0,(Parametros!$H$11-'Calculo Intereses COOPS'!B429),0)</f>
        <v>320</v>
      </c>
      <c r="J429" s="168">
        <f>(F429-E429)*Parametros!$H$37/365*'Calculo Intereses COOPS'!I429</f>
        <v>126.74748493150688</v>
      </c>
      <c r="K429" s="169">
        <f>+J429+K428</f>
        <v>2113.0570849315068</v>
      </c>
    </row>
    <row r="430" spans="2:11" x14ac:dyDescent="0.25">
      <c r="B430" s="160"/>
      <c r="C430" s="161"/>
      <c r="D430" s="162"/>
      <c r="E430" s="159"/>
      <c r="F430" s="159"/>
      <c r="G430" s="165">
        <f>+G429+F430</f>
        <v>38743.29</v>
      </c>
      <c r="H430" s="20"/>
      <c r="I430" s="167">
        <f>IF(B430&gt;0,(Parametros!$H$11-'Calculo Intereses COOPS'!B430),0)</f>
        <v>0</v>
      </c>
      <c r="J430" s="168">
        <f>(F430-E430)*Parametros!$H$37/365*'Calculo Intereses COOPS'!I430</f>
        <v>0</v>
      </c>
      <c r="K430" s="169">
        <f t="shared" ref="K430:K443" si="40">+J430+K429</f>
        <v>2113.0570849315068</v>
      </c>
    </row>
    <row r="431" spans="2:11" x14ac:dyDescent="0.25">
      <c r="B431" s="160"/>
      <c r="C431" s="161"/>
      <c r="D431" s="162"/>
      <c r="E431" s="159"/>
      <c r="F431" s="159"/>
      <c r="G431" s="165">
        <f>+G430+F431</f>
        <v>38743.29</v>
      </c>
      <c r="H431" s="20"/>
      <c r="I431" s="167">
        <f>IF(B431&gt;0,(Parametros!$H$11-'Calculo Intereses COOPS'!B431),0)</f>
        <v>0</v>
      </c>
      <c r="J431" s="168">
        <f>(F431-E431)*Parametros!$H$37/365*'Calculo Intereses COOPS'!I431</f>
        <v>0</v>
      </c>
      <c r="K431" s="169">
        <f t="shared" si="40"/>
        <v>2113.0570849315068</v>
      </c>
    </row>
    <row r="432" spans="2:11" x14ac:dyDescent="0.25">
      <c r="B432" s="160"/>
      <c r="C432" s="161"/>
      <c r="D432" s="162"/>
      <c r="E432" s="159"/>
      <c r="F432" s="159"/>
      <c r="G432" s="165">
        <f>+G431+F432</f>
        <v>38743.29</v>
      </c>
      <c r="H432" s="20"/>
      <c r="I432" s="167">
        <f>IF(B432&gt;0,(Parametros!$H$11-'Calculo Intereses COOPS'!B432),0)</f>
        <v>0</v>
      </c>
      <c r="J432" s="168">
        <f>(F432-E432)*Parametros!$H$37/365*'Calculo Intereses COOPS'!I432</f>
        <v>0</v>
      </c>
      <c r="K432" s="169">
        <f t="shared" si="40"/>
        <v>2113.0570849315068</v>
      </c>
    </row>
    <row r="433" spans="2:13" x14ac:dyDescent="0.25">
      <c r="B433" s="160"/>
      <c r="C433" s="161"/>
      <c r="D433" s="162"/>
      <c r="E433" s="159"/>
      <c r="F433" s="159"/>
      <c r="G433" s="165">
        <f>+G432+F433</f>
        <v>38743.29</v>
      </c>
      <c r="H433" s="20"/>
      <c r="I433" s="167">
        <f>IF(B433&gt;0,(Parametros!$H$11-'Calculo Intereses COOPS'!B433),0)</f>
        <v>0</v>
      </c>
      <c r="J433" s="168">
        <f>(F433-E433)*Parametros!$H$37/365*'Calculo Intereses COOPS'!I433</f>
        <v>0</v>
      </c>
      <c r="K433" s="169">
        <f t="shared" si="40"/>
        <v>2113.0570849315068</v>
      </c>
    </row>
    <row r="434" spans="2:13" x14ac:dyDescent="0.25">
      <c r="B434" s="160"/>
      <c r="C434" s="161"/>
      <c r="D434" s="162"/>
      <c r="E434" s="159"/>
      <c r="F434" s="159"/>
      <c r="G434" s="165">
        <f t="shared" ref="G434:G442" si="41">+G433+F434</f>
        <v>38743.29</v>
      </c>
      <c r="H434" s="20"/>
      <c r="I434" s="167">
        <f>IF(B434&gt;0,(Parametros!$H$11-'Calculo Intereses COOPS'!B434),0)</f>
        <v>0</v>
      </c>
      <c r="J434" s="168">
        <f>(F434-E434)*Parametros!$H$37/365*'Calculo Intereses COOPS'!I434</f>
        <v>0</v>
      </c>
      <c r="K434" s="169">
        <f t="shared" si="40"/>
        <v>2113.0570849315068</v>
      </c>
    </row>
    <row r="435" spans="2:13" x14ac:dyDescent="0.25">
      <c r="B435" s="160"/>
      <c r="C435" s="161"/>
      <c r="D435" s="162"/>
      <c r="E435" s="159"/>
      <c r="F435" s="159"/>
      <c r="G435" s="165">
        <f t="shared" si="41"/>
        <v>38743.29</v>
      </c>
      <c r="H435" s="20"/>
      <c r="I435" s="167">
        <f>IF(B435&gt;0,(Parametros!$H$11-'Calculo Intereses COOPS'!B435),0)</f>
        <v>0</v>
      </c>
      <c r="J435" s="168">
        <f>(F435-E435)*Parametros!$H$37/365*'Calculo Intereses COOPS'!I435</f>
        <v>0</v>
      </c>
      <c r="K435" s="169">
        <f t="shared" si="40"/>
        <v>2113.0570849315068</v>
      </c>
    </row>
    <row r="436" spans="2:13" x14ac:dyDescent="0.25">
      <c r="B436" s="160"/>
      <c r="C436" s="161"/>
      <c r="D436" s="162"/>
      <c r="E436" s="159"/>
      <c r="F436" s="159"/>
      <c r="G436" s="165">
        <f t="shared" si="41"/>
        <v>38743.29</v>
      </c>
      <c r="H436" s="20"/>
      <c r="I436" s="167">
        <f>IF(B436&gt;0,(Parametros!$H$11-'Calculo Intereses COOPS'!B436),0)</f>
        <v>0</v>
      </c>
      <c r="J436" s="168">
        <f>(F436-E436)*Parametros!$H$37/365*'Calculo Intereses COOPS'!I436</f>
        <v>0</v>
      </c>
      <c r="K436" s="169">
        <f t="shared" si="40"/>
        <v>2113.0570849315068</v>
      </c>
    </row>
    <row r="437" spans="2:13" x14ac:dyDescent="0.25">
      <c r="B437" s="160"/>
      <c r="C437" s="161"/>
      <c r="D437" s="162"/>
      <c r="E437" s="162"/>
      <c r="F437" s="159"/>
      <c r="G437" s="165">
        <f t="shared" si="41"/>
        <v>38743.29</v>
      </c>
      <c r="H437" s="20"/>
      <c r="I437" s="167">
        <f>IF(B437&gt;0,(Parametros!$H$11-'Calculo Intereses COOPS'!B437),0)</f>
        <v>0</v>
      </c>
      <c r="J437" s="168">
        <f>(F437-E437)*Parametros!$H$37/365*'Calculo Intereses COOPS'!I437</f>
        <v>0</v>
      </c>
      <c r="K437" s="169">
        <f t="shared" si="40"/>
        <v>2113.0570849315068</v>
      </c>
    </row>
    <row r="438" spans="2:13" x14ac:dyDescent="0.25">
      <c r="B438" s="160"/>
      <c r="C438" s="161"/>
      <c r="D438" s="162"/>
      <c r="E438" s="159"/>
      <c r="F438" s="159"/>
      <c r="G438" s="165">
        <f t="shared" si="41"/>
        <v>38743.29</v>
      </c>
      <c r="H438" s="20"/>
      <c r="I438" s="167">
        <f>IF(B438&gt;0,(Parametros!$H$11-'Calculo Intereses COOPS'!B438),0)</f>
        <v>0</v>
      </c>
      <c r="J438" s="168">
        <f>(F438-E438)*Parametros!$H$37/365*'Calculo Intereses COOPS'!I438</f>
        <v>0</v>
      </c>
      <c r="K438" s="169">
        <f t="shared" si="40"/>
        <v>2113.0570849315068</v>
      </c>
    </row>
    <row r="439" spans="2:13" x14ac:dyDescent="0.25">
      <c r="B439" s="160"/>
      <c r="C439" s="161"/>
      <c r="D439" s="162"/>
      <c r="E439" s="159"/>
      <c r="F439" s="159"/>
      <c r="G439" s="165">
        <f t="shared" si="41"/>
        <v>38743.29</v>
      </c>
      <c r="H439" s="20"/>
      <c r="I439" s="167">
        <f>IF(B439&gt;0,(Parametros!$H$11-'Calculo Intereses COOPS'!B439),0)</f>
        <v>0</v>
      </c>
      <c r="J439" s="168">
        <f>(F439-E439)*Parametros!$H$37/365*'Calculo Intereses COOPS'!I439</f>
        <v>0</v>
      </c>
      <c r="K439" s="169">
        <f t="shared" si="40"/>
        <v>2113.0570849315068</v>
      </c>
    </row>
    <row r="440" spans="2:13" x14ac:dyDescent="0.25">
      <c r="B440" s="160"/>
      <c r="C440" s="161"/>
      <c r="D440" s="162"/>
      <c r="E440" s="159"/>
      <c r="F440" s="159"/>
      <c r="G440" s="165">
        <f t="shared" si="41"/>
        <v>38743.29</v>
      </c>
      <c r="H440" s="20"/>
      <c r="I440" s="167">
        <f>IF(B440&gt;0,(Parametros!$H$11-'Calculo Intereses COOPS'!B440),0)</f>
        <v>0</v>
      </c>
      <c r="J440" s="168">
        <f>(F440-E440)*Parametros!$H$37/365*'Calculo Intereses COOPS'!I440</f>
        <v>0</v>
      </c>
      <c r="K440" s="169">
        <f t="shared" si="40"/>
        <v>2113.0570849315068</v>
      </c>
    </row>
    <row r="441" spans="2:13" x14ac:dyDescent="0.25">
      <c r="B441" s="160"/>
      <c r="C441" s="161"/>
      <c r="D441" s="162"/>
      <c r="E441" s="159"/>
      <c r="F441" s="159"/>
      <c r="G441" s="165">
        <f t="shared" si="41"/>
        <v>38743.29</v>
      </c>
      <c r="H441" s="20"/>
      <c r="I441" s="167">
        <f>IF(B441&gt;0,(Parametros!$H$11-'Calculo Intereses COOPS'!B441),0)</f>
        <v>0</v>
      </c>
      <c r="J441" s="168">
        <f>(F441-E441)*Parametros!$H$37/365*'Calculo Intereses COOPS'!I441</f>
        <v>0</v>
      </c>
      <c r="K441" s="169">
        <f t="shared" si="40"/>
        <v>2113.0570849315068</v>
      </c>
    </row>
    <row r="442" spans="2:13" x14ac:dyDescent="0.25">
      <c r="B442" s="160"/>
      <c r="C442" s="161"/>
      <c r="D442" s="162"/>
      <c r="E442" s="159"/>
      <c r="F442" s="159"/>
      <c r="G442" s="165">
        <f t="shared" si="41"/>
        <v>38743.29</v>
      </c>
      <c r="H442" s="20"/>
      <c r="I442" s="167">
        <f>IF(B442&gt;0,(Parametros!$H$11-'Calculo Intereses COOPS'!B442),0)</f>
        <v>0</v>
      </c>
      <c r="J442" s="168">
        <f>(F442-E442)*Parametros!$H$37/365*'Calculo Intereses COOPS'!I442</f>
        <v>0</v>
      </c>
      <c r="K442" s="169">
        <f t="shared" si="40"/>
        <v>2113.0570849315068</v>
      </c>
      <c r="M442" s="94">
        <f>+G442-28114.48</f>
        <v>10628.810000000001</v>
      </c>
    </row>
    <row r="443" spans="2:13" x14ac:dyDescent="0.25">
      <c r="B443" s="160"/>
      <c r="C443" s="161"/>
      <c r="D443" s="163"/>
      <c r="E443" s="159"/>
      <c r="F443" s="159"/>
      <c r="G443" s="165">
        <f>+G442+F443</f>
        <v>38743.29</v>
      </c>
      <c r="H443" s="20"/>
      <c r="I443" s="167">
        <f>IF(B443&gt;0,(Parametros!$H$11-'Calculo Intereses COOPS'!B443),0)</f>
        <v>0</v>
      </c>
      <c r="J443" s="168">
        <f>(F443-E443)*Parametros!$H$37/365*'Calculo Intereses COOPS'!I443</f>
        <v>0</v>
      </c>
      <c r="K443" s="169">
        <f t="shared" si="40"/>
        <v>2113.0570849315068</v>
      </c>
    </row>
    <row r="444" spans="2:13" x14ac:dyDescent="0.25">
      <c r="B444" s="20"/>
      <c r="C444" s="20"/>
      <c r="D444" s="52" t="s">
        <v>21</v>
      </c>
      <c r="E444" s="166">
        <f>SUM(E428:E443)</f>
        <v>0</v>
      </c>
      <c r="F444" s="166">
        <f>SUM(F428:F443)</f>
        <v>38743.29</v>
      </c>
      <c r="G444" s="166">
        <f>+G443</f>
        <v>38743.29</v>
      </c>
      <c r="J444" s="170">
        <f>SUM(J428:J443)</f>
        <v>2113.0570849315068</v>
      </c>
    </row>
    <row r="445" spans="2:13" x14ac:dyDescent="0.25">
      <c r="B445" s="20"/>
      <c r="C445" s="20"/>
      <c r="D445" s="20"/>
      <c r="E445" s="20"/>
      <c r="F445" s="20"/>
      <c r="G445" s="20"/>
      <c r="H445" s="20"/>
      <c r="I445" s="20"/>
      <c r="J445" s="20"/>
      <c r="K445" s="20"/>
    </row>
    <row r="446" spans="2:13" x14ac:dyDescent="0.25">
      <c r="B446" s="172" t="str">
        <f>CONCATENATE("APORTACIONES Y CALCULO DE INTERESES CORRESPONDIENTES AL AÑO ",YEAR(Parametros!$H$11))</f>
        <v>APORTACIONES Y CALCULO DE INTERESES CORRESPONDIENTES AL AÑO 2015</v>
      </c>
      <c r="C446" s="53"/>
      <c r="D446" s="53"/>
      <c r="E446" s="54"/>
      <c r="G446" s="54"/>
      <c r="H446" s="20"/>
      <c r="I446" s="55"/>
      <c r="J446" s="56"/>
      <c r="K446" s="20"/>
    </row>
    <row r="447" spans="2:13" x14ac:dyDescent="0.25">
      <c r="B447" s="69" t="s">
        <v>186</v>
      </c>
      <c r="C447" s="173" t="str">
        <f>+'Calculo Excedentes'!A27</f>
        <v>CA-28</v>
      </c>
      <c r="D447" s="171" t="s">
        <v>187</v>
      </c>
      <c r="E447" s="176" t="s">
        <v>267</v>
      </c>
      <c r="F447" s="174"/>
      <c r="G447" s="175"/>
      <c r="H447" s="20"/>
      <c r="I447" s="39" t="s">
        <v>73</v>
      </c>
      <c r="J447" s="39" t="s">
        <v>74</v>
      </c>
      <c r="K447" s="39" t="s">
        <v>75</v>
      </c>
    </row>
    <row r="448" spans="2:13" x14ac:dyDescent="0.25">
      <c r="B448" s="40" t="s">
        <v>76</v>
      </c>
      <c r="C448" s="40" t="s">
        <v>77</v>
      </c>
      <c r="D448" s="40" t="s">
        <v>78</v>
      </c>
      <c r="E448" s="40" t="s">
        <v>79</v>
      </c>
      <c r="F448" s="40" t="s">
        <v>80</v>
      </c>
      <c r="G448" s="40" t="s">
        <v>81</v>
      </c>
      <c r="H448" s="20"/>
      <c r="I448" s="42" t="s">
        <v>82</v>
      </c>
      <c r="J448" s="164" t="s">
        <v>185</v>
      </c>
      <c r="K448" s="42" t="s">
        <v>84</v>
      </c>
    </row>
    <row r="449" spans="2:14" x14ac:dyDescent="0.25">
      <c r="B449" s="158">
        <f>+Parametros!$H$11-365</f>
        <v>42004</v>
      </c>
      <c r="C449" s="161"/>
      <c r="D449" s="162"/>
      <c r="E449" s="159"/>
      <c r="F449" s="159">
        <v>0</v>
      </c>
      <c r="G449" s="165">
        <f>+F449-E449</f>
        <v>0</v>
      </c>
      <c r="H449" s="20"/>
      <c r="I449" s="167">
        <f>IF(B449&gt;0,(Parametros!$H$11-'Calculo Intereses COOPS'!B449),0)</f>
        <v>365</v>
      </c>
      <c r="J449" s="168">
        <f>(F449-E449)*Parametros!$H$37/365*'Calculo Intereses COOPS'!I449</f>
        <v>0</v>
      </c>
      <c r="K449" s="169">
        <f>+J449</f>
        <v>0</v>
      </c>
      <c r="M449">
        <v>365</v>
      </c>
    </row>
    <row r="450" spans="2:14" x14ac:dyDescent="0.25">
      <c r="B450" s="160">
        <v>42029</v>
      </c>
      <c r="C450" s="161"/>
      <c r="D450" s="162" t="s">
        <v>268</v>
      </c>
      <c r="E450" s="159"/>
      <c r="F450" s="159">
        <v>300000</v>
      </c>
      <c r="G450" s="165">
        <f>+G449+F450-E450</f>
        <v>300000</v>
      </c>
      <c r="H450" s="20"/>
      <c r="I450" s="167">
        <f>IF(B450&gt;0,(Parametros!$H$11-'Calculo Intereses COOPS'!B450),0)</f>
        <v>340</v>
      </c>
      <c r="J450" s="168">
        <f>(F450-E450)*7%/365*'Calculo Intereses COOPS'!I450</f>
        <v>19561.643835616444</v>
      </c>
      <c r="K450" s="169">
        <f>+J450+K449</f>
        <v>19561.643835616444</v>
      </c>
      <c r="M450">
        <v>25</v>
      </c>
    </row>
    <row r="451" spans="2:14" x14ac:dyDescent="0.25">
      <c r="B451" s="160"/>
      <c r="C451" s="161"/>
      <c r="D451" s="162"/>
      <c r="E451" s="159"/>
      <c r="F451" s="159"/>
      <c r="G451" s="165">
        <f>+G450+F451</f>
        <v>300000</v>
      </c>
      <c r="H451" s="20"/>
      <c r="I451" s="167">
        <f>IF(B451&gt;0,(Parametros!$H$11-'Calculo Intereses COOPS'!B451),0)</f>
        <v>0</v>
      </c>
      <c r="J451" s="168">
        <f>(F451-E451)*Parametros!$H$37/365*'Calculo Intereses COOPS'!I451</f>
        <v>0</v>
      </c>
      <c r="K451" s="169">
        <f t="shared" ref="K451:K464" si="42">+J451+K450</f>
        <v>19561.643835616444</v>
      </c>
      <c r="M451">
        <f>+M449-M450</f>
        <v>340</v>
      </c>
      <c r="N451" s="253">
        <v>7.0000000000000007E-2</v>
      </c>
    </row>
    <row r="452" spans="2:14" x14ac:dyDescent="0.25">
      <c r="B452" s="160"/>
      <c r="C452" s="161"/>
      <c r="D452" s="162"/>
      <c r="E452" s="159"/>
      <c r="F452" s="159"/>
      <c r="G452" s="165">
        <f>+G451+F452</f>
        <v>300000</v>
      </c>
      <c r="H452" s="20"/>
      <c r="I452" s="167">
        <f>IF(B452&gt;0,(Parametros!$H$11-'Calculo Intereses COOPS'!B452),0)</f>
        <v>0</v>
      </c>
      <c r="J452" s="168">
        <f>(F452-E452)*Parametros!$H$37/365*'Calculo Intereses COOPS'!I452</f>
        <v>0</v>
      </c>
      <c r="K452" s="169">
        <f t="shared" si="42"/>
        <v>19561.643835616444</v>
      </c>
    </row>
    <row r="453" spans="2:14" x14ac:dyDescent="0.25">
      <c r="B453" s="160"/>
      <c r="C453" s="161"/>
      <c r="D453" s="162"/>
      <c r="E453" s="159"/>
      <c r="F453" s="159"/>
      <c r="G453" s="165">
        <f>+G452+F453</f>
        <v>300000</v>
      </c>
      <c r="H453" s="20"/>
      <c r="I453" s="167">
        <f>IF(B453&gt;0,(Parametros!$H$11-'Calculo Intereses COOPS'!B453),0)</f>
        <v>0</v>
      </c>
      <c r="J453" s="168">
        <f>(F453-E453)*Parametros!$H$37/365*'Calculo Intereses COOPS'!I453</f>
        <v>0</v>
      </c>
      <c r="K453" s="169">
        <f t="shared" si="42"/>
        <v>19561.643835616444</v>
      </c>
      <c r="M453">
        <f>+G450*N451/365*340</f>
        <v>19561.643835616444</v>
      </c>
    </row>
    <row r="454" spans="2:14" x14ac:dyDescent="0.25">
      <c r="B454" s="160"/>
      <c r="C454" s="161"/>
      <c r="D454" s="162"/>
      <c r="E454" s="159"/>
      <c r="F454" s="159"/>
      <c r="G454" s="165">
        <f>+G453+F454</f>
        <v>300000</v>
      </c>
      <c r="H454" s="20"/>
      <c r="I454" s="167">
        <f>IF(B454&gt;0,(Parametros!$H$11-'Calculo Intereses COOPS'!B454),0)</f>
        <v>0</v>
      </c>
      <c r="J454" s="168">
        <f>(F454-E454)*Parametros!$H$37/365*'Calculo Intereses COOPS'!I454</f>
        <v>0</v>
      </c>
      <c r="K454" s="169">
        <f t="shared" si="42"/>
        <v>19561.643835616444</v>
      </c>
    </row>
    <row r="455" spans="2:14" x14ac:dyDescent="0.25">
      <c r="B455" s="160"/>
      <c r="C455" s="161"/>
      <c r="D455" s="163"/>
      <c r="E455" s="159"/>
      <c r="F455" s="159"/>
      <c r="G455" s="165">
        <f t="shared" ref="G455:G463" si="43">+G454+F455</f>
        <v>300000</v>
      </c>
      <c r="H455" s="20"/>
      <c r="I455" s="167">
        <f>IF(B455&gt;0,(Parametros!$H$11-'Calculo Intereses COOPS'!B455),0)</f>
        <v>0</v>
      </c>
      <c r="J455" s="168">
        <f>(F455-E455)*Parametros!$H$37/365*'Calculo Intereses COOPS'!I455</f>
        <v>0</v>
      </c>
      <c r="K455" s="169">
        <f t="shared" si="42"/>
        <v>19561.643835616444</v>
      </c>
    </row>
    <row r="456" spans="2:14" x14ac:dyDescent="0.25">
      <c r="B456" s="160"/>
      <c r="C456" s="161"/>
      <c r="D456" s="163"/>
      <c r="E456" s="159"/>
      <c r="F456" s="159"/>
      <c r="G456" s="165">
        <f t="shared" si="43"/>
        <v>300000</v>
      </c>
      <c r="H456" s="20"/>
      <c r="I456" s="167">
        <f>IF(B456&gt;0,(Parametros!$H$11-'Calculo Intereses COOPS'!B456),0)</f>
        <v>0</v>
      </c>
      <c r="J456" s="168">
        <f>(F456-E456)*Parametros!$H$37/365*'Calculo Intereses COOPS'!I456</f>
        <v>0</v>
      </c>
      <c r="K456" s="169">
        <f t="shared" si="42"/>
        <v>19561.643835616444</v>
      </c>
    </row>
    <row r="457" spans="2:14" x14ac:dyDescent="0.25">
      <c r="B457" s="160"/>
      <c r="C457" s="161"/>
      <c r="D457" s="163"/>
      <c r="E457" s="159"/>
      <c r="F457" s="159"/>
      <c r="G457" s="165">
        <f t="shared" si="43"/>
        <v>300000</v>
      </c>
      <c r="H457" s="20"/>
      <c r="I457" s="167">
        <f>IF(B457&gt;0,(Parametros!$H$11-'Calculo Intereses COOPS'!B457),0)</f>
        <v>0</v>
      </c>
      <c r="J457" s="168">
        <f>(F457-E457)*Parametros!$H$37/365*'Calculo Intereses COOPS'!I457</f>
        <v>0</v>
      </c>
      <c r="K457" s="169">
        <f t="shared" si="42"/>
        <v>19561.643835616444</v>
      </c>
    </row>
    <row r="458" spans="2:14" x14ac:dyDescent="0.25">
      <c r="B458" s="160"/>
      <c r="C458" s="161"/>
      <c r="D458" s="163"/>
      <c r="E458" s="159"/>
      <c r="F458" s="159"/>
      <c r="G458" s="165">
        <f t="shared" si="43"/>
        <v>300000</v>
      </c>
      <c r="H458" s="20"/>
      <c r="I458" s="167">
        <f>IF(B458&gt;0,(Parametros!$H$11-'Calculo Intereses COOPS'!B458),0)</f>
        <v>0</v>
      </c>
      <c r="J458" s="168">
        <f>(F458-E458)*Parametros!$H$37/365*'Calculo Intereses COOPS'!I458</f>
        <v>0</v>
      </c>
      <c r="K458" s="169">
        <f t="shared" si="42"/>
        <v>19561.643835616444</v>
      </c>
    </row>
    <row r="459" spans="2:14" x14ac:dyDescent="0.25">
      <c r="B459" s="160"/>
      <c r="C459" s="161"/>
      <c r="D459" s="163"/>
      <c r="E459" s="159"/>
      <c r="F459" s="159"/>
      <c r="G459" s="165">
        <f t="shared" si="43"/>
        <v>300000</v>
      </c>
      <c r="H459" s="20"/>
      <c r="I459" s="167">
        <f>IF(B459&gt;0,(Parametros!$H$11-'Calculo Intereses COOPS'!B459),0)</f>
        <v>0</v>
      </c>
      <c r="J459" s="168">
        <f>(F459-E459)*Parametros!$H$37/365*'Calculo Intereses COOPS'!I459</f>
        <v>0</v>
      </c>
      <c r="K459" s="169">
        <f t="shared" si="42"/>
        <v>19561.643835616444</v>
      </c>
    </row>
    <row r="460" spans="2:14" x14ac:dyDescent="0.25">
      <c r="B460" s="160"/>
      <c r="C460" s="161"/>
      <c r="D460" s="163"/>
      <c r="E460" s="159"/>
      <c r="F460" s="159"/>
      <c r="G460" s="165">
        <f t="shared" si="43"/>
        <v>300000</v>
      </c>
      <c r="H460" s="20"/>
      <c r="I460" s="167">
        <f>IF(B460&gt;0,(Parametros!$H$11-'Calculo Intereses COOPS'!B460),0)</f>
        <v>0</v>
      </c>
      <c r="J460" s="168">
        <f>(F460-E460)*Parametros!$H$37/365*'Calculo Intereses COOPS'!I460</f>
        <v>0</v>
      </c>
      <c r="K460" s="169">
        <f t="shared" si="42"/>
        <v>19561.643835616444</v>
      </c>
    </row>
    <row r="461" spans="2:14" x14ac:dyDescent="0.25">
      <c r="B461" s="160"/>
      <c r="C461" s="161"/>
      <c r="D461" s="163"/>
      <c r="E461" s="159"/>
      <c r="F461" s="159"/>
      <c r="G461" s="165">
        <f t="shared" si="43"/>
        <v>300000</v>
      </c>
      <c r="H461" s="20"/>
      <c r="I461" s="167">
        <f>IF(B461&gt;0,(Parametros!$H$11-'Calculo Intereses COOPS'!B461),0)</f>
        <v>0</v>
      </c>
      <c r="J461" s="168">
        <f>(F461-E461)*Parametros!$H$37/365*'Calculo Intereses COOPS'!I461</f>
        <v>0</v>
      </c>
      <c r="K461" s="169">
        <f t="shared" si="42"/>
        <v>19561.643835616444</v>
      </c>
    </row>
    <row r="462" spans="2:14" x14ac:dyDescent="0.25">
      <c r="B462" s="160"/>
      <c r="C462" s="161"/>
      <c r="D462" s="163"/>
      <c r="E462" s="159"/>
      <c r="F462" s="159"/>
      <c r="G462" s="165">
        <f t="shared" si="43"/>
        <v>300000</v>
      </c>
      <c r="H462" s="20"/>
      <c r="I462" s="167">
        <f>IF(B462&gt;0,(Parametros!$H$11-'Calculo Intereses COOPS'!B462),0)</f>
        <v>0</v>
      </c>
      <c r="J462" s="168">
        <f>(F462-E462)*Parametros!$H$37/365*'Calculo Intereses COOPS'!I462</f>
        <v>0</v>
      </c>
      <c r="K462" s="169">
        <f t="shared" si="42"/>
        <v>19561.643835616444</v>
      </c>
    </row>
    <row r="463" spans="2:14" x14ac:dyDescent="0.25">
      <c r="B463" s="160"/>
      <c r="C463" s="161"/>
      <c r="D463" s="163"/>
      <c r="E463" s="159"/>
      <c r="F463" s="159"/>
      <c r="G463" s="165">
        <f t="shared" si="43"/>
        <v>300000</v>
      </c>
      <c r="H463" s="20"/>
      <c r="I463" s="167">
        <f>IF(B463&gt;0,(Parametros!$H$11-'Calculo Intereses COOPS'!B463),0)</f>
        <v>0</v>
      </c>
      <c r="J463" s="168">
        <f>(F463-E463)*Parametros!$H$37/365*'Calculo Intereses COOPS'!I463</f>
        <v>0</v>
      </c>
      <c r="K463" s="169">
        <f t="shared" si="42"/>
        <v>19561.643835616444</v>
      </c>
    </row>
    <row r="464" spans="2:14" x14ac:dyDescent="0.25">
      <c r="B464" s="160"/>
      <c r="C464" s="161"/>
      <c r="D464" s="163"/>
      <c r="E464" s="159"/>
      <c r="F464" s="159"/>
      <c r="G464" s="165">
        <f>+G463+F464</f>
        <v>300000</v>
      </c>
      <c r="H464" s="20"/>
      <c r="I464" s="167">
        <f>IF(B464&gt;0,(Parametros!$H$11-'Calculo Intereses COOPS'!B464),0)</f>
        <v>0</v>
      </c>
      <c r="J464" s="168">
        <f>(F464-E464)*Parametros!$H$37/365*'Calculo Intereses COOPS'!I464</f>
        <v>0</v>
      </c>
      <c r="K464" s="169">
        <f t="shared" si="42"/>
        <v>19561.643835616444</v>
      </c>
    </row>
    <row r="465" spans="2:14" x14ac:dyDescent="0.25">
      <c r="B465" s="20"/>
      <c r="C465" s="20"/>
      <c r="D465" s="52" t="s">
        <v>21</v>
      </c>
      <c r="E465" s="166">
        <f>SUM(E449:E464)</f>
        <v>0</v>
      </c>
      <c r="F465" s="166">
        <f>SUM(F449:F464)</f>
        <v>300000</v>
      </c>
      <c r="G465" s="166">
        <f>+G464</f>
        <v>300000</v>
      </c>
      <c r="J465" s="170">
        <f>SUM(J449:J464)</f>
        <v>19561.643835616444</v>
      </c>
      <c r="M465">
        <f>+J465*5%</f>
        <v>978.0821917808222</v>
      </c>
      <c r="N465" s="66">
        <f>+J465-M465</f>
        <v>18583.561643835623</v>
      </c>
    </row>
    <row r="466" spans="2:14" x14ac:dyDescent="0.25">
      <c r="B466" s="20"/>
      <c r="C466" s="20"/>
      <c r="D466" s="20"/>
      <c r="E466" s="20"/>
      <c r="F466" s="20"/>
      <c r="G466" s="20"/>
      <c r="H466" s="20"/>
      <c r="I466" s="20"/>
      <c r="J466" s="20"/>
      <c r="K466" s="20"/>
    </row>
    <row r="467" spans="2:14" x14ac:dyDescent="0.25">
      <c r="B467" s="172" t="str">
        <f>CONCATENATE("APORTACIONES Y CALCULO DE INTERESES CORRESPONDIENTES AL AÑO ",YEAR(Parametros!$H$11))</f>
        <v>APORTACIONES Y CALCULO DE INTERESES CORRESPONDIENTES AL AÑO 2015</v>
      </c>
      <c r="C467" s="53"/>
      <c r="D467" s="53"/>
      <c r="E467" s="54"/>
      <c r="F467" s="54"/>
      <c r="G467" s="54"/>
      <c r="H467" s="20"/>
      <c r="I467" s="55"/>
      <c r="J467" s="56"/>
      <c r="K467" s="20"/>
    </row>
    <row r="468" spans="2:14" x14ac:dyDescent="0.25">
      <c r="B468" s="69" t="s">
        <v>186</v>
      </c>
      <c r="C468" s="173" t="str">
        <f>+'Calculo Excedentes'!A28</f>
        <v>CA-29</v>
      </c>
      <c r="D468" s="171" t="s">
        <v>187</v>
      </c>
      <c r="E468" s="176" t="str">
        <f>+'Calculo Excedentes'!B28</f>
        <v xml:space="preserve">COSTISSS </v>
      </c>
      <c r="F468" s="174"/>
      <c r="G468" s="175"/>
      <c r="H468" s="20"/>
      <c r="I468" s="39" t="s">
        <v>73</v>
      </c>
      <c r="J468" s="39" t="s">
        <v>74</v>
      </c>
      <c r="K468" s="39" t="s">
        <v>75</v>
      </c>
    </row>
    <row r="469" spans="2:14" x14ac:dyDescent="0.25">
      <c r="B469" s="40" t="s">
        <v>76</v>
      </c>
      <c r="C469" s="40" t="s">
        <v>77</v>
      </c>
      <c r="D469" s="40" t="s">
        <v>78</v>
      </c>
      <c r="E469" s="40" t="s">
        <v>79</v>
      </c>
      <c r="F469" s="40" t="s">
        <v>80</v>
      </c>
      <c r="G469" s="40" t="s">
        <v>81</v>
      </c>
      <c r="H469" s="20"/>
      <c r="I469" s="42" t="s">
        <v>82</v>
      </c>
      <c r="J469" s="164" t="s">
        <v>185</v>
      </c>
      <c r="K469" s="42" t="s">
        <v>84</v>
      </c>
    </row>
    <row r="470" spans="2:14" x14ac:dyDescent="0.25">
      <c r="B470" s="158">
        <f>+Parametros!$H$11-365</f>
        <v>42004</v>
      </c>
      <c r="C470" s="161"/>
      <c r="D470" s="162"/>
      <c r="E470" s="159"/>
      <c r="F470" s="159"/>
      <c r="G470" s="165">
        <f>+F470-E470</f>
        <v>0</v>
      </c>
      <c r="H470" s="20"/>
      <c r="I470" s="167">
        <f>IF(B470&gt;0,(Parametros!$H$11-'Calculo Intereses COOPS'!B470),0)</f>
        <v>365</v>
      </c>
      <c r="J470" s="168">
        <f>(F470-E470)*Parametros!$H$37/365*'Calculo Intereses COOPS'!I470</f>
        <v>0</v>
      </c>
      <c r="K470" s="169">
        <f>+J470</f>
        <v>0</v>
      </c>
    </row>
    <row r="471" spans="2:14" x14ac:dyDescent="0.25">
      <c r="B471" s="160"/>
      <c r="C471" s="161"/>
      <c r="D471" s="162"/>
      <c r="E471" s="159"/>
      <c r="F471" s="159"/>
      <c r="G471" s="165">
        <f>+G470+F471-E471</f>
        <v>0</v>
      </c>
      <c r="H471" s="20"/>
      <c r="I471" s="167">
        <f>IF(B471&gt;0,(Parametros!$H$11-'Calculo Intereses COOPS'!B471),0)</f>
        <v>0</v>
      </c>
      <c r="J471" s="168">
        <f>(F471-E471)*Parametros!$H$37/365*'Calculo Intereses COOPS'!I471</f>
        <v>0</v>
      </c>
      <c r="K471" s="169">
        <f>+J471+K470</f>
        <v>0</v>
      </c>
    </row>
    <row r="472" spans="2:14" x14ac:dyDescent="0.25">
      <c r="B472" s="160"/>
      <c r="C472" s="161"/>
      <c r="D472" s="162"/>
      <c r="E472" s="159"/>
      <c r="F472" s="159"/>
      <c r="G472" s="165">
        <f>+G471+F472</f>
        <v>0</v>
      </c>
      <c r="H472" s="20"/>
      <c r="I472" s="167">
        <f>IF(B472&gt;0,(Parametros!$H$11-'Calculo Intereses COOPS'!B472),0)</f>
        <v>0</v>
      </c>
      <c r="J472" s="168">
        <f>(F472-E472)*Parametros!$H$37/365*'Calculo Intereses COOPS'!I472</f>
        <v>0</v>
      </c>
      <c r="K472" s="169">
        <f t="shared" ref="K472:K485" si="44">+J472+K471</f>
        <v>0</v>
      </c>
    </row>
    <row r="473" spans="2:14" x14ac:dyDescent="0.25">
      <c r="B473" s="160"/>
      <c r="C473" s="161"/>
      <c r="D473" s="162"/>
      <c r="E473" s="159"/>
      <c r="F473" s="159"/>
      <c r="G473" s="165">
        <f>+G472+F473</f>
        <v>0</v>
      </c>
      <c r="H473" s="20"/>
      <c r="I473" s="167">
        <f>IF(B473&gt;0,(Parametros!$H$11-'Calculo Intereses COOPS'!B473),0)</f>
        <v>0</v>
      </c>
      <c r="J473" s="168">
        <f>(F473-E473)*Parametros!$H$37/365*'Calculo Intereses COOPS'!I473</f>
        <v>0</v>
      </c>
      <c r="K473" s="169">
        <f t="shared" si="44"/>
        <v>0</v>
      </c>
    </row>
    <row r="474" spans="2:14" x14ac:dyDescent="0.25">
      <c r="B474" s="160"/>
      <c r="C474" s="161"/>
      <c r="D474" s="162"/>
      <c r="E474" s="159"/>
      <c r="F474" s="159"/>
      <c r="G474" s="165">
        <f>+G473+F474</f>
        <v>0</v>
      </c>
      <c r="H474" s="20"/>
      <c r="I474" s="167">
        <f>IF(B474&gt;0,(Parametros!$H$11-'Calculo Intereses COOPS'!B474),0)</f>
        <v>0</v>
      </c>
      <c r="J474" s="168">
        <f>(F474-E474)*Parametros!$H$37/365*'Calculo Intereses COOPS'!I474</f>
        <v>0</v>
      </c>
      <c r="K474" s="169">
        <f t="shared" si="44"/>
        <v>0</v>
      </c>
    </row>
    <row r="475" spans="2:14" x14ac:dyDescent="0.25">
      <c r="B475" s="160"/>
      <c r="C475" s="161"/>
      <c r="D475" s="162"/>
      <c r="E475" s="159"/>
      <c r="F475" s="159"/>
      <c r="G475" s="165">
        <f>+G474+F475</f>
        <v>0</v>
      </c>
      <c r="H475" s="20"/>
      <c r="I475" s="167">
        <f>IF(B475&gt;0,(Parametros!$H$11-'Calculo Intereses COOPS'!B475),0)</f>
        <v>0</v>
      </c>
      <c r="J475" s="168">
        <f>(F475-E475)*Parametros!$H$37/365*'Calculo Intereses COOPS'!I475</f>
        <v>0</v>
      </c>
      <c r="K475" s="169">
        <f t="shared" si="44"/>
        <v>0</v>
      </c>
    </row>
    <row r="476" spans="2:14" x14ac:dyDescent="0.25">
      <c r="B476" s="160"/>
      <c r="C476" s="161"/>
      <c r="D476" s="163"/>
      <c r="E476" s="159"/>
      <c r="F476" s="159"/>
      <c r="G476" s="165">
        <f t="shared" ref="G476:G484" si="45">+G475+F476</f>
        <v>0</v>
      </c>
      <c r="H476" s="20"/>
      <c r="I476" s="167">
        <f>IF(B476&gt;0,(Parametros!$H$11-'Calculo Intereses COOPS'!B476),0)</f>
        <v>0</v>
      </c>
      <c r="J476" s="168">
        <f>(F476-E476)*Parametros!$H$37/365*'Calculo Intereses COOPS'!I476</f>
        <v>0</v>
      </c>
      <c r="K476" s="169">
        <f t="shared" si="44"/>
        <v>0</v>
      </c>
    </row>
    <row r="477" spans="2:14" x14ac:dyDescent="0.25">
      <c r="B477" s="160"/>
      <c r="C477" s="161"/>
      <c r="D477" s="163"/>
      <c r="E477" s="159"/>
      <c r="F477" s="159"/>
      <c r="G477" s="165">
        <f t="shared" si="45"/>
        <v>0</v>
      </c>
      <c r="H477" s="20"/>
      <c r="I477" s="167">
        <f>IF(B477&gt;0,(Parametros!$H$11-'Calculo Intereses COOPS'!B477),0)</f>
        <v>0</v>
      </c>
      <c r="J477" s="168">
        <f>(F477-E477)*Parametros!$H$37/365*'Calculo Intereses COOPS'!I477</f>
        <v>0</v>
      </c>
      <c r="K477" s="169">
        <f t="shared" si="44"/>
        <v>0</v>
      </c>
    </row>
    <row r="478" spans="2:14" x14ac:dyDescent="0.25">
      <c r="B478" s="160"/>
      <c r="C478" s="161"/>
      <c r="D478" s="163"/>
      <c r="E478" s="159"/>
      <c r="F478" s="159"/>
      <c r="G478" s="165">
        <f t="shared" si="45"/>
        <v>0</v>
      </c>
      <c r="H478" s="20"/>
      <c r="I478" s="167">
        <f>IF(B478&gt;0,(Parametros!$H$11-'Calculo Intereses COOPS'!B478),0)</f>
        <v>0</v>
      </c>
      <c r="J478" s="168">
        <f>(F478-E478)*Parametros!$H$37/365*'Calculo Intereses COOPS'!I478</f>
        <v>0</v>
      </c>
      <c r="K478" s="169">
        <f t="shared" si="44"/>
        <v>0</v>
      </c>
    </row>
    <row r="479" spans="2:14" x14ac:dyDescent="0.25">
      <c r="B479" s="160"/>
      <c r="C479" s="161"/>
      <c r="D479" s="163"/>
      <c r="E479" s="159"/>
      <c r="F479" s="159"/>
      <c r="G479" s="165">
        <f t="shared" si="45"/>
        <v>0</v>
      </c>
      <c r="H479" s="20"/>
      <c r="I479" s="167">
        <f>IF(B479&gt;0,(Parametros!$H$11-'Calculo Intereses COOPS'!B479),0)</f>
        <v>0</v>
      </c>
      <c r="J479" s="168">
        <f>(F479-E479)*Parametros!$H$37/365*'Calculo Intereses COOPS'!I479</f>
        <v>0</v>
      </c>
      <c r="K479" s="169">
        <f t="shared" si="44"/>
        <v>0</v>
      </c>
    </row>
    <row r="480" spans="2:14" x14ac:dyDescent="0.25">
      <c r="B480" s="160"/>
      <c r="C480" s="161"/>
      <c r="D480" s="163"/>
      <c r="E480" s="159"/>
      <c r="F480" s="159"/>
      <c r="G480" s="165">
        <f t="shared" si="45"/>
        <v>0</v>
      </c>
      <c r="H480" s="20"/>
      <c r="I480" s="167">
        <f>IF(B480&gt;0,(Parametros!$H$11-'Calculo Intereses COOPS'!B480),0)</f>
        <v>0</v>
      </c>
      <c r="J480" s="168">
        <f>(F480-E480)*Parametros!$H$37/365*'Calculo Intereses COOPS'!I480</f>
        <v>0</v>
      </c>
      <c r="K480" s="169">
        <f t="shared" si="44"/>
        <v>0</v>
      </c>
    </row>
    <row r="481" spans="2:11" x14ac:dyDescent="0.25">
      <c r="B481" s="160"/>
      <c r="C481" s="161"/>
      <c r="D481" s="163"/>
      <c r="E481" s="159"/>
      <c r="F481" s="159"/>
      <c r="G481" s="165">
        <f t="shared" si="45"/>
        <v>0</v>
      </c>
      <c r="H481" s="20"/>
      <c r="I481" s="167">
        <f>IF(B481&gt;0,(Parametros!$H$11-'Calculo Intereses COOPS'!B481),0)</f>
        <v>0</v>
      </c>
      <c r="J481" s="168">
        <f>(F481-E481)*Parametros!$H$37/365*'Calculo Intereses COOPS'!I481</f>
        <v>0</v>
      </c>
      <c r="K481" s="169">
        <f t="shared" si="44"/>
        <v>0</v>
      </c>
    </row>
    <row r="482" spans="2:11" x14ac:dyDescent="0.25">
      <c r="B482" s="160"/>
      <c r="C482" s="161"/>
      <c r="D482" s="163"/>
      <c r="E482" s="159"/>
      <c r="F482" s="159"/>
      <c r="G482" s="165">
        <f t="shared" si="45"/>
        <v>0</v>
      </c>
      <c r="H482" s="20"/>
      <c r="I482" s="167">
        <f>IF(B482&gt;0,(Parametros!$H$11-'Calculo Intereses COOPS'!B482),0)</f>
        <v>0</v>
      </c>
      <c r="J482" s="168">
        <f>(F482-E482)*Parametros!$H$37/365*'Calculo Intereses COOPS'!I482</f>
        <v>0</v>
      </c>
      <c r="K482" s="169">
        <f t="shared" si="44"/>
        <v>0</v>
      </c>
    </row>
    <row r="483" spans="2:11" x14ac:dyDescent="0.25">
      <c r="B483" s="160"/>
      <c r="C483" s="161"/>
      <c r="D483" s="163"/>
      <c r="E483" s="159"/>
      <c r="F483" s="159"/>
      <c r="G483" s="165">
        <f t="shared" si="45"/>
        <v>0</v>
      </c>
      <c r="H483" s="20"/>
      <c r="I483" s="167">
        <f>IF(B483&gt;0,(Parametros!$H$11-'Calculo Intereses COOPS'!B483),0)</f>
        <v>0</v>
      </c>
      <c r="J483" s="168">
        <f>(F483-E483)*Parametros!$H$37/365*'Calculo Intereses COOPS'!I483</f>
        <v>0</v>
      </c>
      <c r="K483" s="169">
        <f t="shared" si="44"/>
        <v>0</v>
      </c>
    </row>
    <row r="484" spans="2:11" x14ac:dyDescent="0.25">
      <c r="B484" s="160"/>
      <c r="C484" s="161"/>
      <c r="D484" s="163"/>
      <c r="E484" s="159"/>
      <c r="F484" s="159"/>
      <c r="G484" s="165">
        <f t="shared" si="45"/>
        <v>0</v>
      </c>
      <c r="H484" s="20"/>
      <c r="I484" s="167">
        <f>IF(B484&gt;0,(Parametros!$H$11-'Calculo Intereses COOPS'!B484),0)</f>
        <v>0</v>
      </c>
      <c r="J484" s="168">
        <f>(F484-E484)*Parametros!$H$37/365*'Calculo Intereses COOPS'!I484</f>
        <v>0</v>
      </c>
      <c r="K484" s="169">
        <f t="shared" si="44"/>
        <v>0</v>
      </c>
    </row>
    <row r="485" spans="2:11" x14ac:dyDescent="0.25">
      <c r="B485" s="160"/>
      <c r="C485" s="161"/>
      <c r="D485" s="163"/>
      <c r="E485" s="159"/>
      <c r="F485" s="159"/>
      <c r="G485" s="165">
        <f>+G484+F485</f>
        <v>0</v>
      </c>
      <c r="H485" s="20"/>
      <c r="I485" s="167">
        <f>IF(B485&gt;0,(Parametros!$H$11-'Calculo Intereses COOPS'!B485),0)</f>
        <v>0</v>
      </c>
      <c r="J485" s="168">
        <f>(F485-E485)*Parametros!$H$37/365*'Calculo Intereses COOPS'!I485</f>
        <v>0</v>
      </c>
      <c r="K485" s="169">
        <f t="shared" si="44"/>
        <v>0</v>
      </c>
    </row>
    <row r="486" spans="2:11" x14ac:dyDescent="0.25">
      <c r="B486" s="20"/>
      <c r="C486" s="20"/>
      <c r="D486" s="52" t="s">
        <v>21</v>
      </c>
      <c r="E486" s="166">
        <f>SUM(E470:E485)</f>
        <v>0</v>
      </c>
      <c r="F486" s="166">
        <f>SUM(F470:F485)</f>
        <v>0</v>
      </c>
      <c r="G486" s="166">
        <f>+G485</f>
        <v>0</v>
      </c>
      <c r="J486" s="170">
        <f>SUM(J470:J485)</f>
        <v>0</v>
      </c>
    </row>
    <row r="487" spans="2:11" x14ac:dyDescent="0.25">
      <c r="B487" s="20"/>
      <c r="C487" s="20"/>
      <c r="D487" s="20"/>
      <c r="E487" s="20"/>
      <c r="F487" s="20"/>
      <c r="G487" s="20"/>
      <c r="H487" s="20"/>
      <c r="I487" s="20"/>
      <c r="J487" s="20"/>
      <c r="K487" s="20"/>
    </row>
    <row r="488" spans="2:11" x14ac:dyDescent="0.25">
      <c r="B488" s="172" t="str">
        <f>CONCATENATE("APORTACIONES Y CALCULO DE INTERESES CORRESPONDIENTES AL AÑO ",YEAR(Parametros!$H$11))</f>
        <v>APORTACIONES Y CALCULO DE INTERESES CORRESPONDIENTES AL AÑO 2015</v>
      </c>
      <c r="C488" s="53"/>
      <c r="D488" s="53"/>
      <c r="E488" s="54"/>
      <c r="F488" s="54"/>
      <c r="G488" s="54"/>
      <c r="H488" s="20"/>
      <c r="I488" s="55"/>
      <c r="J488" s="56"/>
      <c r="K488" s="20"/>
    </row>
    <row r="489" spans="2:11" x14ac:dyDescent="0.25">
      <c r="B489" s="69" t="s">
        <v>186</v>
      </c>
      <c r="C489" s="173" t="str">
        <f>+'Calculo Excedentes'!A29</f>
        <v>CA-30</v>
      </c>
      <c r="D489" s="171" t="s">
        <v>187</v>
      </c>
      <c r="E489" s="176" t="str">
        <f>+'Calculo Excedentes'!B29</f>
        <v>FIDECOOP</v>
      </c>
      <c r="F489" s="174"/>
      <c r="G489" s="175"/>
      <c r="H489" s="20"/>
      <c r="I489" s="39" t="s">
        <v>73</v>
      </c>
      <c r="J489" s="39" t="s">
        <v>74</v>
      </c>
      <c r="K489" s="39" t="s">
        <v>75</v>
      </c>
    </row>
    <row r="490" spans="2:11" x14ac:dyDescent="0.25">
      <c r="B490" s="40" t="s">
        <v>76</v>
      </c>
      <c r="C490" s="40" t="s">
        <v>77</v>
      </c>
      <c r="D490" s="40" t="s">
        <v>78</v>
      </c>
      <c r="E490" s="40" t="s">
        <v>79</v>
      </c>
      <c r="F490" s="40" t="s">
        <v>80</v>
      </c>
      <c r="G490" s="40" t="s">
        <v>81</v>
      </c>
      <c r="H490" s="20"/>
      <c r="I490" s="42" t="s">
        <v>82</v>
      </c>
      <c r="J490" s="164" t="s">
        <v>185</v>
      </c>
      <c r="K490" s="42" t="s">
        <v>84</v>
      </c>
    </row>
    <row r="491" spans="2:11" x14ac:dyDescent="0.25">
      <c r="B491" s="158">
        <f>+Parametros!$H$11-365</f>
        <v>42004</v>
      </c>
      <c r="C491" s="161"/>
      <c r="D491" s="162"/>
      <c r="E491" s="159"/>
      <c r="F491" s="159"/>
      <c r="G491" s="165">
        <f>+F491-E491</f>
        <v>0</v>
      </c>
      <c r="H491" s="20"/>
      <c r="I491" s="167">
        <f>IF(B491&gt;0,(Parametros!$H$11-'Calculo Intereses COOPS'!B491),0)</f>
        <v>365</v>
      </c>
      <c r="J491" s="168">
        <f>(F491-E491)*Parametros!$H$37/365*'Calculo Intereses COOPS'!I491</f>
        <v>0</v>
      </c>
      <c r="K491" s="169">
        <f>+J491</f>
        <v>0</v>
      </c>
    </row>
    <row r="492" spans="2:11" x14ac:dyDescent="0.25">
      <c r="B492" s="160"/>
      <c r="C492" s="161"/>
      <c r="D492" s="162"/>
      <c r="E492" s="159"/>
      <c r="F492" s="159"/>
      <c r="G492" s="165">
        <f>+G491+F492-E492</f>
        <v>0</v>
      </c>
      <c r="H492" s="20"/>
      <c r="I492" s="167">
        <f>IF(B492&gt;0,(Parametros!$H$11-'Calculo Intereses COOPS'!B492),0)</f>
        <v>0</v>
      </c>
      <c r="J492" s="168">
        <f>(F492-E492)*Parametros!$H$37/365*'Calculo Intereses COOPS'!I492</f>
        <v>0</v>
      </c>
      <c r="K492" s="169">
        <f>+J492+K491</f>
        <v>0</v>
      </c>
    </row>
    <row r="493" spans="2:11" x14ac:dyDescent="0.25">
      <c r="B493" s="160"/>
      <c r="C493" s="161"/>
      <c r="D493" s="162"/>
      <c r="E493" s="159"/>
      <c r="F493" s="159"/>
      <c r="G493" s="165">
        <f>+G492+F493</f>
        <v>0</v>
      </c>
      <c r="H493" s="20"/>
      <c r="I493" s="167">
        <f>IF(B493&gt;0,(Parametros!$H$11-'Calculo Intereses COOPS'!B493),0)</f>
        <v>0</v>
      </c>
      <c r="J493" s="168">
        <f>(F493-E493)*Parametros!$H$37/365*'Calculo Intereses COOPS'!I493</f>
        <v>0</v>
      </c>
      <c r="K493" s="169">
        <f t="shared" ref="K493:K506" si="46">+J493+K492</f>
        <v>0</v>
      </c>
    </row>
    <row r="494" spans="2:11" x14ac:dyDescent="0.25">
      <c r="B494" s="160"/>
      <c r="C494" s="161"/>
      <c r="D494" s="162"/>
      <c r="E494" s="159"/>
      <c r="F494" s="159"/>
      <c r="G494" s="165">
        <f>+G493+F494</f>
        <v>0</v>
      </c>
      <c r="H494" s="20"/>
      <c r="I494" s="167">
        <f>IF(B494&gt;0,(Parametros!$H$11-'Calculo Intereses COOPS'!B494),0)</f>
        <v>0</v>
      </c>
      <c r="J494" s="168">
        <f>(F494-E494)*Parametros!$H$37/365*'Calculo Intereses COOPS'!I494</f>
        <v>0</v>
      </c>
      <c r="K494" s="169">
        <f t="shared" si="46"/>
        <v>0</v>
      </c>
    </row>
    <row r="495" spans="2:11" x14ac:dyDescent="0.25">
      <c r="B495" s="160"/>
      <c r="C495" s="161"/>
      <c r="D495" s="162"/>
      <c r="E495" s="159"/>
      <c r="F495" s="159"/>
      <c r="G495" s="165">
        <f>+G494+F495</f>
        <v>0</v>
      </c>
      <c r="H495" s="20"/>
      <c r="I495" s="167">
        <f>IF(B495&gt;0,(Parametros!$H$11-'Calculo Intereses COOPS'!B495),0)</f>
        <v>0</v>
      </c>
      <c r="J495" s="168">
        <f>(F495-E495)*Parametros!$H$37/365*'Calculo Intereses COOPS'!I495</f>
        <v>0</v>
      </c>
      <c r="K495" s="169">
        <f t="shared" si="46"/>
        <v>0</v>
      </c>
    </row>
    <row r="496" spans="2:11" x14ac:dyDescent="0.25">
      <c r="B496" s="160"/>
      <c r="C496" s="161"/>
      <c r="D496" s="162"/>
      <c r="E496" s="159"/>
      <c r="F496" s="159"/>
      <c r="G496" s="165">
        <f>+G495+F496</f>
        <v>0</v>
      </c>
      <c r="H496" s="20"/>
      <c r="I496" s="167">
        <f>IF(B496&gt;0,(Parametros!$H$11-'Calculo Intereses COOPS'!B496),0)</f>
        <v>0</v>
      </c>
      <c r="J496" s="168">
        <f>(F496-E496)*Parametros!$H$37/365*'Calculo Intereses COOPS'!I496</f>
        <v>0</v>
      </c>
      <c r="K496" s="169">
        <f t="shared" si="46"/>
        <v>0</v>
      </c>
    </row>
    <row r="497" spans="2:11" x14ac:dyDescent="0.25">
      <c r="B497" s="160"/>
      <c r="C497" s="161"/>
      <c r="D497" s="163"/>
      <c r="E497" s="159"/>
      <c r="F497" s="159"/>
      <c r="G497" s="165">
        <f t="shared" ref="G497:G505" si="47">+G496+F497</f>
        <v>0</v>
      </c>
      <c r="H497" s="20"/>
      <c r="I497" s="167">
        <f>IF(B497&gt;0,(Parametros!$H$11-'Calculo Intereses COOPS'!B497),0)</f>
        <v>0</v>
      </c>
      <c r="J497" s="168">
        <f>(F497-E497)*Parametros!$H$37/365*'Calculo Intereses COOPS'!I497</f>
        <v>0</v>
      </c>
      <c r="K497" s="169">
        <f t="shared" si="46"/>
        <v>0</v>
      </c>
    </row>
    <row r="498" spans="2:11" x14ac:dyDescent="0.25">
      <c r="B498" s="160"/>
      <c r="C498" s="161"/>
      <c r="D498" s="163"/>
      <c r="E498" s="159"/>
      <c r="F498" s="159"/>
      <c r="G498" s="165">
        <f t="shared" si="47"/>
        <v>0</v>
      </c>
      <c r="H498" s="20"/>
      <c r="I498" s="167">
        <f>IF(B498&gt;0,(Parametros!$H$11-'Calculo Intereses COOPS'!B498),0)</f>
        <v>0</v>
      </c>
      <c r="J498" s="168">
        <f>(F498-E498)*Parametros!$H$37/365*'Calculo Intereses COOPS'!I498</f>
        <v>0</v>
      </c>
      <c r="K498" s="169">
        <f t="shared" si="46"/>
        <v>0</v>
      </c>
    </row>
    <row r="499" spans="2:11" x14ac:dyDescent="0.25">
      <c r="B499" s="160"/>
      <c r="C499" s="161"/>
      <c r="D499" s="163"/>
      <c r="E499" s="159"/>
      <c r="F499" s="159"/>
      <c r="G499" s="165">
        <f t="shared" si="47"/>
        <v>0</v>
      </c>
      <c r="H499" s="20"/>
      <c r="I499" s="167">
        <f>IF(B499&gt;0,(Parametros!$H$11-'Calculo Intereses COOPS'!B499),0)</f>
        <v>0</v>
      </c>
      <c r="J499" s="168">
        <f>(F499-E499)*Parametros!$H$37/365*'Calculo Intereses COOPS'!I499</f>
        <v>0</v>
      </c>
      <c r="K499" s="169">
        <f t="shared" si="46"/>
        <v>0</v>
      </c>
    </row>
    <row r="500" spans="2:11" x14ac:dyDescent="0.25">
      <c r="B500" s="160"/>
      <c r="C500" s="161"/>
      <c r="D500" s="163"/>
      <c r="E500" s="159"/>
      <c r="F500" s="159"/>
      <c r="G500" s="165">
        <f t="shared" si="47"/>
        <v>0</v>
      </c>
      <c r="H500" s="20"/>
      <c r="I500" s="167">
        <f>IF(B500&gt;0,(Parametros!$H$11-'Calculo Intereses COOPS'!B500),0)</f>
        <v>0</v>
      </c>
      <c r="J500" s="168">
        <f>(F500-E500)*Parametros!$H$37/365*'Calculo Intereses COOPS'!I500</f>
        <v>0</v>
      </c>
      <c r="K500" s="169">
        <f t="shared" si="46"/>
        <v>0</v>
      </c>
    </row>
    <row r="501" spans="2:11" x14ac:dyDescent="0.25">
      <c r="B501" s="160"/>
      <c r="C501" s="161"/>
      <c r="D501" s="163"/>
      <c r="E501" s="159"/>
      <c r="F501" s="159"/>
      <c r="G501" s="165">
        <f t="shared" si="47"/>
        <v>0</v>
      </c>
      <c r="H501" s="20"/>
      <c r="I501" s="167">
        <f>IF(B501&gt;0,(Parametros!$H$11-'Calculo Intereses COOPS'!B501),0)</f>
        <v>0</v>
      </c>
      <c r="J501" s="168">
        <f>(F501-E501)*Parametros!$H$37/365*'Calculo Intereses COOPS'!I501</f>
        <v>0</v>
      </c>
      <c r="K501" s="169">
        <f t="shared" si="46"/>
        <v>0</v>
      </c>
    </row>
    <row r="502" spans="2:11" x14ac:dyDescent="0.25">
      <c r="B502" s="160"/>
      <c r="C502" s="161"/>
      <c r="D502" s="163"/>
      <c r="E502" s="159"/>
      <c r="F502" s="159"/>
      <c r="G502" s="165">
        <f t="shared" si="47"/>
        <v>0</v>
      </c>
      <c r="H502" s="20"/>
      <c r="I502" s="167">
        <f>IF(B502&gt;0,(Parametros!$H$11-'Calculo Intereses COOPS'!B502),0)</f>
        <v>0</v>
      </c>
      <c r="J502" s="168">
        <f>(F502-E502)*Parametros!$H$37/365*'Calculo Intereses COOPS'!I502</f>
        <v>0</v>
      </c>
      <c r="K502" s="169">
        <f t="shared" si="46"/>
        <v>0</v>
      </c>
    </row>
    <row r="503" spans="2:11" x14ac:dyDescent="0.25">
      <c r="B503" s="160"/>
      <c r="C503" s="161"/>
      <c r="D503" s="163"/>
      <c r="E503" s="159"/>
      <c r="F503" s="159"/>
      <c r="G503" s="165">
        <f t="shared" si="47"/>
        <v>0</v>
      </c>
      <c r="H503" s="20"/>
      <c r="I503" s="167">
        <f>IF(B503&gt;0,(Parametros!$H$11-'Calculo Intereses COOPS'!B503),0)</f>
        <v>0</v>
      </c>
      <c r="J503" s="168">
        <f>(F503-E503)*Parametros!$H$37/365*'Calculo Intereses COOPS'!I503</f>
        <v>0</v>
      </c>
      <c r="K503" s="169">
        <f t="shared" si="46"/>
        <v>0</v>
      </c>
    </row>
    <row r="504" spans="2:11" x14ac:dyDescent="0.25">
      <c r="B504" s="160"/>
      <c r="C504" s="161"/>
      <c r="D504" s="163"/>
      <c r="E504" s="159"/>
      <c r="F504" s="159"/>
      <c r="G504" s="165">
        <f t="shared" si="47"/>
        <v>0</v>
      </c>
      <c r="H504" s="20"/>
      <c r="I504" s="167">
        <f>IF(B504&gt;0,(Parametros!$H$11-'Calculo Intereses COOPS'!B504),0)</f>
        <v>0</v>
      </c>
      <c r="J504" s="168">
        <f>(F504-E504)*Parametros!$H$37/365*'Calculo Intereses COOPS'!I504</f>
        <v>0</v>
      </c>
      <c r="K504" s="169">
        <f t="shared" si="46"/>
        <v>0</v>
      </c>
    </row>
    <row r="505" spans="2:11" x14ac:dyDescent="0.25">
      <c r="B505" s="160"/>
      <c r="C505" s="161"/>
      <c r="D505" s="163"/>
      <c r="E505" s="159"/>
      <c r="F505" s="159"/>
      <c r="G505" s="165">
        <f t="shared" si="47"/>
        <v>0</v>
      </c>
      <c r="H505" s="20"/>
      <c r="I505" s="167">
        <f>IF(B505&gt;0,(Parametros!$H$11-'Calculo Intereses COOPS'!B505),0)</f>
        <v>0</v>
      </c>
      <c r="J505" s="168">
        <f>(F505-E505)*Parametros!$H$37/365*'Calculo Intereses COOPS'!I505</f>
        <v>0</v>
      </c>
      <c r="K505" s="169">
        <f t="shared" si="46"/>
        <v>0</v>
      </c>
    </row>
    <row r="506" spans="2:11" x14ac:dyDescent="0.25">
      <c r="B506" s="160"/>
      <c r="C506" s="161"/>
      <c r="D506" s="163"/>
      <c r="E506" s="159"/>
      <c r="F506" s="159"/>
      <c r="G506" s="165">
        <f>+G505+F506</f>
        <v>0</v>
      </c>
      <c r="H506" s="20"/>
      <c r="I506" s="167">
        <f>IF(B506&gt;0,(Parametros!$H$11-'Calculo Intereses COOPS'!B506),0)</f>
        <v>0</v>
      </c>
      <c r="J506" s="168">
        <f>(F506-E506)*Parametros!$H$37/365*'Calculo Intereses COOPS'!I506</f>
        <v>0</v>
      </c>
      <c r="K506" s="169">
        <f t="shared" si="46"/>
        <v>0</v>
      </c>
    </row>
    <row r="507" spans="2:11" x14ac:dyDescent="0.25">
      <c r="B507" s="20"/>
      <c r="C507" s="20"/>
      <c r="D507" s="52" t="s">
        <v>21</v>
      </c>
      <c r="E507" s="166">
        <f>SUM(E491:E506)</f>
        <v>0</v>
      </c>
      <c r="F507" s="166">
        <f>SUM(F491:F506)</f>
        <v>0</v>
      </c>
      <c r="G507" s="166">
        <f>+G506</f>
        <v>0</v>
      </c>
      <c r="J507" s="170">
        <f>SUM(J491:J506)</f>
        <v>0</v>
      </c>
    </row>
    <row r="509" spans="2:11" x14ac:dyDescent="0.25">
      <c r="B509" s="172" t="str">
        <f>CONCATENATE("APORTACIONES Y CALCULO DE INTERESES CORRESPONDIENTES AL AÑO ",YEAR(Parametros!$H$11))</f>
        <v>APORTACIONES Y CALCULO DE INTERESES CORRESPONDIENTES AL AÑO 2015</v>
      </c>
      <c r="C509" s="53"/>
      <c r="D509" s="53"/>
      <c r="E509" s="54"/>
      <c r="F509" s="54"/>
      <c r="G509" s="54"/>
      <c r="H509" s="20"/>
      <c r="I509" s="55"/>
      <c r="J509" s="56"/>
      <c r="K509" s="20"/>
    </row>
    <row r="510" spans="2:11" x14ac:dyDescent="0.25">
      <c r="B510" s="69" t="s">
        <v>186</v>
      </c>
      <c r="C510" s="173" t="str">
        <f>+'Calculo Excedentes'!A30</f>
        <v>CA-31</v>
      </c>
      <c r="D510" s="171" t="s">
        <v>187</v>
      </c>
      <c r="E510" s="176" t="str">
        <f>+'Calculo Excedentes'!B30</f>
        <v>ACONAC</v>
      </c>
      <c r="F510" s="174"/>
      <c r="G510" s="175"/>
      <c r="H510" s="20"/>
      <c r="I510" s="39" t="s">
        <v>73</v>
      </c>
      <c r="J510" s="39" t="s">
        <v>74</v>
      </c>
      <c r="K510" s="39" t="s">
        <v>75</v>
      </c>
    </row>
    <row r="511" spans="2:11" x14ac:dyDescent="0.25">
      <c r="B511" s="40" t="s">
        <v>76</v>
      </c>
      <c r="C511" s="40" t="s">
        <v>77</v>
      </c>
      <c r="D511" s="40" t="s">
        <v>78</v>
      </c>
      <c r="E511" s="40" t="s">
        <v>79</v>
      </c>
      <c r="F511" s="40" t="s">
        <v>80</v>
      </c>
      <c r="G511" s="40" t="s">
        <v>81</v>
      </c>
      <c r="H511" s="20"/>
      <c r="I511" s="42" t="s">
        <v>82</v>
      </c>
      <c r="J511" s="164" t="s">
        <v>185</v>
      </c>
      <c r="K511" s="42" t="s">
        <v>84</v>
      </c>
    </row>
    <row r="512" spans="2:11" x14ac:dyDescent="0.25">
      <c r="B512" s="158">
        <f>+Parametros!$H$11-365</f>
        <v>42004</v>
      </c>
      <c r="C512" s="161"/>
      <c r="D512" s="162"/>
      <c r="E512" s="159"/>
      <c r="F512" s="159"/>
      <c r="G512" s="165">
        <f>+F512-E512</f>
        <v>0</v>
      </c>
      <c r="H512" s="20"/>
      <c r="I512" s="167">
        <f>IF(B512&gt;0,(Parametros!$H$11-'Calculo Intereses COOPS'!B512),0)</f>
        <v>365</v>
      </c>
      <c r="J512" s="168">
        <f>(F512-E512)*Parametros!$H$37/365*'Calculo Intereses COOPS'!I512</f>
        <v>0</v>
      </c>
      <c r="K512" s="169">
        <f>+J512</f>
        <v>0</v>
      </c>
    </row>
    <row r="513" spans="2:11" x14ac:dyDescent="0.25">
      <c r="B513" s="160"/>
      <c r="C513" s="161"/>
      <c r="D513" s="162"/>
      <c r="E513" s="159"/>
      <c r="F513" s="159"/>
      <c r="G513" s="165">
        <f>+G512+F513-E513</f>
        <v>0</v>
      </c>
      <c r="H513" s="20"/>
      <c r="I513" s="167">
        <f>IF(B513&gt;0,(Parametros!$H$11-'Calculo Intereses COOPS'!B513),0)</f>
        <v>0</v>
      </c>
      <c r="J513" s="168">
        <f>(F513-E513)*Parametros!$H$37/365*'Calculo Intereses COOPS'!I513</f>
        <v>0</v>
      </c>
      <c r="K513" s="169">
        <f>+J513+K512</f>
        <v>0</v>
      </c>
    </row>
    <row r="514" spans="2:11" x14ac:dyDescent="0.25">
      <c r="B514" s="160"/>
      <c r="C514" s="161"/>
      <c r="D514" s="162"/>
      <c r="E514" s="159"/>
      <c r="F514" s="159"/>
      <c r="G514" s="165">
        <f>+G513+F514</f>
        <v>0</v>
      </c>
      <c r="H514" s="20"/>
      <c r="I514" s="167">
        <f>IF(B514&gt;0,(Parametros!$H$11-'Calculo Intereses COOPS'!B514),0)</f>
        <v>0</v>
      </c>
      <c r="J514" s="168">
        <f>(F514-E514)*Parametros!$H$37/365*'Calculo Intereses COOPS'!I514</f>
        <v>0</v>
      </c>
      <c r="K514" s="169">
        <f t="shared" ref="K514:K527" si="48">+J514+K513</f>
        <v>0</v>
      </c>
    </row>
    <row r="515" spans="2:11" x14ac:dyDescent="0.25">
      <c r="B515" s="160"/>
      <c r="C515" s="161"/>
      <c r="D515" s="162"/>
      <c r="E515" s="159"/>
      <c r="F515" s="159"/>
      <c r="G515" s="165">
        <f>+G514+F515</f>
        <v>0</v>
      </c>
      <c r="H515" s="20"/>
      <c r="I515" s="167">
        <f>IF(B515&gt;0,(Parametros!$H$11-'Calculo Intereses COOPS'!B515),0)</f>
        <v>0</v>
      </c>
      <c r="J515" s="168">
        <f>(F515-E515)*Parametros!$H$37/365*'Calculo Intereses COOPS'!I515</f>
        <v>0</v>
      </c>
      <c r="K515" s="169">
        <f t="shared" si="48"/>
        <v>0</v>
      </c>
    </row>
    <row r="516" spans="2:11" x14ac:dyDescent="0.25">
      <c r="B516" s="160"/>
      <c r="C516" s="161"/>
      <c r="D516" s="162"/>
      <c r="E516" s="159"/>
      <c r="F516" s="159"/>
      <c r="G516" s="165">
        <f>+G515+F516</f>
        <v>0</v>
      </c>
      <c r="H516" s="20"/>
      <c r="I516" s="167">
        <f>IF(B516&gt;0,(Parametros!$H$11-'Calculo Intereses COOPS'!B516),0)</f>
        <v>0</v>
      </c>
      <c r="J516" s="168">
        <f>(F516-E516)*Parametros!$H$37/365*'Calculo Intereses COOPS'!I516</f>
        <v>0</v>
      </c>
      <c r="K516" s="169">
        <f t="shared" si="48"/>
        <v>0</v>
      </c>
    </row>
    <row r="517" spans="2:11" x14ac:dyDescent="0.25">
      <c r="B517" s="160"/>
      <c r="C517" s="161"/>
      <c r="D517" s="162"/>
      <c r="E517" s="159"/>
      <c r="F517" s="159"/>
      <c r="G517" s="165">
        <f>+G516+F517</f>
        <v>0</v>
      </c>
      <c r="H517" s="20"/>
      <c r="I517" s="167">
        <f>IF(B517&gt;0,(Parametros!$H$11-'Calculo Intereses COOPS'!B517),0)</f>
        <v>0</v>
      </c>
      <c r="J517" s="168">
        <f>(F517-E517)*Parametros!$H$37/365*'Calculo Intereses COOPS'!I517</f>
        <v>0</v>
      </c>
      <c r="K517" s="169">
        <f t="shared" si="48"/>
        <v>0</v>
      </c>
    </row>
    <row r="518" spans="2:11" x14ac:dyDescent="0.25">
      <c r="B518" s="160"/>
      <c r="C518" s="161"/>
      <c r="D518" s="163"/>
      <c r="E518" s="159"/>
      <c r="F518" s="159"/>
      <c r="G518" s="165">
        <f t="shared" ref="G518:G526" si="49">+G517+F518</f>
        <v>0</v>
      </c>
      <c r="H518" s="20"/>
      <c r="I518" s="167">
        <f>IF(B518&gt;0,(Parametros!$H$11-'Calculo Intereses COOPS'!B518),0)</f>
        <v>0</v>
      </c>
      <c r="J518" s="168">
        <f>(F518-E518)*Parametros!$H$37/365*'Calculo Intereses COOPS'!I518</f>
        <v>0</v>
      </c>
      <c r="K518" s="169">
        <f t="shared" si="48"/>
        <v>0</v>
      </c>
    </row>
    <row r="519" spans="2:11" x14ac:dyDescent="0.25">
      <c r="B519" s="160"/>
      <c r="C519" s="161"/>
      <c r="D519" s="163"/>
      <c r="E519" s="159"/>
      <c r="F519" s="159"/>
      <c r="G519" s="165">
        <f t="shared" si="49"/>
        <v>0</v>
      </c>
      <c r="H519" s="20"/>
      <c r="I519" s="167">
        <f>IF(B519&gt;0,(Parametros!$H$11-'Calculo Intereses COOPS'!B519),0)</f>
        <v>0</v>
      </c>
      <c r="J519" s="168">
        <f>(F519-E519)*Parametros!$H$37/365*'Calculo Intereses COOPS'!I519</f>
        <v>0</v>
      </c>
      <c r="K519" s="169">
        <f t="shared" si="48"/>
        <v>0</v>
      </c>
    </row>
    <row r="520" spans="2:11" x14ac:dyDescent="0.25">
      <c r="B520" s="160"/>
      <c r="C520" s="161"/>
      <c r="D520" s="163"/>
      <c r="E520" s="159"/>
      <c r="F520" s="159"/>
      <c r="G520" s="165">
        <f t="shared" si="49"/>
        <v>0</v>
      </c>
      <c r="H520" s="20"/>
      <c r="I520" s="167">
        <f>IF(B520&gt;0,(Parametros!$H$11-'Calculo Intereses COOPS'!B520),0)</f>
        <v>0</v>
      </c>
      <c r="J520" s="168">
        <f>(F520-E520)*Parametros!$H$37/365*'Calculo Intereses COOPS'!I520</f>
        <v>0</v>
      </c>
      <c r="K520" s="169">
        <f t="shared" si="48"/>
        <v>0</v>
      </c>
    </row>
    <row r="521" spans="2:11" x14ac:dyDescent="0.25">
      <c r="B521" s="160"/>
      <c r="C521" s="161"/>
      <c r="D521" s="163"/>
      <c r="E521" s="159"/>
      <c r="F521" s="159"/>
      <c r="G521" s="165">
        <f t="shared" si="49"/>
        <v>0</v>
      </c>
      <c r="H521" s="20"/>
      <c r="I521" s="167">
        <f>IF(B521&gt;0,(Parametros!$H$11-'Calculo Intereses COOPS'!B521),0)</f>
        <v>0</v>
      </c>
      <c r="J521" s="168">
        <f>(F521-E521)*Parametros!$H$37/365*'Calculo Intereses COOPS'!I521</f>
        <v>0</v>
      </c>
      <c r="K521" s="169">
        <f t="shared" si="48"/>
        <v>0</v>
      </c>
    </row>
    <row r="522" spans="2:11" x14ac:dyDescent="0.25">
      <c r="B522" s="160"/>
      <c r="C522" s="161"/>
      <c r="D522" s="163"/>
      <c r="E522" s="159"/>
      <c r="F522" s="159"/>
      <c r="G522" s="165">
        <f t="shared" si="49"/>
        <v>0</v>
      </c>
      <c r="H522" s="20"/>
      <c r="I522" s="167">
        <f>IF(B522&gt;0,(Parametros!$H$11-'Calculo Intereses COOPS'!B522),0)</f>
        <v>0</v>
      </c>
      <c r="J522" s="168">
        <f>(F522-E522)*Parametros!$H$37/365*'Calculo Intereses COOPS'!I522</f>
        <v>0</v>
      </c>
      <c r="K522" s="169">
        <f t="shared" si="48"/>
        <v>0</v>
      </c>
    </row>
    <row r="523" spans="2:11" x14ac:dyDescent="0.25">
      <c r="B523" s="160"/>
      <c r="C523" s="161"/>
      <c r="D523" s="163"/>
      <c r="E523" s="159"/>
      <c r="F523" s="159"/>
      <c r="G523" s="165">
        <f t="shared" si="49"/>
        <v>0</v>
      </c>
      <c r="H523" s="20"/>
      <c r="I523" s="167">
        <f>IF(B523&gt;0,(Parametros!$H$11-'Calculo Intereses COOPS'!B523),0)</f>
        <v>0</v>
      </c>
      <c r="J523" s="168">
        <f>(F523-E523)*Parametros!$H$37/365*'Calculo Intereses COOPS'!I523</f>
        <v>0</v>
      </c>
      <c r="K523" s="169">
        <f t="shared" si="48"/>
        <v>0</v>
      </c>
    </row>
    <row r="524" spans="2:11" x14ac:dyDescent="0.25">
      <c r="B524" s="160"/>
      <c r="C524" s="161"/>
      <c r="D524" s="163"/>
      <c r="E524" s="159"/>
      <c r="F524" s="159"/>
      <c r="G524" s="165">
        <f t="shared" si="49"/>
        <v>0</v>
      </c>
      <c r="H524" s="20"/>
      <c r="I524" s="167">
        <f>IF(B524&gt;0,(Parametros!$H$11-'Calculo Intereses COOPS'!B524),0)</f>
        <v>0</v>
      </c>
      <c r="J524" s="168">
        <f>(F524-E524)*Parametros!$H$37/365*'Calculo Intereses COOPS'!I524</f>
        <v>0</v>
      </c>
      <c r="K524" s="169">
        <f t="shared" si="48"/>
        <v>0</v>
      </c>
    </row>
    <row r="525" spans="2:11" x14ac:dyDescent="0.25">
      <c r="B525" s="160"/>
      <c r="C525" s="161"/>
      <c r="D525" s="163"/>
      <c r="E525" s="159"/>
      <c r="F525" s="159"/>
      <c r="G525" s="165">
        <f t="shared" si="49"/>
        <v>0</v>
      </c>
      <c r="H525" s="20"/>
      <c r="I525" s="167">
        <f>IF(B525&gt;0,(Parametros!$H$11-'Calculo Intereses COOPS'!B525),0)</f>
        <v>0</v>
      </c>
      <c r="J525" s="168">
        <f>(F525-E525)*Parametros!$H$37/365*'Calculo Intereses COOPS'!I525</f>
        <v>0</v>
      </c>
      <c r="K525" s="169">
        <f t="shared" si="48"/>
        <v>0</v>
      </c>
    </row>
    <row r="526" spans="2:11" x14ac:dyDescent="0.25">
      <c r="B526" s="160"/>
      <c r="C526" s="161"/>
      <c r="D526" s="163"/>
      <c r="E526" s="159"/>
      <c r="F526" s="159"/>
      <c r="G526" s="165">
        <f t="shared" si="49"/>
        <v>0</v>
      </c>
      <c r="H526" s="20"/>
      <c r="I526" s="167">
        <f>IF(B526&gt;0,(Parametros!$H$11-'Calculo Intereses COOPS'!B526),0)</f>
        <v>0</v>
      </c>
      <c r="J526" s="168">
        <f>(F526-E526)*Parametros!$H$37/365*'Calculo Intereses COOPS'!I526</f>
        <v>0</v>
      </c>
      <c r="K526" s="169">
        <f t="shared" si="48"/>
        <v>0</v>
      </c>
    </row>
    <row r="527" spans="2:11" x14ac:dyDescent="0.25">
      <c r="B527" s="160"/>
      <c r="C527" s="161"/>
      <c r="D527" s="163"/>
      <c r="E527" s="159"/>
      <c r="F527" s="159"/>
      <c r="G527" s="165">
        <f>+G526+F527</f>
        <v>0</v>
      </c>
      <c r="H527" s="20"/>
      <c r="I527" s="167">
        <f>IF(B527&gt;0,(Parametros!$H$11-'Calculo Intereses COOPS'!B527),0)</f>
        <v>0</v>
      </c>
      <c r="J527" s="168">
        <f>(F527-E527)*Parametros!$H$37/365*'Calculo Intereses COOPS'!I527</f>
        <v>0</v>
      </c>
      <c r="K527" s="169">
        <f t="shared" si="48"/>
        <v>0</v>
      </c>
    </row>
    <row r="528" spans="2:11" x14ac:dyDescent="0.25">
      <c r="B528" s="20"/>
      <c r="C528" s="20"/>
      <c r="D528" s="52" t="s">
        <v>21</v>
      </c>
      <c r="E528" s="166">
        <f>SUM(E512:E527)</f>
        <v>0</v>
      </c>
      <c r="F528" s="166">
        <f>SUM(F512:F527)</f>
        <v>0</v>
      </c>
      <c r="G528" s="166">
        <f>+G527</f>
        <v>0</v>
      </c>
      <c r="J528" s="170">
        <f>SUM(J512:J527)</f>
        <v>0</v>
      </c>
    </row>
    <row r="530" spans="2:11" x14ac:dyDescent="0.25">
      <c r="B530" s="172" t="str">
        <f>CONCATENATE("APORTACIONES Y CALCULO DE INTERESES CORRESPONDIENTES AL AÑO ",YEAR(Parametros!$H$11))</f>
        <v>APORTACIONES Y CALCULO DE INTERESES CORRESPONDIENTES AL AÑO 2015</v>
      </c>
      <c r="C530" s="53"/>
      <c r="D530" s="53"/>
      <c r="E530" s="54"/>
      <c r="F530" s="54"/>
      <c r="G530" s="54"/>
      <c r="H530" s="20"/>
      <c r="I530" s="55"/>
      <c r="J530" s="56"/>
      <c r="K530" s="20"/>
    </row>
    <row r="531" spans="2:11" x14ac:dyDescent="0.25">
      <c r="B531" s="69" t="s">
        <v>186</v>
      </c>
      <c r="C531" s="173" t="str">
        <f>+'Calculo Excedentes'!A31</f>
        <v>CA-32</v>
      </c>
      <c r="D531" s="171" t="s">
        <v>187</v>
      </c>
      <c r="E531" s="176" t="str">
        <f>+'Calculo Excedentes'!B31</f>
        <v>ACUDE</v>
      </c>
      <c r="F531" s="174"/>
      <c r="G531" s="175"/>
      <c r="H531" s="20"/>
      <c r="I531" s="39" t="s">
        <v>73</v>
      </c>
      <c r="J531" s="39" t="s">
        <v>74</v>
      </c>
      <c r="K531" s="39" t="s">
        <v>75</v>
      </c>
    </row>
    <row r="532" spans="2:11" x14ac:dyDescent="0.25">
      <c r="B532" s="40" t="s">
        <v>76</v>
      </c>
      <c r="C532" s="40" t="s">
        <v>77</v>
      </c>
      <c r="D532" s="40" t="s">
        <v>78</v>
      </c>
      <c r="E532" s="40" t="s">
        <v>79</v>
      </c>
      <c r="F532" s="40" t="s">
        <v>80</v>
      </c>
      <c r="G532" s="40" t="s">
        <v>81</v>
      </c>
      <c r="H532" s="20"/>
      <c r="I532" s="42" t="s">
        <v>82</v>
      </c>
      <c r="J532" s="164" t="s">
        <v>185</v>
      </c>
      <c r="K532" s="42" t="s">
        <v>84</v>
      </c>
    </row>
    <row r="533" spans="2:11" x14ac:dyDescent="0.25">
      <c r="B533" s="158">
        <f>+Parametros!$H$11-365</f>
        <v>42004</v>
      </c>
      <c r="C533" s="161"/>
      <c r="D533" s="162"/>
      <c r="E533" s="159"/>
      <c r="F533" s="159"/>
      <c r="G533" s="165">
        <f>+F533-E533</f>
        <v>0</v>
      </c>
      <c r="H533" s="20"/>
      <c r="I533" s="167">
        <f>IF(B533&gt;0,(Parametros!$H$11-'Calculo Intereses COOPS'!B533),0)</f>
        <v>365</v>
      </c>
      <c r="J533" s="168">
        <f>(F533-E533)*Parametros!$H$37/365*'Calculo Intereses COOPS'!I533</f>
        <v>0</v>
      </c>
      <c r="K533" s="169">
        <f>+J533</f>
        <v>0</v>
      </c>
    </row>
    <row r="534" spans="2:11" x14ac:dyDescent="0.25">
      <c r="B534" s="160"/>
      <c r="C534" s="161"/>
      <c r="D534" s="162"/>
      <c r="E534" s="159"/>
      <c r="F534" s="159"/>
      <c r="G534" s="165">
        <f>+G533+F534-E534</f>
        <v>0</v>
      </c>
      <c r="H534" s="20"/>
      <c r="I534" s="167">
        <f>IF(B534&gt;0,(Parametros!$H$11-'Calculo Intereses COOPS'!B534),0)</f>
        <v>0</v>
      </c>
      <c r="J534" s="168">
        <f>(F534-E534)*Parametros!$H$37/365*'Calculo Intereses COOPS'!I534</f>
        <v>0</v>
      </c>
      <c r="K534" s="169">
        <f>+J534+K533</f>
        <v>0</v>
      </c>
    </row>
    <row r="535" spans="2:11" x14ac:dyDescent="0.25">
      <c r="B535" s="160"/>
      <c r="C535" s="161"/>
      <c r="D535" s="162"/>
      <c r="E535" s="159"/>
      <c r="F535" s="159"/>
      <c r="G535" s="165">
        <f>+G534+F535</f>
        <v>0</v>
      </c>
      <c r="H535" s="20"/>
      <c r="I535" s="167">
        <f>IF(B535&gt;0,(Parametros!$H$11-'Calculo Intereses COOPS'!B535),0)</f>
        <v>0</v>
      </c>
      <c r="J535" s="168">
        <f>(F535-E535)*Parametros!$H$37/365*'Calculo Intereses COOPS'!I535</f>
        <v>0</v>
      </c>
      <c r="K535" s="169">
        <f t="shared" ref="K535:K548" si="50">+J535+K534</f>
        <v>0</v>
      </c>
    </row>
    <row r="536" spans="2:11" x14ac:dyDescent="0.25">
      <c r="B536" s="160"/>
      <c r="C536" s="161"/>
      <c r="D536" s="162"/>
      <c r="E536" s="159"/>
      <c r="F536" s="159"/>
      <c r="G536" s="165">
        <f>+G535+F536</f>
        <v>0</v>
      </c>
      <c r="H536" s="20"/>
      <c r="I536" s="167">
        <f>IF(B536&gt;0,(Parametros!$H$11-'Calculo Intereses COOPS'!B536),0)</f>
        <v>0</v>
      </c>
      <c r="J536" s="168">
        <f>(F536-E536)*Parametros!$H$37/365*'Calculo Intereses COOPS'!I536</f>
        <v>0</v>
      </c>
      <c r="K536" s="169">
        <f t="shared" si="50"/>
        <v>0</v>
      </c>
    </row>
    <row r="537" spans="2:11" x14ac:dyDescent="0.25">
      <c r="B537" s="160"/>
      <c r="C537" s="161"/>
      <c r="D537" s="162"/>
      <c r="E537" s="159"/>
      <c r="F537" s="159"/>
      <c r="G537" s="165">
        <f>+G536+F537</f>
        <v>0</v>
      </c>
      <c r="H537" s="20"/>
      <c r="I537" s="167">
        <f>IF(B537&gt;0,(Parametros!$H$11-'Calculo Intereses COOPS'!B537),0)</f>
        <v>0</v>
      </c>
      <c r="J537" s="168">
        <f>(F537-E537)*Parametros!$H$37/365*'Calculo Intereses COOPS'!I537</f>
        <v>0</v>
      </c>
      <c r="K537" s="169">
        <f t="shared" si="50"/>
        <v>0</v>
      </c>
    </row>
    <row r="538" spans="2:11" x14ac:dyDescent="0.25">
      <c r="B538" s="160"/>
      <c r="C538" s="161"/>
      <c r="D538" s="162"/>
      <c r="E538" s="159"/>
      <c r="F538" s="159"/>
      <c r="G538" s="165">
        <f>+G537+F538</f>
        <v>0</v>
      </c>
      <c r="H538" s="20"/>
      <c r="I538" s="167">
        <f>IF(B538&gt;0,(Parametros!$H$11-'Calculo Intereses COOPS'!B538),0)</f>
        <v>0</v>
      </c>
      <c r="J538" s="168">
        <f>(F538-E538)*Parametros!$H$37/365*'Calculo Intereses COOPS'!I538</f>
        <v>0</v>
      </c>
      <c r="K538" s="169">
        <f t="shared" si="50"/>
        <v>0</v>
      </c>
    </row>
    <row r="539" spans="2:11" x14ac:dyDescent="0.25">
      <c r="B539" s="160"/>
      <c r="C539" s="161"/>
      <c r="D539" s="163"/>
      <c r="E539" s="159"/>
      <c r="F539" s="159"/>
      <c r="G539" s="165">
        <f t="shared" ref="G539:G547" si="51">+G538+F539</f>
        <v>0</v>
      </c>
      <c r="H539" s="20"/>
      <c r="I539" s="167">
        <f>IF(B539&gt;0,(Parametros!$H$11-'Calculo Intereses COOPS'!B539),0)</f>
        <v>0</v>
      </c>
      <c r="J539" s="168">
        <f>(F539-E539)*Parametros!$H$37/365*'Calculo Intereses COOPS'!I539</f>
        <v>0</v>
      </c>
      <c r="K539" s="169">
        <f t="shared" si="50"/>
        <v>0</v>
      </c>
    </row>
    <row r="540" spans="2:11" x14ac:dyDescent="0.25">
      <c r="B540" s="160"/>
      <c r="C540" s="161"/>
      <c r="D540" s="163"/>
      <c r="E540" s="159"/>
      <c r="F540" s="159"/>
      <c r="G540" s="165">
        <f t="shared" si="51"/>
        <v>0</v>
      </c>
      <c r="H540" s="20"/>
      <c r="I540" s="167">
        <f>IF(B540&gt;0,(Parametros!$H$11-'Calculo Intereses COOPS'!B540),0)</f>
        <v>0</v>
      </c>
      <c r="J540" s="168">
        <f>(F540-E540)*Parametros!$H$37/365*'Calculo Intereses COOPS'!I540</f>
        <v>0</v>
      </c>
      <c r="K540" s="169">
        <f t="shared" si="50"/>
        <v>0</v>
      </c>
    </row>
    <row r="541" spans="2:11" x14ac:dyDescent="0.25">
      <c r="B541" s="160"/>
      <c r="C541" s="161"/>
      <c r="D541" s="163"/>
      <c r="E541" s="159"/>
      <c r="F541" s="159"/>
      <c r="G541" s="165">
        <f t="shared" si="51"/>
        <v>0</v>
      </c>
      <c r="H541" s="20"/>
      <c r="I541" s="167">
        <f>IF(B541&gt;0,(Parametros!$H$11-'Calculo Intereses COOPS'!B541),0)</f>
        <v>0</v>
      </c>
      <c r="J541" s="168">
        <f>(F541-E541)*Parametros!$H$37/365*'Calculo Intereses COOPS'!I541</f>
        <v>0</v>
      </c>
      <c r="K541" s="169">
        <f t="shared" si="50"/>
        <v>0</v>
      </c>
    </row>
    <row r="542" spans="2:11" x14ac:dyDescent="0.25">
      <c r="B542" s="160"/>
      <c r="C542" s="161"/>
      <c r="D542" s="163"/>
      <c r="E542" s="159"/>
      <c r="F542" s="159"/>
      <c r="G542" s="165">
        <f t="shared" si="51"/>
        <v>0</v>
      </c>
      <c r="H542" s="20"/>
      <c r="I542" s="167">
        <f>IF(B542&gt;0,(Parametros!$H$11-'Calculo Intereses COOPS'!B542),0)</f>
        <v>0</v>
      </c>
      <c r="J542" s="168">
        <f>(F542-E542)*Parametros!$H$37/365*'Calculo Intereses COOPS'!I542</f>
        <v>0</v>
      </c>
      <c r="K542" s="169">
        <f t="shared" si="50"/>
        <v>0</v>
      </c>
    </row>
    <row r="543" spans="2:11" x14ac:dyDescent="0.25">
      <c r="B543" s="160"/>
      <c r="C543" s="161"/>
      <c r="D543" s="163"/>
      <c r="E543" s="159"/>
      <c r="F543" s="159"/>
      <c r="G543" s="165">
        <f t="shared" si="51"/>
        <v>0</v>
      </c>
      <c r="H543" s="20"/>
      <c r="I543" s="167">
        <f>IF(B543&gt;0,(Parametros!$H$11-'Calculo Intereses COOPS'!B543),0)</f>
        <v>0</v>
      </c>
      <c r="J543" s="168">
        <f>(F543-E543)*Parametros!$H$37/365*'Calculo Intereses COOPS'!I543</f>
        <v>0</v>
      </c>
      <c r="K543" s="169">
        <f t="shared" si="50"/>
        <v>0</v>
      </c>
    </row>
    <row r="544" spans="2:11" x14ac:dyDescent="0.25">
      <c r="B544" s="160"/>
      <c r="C544" s="161"/>
      <c r="D544" s="163"/>
      <c r="E544" s="159"/>
      <c r="F544" s="159"/>
      <c r="G544" s="165">
        <f t="shared" si="51"/>
        <v>0</v>
      </c>
      <c r="H544" s="20"/>
      <c r="I544" s="167">
        <f>IF(B544&gt;0,(Parametros!$H$11-'Calculo Intereses COOPS'!B544),0)</f>
        <v>0</v>
      </c>
      <c r="J544" s="168">
        <f>(F544-E544)*Parametros!$H$37/365*'Calculo Intereses COOPS'!I544</f>
        <v>0</v>
      </c>
      <c r="K544" s="169">
        <f t="shared" si="50"/>
        <v>0</v>
      </c>
    </row>
    <row r="545" spans="2:11" x14ac:dyDescent="0.25">
      <c r="B545" s="160"/>
      <c r="C545" s="161"/>
      <c r="D545" s="163"/>
      <c r="E545" s="159"/>
      <c r="F545" s="159"/>
      <c r="G545" s="165">
        <f t="shared" si="51"/>
        <v>0</v>
      </c>
      <c r="H545" s="20"/>
      <c r="I545" s="167">
        <f>IF(B545&gt;0,(Parametros!$H$11-'Calculo Intereses COOPS'!B545),0)</f>
        <v>0</v>
      </c>
      <c r="J545" s="168">
        <f>(F545-E545)*Parametros!$H$37/365*'Calculo Intereses COOPS'!I545</f>
        <v>0</v>
      </c>
      <c r="K545" s="169">
        <f t="shared" si="50"/>
        <v>0</v>
      </c>
    </row>
    <row r="546" spans="2:11" x14ac:dyDescent="0.25">
      <c r="B546" s="160"/>
      <c r="C546" s="161"/>
      <c r="D546" s="163"/>
      <c r="E546" s="159"/>
      <c r="F546" s="159"/>
      <c r="G546" s="165">
        <f t="shared" si="51"/>
        <v>0</v>
      </c>
      <c r="H546" s="20"/>
      <c r="I546" s="167">
        <f>IF(B546&gt;0,(Parametros!$H$11-'Calculo Intereses COOPS'!B546),0)</f>
        <v>0</v>
      </c>
      <c r="J546" s="168">
        <f>(F546-E546)*Parametros!$H$37/365*'Calculo Intereses COOPS'!I546</f>
        <v>0</v>
      </c>
      <c r="K546" s="169">
        <f t="shared" si="50"/>
        <v>0</v>
      </c>
    </row>
    <row r="547" spans="2:11" x14ac:dyDescent="0.25">
      <c r="B547" s="160"/>
      <c r="C547" s="161"/>
      <c r="D547" s="163"/>
      <c r="E547" s="159"/>
      <c r="F547" s="159"/>
      <c r="G547" s="165">
        <f t="shared" si="51"/>
        <v>0</v>
      </c>
      <c r="H547" s="20"/>
      <c r="I547" s="167">
        <f>IF(B547&gt;0,(Parametros!$H$11-'Calculo Intereses COOPS'!B547),0)</f>
        <v>0</v>
      </c>
      <c r="J547" s="168">
        <f>(F547-E547)*Parametros!$H$37/365*'Calculo Intereses COOPS'!I547</f>
        <v>0</v>
      </c>
      <c r="K547" s="169">
        <f t="shared" si="50"/>
        <v>0</v>
      </c>
    </row>
    <row r="548" spans="2:11" x14ac:dyDescent="0.25">
      <c r="B548" s="160"/>
      <c r="C548" s="161"/>
      <c r="D548" s="163"/>
      <c r="E548" s="159"/>
      <c r="F548" s="159"/>
      <c r="G548" s="165">
        <f>+G547+F548</f>
        <v>0</v>
      </c>
      <c r="H548" s="20"/>
      <c r="I548" s="167">
        <f>IF(B548&gt;0,(Parametros!$H$11-'Calculo Intereses COOPS'!B548),0)</f>
        <v>0</v>
      </c>
      <c r="J548" s="168">
        <f>(F548-E548)*Parametros!$H$37/365*'Calculo Intereses COOPS'!I548</f>
        <v>0</v>
      </c>
      <c r="K548" s="169">
        <f t="shared" si="50"/>
        <v>0</v>
      </c>
    </row>
    <row r="549" spans="2:11" x14ac:dyDescent="0.25">
      <c r="B549" s="20"/>
      <c r="C549" s="20"/>
      <c r="D549" s="52" t="s">
        <v>21</v>
      </c>
      <c r="E549" s="166">
        <f>SUM(E533:E548)</f>
        <v>0</v>
      </c>
      <c r="F549" s="166">
        <f>SUM(F533:F548)</f>
        <v>0</v>
      </c>
      <c r="G549" s="166">
        <f>+G548</f>
        <v>0</v>
      </c>
      <c r="J549" s="170">
        <f>SUM(J533:J548)</f>
        <v>0</v>
      </c>
    </row>
    <row r="551" spans="2:11" x14ac:dyDescent="0.25">
      <c r="B551" s="172" t="str">
        <f>CONCATENATE("APORTACIONES Y CALCULO DE INTERESES CORRESPONDIENTES AL AÑO ",YEAR(Parametros!$H$11))</f>
        <v>APORTACIONES Y CALCULO DE INTERESES CORRESPONDIENTES AL AÑO 2015</v>
      </c>
      <c r="C551" s="53"/>
      <c r="D551" s="53"/>
      <c r="E551" s="54"/>
      <c r="F551" s="54"/>
      <c r="G551" s="54"/>
      <c r="H551" s="20"/>
      <c r="I551" s="55"/>
      <c r="J551" s="56"/>
      <c r="K551" s="20"/>
    </row>
    <row r="552" spans="2:11" x14ac:dyDescent="0.25">
      <c r="B552" s="69" t="s">
        <v>186</v>
      </c>
      <c r="C552" s="173" t="str">
        <f>+'Calculo Excedentes'!A32</f>
        <v>CA-33</v>
      </c>
      <c r="D552" s="171" t="s">
        <v>187</v>
      </c>
      <c r="E552" s="176" t="str">
        <f>+'Calculo Excedentes'!B32</f>
        <v>ACACCEANTEL</v>
      </c>
      <c r="F552" s="174"/>
      <c r="G552" s="175"/>
      <c r="H552" s="20"/>
      <c r="I552" s="39" t="s">
        <v>73</v>
      </c>
      <c r="J552" s="39" t="s">
        <v>74</v>
      </c>
      <c r="K552" s="39" t="s">
        <v>75</v>
      </c>
    </row>
    <row r="553" spans="2:11" x14ac:dyDescent="0.25">
      <c r="B553" s="40" t="s">
        <v>76</v>
      </c>
      <c r="C553" s="40" t="s">
        <v>77</v>
      </c>
      <c r="D553" s="40" t="s">
        <v>78</v>
      </c>
      <c r="E553" s="40" t="s">
        <v>79</v>
      </c>
      <c r="F553" s="40" t="s">
        <v>80</v>
      </c>
      <c r="G553" s="40" t="s">
        <v>81</v>
      </c>
      <c r="H553" s="20"/>
      <c r="I553" s="42" t="s">
        <v>82</v>
      </c>
      <c r="J553" s="164" t="s">
        <v>185</v>
      </c>
      <c r="K553" s="42" t="s">
        <v>84</v>
      </c>
    </row>
    <row r="554" spans="2:11" x14ac:dyDescent="0.25">
      <c r="B554" s="158">
        <f>+Parametros!$H$11-365</f>
        <v>42004</v>
      </c>
      <c r="C554" s="161"/>
      <c r="D554" s="162"/>
      <c r="E554" s="159"/>
      <c r="F554" s="159"/>
      <c r="G554" s="165">
        <f>+F554-E554</f>
        <v>0</v>
      </c>
      <c r="H554" s="20"/>
      <c r="I554" s="167">
        <f>IF(B554&gt;0,(Parametros!$H$11-'Calculo Intereses COOPS'!B554),0)</f>
        <v>365</v>
      </c>
      <c r="J554" s="168">
        <f>(F554-E554)*Parametros!$H$37/365*'Calculo Intereses COOPS'!I554</f>
        <v>0</v>
      </c>
      <c r="K554" s="169">
        <f>+J554</f>
        <v>0</v>
      </c>
    </row>
    <row r="555" spans="2:11" x14ac:dyDescent="0.25">
      <c r="B555" s="160"/>
      <c r="C555" s="161"/>
      <c r="D555" s="162"/>
      <c r="E555" s="159"/>
      <c r="F555" s="159"/>
      <c r="G555" s="165">
        <f>+G554+F555-E555</f>
        <v>0</v>
      </c>
      <c r="H555" s="20"/>
      <c r="I555" s="167">
        <f>IF(B555&gt;0,(Parametros!$H$11-'Calculo Intereses COOPS'!B555),0)</f>
        <v>0</v>
      </c>
      <c r="J555" s="168">
        <f>(F555-E555)*Parametros!$H$37/365*'Calculo Intereses COOPS'!I555</f>
        <v>0</v>
      </c>
      <c r="K555" s="169">
        <f>+J555+K554</f>
        <v>0</v>
      </c>
    </row>
    <row r="556" spans="2:11" x14ac:dyDescent="0.25">
      <c r="B556" s="160"/>
      <c r="C556" s="161"/>
      <c r="D556" s="162"/>
      <c r="E556" s="159"/>
      <c r="F556" s="159"/>
      <c r="G556" s="165">
        <f>+G555+F556</f>
        <v>0</v>
      </c>
      <c r="H556" s="20"/>
      <c r="I556" s="167">
        <f>IF(B556&gt;0,(Parametros!$H$11-'Calculo Intereses COOPS'!B556),0)</f>
        <v>0</v>
      </c>
      <c r="J556" s="168">
        <f>(F556-E556)*Parametros!$H$37/365*'Calculo Intereses COOPS'!I556</f>
        <v>0</v>
      </c>
      <c r="K556" s="169">
        <f t="shared" ref="K556:K569" si="52">+J556+K555</f>
        <v>0</v>
      </c>
    </row>
    <row r="557" spans="2:11" x14ac:dyDescent="0.25">
      <c r="B557" s="160"/>
      <c r="C557" s="161"/>
      <c r="D557" s="162"/>
      <c r="E557" s="159"/>
      <c r="F557" s="159"/>
      <c r="G557" s="165">
        <f>+G556+F557</f>
        <v>0</v>
      </c>
      <c r="H557" s="20"/>
      <c r="I557" s="167">
        <f>IF(B557&gt;0,(Parametros!$H$11-'Calculo Intereses COOPS'!B557),0)</f>
        <v>0</v>
      </c>
      <c r="J557" s="168">
        <f>(F557-E557)*Parametros!$H$37/365*'Calculo Intereses COOPS'!I557</f>
        <v>0</v>
      </c>
      <c r="K557" s="169">
        <f t="shared" si="52"/>
        <v>0</v>
      </c>
    </row>
    <row r="558" spans="2:11" x14ac:dyDescent="0.25">
      <c r="B558" s="160"/>
      <c r="C558" s="161"/>
      <c r="D558" s="162"/>
      <c r="E558" s="159"/>
      <c r="F558" s="159"/>
      <c r="G558" s="165">
        <f>+G557+F558</f>
        <v>0</v>
      </c>
      <c r="H558" s="20"/>
      <c r="I558" s="167">
        <f>IF(B558&gt;0,(Parametros!$H$11-'Calculo Intereses COOPS'!B558),0)</f>
        <v>0</v>
      </c>
      <c r="J558" s="168">
        <f>(F558-E558)*Parametros!$H$37/365*'Calculo Intereses COOPS'!I558</f>
        <v>0</v>
      </c>
      <c r="K558" s="169">
        <f t="shared" si="52"/>
        <v>0</v>
      </c>
    </row>
    <row r="559" spans="2:11" x14ac:dyDescent="0.25">
      <c r="B559" s="160"/>
      <c r="C559" s="161"/>
      <c r="D559" s="162"/>
      <c r="E559" s="159"/>
      <c r="F559" s="159"/>
      <c r="G559" s="165">
        <f>+G558+F559</f>
        <v>0</v>
      </c>
      <c r="H559" s="20"/>
      <c r="I559" s="167">
        <f>IF(B559&gt;0,(Parametros!$H$11-'Calculo Intereses COOPS'!B559),0)</f>
        <v>0</v>
      </c>
      <c r="J559" s="168">
        <f>(F559-E559)*Parametros!$H$37/365*'Calculo Intereses COOPS'!I559</f>
        <v>0</v>
      </c>
      <c r="K559" s="169">
        <f t="shared" si="52"/>
        <v>0</v>
      </c>
    </row>
    <row r="560" spans="2:11" x14ac:dyDescent="0.25">
      <c r="B560" s="160"/>
      <c r="C560" s="161"/>
      <c r="D560" s="163"/>
      <c r="E560" s="159"/>
      <c r="F560" s="159"/>
      <c r="G560" s="165">
        <f t="shared" ref="G560:G568" si="53">+G559+F560</f>
        <v>0</v>
      </c>
      <c r="H560" s="20"/>
      <c r="I560" s="167">
        <f>IF(B560&gt;0,(Parametros!$H$11-'Calculo Intereses COOPS'!B560),0)</f>
        <v>0</v>
      </c>
      <c r="J560" s="168">
        <f>(F560-E560)*Parametros!$H$37/365*'Calculo Intereses COOPS'!I560</f>
        <v>0</v>
      </c>
      <c r="K560" s="169">
        <f t="shared" si="52"/>
        <v>0</v>
      </c>
    </row>
    <row r="561" spans="2:11" x14ac:dyDescent="0.25">
      <c r="B561" s="160"/>
      <c r="C561" s="161"/>
      <c r="D561" s="163"/>
      <c r="E561" s="159"/>
      <c r="F561" s="159"/>
      <c r="G561" s="165">
        <f t="shared" si="53"/>
        <v>0</v>
      </c>
      <c r="H561" s="20"/>
      <c r="I561" s="167">
        <f>IF(B561&gt;0,(Parametros!$H$11-'Calculo Intereses COOPS'!B561),0)</f>
        <v>0</v>
      </c>
      <c r="J561" s="168">
        <f>(F561-E561)*Parametros!$H$37/365*'Calculo Intereses COOPS'!I561</f>
        <v>0</v>
      </c>
      <c r="K561" s="169">
        <f t="shared" si="52"/>
        <v>0</v>
      </c>
    </row>
    <row r="562" spans="2:11" x14ac:dyDescent="0.25">
      <c r="B562" s="160"/>
      <c r="C562" s="161"/>
      <c r="D562" s="163"/>
      <c r="E562" s="159"/>
      <c r="F562" s="159"/>
      <c r="G562" s="165">
        <f t="shared" si="53"/>
        <v>0</v>
      </c>
      <c r="H562" s="20"/>
      <c r="I562" s="167">
        <f>IF(B562&gt;0,(Parametros!$H$11-'Calculo Intereses COOPS'!B562),0)</f>
        <v>0</v>
      </c>
      <c r="J562" s="168">
        <f>(F562-E562)*Parametros!$H$37/365*'Calculo Intereses COOPS'!I562</f>
        <v>0</v>
      </c>
      <c r="K562" s="169">
        <f t="shared" si="52"/>
        <v>0</v>
      </c>
    </row>
    <row r="563" spans="2:11" x14ac:dyDescent="0.25">
      <c r="B563" s="160"/>
      <c r="C563" s="161"/>
      <c r="D563" s="163"/>
      <c r="E563" s="159"/>
      <c r="F563" s="159"/>
      <c r="G563" s="165">
        <f t="shared" si="53"/>
        <v>0</v>
      </c>
      <c r="H563" s="20"/>
      <c r="I563" s="167">
        <f>IF(B563&gt;0,(Parametros!$H$11-'Calculo Intereses COOPS'!B563),0)</f>
        <v>0</v>
      </c>
      <c r="J563" s="168">
        <f>(F563-E563)*Parametros!$H$37/365*'Calculo Intereses COOPS'!I563</f>
        <v>0</v>
      </c>
      <c r="K563" s="169">
        <f t="shared" si="52"/>
        <v>0</v>
      </c>
    </row>
    <row r="564" spans="2:11" x14ac:dyDescent="0.25">
      <c r="B564" s="160"/>
      <c r="C564" s="161"/>
      <c r="D564" s="163"/>
      <c r="E564" s="159"/>
      <c r="F564" s="159"/>
      <c r="G564" s="165">
        <f t="shared" si="53"/>
        <v>0</v>
      </c>
      <c r="H564" s="20"/>
      <c r="I564" s="167">
        <f>IF(B564&gt;0,(Parametros!$H$11-'Calculo Intereses COOPS'!B564),0)</f>
        <v>0</v>
      </c>
      <c r="J564" s="168">
        <f>(F564-E564)*Parametros!$H$37/365*'Calculo Intereses COOPS'!I564</f>
        <v>0</v>
      </c>
      <c r="K564" s="169">
        <f t="shared" si="52"/>
        <v>0</v>
      </c>
    </row>
    <row r="565" spans="2:11" x14ac:dyDescent="0.25">
      <c r="B565" s="160"/>
      <c r="C565" s="161"/>
      <c r="D565" s="163"/>
      <c r="E565" s="159"/>
      <c r="F565" s="159"/>
      <c r="G565" s="165">
        <f t="shared" si="53"/>
        <v>0</v>
      </c>
      <c r="H565" s="20"/>
      <c r="I565" s="167">
        <f>IF(B565&gt;0,(Parametros!$H$11-'Calculo Intereses COOPS'!B565),0)</f>
        <v>0</v>
      </c>
      <c r="J565" s="168">
        <f>(F565-E565)*Parametros!$H$37/365*'Calculo Intereses COOPS'!I565</f>
        <v>0</v>
      </c>
      <c r="K565" s="169">
        <f t="shared" si="52"/>
        <v>0</v>
      </c>
    </row>
    <row r="566" spans="2:11" x14ac:dyDescent="0.25">
      <c r="B566" s="160"/>
      <c r="C566" s="161"/>
      <c r="D566" s="163"/>
      <c r="E566" s="159"/>
      <c r="F566" s="159"/>
      <c r="G566" s="165">
        <f t="shared" si="53"/>
        <v>0</v>
      </c>
      <c r="H566" s="20"/>
      <c r="I566" s="167">
        <f>IF(B566&gt;0,(Parametros!$H$11-'Calculo Intereses COOPS'!B566),0)</f>
        <v>0</v>
      </c>
      <c r="J566" s="168">
        <f>(F566-E566)*Parametros!$H$37/365*'Calculo Intereses COOPS'!I566</f>
        <v>0</v>
      </c>
      <c r="K566" s="169">
        <f t="shared" si="52"/>
        <v>0</v>
      </c>
    </row>
    <row r="567" spans="2:11" x14ac:dyDescent="0.25">
      <c r="B567" s="160"/>
      <c r="C567" s="161"/>
      <c r="D567" s="163"/>
      <c r="E567" s="159"/>
      <c r="F567" s="159"/>
      <c r="G567" s="165">
        <f t="shared" si="53"/>
        <v>0</v>
      </c>
      <c r="H567" s="20"/>
      <c r="I567" s="167">
        <f>IF(B567&gt;0,(Parametros!$H$11-'Calculo Intereses COOPS'!B567),0)</f>
        <v>0</v>
      </c>
      <c r="J567" s="168">
        <f>(F567-E567)*Parametros!$H$37/365*'Calculo Intereses COOPS'!I567</f>
        <v>0</v>
      </c>
      <c r="K567" s="169">
        <f t="shared" si="52"/>
        <v>0</v>
      </c>
    </row>
    <row r="568" spans="2:11" x14ac:dyDescent="0.25">
      <c r="B568" s="160"/>
      <c r="C568" s="161"/>
      <c r="D568" s="163"/>
      <c r="E568" s="159"/>
      <c r="F568" s="159"/>
      <c r="G568" s="165">
        <f t="shared" si="53"/>
        <v>0</v>
      </c>
      <c r="H568" s="20"/>
      <c r="I568" s="167">
        <f>IF(B568&gt;0,(Parametros!$H$11-'Calculo Intereses COOPS'!B568),0)</f>
        <v>0</v>
      </c>
      <c r="J568" s="168">
        <f>(F568-E568)*Parametros!$H$37/365*'Calculo Intereses COOPS'!I568</f>
        <v>0</v>
      </c>
      <c r="K568" s="169">
        <f t="shared" si="52"/>
        <v>0</v>
      </c>
    </row>
    <row r="569" spans="2:11" x14ac:dyDescent="0.25">
      <c r="B569" s="160"/>
      <c r="C569" s="161"/>
      <c r="D569" s="163"/>
      <c r="E569" s="159"/>
      <c r="F569" s="159"/>
      <c r="G569" s="165">
        <f>+G568+F569</f>
        <v>0</v>
      </c>
      <c r="H569" s="20"/>
      <c r="I569" s="167">
        <f>IF(B569&gt;0,(Parametros!$H$11-'Calculo Intereses COOPS'!B569),0)</f>
        <v>0</v>
      </c>
      <c r="J569" s="168">
        <f>(F569-E569)*Parametros!$H$37/365*'Calculo Intereses COOPS'!I569</f>
        <v>0</v>
      </c>
      <c r="K569" s="169">
        <f t="shared" si="52"/>
        <v>0</v>
      </c>
    </row>
    <row r="570" spans="2:11" x14ac:dyDescent="0.25">
      <c r="B570" s="20"/>
      <c r="C570" s="20"/>
      <c r="D570" s="52" t="s">
        <v>21</v>
      </c>
      <c r="E570" s="166">
        <f>SUM(E554:E569)</f>
        <v>0</v>
      </c>
      <c r="F570" s="166">
        <f>SUM(F554:F569)</f>
        <v>0</v>
      </c>
      <c r="G570" s="166">
        <f>+G569</f>
        <v>0</v>
      </c>
      <c r="J570" s="170">
        <f>SUM(J554:J569)</f>
        <v>0</v>
      </c>
    </row>
    <row r="572" spans="2:11" x14ac:dyDescent="0.25">
      <c r="B572" s="172" t="str">
        <f>CONCATENATE("APORTACIONES Y CALCULO DE INTERESES CORRESPONDIENTES AL AÑO ",YEAR(Parametros!$H$11))</f>
        <v>APORTACIONES Y CALCULO DE INTERESES CORRESPONDIENTES AL AÑO 2015</v>
      </c>
      <c r="C572" s="53"/>
      <c r="D572" s="53"/>
      <c r="E572" s="54"/>
      <c r="F572" s="54"/>
      <c r="G572" s="54"/>
      <c r="H572" s="20"/>
      <c r="I572" s="55"/>
      <c r="J572" s="56"/>
      <c r="K572" s="20"/>
    </row>
    <row r="573" spans="2:11" x14ac:dyDescent="0.25">
      <c r="B573" s="69" t="s">
        <v>186</v>
      </c>
      <c r="C573" s="173" t="str">
        <f>+'Calculo Excedentes'!A33</f>
        <v>CA-34</v>
      </c>
      <c r="D573" s="171" t="s">
        <v>187</v>
      </c>
      <c r="E573" s="176" t="str">
        <f>+'Calculo Excedentes'!B33</f>
        <v>ACACRESCO</v>
      </c>
      <c r="F573" s="174"/>
      <c r="G573" s="175"/>
      <c r="H573" s="20"/>
      <c r="I573" s="39" t="s">
        <v>73</v>
      </c>
      <c r="J573" s="39" t="s">
        <v>74</v>
      </c>
      <c r="K573" s="39" t="s">
        <v>75</v>
      </c>
    </row>
    <row r="574" spans="2:11" x14ac:dyDescent="0.25">
      <c r="B574" s="40" t="s">
        <v>76</v>
      </c>
      <c r="C574" s="40" t="s">
        <v>77</v>
      </c>
      <c r="D574" s="40" t="s">
        <v>78</v>
      </c>
      <c r="E574" s="40" t="s">
        <v>79</v>
      </c>
      <c r="F574" s="40" t="s">
        <v>80</v>
      </c>
      <c r="G574" s="40" t="s">
        <v>81</v>
      </c>
      <c r="H574" s="20"/>
      <c r="I574" s="42" t="s">
        <v>82</v>
      </c>
      <c r="J574" s="164" t="s">
        <v>185</v>
      </c>
      <c r="K574" s="42" t="s">
        <v>84</v>
      </c>
    </row>
    <row r="575" spans="2:11" x14ac:dyDescent="0.25">
      <c r="B575" s="158">
        <f>+Parametros!$H$11-365</f>
        <v>42004</v>
      </c>
      <c r="C575" s="161"/>
      <c r="D575" s="162"/>
      <c r="E575" s="159"/>
      <c r="F575" s="159"/>
      <c r="G575" s="165">
        <f>+F575-E575</f>
        <v>0</v>
      </c>
      <c r="H575" s="20"/>
      <c r="I575" s="167">
        <f>IF(B575&gt;0,(Parametros!$H$11-'Calculo Intereses COOPS'!B575),0)</f>
        <v>365</v>
      </c>
      <c r="J575" s="168">
        <f>(F575-E575)*Parametros!$H$37/365*'Calculo Intereses COOPS'!I575</f>
        <v>0</v>
      </c>
      <c r="K575" s="169">
        <f>+J575</f>
        <v>0</v>
      </c>
    </row>
    <row r="576" spans="2:11" x14ac:dyDescent="0.25">
      <c r="B576" s="160"/>
      <c r="C576" s="161"/>
      <c r="D576" s="162"/>
      <c r="E576" s="159"/>
      <c r="F576" s="159"/>
      <c r="G576" s="165">
        <f>+G575+F576-E576</f>
        <v>0</v>
      </c>
      <c r="H576" s="20"/>
      <c r="I576" s="167">
        <f>IF(B576&gt;0,(Parametros!$H$11-'Calculo Intereses COOPS'!B576),0)</f>
        <v>0</v>
      </c>
      <c r="J576" s="168">
        <f>(F576-E576)*Parametros!$H$37/365*'Calculo Intereses COOPS'!I576</f>
        <v>0</v>
      </c>
      <c r="K576" s="169">
        <f>+J576+K575</f>
        <v>0</v>
      </c>
    </row>
    <row r="577" spans="2:11" x14ac:dyDescent="0.25">
      <c r="B577" s="160"/>
      <c r="C577" s="161"/>
      <c r="D577" s="162"/>
      <c r="E577" s="159"/>
      <c r="F577" s="159"/>
      <c r="G577" s="165">
        <f>+G576+F577</f>
        <v>0</v>
      </c>
      <c r="H577" s="20"/>
      <c r="I577" s="167">
        <f>IF(B577&gt;0,(Parametros!$H$11-'Calculo Intereses COOPS'!B577),0)</f>
        <v>0</v>
      </c>
      <c r="J577" s="168">
        <f>(F577-E577)*Parametros!$H$37/365*'Calculo Intereses COOPS'!I577</f>
        <v>0</v>
      </c>
      <c r="K577" s="169">
        <f t="shared" ref="K577:K590" si="54">+J577+K576</f>
        <v>0</v>
      </c>
    </row>
    <row r="578" spans="2:11" x14ac:dyDescent="0.25">
      <c r="B578" s="160"/>
      <c r="C578" s="161"/>
      <c r="D578" s="162"/>
      <c r="E578" s="159"/>
      <c r="F578" s="159"/>
      <c r="G578" s="165">
        <f>+G577+F578</f>
        <v>0</v>
      </c>
      <c r="H578" s="20"/>
      <c r="I578" s="167">
        <f>IF(B578&gt;0,(Parametros!$H$11-'Calculo Intereses COOPS'!B578),0)</f>
        <v>0</v>
      </c>
      <c r="J578" s="168">
        <f>(F578-E578)*Parametros!$H$37/365*'Calculo Intereses COOPS'!I578</f>
        <v>0</v>
      </c>
      <c r="K578" s="169">
        <f t="shared" si="54"/>
        <v>0</v>
      </c>
    </row>
    <row r="579" spans="2:11" x14ac:dyDescent="0.25">
      <c r="B579" s="160"/>
      <c r="C579" s="161"/>
      <c r="D579" s="162"/>
      <c r="E579" s="159"/>
      <c r="F579" s="159"/>
      <c r="G579" s="165">
        <f>+G578+F579</f>
        <v>0</v>
      </c>
      <c r="H579" s="20"/>
      <c r="I579" s="167">
        <f>IF(B579&gt;0,(Parametros!$H$11-'Calculo Intereses COOPS'!B579),0)</f>
        <v>0</v>
      </c>
      <c r="J579" s="168">
        <f>(F579-E579)*Parametros!$H$37/365*'Calculo Intereses COOPS'!I579</f>
        <v>0</v>
      </c>
      <c r="K579" s="169">
        <f t="shared" si="54"/>
        <v>0</v>
      </c>
    </row>
    <row r="580" spans="2:11" x14ac:dyDescent="0.25">
      <c r="B580" s="160"/>
      <c r="C580" s="161"/>
      <c r="D580" s="162"/>
      <c r="E580" s="159"/>
      <c r="F580" s="159"/>
      <c r="G580" s="165">
        <f>+G579+F580</f>
        <v>0</v>
      </c>
      <c r="H580" s="20"/>
      <c r="I580" s="167">
        <f>IF(B580&gt;0,(Parametros!$H$11-'Calculo Intereses COOPS'!B580),0)</f>
        <v>0</v>
      </c>
      <c r="J580" s="168">
        <f>(F580-E580)*Parametros!$H$37/365*'Calculo Intereses COOPS'!I580</f>
        <v>0</v>
      </c>
      <c r="K580" s="169">
        <f t="shared" si="54"/>
        <v>0</v>
      </c>
    </row>
    <row r="581" spans="2:11" x14ac:dyDescent="0.25">
      <c r="B581" s="160"/>
      <c r="C581" s="161"/>
      <c r="D581" s="163"/>
      <c r="E581" s="159"/>
      <c r="F581" s="159"/>
      <c r="G581" s="165">
        <f t="shared" ref="G581:G589" si="55">+G580+F581</f>
        <v>0</v>
      </c>
      <c r="H581" s="20"/>
      <c r="I581" s="167">
        <f>IF(B581&gt;0,(Parametros!$H$11-'Calculo Intereses COOPS'!B581),0)</f>
        <v>0</v>
      </c>
      <c r="J581" s="168">
        <f>(F581-E581)*Parametros!$H$37/365*'Calculo Intereses COOPS'!I581</f>
        <v>0</v>
      </c>
      <c r="K581" s="169">
        <f t="shared" si="54"/>
        <v>0</v>
      </c>
    </row>
    <row r="582" spans="2:11" x14ac:dyDescent="0.25">
      <c r="B582" s="160"/>
      <c r="C582" s="161"/>
      <c r="D582" s="163"/>
      <c r="E582" s="159"/>
      <c r="F582" s="159"/>
      <c r="G582" s="165">
        <f t="shared" si="55"/>
        <v>0</v>
      </c>
      <c r="H582" s="20"/>
      <c r="I582" s="167">
        <f>IF(B582&gt;0,(Parametros!$H$11-'Calculo Intereses COOPS'!B582),0)</f>
        <v>0</v>
      </c>
      <c r="J582" s="168">
        <f>(F582-E582)*Parametros!$H$37/365*'Calculo Intereses COOPS'!I582</f>
        <v>0</v>
      </c>
      <c r="K582" s="169">
        <f t="shared" si="54"/>
        <v>0</v>
      </c>
    </row>
    <row r="583" spans="2:11" x14ac:dyDescent="0.25">
      <c r="B583" s="160"/>
      <c r="C583" s="161"/>
      <c r="D583" s="163"/>
      <c r="E583" s="159"/>
      <c r="F583" s="159"/>
      <c r="G583" s="165">
        <f t="shared" si="55"/>
        <v>0</v>
      </c>
      <c r="H583" s="20"/>
      <c r="I583" s="167">
        <f>IF(B583&gt;0,(Parametros!$H$11-'Calculo Intereses COOPS'!B583),0)</f>
        <v>0</v>
      </c>
      <c r="J583" s="168">
        <f>(F583-E583)*Parametros!$H$37/365*'Calculo Intereses COOPS'!I583</f>
        <v>0</v>
      </c>
      <c r="K583" s="169">
        <f t="shared" si="54"/>
        <v>0</v>
      </c>
    </row>
    <row r="584" spans="2:11" x14ac:dyDescent="0.25">
      <c r="B584" s="160"/>
      <c r="C584" s="161"/>
      <c r="D584" s="163"/>
      <c r="E584" s="159"/>
      <c r="F584" s="159"/>
      <c r="G584" s="165">
        <f t="shared" si="55"/>
        <v>0</v>
      </c>
      <c r="H584" s="20"/>
      <c r="I584" s="167">
        <f>IF(B584&gt;0,(Parametros!$H$11-'Calculo Intereses COOPS'!B584),0)</f>
        <v>0</v>
      </c>
      <c r="J584" s="168">
        <f>(F584-E584)*Parametros!$H$37/365*'Calculo Intereses COOPS'!I584</f>
        <v>0</v>
      </c>
      <c r="K584" s="169">
        <f t="shared" si="54"/>
        <v>0</v>
      </c>
    </row>
    <row r="585" spans="2:11" x14ac:dyDescent="0.25">
      <c r="B585" s="160"/>
      <c r="C585" s="161"/>
      <c r="D585" s="163"/>
      <c r="E585" s="159"/>
      <c r="F585" s="159"/>
      <c r="G585" s="165">
        <f t="shared" si="55"/>
        <v>0</v>
      </c>
      <c r="H585" s="20"/>
      <c r="I585" s="167">
        <f>IF(B585&gt;0,(Parametros!$H$11-'Calculo Intereses COOPS'!B585),0)</f>
        <v>0</v>
      </c>
      <c r="J585" s="168">
        <f>(F585-E585)*Parametros!$H$37/365*'Calculo Intereses COOPS'!I585</f>
        <v>0</v>
      </c>
      <c r="K585" s="169">
        <f t="shared" si="54"/>
        <v>0</v>
      </c>
    </row>
    <row r="586" spans="2:11" x14ac:dyDescent="0.25">
      <c r="B586" s="160"/>
      <c r="C586" s="161"/>
      <c r="D586" s="163"/>
      <c r="E586" s="159"/>
      <c r="F586" s="159"/>
      <c r="G586" s="165">
        <f t="shared" si="55"/>
        <v>0</v>
      </c>
      <c r="H586" s="20"/>
      <c r="I586" s="167">
        <f>IF(B586&gt;0,(Parametros!$H$11-'Calculo Intereses COOPS'!B586),0)</f>
        <v>0</v>
      </c>
      <c r="J586" s="168">
        <f>(F586-E586)*Parametros!$H$37/365*'Calculo Intereses COOPS'!I586</f>
        <v>0</v>
      </c>
      <c r="K586" s="169">
        <f t="shared" si="54"/>
        <v>0</v>
      </c>
    </row>
    <row r="587" spans="2:11" x14ac:dyDescent="0.25">
      <c r="B587" s="160"/>
      <c r="C587" s="161"/>
      <c r="D587" s="163"/>
      <c r="E587" s="159"/>
      <c r="F587" s="159"/>
      <c r="G587" s="165">
        <f t="shared" si="55"/>
        <v>0</v>
      </c>
      <c r="H587" s="20"/>
      <c r="I587" s="167">
        <f>IF(B587&gt;0,(Parametros!$H$11-'Calculo Intereses COOPS'!B587),0)</f>
        <v>0</v>
      </c>
      <c r="J587" s="168">
        <f>(F587-E587)*Parametros!$H$37/365*'Calculo Intereses COOPS'!I587</f>
        <v>0</v>
      </c>
      <c r="K587" s="169">
        <f t="shared" si="54"/>
        <v>0</v>
      </c>
    </row>
    <row r="588" spans="2:11" x14ac:dyDescent="0.25">
      <c r="B588" s="160"/>
      <c r="C588" s="161"/>
      <c r="D588" s="163"/>
      <c r="E588" s="159"/>
      <c r="F588" s="159"/>
      <c r="G588" s="165">
        <f t="shared" si="55"/>
        <v>0</v>
      </c>
      <c r="H588" s="20"/>
      <c r="I588" s="167">
        <f>IF(B588&gt;0,(Parametros!$H$11-'Calculo Intereses COOPS'!B588),0)</f>
        <v>0</v>
      </c>
      <c r="J588" s="168">
        <f>(F588-E588)*Parametros!$H$37/365*'Calculo Intereses COOPS'!I588</f>
        <v>0</v>
      </c>
      <c r="K588" s="169">
        <f t="shared" si="54"/>
        <v>0</v>
      </c>
    </row>
    <row r="589" spans="2:11" x14ac:dyDescent="0.25">
      <c r="B589" s="160"/>
      <c r="C589" s="161"/>
      <c r="D589" s="163"/>
      <c r="E589" s="159"/>
      <c r="F589" s="159"/>
      <c r="G589" s="165">
        <f t="shared" si="55"/>
        <v>0</v>
      </c>
      <c r="H589" s="20"/>
      <c r="I589" s="167">
        <f>IF(B589&gt;0,(Parametros!$H$11-'Calculo Intereses COOPS'!B589),0)</f>
        <v>0</v>
      </c>
      <c r="J589" s="168">
        <f>(F589-E589)*Parametros!$H$37/365*'Calculo Intereses COOPS'!I589</f>
        <v>0</v>
      </c>
      <c r="K589" s="169">
        <f t="shared" si="54"/>
        <v>0</v>
      </c>
    </row>
    <row r="590" spans="2:11" x14ac:dyDescent="0.25">
      <c r="B590" s="160"/>
      <c r="C590" s="161"/>
      <c r="D590" s="163"/>
      <c r="E590" s="159"/>
      <c r="F590" s="159"/>
      <c r="G590" s="165">
        <f>+G589+F590</f>
        <v>0</v>
      </c>
      <c r="H590" s="20"/>
      <c r="I590" s="167">
        <f>IF(B590&gt;0,(Parametros!$H$11-'Calculo Intereses COOPS'!B590),0)</f>
        <v>0</v>
      </c>
      <c r="J590" s="168">
        <f>(F590-E590)*Parametros!$H$37/365*'Calculo Intereses COOPS'!I590</f>
        <v>0</v>
      </c>
      <c r="K590" s="169">
        <f t="shared" si="54"/>
        <v>0</v>
      </c>
    </row>
    <row r="591" spans="2:11" x14ac:dyDescent="0.25">
      <c r="B591" s="20"/>
      <c r="C591" s="20"/>
      <c r="D591" s="52" t="s">
        <v>21</v>
      </c>
      <c r="E591" s="166">
        <f>SUM(E575:E590)</f>
        <v>0</v>
      </c>
      <c r="F591" s="166">
        <f>SUM(F575:F590)</f>
        <v>0</v>
      </c>
      <c r="G591" s="166">
        <f>+G590</f>
        <v>0</v>
      </c>
      <c r="J591" s="170">
        <f>SUM(J575:J590)</f>
        <v>0</v>
      </c>
    </row>
    <row r="593" spans="2:11" x14ac:dyDescent="0.25">
      <c r="B593" s="172" t="str">
        <f>CONCATENATE("APORTACIONES Y CALCULO DE INTERESES CORRESPONDIENTES AL AÑO ",YEAR(Parametros!$H$11))</f>
        <v>APORTACIONES Y CALCULO DE INTERESES CORRESPONDIENTES AL AÑO 2015</v>
      </c>
      <c r="C593" s="53"/>
      <c r="D593" s="53"/>
      <c r="E593" s="54"/>
      <c r="F593" s="54"/>
      <c r="G593" s="54"/>
      <c r="H593" s="20"/>
      <c r="I593" s="55"/>
      <c r="J593" s="56"/>
      <c r="K593" s="20"/>
    </row>
    <row r="594" spans="2:11" x14ac:dyDescent="0.25">
      <c r="B594" s="69" t="s">
        <v>186</v>
      </c>
      <c r="C594" s="173" t="str">
        <f>+'Calculo Excedentes'!A34</f>
        <v>CA-35</v>
      </c>
      <c r="D594" s="171" t="s">
        <v>187</v>
      </c>
      <c r="E594" s="176" t="str">
        <f>+'Calculo Excedentes'!B34</f>
        <v>COOSMO</v>
      </c>
      <c r="F594" s="174"/>
      <c r="G594" s="175"/>
      <c r="H594" s="20"/>
      <c r="I594" s="39" t="s">
        <v>73</v>
      </c>
      <c r="J594" s="39" t="s">
        <v>74</v>
      </c>
      <c r="K594" s="39" t="s">
        <v>75</v>
      </c>
    </row>
    <row r="595" spans="2:11" x14ac:dyDescent="0.25">
      <c r="B595" s="40" t="s">
        <v>76</v>
      </c>
      <c r="C595" s="40" t="s">
        <v>77</v>
      </c>
      <c r="D595" s="40" t="s">
        <v>78</v>
      </c>
      <c r="E595" s="40" t="s">
        <v>79</v>
      </c>
      <c r="F595" s="40" t="s">
        <v>80</v>
      </c>
      <c r="G595" s="40" t="s">
        <v>81</v>
      </c>
      <c r="H595" s="20"/>
      <c r="I595" s="42" t="s">
        <v>82</v>
      </c>
      <c r="J595" s="164" t="s">
        <v>185</v>
      </c>
      <c r="K595" s="42" t="s">
        <v>84</v>
      </c>
    </row>
    <row r="596" spans="2:11" x14ac:dyDescent="0.25">
      <c r="B596" s="158">
        <f>+Parametros!$H$11-365</f>
        <v>42004</v>
      </c>
      <c r="C596" s="161"/>
      <c r="D596" s="162"/>
      <c r="E596" s="159"/>
      <c r="F596" s="159"/>
      <c r="G596" s="165">
        <f>+F596-E596</f>
        <v>0</v>
      </c>
      <c r="H596" s="20"/>
      <c r="I596" s="167">
        <f>IF(B596&gt;0,(Parametros!$H$11-'Calculo Intereses COOPS'!B596),0)</f>
        <v>365</v>
      </c>
      <c r="J596" s="168">
        <f>(F596-E596)*Parametros!$H$37/365*'Calculo Intereses COOPS'!I596</f>
        <v>0</v>
      </c>
      <c r="K596" s="169">
        <f>+J596</f>
        <v>0</v>
      </c>
    </row>
    <row r="597" spans="2:11" x14ac:dyDescent="0.25">
      <c r="B597" s="160"/>
      <c r="C597" s="161"/>
      <c r="D597" s="162"/>
      <c r="E597" s="159"/>
      <c r="F597" s="159"/>
      <c r="G597" s="165">
        <f>+G596+F597-E597</f>
        <v>0</v>
      </c>
      <c r="H597" s="20"/>
      <c r="I597" s="167">
        <f>IF(B597&gt;0,(Parametros!$H$11-'Calculo Intereses COOPS'!B597),0)</f>
        <v>0</v>
      </c>
      <c r="J597" s="168">
        <f>(F597-E597)*Parametros!$H$37/365*'Calculo Intereses COOPS'!I597</f>
        <v>0</v>
      </c>
      <c r="K597" s="169">
        <f>+J597+K596</f>
        <v>0</v>
      </c>
    </row>
    <row r="598" spans="2:11" x14ac:dyDescent="0.25">
      <c r="B598" s="160"/>
      <c r="C598" s="161"/>
      <c r="D598" s="162"/>
      <c r="E598" s="159"/>
      <c r="F598" s="159"/>
      <c r="G598" s="165">
        <f>+G597+F598</f>
        <v>0</v>
      </c>
      <c r="H598" s="20"/>
      <c r="I598" s="167">
        <f>IF(B598&gt;0,(Parametros!$H$11-'Calculo Intereses COOPS'!B598),0)</f>
        <v>0</v>
      </c>
      <c r="J598" s="168">
        <f>(F598-E598)*Parametros!$H$37/365*'Calculo Intereses COOPS'!I598</f>
        <v>0</v>
      </c>
      <c r="K598" s="169">
        <f t="shared" ref="K598:K611" si="56">+J598+K597</f>
        <v>0</v>
      </c>
    </row>
    <row r="599" spans="2:11" x14ac:dyDescent="0.25">
      <c r="B599" s="160"/>
      <c r="C599" s="161"/>
      <c r="D599" s="162"/>
      <c r="E599" s="159"/>
      <c r="F599" s="159"/>
      <c r="G599" s="165">
        <f>+G598+F599</f>
        <v>0</v>
      </c>
      <c r="H599" s="20"/>
      <c r="I599" s="167">
        <f>IF(B599&gt;0,(Parametros!$H$11-'Calculo Intereses COOPS'!B599),0)</f>
        <v>0</v>
      </c>
      <c r="J599" s="168">
        <f>(F599-E599)*Parametros!$H$37/365*'Calculo Intereses COOPS'!I599</f>
        <v>0</v>
      </c>
      <c r="K599" s="169">
        <f t="shared" si="56"/>
        <v>0</v>
      </c>
    </row>
    <row r="600" spans="2:11" x14ac:dyDescent="0.25">
      <c r="B600" s="160"/>
      <c r="C600" s="161"/>
      <c r="D600" s="162"/>
      <c r="E600" s="159"/>
      <c r="F600" s="159"/>
      <c r="G600" s="165">
        <f>+G599+F600</f>
        <v>0</v>
      </c>
      <c r="H600" s="20"/>
      <c r="I600" s="167">
        <f>IF(B600&gt;0,(Parametros!$H$11-'Calculo Intereses COOPS'!B600),0)</f>
        <v>0</v>
      </c>
      <c r="J600" s="168">
        <f>(F600-E600)*Parametros!$H$37/365*'Calculo Intereses COOPS'!I600</f>
        <v>0</v>
      </c>
      <c r="K600" s="169">
        <f t="shared" si="56"/>
        <v>0</v>
      </c>
    </row>
    <row r="601" spans="2:11" x14ac:dyDescent="0.25">
      <c r="B601" s="160"/>
      <c r="C601" s="161"/>
      <c r="D601" s="162"/>
      <c r="E601" s="159"/>
      <c r="F601" s="159"/>
      <c r="G601" s="165">
        <f>+G600+F601</f>
        <v>0</v>
      </c>
      <c r="H601" s="20"/>
      <c r="I601" s="167">
        <f>IF(B601&gt;0,(Parametros!$H$11-'Calculo Intereses COOPS'!B601),0)</f>
        <v>0</v>
      </c>
      <c r="J601" s="168">
        <f>(F601-E601)*Parametros!$H$37/365*'Calculo Intereses COOPS'!I601</f>
        <v>0</v>
      </c>
      <c r="K601" s="169">
        <f t="shared" si="56"/>
        <v>0</v>
      </c>
    </row>
    <row r="602" spans="2:11" x14ac:dyDescent="0.25">
      <c r="B602" s="160"/>
      <c r="C602" s="161"/>
      <c r="D602" s="163"/>
      <c r="E602" s="159"/>
      <c r="F602" s="159"/>
      <c r="G602" s="165">
        <f t="shared" ref="G602:G610" si="57">+G601+F602</f>
        <v>0</v>
      </c>
      <c r="H602" s="20"/>
      <c r="I602" s="167">
        <f>IF(B602&gt;0,(Parametros!$H$11-'Calculo Intereses COOPS'!B602),0)</f>
        <v>0</v>
      </c>
      <c r="J602" s="168">
        <f>(F602-E602)*Parametros!$H$37/365*'Calculo Intereses COOPS'!I602</f>
        <v>0</v>
      </c>
      <c r="K602" s="169">
        <f t="shared" si="56"/>
        <v>0</v>
      </c>
    </row>
    <row r="603" spans="2:11" x14ac:dyDescent="0.25">
      <c r="B603" s="160"/>
      <c r="C603" s="161"/>
      <c r="D603" s="163"/>
      <c r="E603" s="159"/>
      <c r="F603" s="159"/>
      <c r="G603" s="165">
        <f t="shared" si="57"/>
        <v>0</v>
      </c>
      <c r="H603" s="20"/>
      <c r="I603" s="167">
        <f>IF(B603&gt;0,(Parametros!$H$11-'Calculo Intereses COOPS'!B603),0)</f>
        <v>0</v>
      </c>
      <c r="J603" s="168">
        <f>(F603-E603)*Parametros!$H$37/365*'Calculo Intereses COOPS'!I603</f>
        <v>0</v>
      </c>
      <c r="K603" s="169">
        <f t="shared" si="56"/>
        <v>0</v>
      </c>
    </row>
    <row r="604" spans="2:11" x14ac:dyDescent="0.25">
      <c r="B604" s="160"/>
      <c r="C604" s="161"/>
      <c r="D604" s="163"/>
      <c r="E604" s="159"/>
      <c r="F604" s="159"/>
      <c r="G604" s="165">
        <f t="shared" si="57"/>
        <v>0</v>
      </c>
      <c r="H604" s="20"/>
      <c r="I604" s="167">
        <f>IF(B604&gt;0,(Parametros!$H$11-'Calculo Intereses COOPS'!B604),0)</f>
        <v>0</v>
      </c>
      <c r="J604" s="168">
        <f>(F604-E604)*Parametros!$H$37/365*'Calculo Intereses COOPS'!I604</f>
        <v>0</v>
      </c>
      <c r="K604" s="169">
        <f t="shared" si="56"/>
        <v>0</v>
      </c>
    </row>
    <row r="605" spans="2:11" x14ac:dyDescent="0.25">
      <c r="B605" s="160"/>
      <c r="C605" s="161"/>
      <c r="D605" s="163"/>
      <c r="E605" s="159"/>
      <c r="F605" s="159"/>
      <c r="G605" s="165">
        <f t="shared" si="57"/>
        <v>0</v>
      </c>
      <c r="H605" s="20"/>
      <c r="I605" s="167">
        <f>IF(B605&gt;0,(Parametros!$H$11-'Calculo Intereses COOPS'!B605),0)</f>
        <v>0</v>
      </c>
      <c r="J605" s="168">
        <f>(F605-E605)*Parametros!$H$37/365*'Calculo Intereses COOPS'!I605</f>
        <v>0</v>
      </c>
      <c r="K605" s="169">
        <f t="shared" si="56"/>
        <v>0</v>
      </c>
    </row>
    <row r="606" spans="2:11" x14ac:dyDescent="0.25">
      <c r="B606" s="160"/>
      <c r="C606" s="161"/>
      <c r="D606" s="163"/>
      <c r="E606" s="159"/>
      <c r="F606" s="159"/>
      <c r="G606" s="165">
        <f t="shared" si="57"/>
        <v>0</v>
      </c>
      <c r="H606" s="20"/>
      <c r="I606" s="167">
        <f>IF(B606&gt;0,(Parametros!$H$11-'Calculo Intereses COOPS'!B606),0)</f>
        <v>0</v>
      </c>
      <c r="J606" s="168">
        <f>(F606-E606)*Parametros!$H$37/365*'Calculo Intereses COOPS'!I606</f>
        <v>0</v>
      </c>
      <c r="K606" s="169">
        <f t="shared" si="56"/>
        <v>0</v>
      </c>
    </row>
    <row r="607" spans="2:11" x14ac:dyDescent="0.25">
      <c r="B607" s="160"/>
      <c r="C607" s="161"/>
      <c r="D607" s="163"/>
      <c r="E607" s="159"/>
      <c r="F607" s="159"/>
      <c r="G607" s="165">
        <f t="shared" si="57"/>
        <v>0</v>
      </c>
      <c r="H607" s="20"/>
      <c r="I607" s="167">
        <f>IF(B607&gt;0,(Parametros!$H$11-'Calculo Intereses COOPS'!B607),0)</f>
        <v>0</v>
      </c>
      <c r="J607" s="168">
        <f>(F607-E607)*Parametros!$H$37/365*'Calculo Intereses COOPS'!I607</f>
        <v>0</v>
      </c>
      <c r="K607" s="169">
        <f t="shared" si="56"/>
        <v>0</v>
      </c>
    </row>
    <row r="608" spans="2:11" x14ac:dyDescent="0.25">
      <c r="B608" s="160"/>
      <c r="C608" s="161"/>
      <c r="D608" s="163"/>
      <c r="E608" s="159"/>
      <c r="F608" s="159"/>
      <c r="G608" s="165">
        <f t="shared" si="57"/>
        <v>0</v>
      </c>
      <c r="H608" s="20"/>
      <c r="I608" s="167">
        <f>IF(B608&gt;0,(Parametros!$H$11-'Calculo Intereses COOPS'!B608),0)</f>
        <v>0</v>
      </c>
      <c r="J608" s="168">
        <f>(F608-E608)*Parametros!$H$37/365*'Calculo Intereses COOPS'!I608</f>
        <v>0</v>
      </c>
      <c r="K608" s="169">
        <f t="shared" si="56"/>
        <v>0</v>
      </c>
    </row>
    <row r="609" spans="2:11" x14ac:dyDescent="0.25">
      <c r="B609" s="160"/>
      <c r="C609" s="161"/>
      <c r="D609" s="163"/>
      <c r="E609" s="159"/>
      <c r="F609" s="159"/>
      <c r="G609" s="165">
        <f t="shared" si="57"/>
        <v>0</v>
      </c>
      <c r="H609" s="20"/>
      <c r="I609" s="167">
        <f>IF(B609&gt;0,(Parametros!$H$11-'Calculo Intereses COOPS'!B609),0)</f>
        <v>0</v>
      </c>
      <c r="J609" s="168">
        <f>(F609-E609)*Parametros!$H$37/365*'Calculo Intereses COOPS'!I609</f>
        <v>0</v>
      </c>
      <c r="K609" s="169">
        <f t="shared" si="56"/>
        <v>0</v>
      </c>
    </row>
    <row r="610" spans="2:11" x14ac:dyDescent="0.25">
      <c r="B610" s="160"/>
      <c r="C610" s="161"/>
      <c r="D610" s="163"/>
      <c r="E610" s="159"/>
      <c r="F610" s="159"/>
      <c r="G610" s="165">
        <f t="shared" si="57"/>
        <v>0</v>
      </c>
      <c r="H610" s="20"/>
      <c r="I610" s="167">
        <f>IF(B610&gt;0,(Parametros!$H$11-'Calculo Intereses COOPS'!B610),0)</f>
        <v>0</v>
      </c>
      <c r="J610" s="168">
        <f>(F610-E610)*Parametros!$H$37/365*'Calculo Intereses COOPS'!I610</f>
        <v>0</v>
      </c>
      <c r="K610" s="169">
        <f t="shared" si="56"/>
        <v>0</v>
      </c>
    </row>
    <row r="611" spans="2:11" x14ac:dyDescent="0.25">
      <c r="B611" s="160"/>
      <c r="C611" s="161"/>
      <c r="D611" s="163"/>
      <c r="E611" s="159"/>
      <c r="F611" s="159"/>
      <c r="G611" s="165">
        <f>+G610+F611</f>
        <v>0</v>
      </c>
      <c r="H611" s="20"/>
      <c r="I611" s="167">
        <f>IF(B611&gt;0,(Parametros!$H$11-'Calculo Intereses COOPS'!B611),0)</f>
        <v>0</v>
      </c>
      <c r="J611" s="168">
        <f>(F611-E611)*Parametros!$H$37/365*'Calculo Intereses COOPS'!I611</f>
        <v>0</v>
      </c>
      <c r="K611" s="169">
        <f t="shared" si="56"/>
        <v>0</v>
      </c>
    </row>
    <row r="612" spans="2:11" x14ac:dyDescent="0.25">
      <c r="B612" s="20"/>
      <c r="C612" s="20"/>
      <c r="D612" s="52" t="s">
        <v>21</v>
      </c>
      <c r="E612" s="166">
        <f>SUM(E596:E611)</f>
        <v>0</v>
      </c>
      <c r="F612" s="166">
        <f>SUM(F596:F611)</f>
        <v>0</v>
      </c>
      <c r="G612" s="166">
        <f>+G611</f>
        <v>0</v>
      </c>
      <c r="J612" s="170">
        <f>SUM(J596:J611)</f>
        <v>0</v>
      </c>
    </row>
    <row r="614" spans="2:11" x14ac:dyDescent="0.25">
      <c r="B614" s="172" t="str">
        <f>CONCATENATE("APORTACIONES Y CALCULO DE INTERESES CORRESPONDIENTES AL AÑO ",YEAR(Parametros!$H$11))</f>
        <v>APORTACIONES Y CALCULO DE INTERESES CORRESPONDIENTES AL AÑO 2015</v>
      </c>
      <c r="C614" s="53"/>
      <c r="D614" s="53"/>
      <c r="E614" s="54"/>
      <c r="F614" s="54"/>
      <c r="G614" s="54"/>
      <c r="H614" s="20"/>
      <c r="I614" s="55"/>
      <c r="J614" s="56"/>
      <c r="K614" s="20"/>
    </row>
    <row r="615" spans="2:11" x14ac:dyDescent="0.25">
      <c r="B615" s="69" t="s">
        <v>186</v>
      </c>
      <c r="C615" s="173" t="str">
        <f>+'Calculo Excedentes'!A35</f>
        <v>CA-36</v>
      </c>
      <c r="D615" s="171" t="s">
        <v>187</v>
      </c>
      <c r="E615" s="176" t="str">
        <f>+'Calculo Excedentes'!B35</f>
        <v>ACAL</v>
      </c>
      <c r="F615" s="174"/>
      <c r="G615" s="175"/>
      <c r="H615" s="20"/>
      <c r="I615" s="39" t="s">
        <v>73</v>
      </c>
      <c r="J615" s="39" t="s">
        <v>74</v>
      </c>
      <c r="K615" s="39" t="s">
        <v>75</v>
      </c>
    </row>
    <row r="616" spans="2:11" x14ac:dyDescent="0.25">
      <c r="B616" s="40" t="s">
        <v>76</v>
      </c>
      <c r="C616" s="40" t="s">
        <v>77</v>
      </c>
      <c r="D616" s="40" t="s">
        <v>78</v>
      </c>
      <c r="E616" s="40" t="s">
        <v>79</v>
      </c>
      <c r="F616" s="40" t="s">
        <v>80</v>
      </c>
      <c r="G616" s="40" t="s">
        <v>81</v>
      </c>
      <c r="H616" s="20"/>
      <c r="I616" s="42" t="s">
        <v>82</v>
      </c>
      <c r="J616" s="164" t="s">
        <v>185</v>
      </c>
      <c r="K616" s="42" t="s">
        <v>84</v>
      </c>
    </row>
    <row r="617" spans="2:11" x14ac:dyDescent="0.25">
      <c r="B617" s="158">
        <f>+Parametros!$H$11-365</f>
        <v>42004</v>
      </c>
      <c r="C617" s="161"/>
      <c r="D617" s="162"/>
      <c r="E617" s="159"/>
      <c r="F617" s="159"/>
      <c r="G617" s="165">
        <f>+F617-E617</f>
        <v>0</v>
      </c>
      <c r="H617" s="20"/>
      <c r="I617" s="167">
        <f>IF(B617&gt;0,(Parametros!$H$11-'Calculo Intereses COOPS'!B617),0)</f>
        <v>365</v>
      </c>
      <c r="J617" s="168">
        <f>(F617-E617)*Parametros!$H$37/365*'Calculo Intereses COOPS'!I617</f>
        <v>0</v>
      </c>
      <c r="K617" s="169">
        <f>+J617</f>
        <v>0</v>
      </c>
    </row>
    <row r="618" spans="2:11" x14ac:dyDescent="0.25">
      <c r="B618" s="160"/>
      <c r="C618" s="161"/>
      <c r="D618" s="162"/>
      <c r="E618" s="159"/>
      <c r="F618" s="159"/>
      <c r="G618" s="165">
        <f>+G617+F618-E618</f>
        <v>0</v>
      </c>
      <c r="H618" s="20"/>
      <c r="I618" s="167">
        <f>IF(B618&gt;0,(Parametros!$H$11-'Calculo Intereses COOPS'!B618),0)</f>
        <v>0</v>
      </c>
      <c r="J618" s="168">
        <f>(F618-E618)*Parametros!$H$37/365*'Calculo Intereses COOPS'!I618</f>
        <v>0</v>
      </c>
      <c r="K618" s="169">
        <f>+J618+K617</f>
        <v>0</v>
      </c>
    </row>
    <row r="619" spans="2:11" x14ac:dyDescent="0.25">
      <c r="B619" s="160"/>
      <c r="C619" s="161"/>
      <c r="D619" s="162"/>
      <c r="E619" s="159"/>
      <c r="F619" s="159"/>
      <c r="G619" s="165">
        <f>+G618+F619</f>
        <v>0</v>
      </c>
      <c r="H619" s="20"/>
      <c r="I619" s="167">
        <f>IF(B619&gt;0,(Parametros!$H$11-'Calculo Intereses COOPS'!B619),0)</f>
        <v>0</v>
      </c>
      <c r="J619" s="168">
        <f>(F619-E619)*Parametros!$H$37/365*'Calculo Intereses COOPS'!I619</f>
        <v>0</v>
      </c>
      <c r="K619" s="169">
        <f t="shared" ref="K619:K632" si="58">+J619+K618</f>
        <v>0</v>
      </c>
    </row>
    <row r="620" spans="2:11" x14ac:dyDescent="0.25">
      <c r="B620" s="160"/>
      <c r="C620" s="161"/>
      <c r="D620" s="162"/>
      <c r="E620" s="159"/>
      <c r="F620" s="159"/>
      <c r="G620" s="165">
        <f>+G619+F620</f>
        <v>0</v>
      </c>
      <c r="H620" s="20"/>
      <c r="I620" s="167">
        <f>IF(B620&gt;0,(Parametros!$H$11-'Calculo Intereses COOPS'!B620),0)</f>
        <v>0</v>
      </c>
      <c r="J620" s="168">
        <f>(F620-E620)*Parametros!$H$37/365*'Calculo Intereses COOPS'!I620</f>
        <v>0</v>
      </c>
      <c r="K620" s="169">
        <f t="shared" si="58"/>
        <v>0</v>
      </c>
    </row>
    <row r="621" spans="2:11" x14ac:dyDescent="0.25">
      <c r="B621" s="160"/>
      <c r="C621" s="161"/>
      <c r="D621" s="162"/>
      <c r="E621" s="159"/>
      <c r="F621" s="159"/>
      <c r="G621" s="165">
        <f>+G620+F621</f>
        <v>0</v>
      </c>
      <c r="H621" s="20"/>
      <c r="I621" s="167">
        <f>IF(B621&gt;0,(Parametros!$H$11-'Calculo Intereses COOPS'!B621),0)</f>
        <v>0</v>
      </c>
      <c r="J621" s="168">
        <f>(F621-E621)*Parametros!$H$37/365*'Calculo Intereses COOPS'!I621</f>
        <v>0</v>
      </c>
      <c r="K621" s="169">
        <f t="shared" si="58"/>
        <v>0</v>
      </c>
    </row>
    <row r="622" spans="2:11" x14ac:dyDescent="0.25">
      <c r="B622" s="160"/>
      <c r="C622" s="161"/>
      <c r="D622" s="162"/>
      <c r="E622" s="159"/>
      <c r="F622" s="159"/>
      <c r="G622" s="165">
        <f>+G621+F622</f>
        <v>0</v>
      </c>
      <c r="H622" s="20"/>
      <c r="I622" s="167">
        <f>IF(B622&gt;0,(Parametros!$H$11-'Calculo Intereses COOPS'!B622),0)</f>
        <v>0</v>
      </c>
      <c r="J622" s="168">
        <f>(F622-E622)*Parametros!$H$37/365*'Calculo Intereses COOPS'!I622</f>
        <v>0</v>
      </c>
      <c r="K622" s="169">
        <f t="shared" si="58"/>
        <v>0</v>
      </c>
    </row>
    <row r="623" spans="2:11" x14ac:dyDescent="0.25">
      <c r="B623" s="160"/>
      <c r="C623" s="161"/>
      <c r="D623" s="163"/>
      <c r="E623" s="159"/>
      <c r="F623" s="159"/>
      <c r="G623" s="165">
        <f t="shared" ref="G623:G631" si="59">+G622+F623</f>
        <v>0</v>
      </c>
      <c r="H623" s="20"/>
      <c r="I623" s="167">
        <f>IF(B623&gt;0,(Parametros!$H$11-'Calculo Intereses COOPS'!B623),0)</f>
        <v>0</v>
      </c>
      <c r="J623" s="168">
        <f>(F623-E623)*Parametros!$H$37/365*'Calculo Intereses COOPS'!I623</f>
        <v>0</v>
      </c>
      <c r="K623" s="169">
        <f t="shared" si="58"/>
        <v>0</v>
      </c>
    </row>
    <row r="624" spans="2:11" x14ac:dyDescent="0.25">
      <c r="B624" s="160"/>
      <c r="C624" s="161"/>
      <c r="D624" s="163"/>
      <c r="E624" s="159"/>
      <c r="F624" s="159"/>
      <c r="G624" s="165">
        <f t="shared" si="59"/>
        <v>0</v>
      </c>
      <c r="H624" s="20"/>
      <c r="I624" s="167">
        <f>IF(B624&gt;0,(Parametros!$H$11-'Calculo Intereses COOPS'!B624),0)</f>
        <v>0</v>
      </c>
      <c r="J624" s="168">
        <f>(F624-E624)*Parametros!$H$37/365*'Calculo Intereses COOPS'!I624</f>
        <v>0</v>
      </c>
      <c r="K624" s="169">
        <f t="shared" si="58"/>
        <v>0</v>
      </c>
    </row>
    <row r="625" spans="2:11" x14ac:dyDescent="0.25">
      <c r="B625" s="160"/>
      <c r="C625" s="161"/>
      <c r="D625" s="163"/>
      <c r="E625" s="159"/>
      <c r="F625" s="159"/>
      <c r="G625" s="165">
        <f t="shared" si="59"/>
        <v>0</v>
      </c>
      <c r="H625" s="20"/>
      <c r="I625" s="167">
        <f>IF(B625&gt;0,(Parametros!$H$11-'Calculo Intereses COOPS'!B625),0)</f>
        <v>0</v>
      </c>
      <c r="J625" s="168">
        <f>(F625-E625)*Parametros!$H$37/365*'Calculo Intereses COOPS'!I625</f>
        <v>0</v>
      </c>
      <c r="K625" s="169">
        <f t="shared" si="58"/>
        <v>0</v>
      </c>
    </row>
    <row r="626" spans="2:11" x14ac:dyDescent="0.25">
      <c r="B626" s="160"/>
      <c r="C626" s="161"/>
      <c r="D626" s="163"/>
      <c r="E626" s="159"/>
      <c r="F626" s="159"/>
      <c r="G626" s="165">
        <f t="shared" si="59"/>
        <v>0</v>
      </c>
      <c r="H626" s="20"/>
      <c r="I626" s="167">
        <f>IF(B626&gt;0,(Parametros!$H$11-'Calculo Intereses COOPS'!B626),0)</f>
        <v>0</v>
      </c>
      <c r="J626" s="168">
        <f>(F626-E626)*Parametros!$H$37/365*'Calculo Intereses COOPS'!I626</f>
        <v>0</v>
      </c>
      <c r="K626" s="169">
        <f t="shared" si="58"/>
        <v>0</v>
      </c>
    </row>
    <row r="627" spans="2:11" x14ac:dyDescent="0.25">
      <c r="B627" s="160"/>
      <c r="C627" s="161"/>
      <c r="D627" s="163"/>
      <c r="E627" s="159"/>
      <c r="F627" s="159"/>
      <c r="G627" s="165">
        <f t="shared" si="59"/>
        <v>0</v>
      </c>
      <c r="H627" s="20"/>
      <c r="I627" s="167">
        <f>IF(B627&gt;0,(Parametros!$H$11-'Calculo Intereses COOPS'!B627),0)</f>
        <v>0</v>
      </c>
      <c r="J627" s="168">
        <f>(F627-E627)*Parametros!$H$37/365*'Calculo Intereses COOPS'!I627</f>
        <v>0</v>
      </c>
      <c r="K627" s="169">
        <f t="shared" si="58"/>
        <v>0</v>
      </c>
    </row>
    <row r="628" spans="2:11" x14ac:dyDescent="0.25">
      <c r="B628" s="160"/>
      <c r="C628" s="161"/>
      <c r="D628" s="163"/>
      <c r="E628" s="159"/>
      <c r="F628" s="159"/>
      <c r="G628" s="165">
        <f t="shared" si="59"/>
        <v>0</v>
      </c>
      <c r="H628" s="20"/>
      <c r="I628" s="167">
        <f>IF(B628&gt;0,(Parametros!$H$11-'Calculo Intereses COOPS'!B628),0)</f>
        <v>0</v>
      </c>
      <c r="J628" s="168">
        <f>(F628-E628)*Parametros!$H$37/365*'Calculo Intereses COOPS'!I628</f>
        <v>0</v>
      </c>
      <c r="K628" s="169">
        <f t="shared" si="58"/>
        <v>0</v>
      </c>
    </row>
    <row r="629" spans="2:11" x14ac:dyDescent="0.25">
      <c r="B629" s="160"/>
      <c r="C629" s="161"/>
      <c r="D629" s="163"/>
      <c r="E629" s="159"/>
      <c r="F629" s="159"/>
      <c r="G629" s="165">
        <f t="shared" si="59"/>
        <v>0</v>
      </c>
      <c r="H629" s="20"/>
      <c r="I629" s="167">
        <f>IF(B629&gt;0,(Parametros!$H$11-'Calculo Intereses COOPS'!B629),0)</f>
        <v>0</v>
      </c>
      <c r="J629" s="168">
        <f>(F629-E629)*Parametros!$H$37/365*'Calculo Intereses COOPS'!I629</f>
        <v>0</v>
      </c>
      <c r="K629" s="169">
        <f t="shared" si="58"/>
        <v>0</v>
      </c>
    </row>
    <row r="630" spans="2:11" x14ac:dyDescent="0.25">
      <c r="B630" s="160"/>
      <c r="C630" s="161"/>
      <c r="D630" s="163"/>
      <c r="E630" s="159"/>
      <c r="F630" s="159"/>
      <c r="G630" s="165">
        <f t="shared" si="59"/>
        <v>0</v>
      </c>
      <c r="H630" s="20"/>
      <c r="I630" s="167">
        <f>IF(B630&gt;0,(Parametros!$H$11-'Calculo Intereses COOPS'!B630),0)</f>
        <v>0</v>
      </c>
      <c r="J630" s="168">
        <f>(F630-E630)*Parametros!$H$37/365*'Calculo Intereses COOPS'!I630</f>
        <v>0</v>
      </c>
      <c r="K630" s="169">
        <f t="shared" si="58"/>
        <v>0</v>
      </c>
    </row>
    <row r="631" spans="2:11" x14ac:dyDescent="0.25">
      <c r="B631" s="160"/>
      <c r="C631" s="161"/>
      <c r="D631" s="163"/>
      <c r="E631" s="159"/>
      <c r="F631" s="159"/>
      <c r="G631" s="165">
        <f t="shared" si="59"/>
        <v>0</v>
      </c>
      <c r="H631" s="20"/>
      <c r="I631" s="167">
        <f>IF(B631&gt;0,(Parametros!$H$11-'Calculo Intereses COOPS'!B631),0)</f>
        <v>0</v>
      </c>
      <c r="J631" s="168">
        <f>(F631-E631)*Parametros!$H$37/365*'Calculo Intereses COOPS'!I631</f>
        <v>0</v>
      </c>
      <c r="K631" s="169">
        <f t="shared" si="58"/>
        <v>0</v>
      </c>
    </row>
    <row r="632" spans="2:11" x14ac:dyDescent="0.25">
      <c r="B632" s="160"/>
      <c r="C632" s="161"/>
      <c r="D632" s="163"/>
      <c r="E632" s="159"/>
      <c r="F632" s="159"/>
      <c r="G632" s="165">
        <f>+G631+F632</f>
        <v>0</v>
      </c>
      <c r="H632" s="20"/>
      <c r="I632" s="167">
        <f>IF(B632&gt;0,(Parametros!$H$11-'Calculo Intereses COOPS'!B632),0)</f>
        <v>0</v>
      </c>
      <c r="J632" s="168">
        <f>(F632-E632)*Parametros!$H$37/365*'Calculo Intereses COOPS'!I632</f>
        <v>0</v>
      </c>
      <c r="K632" s="169">
        <f t="shared" si="58"/>
        <v>0</v>
      </c>
    </row>
    <row r="633" spans="2:11" x14ac:dyDescent="0.25">
      <c r="B633" s="20"/>
      <c r="C633" s="20"/>
      <c r="D633" s="52" t="s">
        <v>21</v>
      </c>
      <c r="E633" s="166">
        <f>SUM(E617:E632)</f>
        <v>0</v>
      </c>
      <c r="F633" s="166">
        <f>SUM(F617:F632)</f>
        <v>0</v>
      </c>
      <c r="G633" s="166">
        <f>+G632</f>
        <v>0</v>
      </c>
      <c r="J633" s="170">
        <f>SUM(J617:J632)</f>
        <v>0</v>
      </c>
    </row>
    <row r="635" spans="2:11" x14ac:dyDescent="0.25">
      <c r="B635" s="172" t="str">
        <f>CONCATENATE("APORTACIONES Y CALCULO DE INTERESES CORRESPONDIENTES AL AÑO ",YEAR(Parametros!$H$11))</f>
        <v>APORTACIONES Y CALCULO DE INTERESES CORRESPONDIENTES AL AÑO 2015</v>
      </c>
      <c r="C635" s="53"/>
      <c r="D635" s="53"/>
      <c r="E635" s="54"/>
      <c r="F635" s="54"/>
      <c r="G635" s="54"/>
      <c r="H635" s="20"/>
      <c r="I635" s="55"/>
      <c r="J635" s="56"/>
      <c r="K635" s="20"/>
    </row>
    <row r="636" spans="2:11" x14ac:dyDescent="0.25">
      <c r="B636" s="69" t="s">
        <v>186</v>
      </c>
      <c r="C636" s="173" t="str">
        <f>+'Calculo Excedentes'!A36</f>
        <v>CA-37</v>
      </c>
      <c r="D636" s="171" t="s">
        <v>187</v>
      </c>
      <c r="E636" s="176" t="str">
        <f>+'Calculo Excedentes'!B36</f>
        <v>ACEISRI</v>
      </c>
      <c r="F636" s="174"/>
      <c r="G636" s="175"/>
      <c r="H636" s="20"/>
      <c r="I636" s="39" t="s">
        <v>73</v>
      </c>
      <c r="J636" s="39" t="s">
        <v>74</v>
      </c>
      <c r="K636" s="39" t="s">
        <v>75</v>
      </c>
    </row>
    <row r="637" spans="2:11" x14ac:dyDescent="0.25">
      <c r="B637" s="40" t="s">
        <v>76</v>
      </c>
      <c r="C637" s="40" t="s">
        <v>77</v>
      </c>
      <c r="D637" s="40" t="s">
        <v>78</v>
      </c>
      <c r="E637" s="40" t="s">
        <v>79</v>
      </c>
      <c r="F637" s="40" t="s">
        <v>80</v>
      </c>
      <c r="G637" s="40" t="s">
        <v>81</v>
      </c>
      <c r="H637" s="20"/>
      <c r="I637" s="42" t="s">
        <v>82</v>
      </c>
      <c r="J637" s="164" t="s">
        <v>185</v>
      </c>
      <c r="K637" s="42" t="s">
        <v>84</v>
      </c>
    </row>
    <row r="638" spans="2:11" x14ac:dyDescent="0.25">
      <c r="B638" s="158">
        <f>+Parametros!$H$11-365</f>
        <v>42004</v>
      </c>
      <c r="C638" s="161"/>
      <c r="D638" s="162"/>
      <c r="E638" s="159"/>
      <c r="F638" s="159"/>
      <c r="G638" s="165">
        <f>+F638-E638</f>
        <v>0</v>
      </c>
      <c r="H638" s="20"/>
      <c r="I638" s="167">
        <f>IF(B638&gt;0,(Parametros!$H$11-'Calculo Intereses COOPS'!B638),0)</f>
        <v>365</v>
      </c>
      <c r="J638" s="168">
        <f>(F638-E638)*Parametros!$H$37/365*'Calculo Intereses COOPS'!I638</f>
        <v>0</v>
      </c>
      <c r="K638" s="169">
        <f>+J638</f>
        <v>0</v>
      </c>
    </row>
    <row r="639" spans="2:11" x14ac:dyDescent="0.25">
      <c r="B639" s="160"/>
      <c r="C639" s="161"/>
      <c r="D639" s="162"/>
      <c r="E639" s="159"/>
      <c r="F639" s="159"/>
      <c r="G639" s="165">
        <f>+G638+F639-E639</f>
        <v>0</v>
      </c>
      <c r="H639" s="20"/>
      <c r="I639" s="167">
        <f>IF(B639&gt;0,(Parametros!$H$11-'Calculo Intereses COOPS'!B639),0)</f>
        <v>0</v>
      </c>
      <c r="J639" s="168">
        <f>(F639-E639)*Parametros!$H$37/365*'Calculo Intereses COOPS'!I639</f>
        <v>0</v>
      </c>
      <c r="K639" s="169">
        <f>+J639+K638</f>
        <v>0</v>
      </c>
    </row>
    <row r="640" spans="2:11" x14ac:dyDescent="0.25">
      <c r="B640" s="160"/>
      <c r="C640" s="161"/>
      <c r="D640" s="162"/>
      <c r="E640" s="159"/>
      <c r="F640" s="159"/>
      <c r="G640" s="165">
        <f>+G639+F640</f>
        <v>0</v>
      </c>
      <c r="H640" s="20"/>
      <c r="I640" s="167">
        <f>IF(B640&gt;0,(Parametros!$H$11-'Calculo Intereses COOPS'!B640),0)</f>
        <v>0</v>
      </c>
      <c r="J640" s="168">
        <f>(F640-E640)*Parametros!$H$37/365*'Calculo Intereses COOPS'!I640</f>
        <v>0</v>
      </c>
      <c r="K640" s="169">
        <f t="shared" ref="K640:K653" si="60">+J640+K639</f>
        <v>0</v>
      </c>
    </row>
    <row r="641" spans="2:11" x14ac:dyDescent="0.25">
      <c r="B641" s="160"/>
      <c r="C641" s="161"/>
      <c r="D641" s="162"/>
      <c r="E641" s="159"/>
      <c r="F641" s="159"/>
      <c r="G641" s="165">
        <f>+G640+F641</f>
        <v>0</v>
      </c>
      <c r="H641" s="20"/>
      <c r="I641" s="167">
        <f>IF(B641&gt;0,(Parametros!$H$11-'Calculo Intereses COOPS'!B641),0)</f>
        <v>0</v>
      </c>
      <c r="J641" s="168">
        <f>(F641-E641)*Parametros!$H$37/365*'Calculo Intereses COOPS'!I641</f>
        <v>0</v>
      </c>
      <c r="K641" s="169">
        <f t="shared" si="60"/>
        <v>0</v>
      </c>
    </row>
    <row r="642" spans="2:11" x14ac:dyDescent="0.25">
      <c r="B642" s="160"/>
      <c r="C642" s="161"/>
      <c r="D642" s="162"/>
      <c r="E642" s="159"/>
      <c r="F642" s="159"/>
      <c r="G642" s="165">
        <f>+G641+F642</f>
        <v>0</v>
      </c>
      <c r="H642" s="20"/>
      <c r="I642" s="167">
        <f>IF(B642&gt;0,(Parametros!$H$11-'Calculo Intereses COOPS'!B642),0)</f>
        <v>0</v>
      </c>
      <c r="J642" s="168">
        <f>(F642-E642)*Parametros!$H$37/365*'Calculo Intereses COOPS'!I642</f>
        <v>0</v>
      </c>
      <c r="K642" s="169">
        <f t="shared" si="60"/>
        <v>0</v>
      </c>
    </row>
    <row r="643" spans="2:11" x14ac:dyDescent="0.25">
      <c r="B643" s="160"/>
      <c r="C643" s="161"/>
      <c r="D643" s="162"/>
      <c r="E643" s="159"/>
      <c r="F643" s="159"/>
      <c r="G643" s="165">
        <f>+G642+F643</f>
        <v>0</v>
      </c>
      <c r="H643" s="20"/>
      <c r="I643" s="167">
        <f>IF(B643&gt;0,(Parametros!$H$11-'Calculo Intereses COOPS'!B643),0)</f>
        <v>0</v>
      </c>
      <c r="J643" s="168">
        <f>(F643-E643)*Parametros!$H$37/365*'Calculo Intereses COOPS'!I643</f>
        <v>0</v>
      </c>
      <c r="K643" s="169">
        <f t="shared" si="60"/>
        <v>0</v>
      </c>
    </row>
    <row r="644" spans="2:11" x14ac:dyDescent="0.25">
      <c r="B644" s="160"/>
      <c r="C644" s="161"/>
      <c r="D644" s="163"/>
      <c r="E644" s="159"/>
      <c r="F644" s="159"/>
      <c r="G644" s="165">
        <f t="shared" ref="G644:G652" si="61">+G643+F644</f>
        <v>0</v>
      </c>
      <c r="H644" s="20"/>
      <c r="I644" s="167">
        <f>IF(B644&gt;0,(Parametros!$H$11-'Calculo Intereses COOPS'!B644),0)</f>
        <v>0</v>
      </c>
      <c r="J644" s="168">
        <f>(F644-E644)*Parametros!$H$37/365*'Calculo Intereses COOPS'!I644</f>
        <v>0</v>
      </c>
      <c r="K644" s="169">
        <f t="shared" si="60"/>
        <v>0</v>
      </c>
    </row>
    <row r="645" spans="2:11" x14ac:dyDescent="0.25">
      <c r="B645" s="160"/>
      <c r="C645" s="161"/>
      <c r="D645" s="163"/>
      <c r="E645" s="159"/>
      <c r="F645" s="159"/>
      <c r="G645" s="165">
        <f t="shared" si="61"/>
        <v>0</v>
      </c>
      <c r="H645" s="20"/>
      <c r="I645" s="167">
        <f>IF(B645&gt;0,(Parametros!$H$11-'Calculo Intereses COOPS'!B645),0)</f>
        <v>0</v>
      </c>
      <c r="J645" s="168">
        <f>(F645-E645)*Parametros!$H$37/365*'Calculo Intereses COOPS'!I645</f>
        <v>0</v>
      </c>
      <c r="K645" s="169">
        <f t="shared" si="60"/>
        <v>0</v>
      </c>
    </row>
    <row r="646" spans="2:11" x14ac:dyDescent="0.25">
      <c r="B646" s="160"/>
      <c r="C646" s="161"/>
      <c r="D646" s="163"/>
      <c r="E646" s="159"/>
      <c r="F646" s="159"/>
      <c r="G646" s="165">
        <f t="shared" si="61"/>
        <v>0</v>
      </c>
      <c r="H646" s="20"/>
      <c r="I646" s="167">
        <f>IF(B646&gt;0,(Parametros!$H$11-'Calculo Intereses COOPS'!B646),0)</f>
        <v>0</v>
      </c>
      <c r="J646" s="168">
        <f>(F646-E646)*Parametros!$H$37/365*'Calculo Intereses COOPS'!I646</f>
        <v>0</v>
      </c>
      <c r="K646" s="169">
        <f t="shared" si="60"/>
        <v>0</v>
      </c>
    </row>
    <row r="647" spans="2:11" x14ac:dyDescent="0.25">
      <c r="B647" s="160"/>
      <c r="C647" s="161"/>
      <c r="D647" s="163"/>
      <c r="E647" s="159"/>
      <c r="F647" s="159"/>
      <c r="G647" s="165">
        <f t="shared" si="61"/>
        <v>0</v>
      </c>
      <c r="H647" s="20"/>
      <c r="I647" s="167">
        <f>IF(B647&gt;0,(Parametros!$H$11-'Calculo Intereses COOPS'!B647),0)</f>
        <v>0</v>
      </c>
      <c r="J647" s="168">
        <f>(F647-E647)*Parametros!$H$37/365*'Calculo Intereses COOPS'!I647</f>
        <v>0</v>
      </c>
      <c r="K647" s="169">
        <f t="shared" si="60"/>
        <v>0</v>
      </c>
    </row>
    <row r="648" spans="2:11" x14ac:dyDescent="0.25">
      <c r="B648" s="160"/>
      <c r="C648" s="161"/>
      <c r="D648" s="163"/>
      <c r="E648" s="159"/>
      <c r="F648" s="159"/>
      <c r="G648" s="165">
        <f t="shared" si="61"/>
        <v>0</v>
      </c>
      <c r="H648" s="20"/>
      <c r="I648" s="167">
        <f>IF(B648&gt;0,(Parametros!$H$11-'Calculo Intereses COOPS'!B648),0)</f>
        <v>0</v>
      </c>
      <c r="J648" s="168">
        <f>(F648-E648)*Parametros!$H$37/365*'Calculo Intereses COOPS'!I648</f>
        <v>0</v>
      </c>
      <c r="K648" s="169">
        <f t="shared" si="60"/>
        <v>0</v>
      </c>
    </row>
    <row r="649" spans="2:11" x14ac:dyDescent="0.25">
      <c r="B649" s="160"/>
      <c r="C649" s="161"/>
      <c r="D649" s="163"/>
      <c r="E649" s="159"/>
      <c r="F649" s="159"/>
      <c r="G649" s="165">
        <f t="shared" si="61"/>
        <v>0</v>
      </c>
      <c r="H649" s="20"/>
      <c r="I649" s="167">
        <f>IF(B649&gt;0,(Parametros!$H$11-'Calculo Intereses COOPS'!B649),0)</f>
        <v>0</v>
      </c>
      <c r="J649" s="168">
        <f>(F649-E649)*Parametros!$H$37/365*'Calculo Intereses COOPS'!I649</f>
        <v>0</v>
      </c>
      <c r="K649" s="169">
        <f t="shared" si="60"/>
        <v>0</v>
      </c>
    </row>
    <row r="650" spans="2:11" x14ac:dyDescent="0.25">
      <c r="B650" s="160"/>
      <c r="C650" s="161"/>
      <c r="D650" s="163"/>
      <c r="E650" s="159"/>
      <c r="F650" s="159"/>
      <c r="G650" s="165">
        <f t="shared" si="61"/>
        <v>0</v>
      </c>
      <c r="H650" s="20"/>
      <c r="I650" s="167">
        <f>IF(B650&gt;0,(Parametros!$H$11-'Calculo Intereses COOPS'!B650),0)</f>
        <v>0</v>
      </c>
      <c r="J650" s="168">
        <f>(F650-E650)*Parametros!$H$37/365*'Calculo Intereses COOPS'!I650</f>
        <v>0</v>
      </c>
      <c r="K650" s="169">
        <f t="shared" si="60"/>
        <v>0</v>
      </c>
    </row>
    <row r="651" spans="2:11" x14ac:dyDescent="0.25">
      <c r="B651" s="160"/>
      <c r="C651" s="161"/>
      <c r="D651" s="163"/>
      <c r="E651" s="159"/>
      <c r="F651" s="159"/>
      <c r="G651" s="165">
        <f t="shared" si="61"/>
        <v>0</v>
      </c>
      <c r="H651" s="20"/>
      <c r="I651" s="167">
        <f>IF(B651&gt;0,(Parametros!$H$11-'Calculo Intereses COOPS'!B651),0)</f>
        <v>0</v>
      </c>
      <c r="J651" s="168">
        <f>(F651-E651)*Parametros!$H$37/365*'Calculo Intereses COOPS'!I651</f>
        <v>0</v>
      </c>
      <c r="K651" s="169">
        <f t="shared" si="60"/>
        <v>0</v>
      </c>
    </row>
    <row r="652" spans="2:11" x14ac:dyDescent="0.25">
      <c r="B652" s="160"/>
      <c r="C652" s="161"/>
      <c r="D652" s="163"/>
      <c r="E652" s="159"/>
      <c r="F652" s="159"/>
      <c r="G652" s="165">
        <f t="shared" si="61"/>
        <v>0</v>
      </c>
      <c r="H652" s="20"/>
      <c r="I652" s="167">
        <f>IF(B652&gt;0,(Parametros!$H$11-'Calculo Intereses COOPS'!B652),0)</f>
        <v>0</v>
      </c>
      <c r="J652" s="168">
        <f>(F652-E652)*Parametros!$H$37/365*'Calculo Intereses COOPS'!I652</f>
        <v>0</v>
      </c>
      <c r="K652" s="169">
        <f t="shared" si="60"/>
        <v>0</v>
      </c>
    </row>
    <row r="653" spans="2:11" x14ac:dyDescent="0.25">
      <c r="B653" s="160"/>
      <c r="C653" s="161"/>
      <c r="D653" s="163"/>
      <c r="E653" s="159"/>
      <c r="F653" s="159"/>
      <c r="G653" s="165">
        <f>+G652+F653</f>
        <v>0</v>
      </c>
      <c r="H653" s="20"/>
      <c r="I653" s="167">
        <f>IF(B653&gt;0,(Parametros!$H$11-'Calculo Intereses COOPS'!B653),0)</f>
        <v>0</v>
      </c>
      <c r="J653" s="168">
        <f>(F653-E653)*Parametros!$H$37/365*'Calculo Intereses COOPS'!I653</f>
        <v>0</v>
      </c>
      <c r="K653" s="169">
        <f t="shared" si="60"/>
        <v>0</v>
      </c>
    </row>
    <row r="654" spans="2:11" x14ac:dyDescent="0.25">
      <c r="B654" s="20"/>
      <c r="C654" s="20"/>
      <c r="D654" s="52" t="s">
        <v>21</v>
      </c>
      <c r="E654" s="166">
        <f>SUM(E638:E653)</f>
        <v>0</v>
      </c>
      <c r="F654" s="166">
        <f>SUM(F638:F653)</f>
        <v>0</v>
      </c>
      <c r="G654" s="166">
        <f>+G653</f>
        <v>0</v>
      </c>
      <c r="J654" s="170">
        <f>SUM(J638:J653)</f>
        <v>0</v>
      </c>
    </row>
    <row r="656" spans="2:11" x14ac:dyDescent="0.25">
      <c r="B656" s="172" t="str">
        <f>CONCATENATE("APORTACIONES Y CALCULO DE INTERESES CORRESPONDIENTES AL AÑO ",YEAR(Parametros!$H$11))</f>
        <v>APORTACIONES Y CALCULO DE INTERESES CORRESPONDIENTES AL AÑO 2015</v>
      </c>
      <c r="C656" s="53"/>
      <c r="D656" s="53"/>
      <c r="E656" s="54"/>
      <c r="F656" s="54"/>
      <c r="G656" s="54"/>
      <c r="H656" s="20"/>
      <c r="I656" s="55"/>
      <c r="J656" s="56"/>
      <c r="K656" s="20"/>
    </row>
    <row r="657" spans="2:11" x14ac:dyDescent="0.25">
      <c r="B657" s="69" t="s">
        <v>186</v>
      </c>
      <c r="C657" s="173" t="str">
        <f>+'Calculo Excedentes'!A37</f>
        <v>CA-38</v>
      </c>
      <c r="D657" s="171" t="s">
        <v>187</v>
      </c>
      <c r="E657" s="176" t="str">
        <f>+'Calculo Excedentes'!B37</f>
        <v>ACACPIU</v>
      </c>
      <c r="F657" s="174"/>
      <c r="G657" s="175"/>
      <c r="H657" s="20"/>
      <c r="I657" s="39" t="s">
        <v>73</v>
      </c>
      <c r="J657" s="39" t="s">
        <v>74</v>
      </c>
      <c r="K657" s="39" t="s">
        <v>75</v>
      </c>
    </row>
    <row r="658" spans="2:11" x14ac:dyDescent="0.25">
      <c r="B658" s="40" t="s">
        <v>76</v>
      </c>
      <c r="C658" s="40" t="s">
        <v>77</v>
      </c>
      <c r="D658" s="40" t="s">
        <v>78</v>
      </c>
      <c r="E658" s="40" t="s">
        <v>79</v>
      </c>
      <c r="F658" s="40" t="s">
        <v>80</v>
      </c>
      <c r="G658" s="40" t="s">
        <v>81</v>
      </c>
      <c r="H658" s="20"/>
      <c r="I658" s="42" t="s">
        <v>82</v>
      </c>
      <c r="J658" s="164" t="s">
        <v>185</v>
      </c>
      <c r="K658" s="42" t="s">
        <v>84</v>
      </c>
    </row>
    <row r="659" spans="2:11" x14ac:dyDescent="0.25">
      <c r="B659" s="158">
        <f>+Parametros!$H$11-365</f>
        <v>42004</v>
      </c>
      <c r="C659" s="161"/>
      <c r="D659" s="162"/>
      <c r="E659" s="159"/>
      <c r="F659" s="159"/>
      <c r="G659" s="165">
        <f>+F659-E659</f>
        <v>0</v>
      </c>
      <c r="H659" s="20"/>
      <c r="I659" s="167">
        <f>IF(B659&gt;0,(Parametros!$H$11-'Calculo Intereses COOPS'!B659),0)</f>
        <v>365</v>
      </c>
      <c r="J659" s="168">
        <f>(F659-E659)*Parametros!$H$37/365*'Calculo Intereses COOPS'!I659</f>
        <v>0</v>
      </c>
      <c r="K659" s="169">
        <f>+J659</f>
        <v>0</v>
      </c>
    </row>
    <row r="660" spans="2:11" x14ac:dyDescent="0.25">
      <c r="B660" s="160"/>
      <c r="C660" s="161"/>
      <c r="D660" s="162"/>
      <c r="E660" s="159"/>
      <c r="F660" s="159"/>
      <c r="G660" s="165">
        <f>+G659+F660-E660</f>
        <v>0</v>
      </c>
      <c r="H660" s="20"/>
      <c r="I660" s="167">
        <f>IF(B660&gt;0,(Parametros!$H$11-'Calculo Intereses COOPS'!B660),0)</f>
        <v>0</v>
      </c>
      <c r="J660" s="168">
        <f>(F660-E660)*Parametros!$H$37/365*'Calculo Intereses COOPS'!I660</f>
        <v>0</v>
      </c>
      <c r="K660" s="169">
        <f>+J660+K659</f>
        <v>0</v>
      </c>
    </row>
    <row r="661" spans="2:11" x14ac:dyDescent="0.25">
      <c r="B661" s="160"/>
      <c r="C661" s="161"/>
      <c r="D661" s="162"/>
      <c r="E661" s="159"/>
      <c r="F661" s="159"/>
      <c r="G661" s="165">
        <f>+G660+F661</f>
        <v>0</v>
      </c>
      <c r="H661" s="20"/>
      <c r="I661" s="167">
        <f>IF(B661&gt;0,(Parametros!$H$11-'Calculo Intereses COOPS'!B661),0)</f>
        <v>0</v>
      </c>
      <c r="J661" s="168">
        <f>(F661-E661)*Parametros!$H$37/365*'Calculo Intereses COOPS'!I661</f>
        <v>0</v>
      </c>
      <c r="K661" s="169">
        <f t="shared" ref="K661:K674" si="62">+J661+K660</f>
        <v>0</v>
      </c>
    </row>
    <row r="662" spans="2:11" x14ac:dyDescent="0.25">
      <c r="B662" s="160"/>
      <c r="C662" s="161"/>
      <c r="D662" s="162"/>
      <c r="E662" s="159"/>
      <c r="F662" s="159"/>
      <c r="G662" s="165">
        <f>+G661+F662</f>
        <v>0</v>
      </c>
      <c r="H662" s="20"/>
      <c r="I662" s="167">
        <f>IF(B662&gt;0,(Parametros!$H$11-'Calculo Intereses COOPS'!B662),0)</f>
        <v>0</v>
      </c>
      <c r="J662" s="168">
        <f>(F662-E662)*Parametros!$H$37/365*'Calculo Intereses COOPS'!I662</f>
        <v>0</v>
      </c>
      <c r="K662" s="169">
        <f t="shared" si="62"/>
        <v>0</v>
      </c>
    </row>
    <row r="663" spans="2:11" x14ac:dyDescent="0.25">
      <c r="B663" s="160"/>
      <c r="C663" s="161"/>
      <c r="D663" s="162"/>
      <c r="E663" s="159"/>
      <c r="F663" s="159"/>
      <c r="G663" s="165">
        <f>+G662+F663</f>
        <v>0</v>
      </c>
      <c r="H663" s="20"/>
      <c r="I663" s="167">
        <f>IF(B663&gt;0,(Parametros!$H$11-'Calculo Intereses COOPS'!B663),0)</f>
        <v>0</v>
      </c>
      <c r="J663" s="168">
        <f>(F663-E663)*Parametros!$H$37/365*'Calculo Intereses COOPS'!I663</f>
        <v>0</v>
      </c>
      <c r="K663" s="169">
        <f t="shared" si="62"/>
        <v>0</v>
      </c>
    </row>
    <row r="664" spans="2:11" x14ac:dyDescent="0.25">
      <c r="B664" s="160"/>
      <c r="C664" s="161"/>
      <c r="D664" s="162"/>
      <c r="E664" s="159"/>
      <c r="F664" s="159"/>
      <c r="G664" s="165">
        <f>+G663+F664</f>
        <v>0</v>
      </c>
      <c r="H664" s="20"/>
      <c r="I664" s="167">
        <f>IF(B664&gt;0,(Parametros!$H$11-'Calculo Intereses COOPS'!B664),0)</f>
        <v>0</v>
      </c>
      <c r="J664" s="168">
        <f>(F664-E664)*Parametros!$H$37/365*'Calculo Intereses COOPS'!I664</f>
        <v>0</v>
      </c>
      <c r="K664" s="169">
        <f t="shared" si="62"/>
        <v>0</v>
      </c>
    </row>
    <row r="665" spans="2:11" x14ac:dyDescent="0.25">
      <c r="B665" s="160"/>
      <c r="C665" s="161"/>
      <c r="D665" s="163"/>
      <c r="E665" s="159"/>
      <c r="F665" s="159"/>
      <c r="G665" s="165">
        <f t="shared" ref="G665:G673" si="63">+G664+F665</f>
        <v>0</v>
      </c>
      <c r="H665" s="20"/>
      <c r="I665" s="167">
        <f>IF(B665&gt;0,(Parametros!$H$11-'Calculo Intereses COOPS'!B665),0)</f>
        <v>0</v>
      </c>
      <c r="J665" s="168">
        <f>(F665-E665)*Parametros!$H$37/365*'Calculo Intereses COOPS'!I665</f>
        <v>0</v>
      </c>
      <c r="K665" s="169">
        <f t="shared" si="62"/>
        <v>0</v>
      </c>
    </row>
    <row r="666" spans="2:11" x14ac:dyDescent="0.25">
      <c r="B666" s="160"/>
      <c r="C666" s="161"/>
      <c r="D666" s="163"/>
      <c r="E666" s="159"/>
      <c r="F666" s="159"/>
      <c r="G666" s="165">
        <f t="shared" si="63"/>
        <v>0</v>
      </c>
      <c r="H666" s="20"/>
      <c r="I666" s="167">
        <f>IF(B666&gt;0,(Parametros!$H$11-'Calculo Intereses COOPS'!B666),0)</f>
        <v>0</v>
      </c>
      <c r="J666" s="168">
        <f>(F666-E666)*Parametros!$H$37/365*'Calculo Intereses COOPS'!I666</f>
        <v>0</v>
      </c>
      <c r="K666" s="169">
        <f t="shared" si="62"/>
        <v>0</v>
      </c>
    </row>
    <row r="667" spans="2:11" x14ac:dyDescent="0.25">
      <c r="B667" s="160"/>
      <c r="C667" s="161"/>
      <c r="D667" s="163"/>
      <c r="E667" s="159"/>
      <c r="F667" s="159"/>
      <c r="G667" s="165">
        <f t="shared" si="63"/>
        <v>0</v>
      </c>
      <c r="H667" s="20"/>
      <c r="I667" s="167">
        <f>IF(B667&gt;0,(Parametros!$H$11-'Calculo Intereses COOPS'!B667),0)</f>
        <v>0</v>
      </c>
      <c r="J667" s="168">
        <f>(F667-E667)*Parametros!$H$37/365*'Calculo Intereses COOPS'!I667</f>
        <v>0</v>
      </c>
      <c r="K667" s="169">
        <f t="shared" si="62"/>
        <v>0</v>
      </c>
    </row>
    <row r="668" spans="2:11" x14ac:dyDescent="0.25">
      <c r="B668" s="160"/>
      <c r="C668" s="161"/>
      <c r="D668" s="163"/>
      <c r="E668" s="159"/>
      <c r="F668" s="159"/>
      <c r="G668" s="165">
        <f t="shared" si="63"/>
        <v>0</v>
      </c>
      <c r="H668" s="20"/>
      <c r="I668" s="167">
        <f>IF(B668&gt;0,(Parametros!$H$11-'Calculo Intereses COOPS'!B668),0)</f>
        <v>0</v>
      </c>
      <c r="J668" s="168">
        <f>(F668-E668)*Parametros!$H$37/365*'Calculo Intereses COOPS'!I668</f>
        <v>0</v>
      </c>
      <c r="K668" s="169">
        <f t="shared" si="62"/>
        <v>0</v>
      </c>
    </row>
    <row r="669" spans="2:11" x14ac:dyDescent="0.25">
      <c r="B669" s="160"/>
      <c r="C669" s="161"/>
      <c r="D669" s="163"/>
      <c r="E669" s="159"/>
      <c r="F669" s="159"/>
      <c r="G669" s="165">
        <f t="shared" si="63"/>
        <v>0</v>
      </c>
      <c r="H669" s="20"/>
      <c r="I669" s="167">
        <f>IF(B669&gt;0,(Parametros!$H$11-'Calculo Intereses COOPS'!B669),0)</f>
        <v>0</v>
      </c>
      <c r="J669" s="168">
        <f>(F669-E669)*Parametros!$H$37/365*'Calculo Intereses COOPS'!I669</f>
        <v>0</v>
      </c>
      <c r="K669" s="169">
        <f t="shared" si="62"/>
        <v>0</v>
      </c>
    </row>
    <row r="670" spans="2:11" x14ac:dyDescent="0.25">
      <c r="B670" s="160"/>
      <c r="C670" s="161"/>
      <c r="D670" s="163"/>
      <c r="E670" s="159"/>
      <c r="F670" s="159"/>
      <c r="G670" s="165">
        <f t="shared" si="63"/>
        <v>0</v>
      </c>
      <c r="H670" s="20"/>
      <c r="I670" s="167">
        <f>IF(B670&gt;0,(Parametros!$H$11-'Calculo Intereses COOPS'!B670),0)</f>
        <v>0</v>
      </c>
      <c r="J670" s="168">
        <f>(F670-E670)*Parametros!$H$37/365*'Calculo Intereses COOPS'!I670</f>
        <v>0</v>
      </c>
      <c r="K670" s="169">
        <f t="shared" si="62"/>
        <v>0</v>
      </c>
    </row>
    <row r="671" spans="2:11" x14ac:dyDescent="0.25">
      <c r="B671" s="160"/>
      <c r="C671" s="161"/>
      <c r="D671" s="163"/>
      <c r="E671" s="159"/>
      <c r="F671" s="159"/>
      <c r="G671" s="165">
        <f t="shared" si="63"/>
        <v>0</v>
      </c>
      <c r="H671" s="20"/>
      <c r="I671" s="167">
        <f>IF(B671&gt;0,(Parametros!$H$11-'Calculo Intereses COOPS'!B671),0)</f>
        <v>0</v>
      </c>
      <c r="J671" s="168">
        <f>(F671-E671)*Parametros!$H$37/365*'Calculo Intereses COOPS'!I671</f>
        <v>0</v>
      </c>
      <c r="K671" s="169">
        <f t="shared" si="62"/>
        <v>0</v>
      </c>
    </row>
    <row r="672" spans="2:11" x14ac:dyDescent="0.25">
      <c r="B672" s="160"/>
      <c r="C672" s="161"/>
      <c r="D672" s="163"/>
      <c r="E672" s="159"/>
      <c r="F672" s="159"/>
      <c r="G672" s="165">
        <f t="shared" si="63"/>
        <v>0</v>
      </c>
      <c r="H672" s="20"/>
      <c r="I672" s="167">
        <f>IF(B672&gt;0,(Parametros!$H$11-'Calculo Intereses COOPS'!B672),0)</f>
        <v>0</v>
      </c>
      <c r="J672" s="168">
        <f>(F672-E672)*Parametros!$H$37/365*'Calculo Intereses COOPS'!I672</f>
        <v>0</v>
      </c>
      <c r="K672" s="169">
        <f t="shared" si="62"/>
        <v>0</v>
      </c>
    </row>
    <row r="673" spans="2:11" x14ac:dyDescent="0.25">
      <c r="B673" s="160"/>
      <c r="C673" s="161"/>
      <c r="D673" s="163"/>
      <c r="E673" s="159"/>
      <c r="F673" s="159"/>
      <c r="G673" s="165">
        <f t="shared" si="63"/>
        <v>0</v>
      </c>
      <c r="H673" s="20"/>
      <c r="I673" s="167">
        <f>IF(B673&gt;0,(Parametros!$H$11-'Calculo Intereses COOPS'!B673),0)</f>
        <v>0</v>
      </c>
      <c r="J673" s="168">
        <f>(F673-E673)*Parametros!$H$37/365*'Calculo Intereses COOPS'!I673</f>
        <v>0</v>
      </c>
      <c r="K673" s="169">
        <f t="shared" si="62"/>
        <v>0</v>
      </c>
    </row>
    <row r="674" spans="2:11" x14ac:dyDescent="0.25">
      <c r="B674" s="160"/>
      <c r="C674" s="161"/>
      <c r="D674" s="163"/>
      <c r="E674" s="159"/>
      <c r="F674" s="159"/>
      <c r="G674" s="165">
        <f>+G673+F674</f>
        <v>0</v>
      </c>
      <c r="H674" s="20"/>
      <c r="I674" s="167">
        <f>IF(B674&gt;0,(Parametros!$H$11-'Calculo Intereses COOPS'!B674),0)</f>
        <v>0</v>
      </c>
      <c r="J674" s="168">
        <f>(F674-E674)*Parametros!$H$37/365*'Calculo Intereses COOPS'!I674</f>
        <v>0</v>
      </c>
      <c r="K674" s="169">
        <f t="shared" si="62"/>
        <v>0</v>
      </c>
    </row>
    <row r="675" spans="2:11" x14ac:dyDescent="0.25">
      <c r="B675" s="20"/>
      <c r="C675" s="20"/>
      <c r="D675" s="52" t="s">
        <v>21</v>
      </c>
      <c r="E675" s="166">
        <f>SUM(E659:E674)</f>
        <v>0</v>
      </c>
      <c r="F675" s="166">
        <f>SUM(F659:F674)</f>
        <v>0</v>
      </c>
      <c r="G675" s="166">
        <f>+G674</f>
        <v>0</v>
      </c>
      <c r="J675" s="170">
        <f>SUM(J659:J674)</f>
        <v>0</v>
      </c>
    </row>
    <row r="677" spans="2:11" x14ac:dyDescent="0.25">
      <c r="B677" s="172" t="str">
        <f>CONCATENATE("APORTACIONES Y CALCULO DE INTERESES CORRESPONDIENTES AL AÑO ",YEAR(Parametros!$H$11))</f>
        <v>APORTACIONES Y CALCULO DE INTERESES CORRESPONDIENTES AL AÑO 2015</v>
      </c>
      <c r="C677" s="53"/>
      <c r="D677" s="53"/>
      <c r="E677" s="54"/>
      <c r="F677" s="54"/>
      <c r="G677" s="54"/>
      <c r="H677" s="20"/>
      <c r="I677" s="55"/>
      <c r="J677" s="56"/>
      <c r="K677" s="20"/>
    </row>
    <row r="678" spans="2:11" x14ac:dyDescent="0.25">
      <c r="B678" s="69" t="s">
        <v>186</v>
      </c>
      <c r="C678" s="173" t="str">
        <f>+'Calculo Excedentes'!A38</f>
        <v>CA-39</v>
      </c>
      <c r="D678" s="171" t="s">
        <v>187</v>
      </c>
      <c r="E678" s="176" t="str">
        <f>+'Calculo Excedentes'!B38</f>
        <v>ACACCIBA</v>
      </c>
      <c r="F678" s="174"/>
      <c r="G678" s="175"/>
      <c r="H678" s="20"/>
      <c r="I678" s="39" t="s">
        <v>73</v>
      </c>
      <c r="J678" s="39" t="s">
        <v>74</v>
      </c>
      <c r="K678" s="39" t="s">
        <v>75</v>
      </c>
    </row>
    <row r="679" spans="2:11" x14ac:dyDescent="0.25">
      <c r="B679" s="40" t="s">
        <v>76</v>
      </c>
      <c r="C679" s="40" t="s">
        <v>77</v>
      </c>
      <c r="D679" s="40" t="s">
        <v>78</v>
      </c>
      <c r="E679" s="40" t="s">
        <v>79</v>
      </c>
      <c r="F679" s="40" t="s">
        <v>80</v>
      </c>
      <c r="G679" s="40" t="s">
        <v>81</v>
      </c>
      <c r="H679" s="20"/>
      <c r="I679" s="42" t="s">
        <v>82</v>
      </c>
      <c r="J679" s="164" t="s">
        <v>185</v>
      </c>
      <c r="K679" s="42" t="s">
        <v>84</v>
      </c>
    </row>
    <row r="680" spans="2:11" x14ac:dyDescent="0.25">
      <c r="B680" s="158">
        <f>+Parametros!$H$11-365</f>
        <v>42004</v>
      </c>
      <c r="C680" s="161"/>
      <c r="D680" s="162"/>
      <c r="E680" s="159"/>
      <c r="F680" s="159"/>
      <c r="G680" s="165">
        <f>+F680-E680</f>
        <v>0</v>
      </c>
      <c r="H680" s="20"/>
      <c r="I680" s="167">
        <f>IF(B680&gt;0,(Parametros!$H$11-'Calculo Intereses COOPS'!B680),0)</f>
        <v>365</v>
      </c>
      <c r="J680" s="168">
        <f>(F680-E680)*Parametros!$H$37/365*'Calculo Intereses COOPS'!I680</f>
        <v>0</v>
      </c>
      <c r="K680" s="169">
        <f>+J680</f>
        <v>0</v>
      </c>
    </row>
    <row r="681" spans="2:11" x14ac:dyDescent="0.25">
      <c r="B681" s="160"/>
      <c r="C681" s="161"/>
      <c r="D681" s="162"/>
      <c r="E681" s="159"/>
      <c r="F681" s="159"/>
      <c r="G681" s="165">
        <f>+G680+F681-E681</f>
        <v>0</v>
      </c>
      <c r="H681" s="20"/>
      <c r="I681" s="167">
        <f>IF(B681&gt;0,(Parametros!$H$11-'Calculo Intereses COOPS'!B681),0)</f>
        <v>0</v>
      </c>
      <c r="J681" s="168">
        <f>(F681-E681)*Parametros!$H$37/365*'Calculo Intereses COOPS'!I681</f>
        <v>0</v>
      </c>
      <c r="K681" s="169">
        <f>+J681+K680</f>
        <v>0</v>
      </c>
    </row>
    <row r="682" spans="2:11" x14ac:dyDescent="0.25">
      <c r="B682" s="160"/>
      <c r="C682" s="161"/>
      <c r="D682" s="162"/>
      <c r="E682" s="159"/>
      <c r="F682" s="159"/>
      <c r="G682" s="165">
        <f>+G681+F682</f>
        <v>0</v>
      </c>
      <c r="H682" s="20"/>
      <c r="I682" s="167">
        <f>IF(B682&gt;0,(Parametros!$H$11-'Calculo Intereses COOPS'!B682),0)</f>
        <v>0</v>
      </c>
      <c r="J682" s="168">
        <f>(F682-E682)*Parametros!$H$37/365*'Calculo Intereses COOPS'!I682</f>
        <v>0</v>
      </c>
      <c r="K682" s="169">
        <f t="shared" ref="K682:K695" si="64">+J682+K681</f>
        <v>0</v>
      </c>
    </row>
    <row r="683" spans="2:11" x14ac:dyDescent="0.25">
      <c r="B683" s="160"/>
      <c r="C683" s="161"/>
      <c r="D683" s="162"/>
      <c r="E683" s="159"/>
      <c r="F683" s="159"/>
      <c r="G683" s="165">
        <f>+G682+F683</f>
        <v>0</v>
      </c>
      <c r="H683" s="20"/>
      <c r="I683" s="167">
        <f>IF(B683&gt;0,(Parametros!$H$11-'Calculo Intereses COOPS'!B683),0)</f>
        <v>0</v>
      </c>
      <c r="J683" s="168">
        <f>(F683-E683)*Parametros!$H$37/365*'Calculo Intereses COOPS'!I683</f>
        <v>0</v>
      </c>
      <c r="K683" s="169">
        <f t="shared" si="64"/>
        <v>0</v>
      </c>
    </row>
    <row r="684" spans="2:11" x14ac:dyDescent="0.25">
      <c r="B684" s="160"/>
      <c r="C684" s="161"/>
      <c r="D684" s="162"/>
      <c r="E684" s="159"/>
      <c r="F684" s="159"/>
      <c r="G684" s="165">
        <f>+G683+F684</f>
        <v>0</v>
      </c>
      <c r="H684" s="20"/>
      <c r="I684" s="167">
        <f>IF(B684&gt;0,(Parametros!$H$11-'Calculo Intereses COOPS'!B684),0)</f>
        <v>0</v>
      </c>
      <c r="J684" s="168">
        <f>(F684-E684)*Parametros!$H$37/365*'Calculo Intereses COOPS'!I684</f>
        <v>0</v>
      </c>
      <c r="K684" s="169">
        <f t="shared" si="64"/>
        <v>0</v>
      </c>
    </row>
    <row r="685" spans="2:11" x14ac:dyDescent="0.25">
      <c r="B685" s="160"/>
      <c r="C685" s="161"/>
      <c r="D685" s="162"/>
      <c r="E685" s="159"/>
      <c r="F685" s="159"/>
      <c r="G685" s="165">
        <f>+G684+F685</f>
        <v>0</v>
      </c>
      <c r="H685" s="20"/>
      <c r="I685" s="167">
        <f>IF(B685&gt;0,(Parametros!$H$11-'Calculo Intereses COOPS'!B685),0)</f>
        <v>0</v>
      </c>
      <c r="J685" s="168">
        <f>(F685-E685)*Parametros!$H$37/365*'Calculo Intereses COOPS'!I685</f>
        <v>0</v>
      </c>
      <c r="K685" s="169">
        <f t="shared" si="64"/>
        <v>0</v>
      </c>
    </row>
    <row r="686" spans="2:11" x14ac:dyDescent="0.25">
      <c r="B686" s="160"/>
      <c r="C686" s="161"/>
      <c r="D686" s="163"/>
      <c r="E686" s="159"/>
      <c r="F686" s="159"/>
      <c r="G686" s="165">
        <f t="shared" ref="G686:G694" si="65">+G685+F686</f>
        <v>0</v>
      </c>
      <c r="H686" s="20"/>
      <c r="I686" s="167">
        <f>IF(B686&gt;0,(Parametros!$H$11-'Calculo Intereses COOPS'!B686),0)</f>
        <v>0</v>
      </c>
      <c r="J686" s="168">
        <f>(F686-E686)*Parametros!$H$37/365*'Calculo Intereses COOPS'!I686</f>
        <v>0</v>
      </c>
      <c r="K686" s="169">
        <f t="shared" si="64"/>
        <v>0</v>
      </c>
    </row>
    <row r="687" spans="2:11" x14ac:dyDescent="0.25">
      <c r="B687" s="160"/>
      <c r="C687" s="161"/>
      <c r="D687" s="163"/>
      <c r="E687" s="159"/>
      <c r="F687" s="159"/>
      <c r="G687" s="165">
        <f t="shared" si="65"/>
        <v>0</v>
      </c>
      <c r="H687" s="20"/>
      <c r="I687" s="167">
        <f>IF(B687&gt;0,(Parametros!$H$11-'Calculo Intereses COOPS'!B687),0)</f>
        <v>0</v>
      </c>
      <c r="J687" s="168">
        <f>(F687-E687)*Parametros!$H$37/365*'Calculo Intereses COOPS'!I687</f>
        <v>0</v>
      </c>
      <c r="K687" s="169">
        <f t="shared" si="64"/>
        <v>0</v>
      </c>
    </row>
    <row r="688" spans="2:11" x14ac:dyDescent="0.25">
      <c r="B688" s="160"/>
      <c r="C688" s="161"/>
      <c r="D688" s="163"/>
      <c r="E688" s="159"/>
      <c r="F688" s="159"/>
      <c r="G688" s="165">
        <f t="shared" si="65"/>
        <v>0</v>
      </c>
      <c r="H688" s="20"/>
      <c r="I688" s="167">
        <f>IF(B688&gt;0,(Parametros!$H$11-'Calculo Intereses COOPS'!B688),0)</f>
        <v>0</v>
      </c>
      <c r="J688" s="168">
        <f>(F688-E688)*Parametros!$H$37/365*'Calculo Intereses COOPS'!I688</f>
        <v>0</v>
      </c>
      <c r="K688" s="169">
        <f t="shared" si="64"/>
        <v>0</v>
      </c>
    </row>
    <row r="689" spans="2:11" x14ac:dyDescent="0.25">
      <c r="B689" s="160"/>
      <c r="C689" s="161"/>
      <c r="D689" s="163"/>
      <c r="E689" s="159"/>
      <c r="F689" s="159"/>
      <c r="G689" s="165">
        <f t="shared" si="65"/>
        <v>0</v>
      </c>
      <c r="H689" s="20"/>
      <c r="I689" s="167">
        <f>IF(B689&gt;0,(Parametros!$H$11-'Calculo Intereses COOPS'!B689),0)</f>
        <v>0</v>
      </c>
      <c r="J689" s="168">
        <f>(F689-E689)*Parametros!$H$37/365*'Calculo Intereses COOPS'!I689</f>
        <v>0</v>
      </c>
      <c r="K689" s="169">
        <f t="shared" si="64"/>
        <v>0</v>
      </c>
    </row>
    <row r="690" spans="2:11" x14ac:dyDescent="0.25">
      <c r="B690" s="160"/>
      <c r="C690" s="161"/>
      <c r="D690" s="163"/>
      <c r="E690" s="159"/>
      <c r="F690" s="159"/>
      <c r="G690" s="165">
        <f t="shared" si="65"/>
        <v>0</v>
      </c>
      <c r="H690" s="20"/>
      <c r="I690" s="167">
        <f>IF(B690&gt;0,(Parametros!$H$11-'Calculo Intereses COOPS'!B690),0)</f>
        <v>0</v>
      </c>
      <c r="J690" s="168">
        <f>(F690-E690)*Parametros!$H$37/365*'Calculo Intereses COOPS'!I690</f>
        <v>0</v>
      </c>
      <c r="K690" s="169">
        <f t="shared" si="64"/>
        <v>0</v>
      </c>
    </row>
    <row r="691" spans="2:11" x14ac:dyDescent="0.25">
      <c r="B691" s="160"/>
      <c r="C691" s="161"/>
      <c r="D691" s="163"/>
      <c r="E691" s="159"/>
      <c r="F691" s="159"/>
      <c r="G691" s="165">
        <f t="shared" si="65"/>
        <v>0</v>
      </c>
      <c r="H691" s="20"/>
      <c r="I691" s="167">
        <f>IF(B691&gt;0,(Parametros!$H$11-'Calculo Intereses COOPS'!B691),0)</f>
        <v>0</v>
      </c>
      <c r="J691" s="168">
        <f>(F691-E691)*Parametros!$H$37/365*'Calculo Intereses COOPS'!I691</f>
        <v>0</v>
      </c>
      <c r="K691" s="169">
        <f t="shared" si="64"/>
        <v>0</v>
      </c>
    </row>
    <row r="692" spans="2:11" x14ac:dyDescent="0.25">
      <c r="B692" s="160"/>
      <c r="C692" s="161"/>
      <c r="D692" s="163"/>
      <c r="E692" s="159"/>
      <c r="F692" s="159"/>
      <c r="G692" s="165">
        <f t="shared" si="65"/>
        <v>0</v>
      </c>
      <c r="H692" s="20"/>
      <c r="I692" s="167">
        <f>IF(B692&gt;0,(Parametros!$H$11-'Calculo Intereses COOPS'!B692),0)</f>
        <v>0</v>
      </c>
      <c r="J692" s="168">
        <f>(F692-E692)*Parametros!$H$37/365*'Calculo Intereses COOPS'!I692</f>
        <v>0</v>
      </c>
      <c r="K692" s="169">
        <f t="shared" si="64"/>
        <v>0</v>
      </c>
    </row>
    <row r="693" spans="2:11" x14ac:dyDescent="0.25">
      <c r="B693" s="160"/>
      <c r="C693" s="161"/>
      <c r="D693" s="163"/>
      <c r="E693" s="159"/>
      <c r="F693" s="159"/>
      <c r="G693" s="165">
        <f t="shared" si="65"/>
        <v>0</v>
      </c>
      <c r="H693" s="20"/>
      <c r="I693" s="167">
        <f>IF(B693&gt;0,(Parametros!$H$11-'Calculo Intereses COOPS'!B693),0)</f>
        <v>0</v>
      </c>
      <c r="J693" s="168">
        <f>(F693-E693)*Parametros!$H$37/365*'Calculo Intereses COOPS'!I693</f>
        <v>0</v>
      </c>
      <c r="K693" s="169">
        <f t="shared" si="64"/>
        <v>0</v>
      </c>
    </row>
    <row r="694" spans="2:11" x14ac:dyDescent="0.25">
      <c r="B694" s="160"/>
      <c r="C694" s="161"/>
      <c r="D694" s="163"/>
      <c r="E694" s="159"/>
      <c r="F694" s="159"/>
      <c r="G694" s="165">
        <f t="shared" si="65"/>
        <v>0</v>
      </c>
      <c r="H694" s="20"/>
      <c r="I694" s="167">
        <f>IF(B694&gt;0,(Parametros!$H$11-'Calculo Intereses COOPS'!B694),0)</f>
        <v>0</v>
      </c>
      <c r="J694" s="168">
        <f>(F694-E694)*Parametros!$H$37/365*'Calculo Intereses COOPS'!I694</f>
        <v>0</v>
      </c>
      <c r="K694" s="169">
        <f t="shared" si="64"/>
        <v>0</v>
      </c>
    </row>
    <row r="695" spans="2:11" x14ac:dyDescent="0.25">
      <c r="B695" s="160"/>
      <c r="C695" s="161"/>
      <c r="D695" s="163"/>
      <c r="E695" s="159"/>
      <c r="F695" s="159"/>
      <c r="G695" s="165">
        <f>+G694+F695</f>
        <v>0</v>
      </c>
      <c r="H695" s="20"/>
      <c r="I695" s="167">
        <f>IF(B695&gt;0,(Parametros!$H$11-'Calculo Intereses COOPS'!B695),0)</f>
        <v>0</v>
      </c>
      <c r="J695" s="168">
        <f>(F695-E695)*Parametros!$H$37/365*'Calculo Intereses COOPS'!I695</f>
        <v>0</v>
      </c>
      <c r="K695" s="169">
        <f t="shared" si="64"/>
        <v>0</v>
      </c>
    </row>
    <row r="696" spans="2:11" x14ac:dyDescent="0.25">
      <c r="B696" s="20"/>
      <c r="C696" s="20"/>
      <c r="D696" s="52" t="s">
        <v>21</v>
      </c>
      <c r="E696" s="166">
        <f>SUM(E680:E695)</f>
        <v>0</v>
      </c>
      <c r="F696" s="166">
        <f>SUM(F680:F695)</f>
        <v>0</v>
      </c>
      <c r="G696" s="166">
        <f>+G695</f>
        <v>0</v>
      </c>
      <c r="J696" s="170">
        <f>SUM(J680:J695)</f>
        <v>0</v>
      </c>
    </row>
    <row r="698" spans="2:11" x14ac:dyDescent="0.25">
      <c r="B698" s="172" t="str">
        <f>CONCATENATE("APORTACIONES Y CALCULO DE INTERESES CORRESPONDIENTES AL AÑO ",YEAR(Parametros!$H$11))</f>
        <v>APORTACIONES Y CALCULO DE INTERESES CORRESPONDIENTES AL AÑO 2015</v>
      </c>
      <c r="C698" s="53"/>
      <c r="D698" s="53"/>
      <c r="E698" s="54"/>
      <c r="F698" s="54"/>
      <c r="G698" s="54"/>
      <c r="H698" s="20"/>
      <c r="I698" s="55"/>
      <c r="J698" s="56"/>
      <c r="K698" s="20"/>
    </row>
    <row r="699" spans="2:11" x14ac:dyDescent="0.25">
      <c r="B699" s="69" t="s">
        <v>186</v>
      </c>
      <c r="C699" s="173" t="str">
        <f>+'Calculo Excedentes'!A39</f>
        <v>CA-40</v>
      </c>
      <c r="D699" s="171" t="s">
        <v>187</v>
      </c>
      <c r="E699" s="176" t="str">
        <f>+'Calculo Excedentes'!B39</f>
        <v>ACODEZO</v>
      </c>
      <c r="F699" s="174"/>
      <c r="G699" s="175"/>
      <c r="H699" s="20"/>
      <c r="I699" s="39" t="s">
        <v>73</v>
      </c>
      <c r="J699" s="39" t="s">
        <v>74</v>
      </c>
      <c r="K699" s="39" t="s">
        <v>75</v>
      </c>
    </row>
    <row r="700" spans="2:11" x14ac:dyDescent="0.25">
      <c r="B700" s="40" t="s">
        <v>76</v>
      </c>
      <c r="C700" s="40" t="s">
        <v>77</v>
      </c>
      <c r="D700" s="40" t="s">
        <v>78</v>
      </c>
      <c r="E700" s="40" t="s">
        <v>79</v>
      </c>
      <c r="F700" s="40" t="s">
        <v>80</v>
      </c>
      <c r="G700" s="40" t="s">
        <v>81</v>
      </c>
      <c r="H700" s="20"/>
      <c r="I700" s="42" t="s">
        <v>82</v>
      </c>
      <c r="J700" s="164" t="s">
        <v>185</v>
      </c>
      <c r="K700" s="42" t="s">
        <v>84</v>
      </c>
    </row>
    <row r="701" spans="2:11" x14ac:dyDescent="0.25">
      <c r="B701" s="158">
        <f>+Parametros!$H$11-365</f>
        <v>42004</v>
      </c>
      <c r="C701" s="161"/>
      <c r="D701" s="162"/>
      <c r="E701" s="159"/>
      <c r="F701" s="159"/>
      <c r="G701" s="165">
        <f>+F701-E701</f>
        <v>0</v>
      </c>
      <c r="H701" s="20"/>
      <c r="I701" s="167">
        <f>IF(B701&gt;0,(Parametros!$H$11-'Calculo Intereses COOPS'!B701),0)</f>
        <v>365</v>
      </c>
      <c r="J701" s="168">
        <f>(F701-E701)*Parametros!$H$37/365*'Calculo Intereses COOPS'!I701</f>
        <v>0</v>
      </c>
      <c r="K701" s="169">
        <f>+J701</f>
        <v>0</v>
      </c>
    </row>
    <row r="702" spans="2:11" x14ac:dyDescent="0.25">
      <c r="B702" s="160"/>
      <c r="C702" s="161"/>
      <c r="D702" s="162"/>
      <c r="E702" s="159"/>
      <c r="F702" s="159"/>
      <c r="G702" s="165">
        <f>+G701+F702-E702</f>
        <v>0</v>
      </c>
      <c r="H702" s="20"/>
      <c r="I702" s="167">
        <f>IF(B702&gt;0,(Parametros!$H$11-'Calculo Intereses COOPS'!B702),0)</f>
        <v>0</v>
      </c>
      <c r="J702" s="168">
        <f>(F702-E702)*Parametros!$H$37/365*'Calculo Intereses COOPS'!I702</f>
        <v>0</v>
      </c>
      <c r="K702" s="169">
        <f>+J702+K701</f>
        <v>0</v>
      </c>
    </row>
    <row r="703" spans="2:11" x14ac:dyDescent="0.25">
      <c r="B703" s="160"/>
      <c r="C703" s="161"/>
      <c r="D703" s="162"/>
      <c r="E703" s="159"/>
      <c r="F703" s="159"/>
      <c r="G703" s="165">
        <f>+G702+F703</f>
        <v>0</v>
      </c>
      <c r="H703" s="20"/>
      <c r="I703" s="167">
        <f>IF(B703&gt;0,(Parametros!$H$11-'Calculo Intereses COOPS'!B703),0)</f>
        <v>0</v>
      </c>
      <c r="J703" s="168">
        <f>(F703-E703)*Parametros!$H$37/365*'Calculo Intereses COOPS'!I703</f>
        <v>0</v>
      </c>
      <c r="K703" s="169">
        <f t="shared" ref="K703:K716" si="66">+J703+K702</f>
        <v>0</v>
      </c>
    </row>
    <row r="704" spans="2:11" x14ac:dyDescent="0.25">
      <c r="B704" s="160"/>
      <c r="C704" s="161"/>
      <c r="D704" s="162"/>
      <c r="E704" s="159"/>
      <c r="F704" s="159"/>
      <c r="G704" s="165">
        <f>+G703+F704</f>
        <v>0</v>
      </c>
      <c r="H704" s="20"/>
      <c r="I704" s="167">
        <f>IF(B704&gt;0,(Parametros!$H$11-'Calculo Intereses COOPS'!B704),0)</f>
        <v>0</v>
      </c>
      <c r="J704" s="168">
        <f>(F704-E704)*Parametros!$H$37/365*'Calculo Intereses COOPS'!I704</f>
        <v>0</v>
      </c>
      <c r="K704" s="169">
        <f t="shared" si="66"/>
        <v>0</v>
      </c>
    </row>
    <row r="705" spans="2:11" x14ac:dyDescent="0.25">
      <c r="B705" s="160"/>
      <c r="C705" s="161"/>
      <c r="D705" s="162"/>
      <c r="E705" s="159"/>
      <c r="F705" s="159"/>
      <c r="G705" s="165">
        <f>+G704+F705</f>
        <v>0</v>
      </c>
      <c r="H705" s="20"/>
      <c r="I705" s="167">
        <f>IF(B705&gt;0,(Parametros!$H$11-'Calculo Intereses COOPS'!B705),0)</f>
        <v>0</v>
      </c>
      <c r="J705" s="168">
        <f>(F705-E705)*Parametros!$H$37/365*'Calculo Intereses COOPS'!I705</f>
        <v>0</v>
      </c>
      <c r="K705" s="169">
        <f t="shared" si="66"/>
        <v>0</v>
      </c>
    </row>
    <row r="706" spans="2:11" x14ac:dyDescent="0.25">
      <c r="B706" s="160"/>
      <c r="C706" s="161"/>
      <c r="D706" s="162"/>
      <c r="E706" s="159"/>
      <c r="F706" s="159"/>
      <c r="G706" s="165">
        <f>+G705+F706</f>
        <v>0</v>
      </c>
      <c r="H706" s="20"/>
      <c r="I706" s="167">
        <f>IF(B706&gt;0,(Parametros!$H$11-'Calculo Intereses COOPS'!B706),0)</f>
        <v>0</v>
      </c>
      <c r="J706" s="168">
        <f>(F706-E706)*Parametros!$H$37/365*'Calculo Intereses COOPS'!I706</f>
        <v>0</v>
      </c>
      <c r="K706" s="169">
        <f t="shared" si="66"/>
        <v>0</v>
      </c>
    </row>
    <row r="707" spans="2:11" x14ac:dyDescent="0.25">
      <c r="B707" s="160"/>
      <c r="C707" s="161"/>
      <c r="D707" s="163"/>
      <c r="E707" s="159"/>
      <c r="F707" s="159"/>
      <c r="G707" s="165">
        <f t="shared" ref="G707:G715" si="67">+G706+F707</f>
        <v>0</v>
      </c>
      <c r="H707" s="20"/>
      <c r="I707" s="167">
        <f>IF(B707&gt;0,(Parametros!$H$11-'Calculo Intereses COOPS'!B707),0)</f>
        <v>0</v>
      </c>
      <c r="J707" s="168">
        <f>(F707-E707)*Parametros!$H$37/365*'Calculo Intereses COOPS'!I707</f>
        <v>0</v>
      </c>
      <c r="K707" s="169">
        <f t="shared" si="66"/>
        <v>0</v>
      </c>
    </row>
    <row r="708" spans="2:11" x14ac:dyDescent="0.25">
      <c r="B708" s="160"/>
      <c r="C708" s="161"/>
      <c r="D708" s="163"/>
      <c r="E708" s="159"/>
      <c r="F708" s="159"/>
      <c r="G708" s="165">
        <f t="shared" si="67"/>
        <v>0</v>
      </c>
      <c r="H708" s="20"/>
      <c r="I708" s="167">
        <f>IF(B708&gt;0,(Parametros!$H$11-'Calculo Intereses COOPS'!B708),0)</f>
        <v>0</v>
      </c>
      <c r="J708" s="168">
        <f>(F708-E708)*Parametros!$H$37/365*'Calculo Intereses COOPS'!I708</f>
        <v>0</v>
      </c>
      <c r="K708" s="169">
        <f t="shared" si="66"/>
        <v>0</v>
      </c>
    </row>
    <row r="709" spans="2:11" x14ac:dyDescent="0.25">
      <c r="B709" s="160"/>
      <c r="C709" s="161"/>
      <c r="D709" s="163"/>
      <c r="E709" s="159"/>
      <c r="F709" s="159"/>
      <c r="G709" s="165">
        <f t="shared" si="67"/>
        <v>0</v>
      </c>
      <c r="H709" s="20"/>
      <c r="I709" s="167">
        <f>IF(B709&gt;0,(Parametros!$H$11-'Calculo Intereses COOPS'!B709),0)</f>
        <v>0</v>
      </c>
      <c r="J709" s="168">
        <f>(F709-E709)*Parametros!$H$37/365*'Calculo Intereses COOPS'!I709</f>
        <v>0</v>
      </c>
      <c r="K709" s="169">
        <f t="shared" si="66"/>
        <v>0</v>
      </c>
    </row>
    <row r="710" spans="2:11" x14ac:dyDescent="0.25">
      <c r="B710" s="160"/>
      <c r="C710" s="161"/>
      <c r="D710" s="163"/>
      <c r="E710" s="159"/>
      <c r="F710" s="159"/>
      <c r="G710" s="165">
        <f t="shared" si="67"/>
        <v>0</v>
      </c>
      <c r="H710" s="20"/>
      <c r="I710" s="167">
        <f>IF(B710&gt;0,(Parametros!$H$11-'Calculo Intereses COOPS'!B710),0)</f>
        <v>0</v>
      </c>
      <c r="J710" s="168">
        <f>(F710-E710)*Parametros!$H$37/365*'Calculo Intereses COOPS'!I710</f>
        <v>0</v>
      </c>
      <c r="K710" s="169">
        <f t="shared" si="66"/>
        <v>0</v>
      </c>
    </row>
    <row r="711" spans="2:11" x14ac:dyDescent="0.25">
      <c r="B711" s="160"/>
      <c r="C711" s="161"/>
      <c r="D711" s="163"/>
      <c r="E711" s="159"/>
      <c r="F711" s="159"/>
      <c r="G711" s="165">
        <f t="shared" si="67"/>
        <v>0</v>
      </c>
      <c r="H711" s="20"/>
      <c r="I711" s="167">
        <f>IF(B711&gt;0,(Parametros!$H$11-'Calculo Intereses COOPS'!B711),0)</f>
        <v>0</v>
      </c>
      <c r="J711" s="168">
        <f>(F711-E711)*Parametros!$H$37/365*'Calculo Intereses COOPS'!I711</f>
        <v>0</v>
      </c>
      <c r="K711" s="169">
        <f t="shared" si="66"/>
        <v>0</v>
      </c>
    </row>
    <row r="712" spans="2:11" x14ac:dyDescent="0.25">
      <c r="B712" s="160"/>
      <c r="C712" s="161"/>
      <c r="D712" s="163"/>
      <c r="E712" s="159"/>
      <c r="F712" s="159"/>
      <c r="G712" s="165">
        <f t="shared" si="67"/>
        <v>0</v>
      </c>
      <c r="H712" s="20"/>
      <c r="I712" s="167">
        <f>IF(B712&gt;0,(Parametros!$H$11-'Calculo Intereses COOPS'!B712),0)</f>
        <v>0</v>
      </c>
      <c r="J712" s="168">
        <f>(F712-E712)*Parametros!$H$37/365*'Calculo Intereses COOPS'!I712</f>
        <v>0</v>
      </c>
      <c r="K712" s="169">
        <f t="shared" si="66"/>
        <v>0</v>
      </c>
    </row>
    <row r="713" spans="2:11" x14ac:dyDescent="0.25">
      <c r="B713" s="160"/>
      <c r="C713" s="161"/>
      <c r="D713" s="163"/>
      <c r="E713" s="159"/>
      <c r="F713" s="159"/>
      <c r="G713" s="165">
        <f t="shared" si="67"/>
        <v>0</v>
      </c>
      <c r="H713" s="20"/>
      <c r="I713" s="167">
        <f>IF(B713&gt;0,(Parametros!$H$11-'Calculo Intereses COOPS'!B713),0)</f>
        <v>0</v>
      </c>
      <c r="J713" s="168">
        <f>(F713-E713)*Parametros!$H$37/365*'Calculo Intereses COOPS'!I713</f>
        <v>0</v>
      </c>
      <c r="K713" s="169">
        <f t="shared" si="66"/>
        <v>0</v>
      </c>
    </row>
    <row r="714" spans="2:11" x14ac:dyDescent="0.25">
      <c r="B714" s="160"/>
      <c r="C714" s="161"/>
      <c r="D714" s="163"/>
      <c r="E714" s="159"/>
      <c r="F714" s="159"/>
      <c r="G714" s="165">
        <f t="shared" si="67"/>
        <v>0</v>
      </c>
      <c r="H714" s="20"/>
      <c r="I714" s="167">
        <f>IF(B714&gt;0,(Parametros!$H$11-'Calculo Intereses COOPS'!B714),0)</f>
        <v>0</v>
      </c>
      <c r="J714" s="168">
        <f>(F714-E714)*Parametros!$H$37/365*'Calculo Intereses COOPS'!I714</f>
        <v>0</v>
      </c>
      <c r="K714" s="169">
        <f t="shared" si="66"/>
        <v>0</v>
      </c>
    </row>
    <row r="715" spans="2:11" x14ac:dyDescent="0.25">
      <c r="B715" s="160"/>
      <c r="C715" s="161"/>
      <c r="D715" s="163"/>
      <c r="E715" s="159"/>
      <c r="F715" s="159"/>
      <c r="G715" s="165">
        <f t="shared" si="67"/>
        <v>0</v>
      </c>
      <c r="H715" s="20"/>
      <c r="I715" s="167">
        <f>IF(B715&gt;0,(Parametros!$H$11-'Calculo Intereses COOPS'!B715),0)</f>
        <v>0</v>
      </c>
      <c r="J715" s="168">
        <f>(F715-E715)*Parametros!$H$37/365*'Calculo Intereses COOPS'!I715</f>
        <v>0</v>
      </c>
      <c r="K715" s="169">
        <f t="shared" si="66"/>
        <v>0</v>
      </c>
    </row>
    <row r="716" spans="2:11" x14ac:dyDescent="0.25">
      <c r="B716" s="160"/>
      <c r="C716" s="161"/>
      <c r="D716" s="163"/>
      <c r="E716" s="159"/>
      <c r="F716" s="159"/>
      <c r="G716" s="165">
        <f>+G715+F716</f>
        <v>0</v>
      </c>
      <c r="H716" s="20"/>
      <c r="I716" s="167">
        <f>IF(B716&gt;0,(Parametros!$H$11-'Calculo Intereses COOPS'!B716),0)</f>
        <v>0</v>
      </c>
      <c r="J716" s="168">
        <f>(F716-E716)*Parametros!$H$37/365*'Calculo Intereses COOPS'!I716</f>
        <v>0</v>
      </c>
      <c r="K716" s="169">
        <f t="shared" si="66"/>
        <v>0</v>
      </c>
    </row>
    <row r="717" spans="2:11" x14ac:dyDescent="0.25">
      <c r="B717" s="20"/>
      <c r="C717" s="20"/>
      <c r="D717" s="52" t="s">
        <v>21</v>
      </c>
      <c r="E717" s="166">
        <f>SUM(E701:E716)</f>
        <v>0</v>
      </c>
      <c r="F717" s="166">
        <f>SUM(F701:F716)</f>
        <v>0</v>
      </c>
      <c r="G717" s="166">
        <f>+G716</f>
        <v>0</v>
      </c>
      <c r="J717" s="170">
        <f>SUM(J701:J716)</f>
        <v>0</v>
      </c>
    </row>
    <row r="719" spans="2:11" x14ac:dyDescent="0.25">
      <c r="B719" s="172" t="str">
        <f>CONCATENATE("APORTACIONES Y CALCULO DE INTERESES CORRESPONDIENTES AL AÑO ",YEAR(Parametros!$H$11))</f>
        <v>APORTACIONES Y CALCULO DE INTERESES CORRESPONDIENTES AL AÑO 2015</v>
      </c>
      <c r="C719" s="53"/>
      <c r="D719" s="53"/>
      <c r="E719" s="54"/>
      <c r="F719" s="54"/>
      <c r="G719" s="54"/>
      <c r="H719" s="20"/>
      <c r="I719" s="55"/>
      <c r="J719" s="56"/>
      <c r="K719" s="20"/>
    </row>
    <row r="720" spans="2:11" x14ac:dyDescent="0.25">
      <c r="B720" s="69" t="s">
        <v>186</v>
      </c>
      <c r="C720" s="173" t="str">
        <f>+'Calculo Excedentes'!A40</f>
        <v>CA-41</v>
      </c>
      <c r="D720" s="171" t="s">
        <v>187</v>
      </c>
      <c r="E720" s="176" t="str">
        <f>+'Calculo Excedentes'!B40</f>
        <v>EL HORIZONTE</v>
      </c>
      <c r="F720" s="174"/>
      <c r="G720" s="175"/>
      <c r="H720" s="20"/>
      <c r="I720" s="39" t="s">
        <v>73</v>
      </c>
      <c r="J720" s="39" t="s">
        <v>74</v>
      </c>
      <c r="K720" s="39" t="s">
        <v>75</v>
      </c>
    </row>
    <row r="721" spans="2:11" x14ac:dyDescent="0.25">
      <c r="B721" s="40" t="s">
        <v>76</v>
      </c>
      <c r="C721" s="40" t="s">
        <v>77</v>
      </c>
      <c r="D721" s="40" t="s">
        <v>78</v>
      </c>
      <c r="E721" s="40" t="s">
        <v>79</v>
      </c>
      <c r="F721" s="40" t="s">
        <v>80</v>
      </c>
      <c r="G721" s="40" t="s">
        <v>81</v>
      </c>
      <c r="H721" s="20"/>
      <c r="I721" s="42" t="s">
        <v>82</v>
      </c>
      <c r="J721" s="164" t="s">
        <v>185</v>
      </c>
      <c r="K721" s="42" t="s">
        <v>84</v>
      </c>
    </row>
    <row r="722" spans="2:11" x14ac:dyDescent="0.25">
      <c r="B722" s="158">
        <f>+Parametros!$H$11-365</f>
        <v>42004</v>
      </c>
      <c r="C722" s="161"/>
      <c r="D722" s="162"/>
      <c r="E722" s="159"/>
      <c r="F722" s="159"/>
      <c r="G722" s="165">
        <f>+F722-E722</f>
        <v>0</v>
      </c>
      <c r="H722" s="20"/>
      <c r="I722" s="167">
        <f>IF(B722&gt;0,(Parametros!$H$11-'Calculo Intereses COOPS'!B722),0)</f>
        <v>365</v>
      </c>
      <c r="J722" s="168">
        <f>(F722-E722)*Parametros!$H$37/365*'Calculo Intereses COOPS'!I722</f>
        <v>0</v>
      </c>
      <c r="K722" s="169">
        <f>+J722</f>
        <v>0</v>
      </c>
    </row>
    <row r="723" spans="2:11" x14ac:dyDescent="0.25">
      <c r="B723" s="160"/>
      <c r="C723" s="161"/>
      <c r="D723" s="162"/>
      <c r="E723" s="159"/>
      <c r="F723" s="159"/>
      <c r="G723" s="165">
        <f>+G722+F723-E723</f>
        <v>0</v>
      </c>
      <c r="H723" s="20"/>
      <c r="I723" s="167">
        <f>IF(B723&gt;0,(Parametros!$H$11-'Calculo Intereses COOPS'!B723),0)</f>
        <v>0</v>
      </c>
      <c r="J723" s="168">
        <f>(F723-E723)*Parametros!$H$37/365*'Calculo Intereses COOPS'!I723</f>
        <v>0</v>
      </c>
      <c r="K723" s="169">
        <f>+J723+K722</f>
        <v>0</v>
      </c>
    </row>
    <row r="724" spans="2:11" x14ac:dyDescent="0.25">
      <c r="B724" s="160"/>
      <c r="C724" s="161"/>
      <c r="D724" s="162"/>
      <c r="E724" s="159"/>
      <c r="F724" s="159"/>
      <c r="G724" s="165">
        <f>+G723+F724</f>
        <v>0</v>
      </c>
      <c r="H724" s="20"/>
      <c r="I724" s="167">
        <f>IF(B724&gt;0,(Parametros!$H$11-'Calculo Intereses COOPS'!B724),0)</f>
        <v>0</v>
      </c>
      <c r="J724" s="168">
        <f>(F724-E724)*Parametros!$H$37/365*'Calculo Intereses COOPS'!I724</f>
        <v>0</v>
      </c>
      <c r="K724" s="169">
        <f t="shared" ref="K724:K737" si="68">+J724+K723</f>
        <v>0</v>
      </c>
    </row>
    <row r="725" spans="2:11" x14ac:dyDescent="0.25">
      <c r="B725" s="160"/>
      <c r="C725" s="161"/>
      <c r="D725" s="162"/>
      <c r="E725" s="159"/>
      <c r="F725" s="159"/>
      <c r="G725" s="165">
        <f>+G724+F725</f>
        <v>0</v>
      </c>
      <c r="H725" s="20"/>
      <c r="I725" s="167">
        <f>IF(B725&gt;0,(Parametros!$H$11-'Calculo Intereses COOPS'!B725),0)</f>
        <v>0</v>
      </c>
      <c r="J725" s="168">
        <f>(F725-E725)*Parametros!$H$37/365*'Calculo Intereses COOPS'!I725</f>
        <v>0</v>
      </c>
      <c r="K725" s="169">
        <f t="shared" si="68"/>
        <v>0</v>
      </c>
    </row>
    <row r="726" spans="2:11" x14ac:dyDescent="0.25">
      <c r="B726" s="160"/>
      <c r="C726" s="161"/>
      <c r="D726" s="162"/>
      <c r="E726" s="159"/>
      <c r="F726" s="159"/>
      <c r="G726" s="165">
        <f>+G725+F726</f>
        <v>0</v>
      </c>
      <c r="H726" s="20"/>
      <c r="I726" s="167">
        <f>IF(B726&gt;0,(Parametros!$H$11-'Calculo Intereses COOPS'!B726),0)</f>
        <v>0</v>
      </c>
      <c r="J726" s="168">
        <f>(F726-E726)*Parametros!$H$37/365*'Calculo Intereses COOPS'!I726</f>
        <v>0</v>
      </c>
      <c r="K726" s="169">
        <f t="shared" si="68"/>
        <v>0</v>
      </c>
    </row>
    <row r="727" spans="2:11" x14ac:dyDescent="0.25">
      <c r="B727" s="160"/>
      <c r="C727" s="161"/>
      <c r="D727" s="162"/>
      <c r="E727" s="159"/>
      <c r="F727" s="159"/>
      <c r="G727" s="165">
        <f>+G726+F727</f>
        <v>0</v>
      </c>
      <c r="H727" s="20"/>
      <c r="I727" s="167">
        <f>IF(B727&gt;0,(Parametros!$H$11-'Calculo Intereses COOPS'!B727),0)</f>
        <v>0</v>
      </c>
      <c r="J727" s="168">
        <f>(F727-E727)*Parametros!$H$37/365*'Calculo Intereses COOPS'!I727</f>
        <v>0</v>
      </c>
      <c r="K727" s="169">
        <f t="shared" si="68"/>
        <v>0</v>
      </c>
    </row>
    <row r="728" spans="2:11" x14ac:dyDescent="0.25">
      <c r="B728" s="160"/>
      <c r="C728" s="161"/>
      <c r="D728" s="163"/>
      <c r="E728" s="159"/>
      <c r="F728" s="159"/>
      <c r="G728" s="165">
        <f t="shared" ref="G728:G736" si="69">+G727+F728</f>
        <v>0</v>
      </c>
      <c r="H728" s="20"/>
      <c r="I728" s="167">
        <f>IF(B728&gt;0,(Parametros!$H$11-'Calculo Intereses COOPS'!B728),0)</f>
        <v>0</v>
      </c>
      <c r="J728" s="168">
        <f>(F728-E728)*Parametros!$H$37/365*'Calculo Intereses COOPS'!I728</f>
        <v>0</v>
      </c>
      <c r="K728" s="169">
        <f t="shared" si="68"/>
        <v>0</v>
      </c>
    </row>
    <row r="729" spans="2:11" x14ac:dyDescent="0.25">
      <c r="B729" s="160"/>
      <c r="C729" s="161"/>
      <c r="D729" s="163"/>
      <c r="E729" s="159"/>
      <c r="F729" s="159"/>
      <c r="G729" s="165">
        <f t="shared" si="69"/>
        <v>0</v>
      </c>
      <c r="H729" s="20"/>
      <c r="I729" s="167">
        <f>IF(B729&gt;0,(Parametros!$H$11-'Calculo Intereses COOPS'!B729),0)</f>
        <v>0</v>
      </c>
      <c r="J729" s="168">
        <f>(F729-E729)*Parametros!$H$37/365*'Calculo Intereses COOPS'!I729</f>
        <v>0</v>
      </c>
      <c r="K729" s="169">
        <f t="shared" si="68"/>
        <v>0</v>
      </c>
    </row>
    <row r="730" spans="2:11" x14ac:dyDescent="0.25">
      <c r="B730" s="160"/>
      <c r="C730" s="161"/>
      <c r="D730" s="163"/>
      <c r="E730" s="159"/>
      <c r="F730" s="159"/>
      <c r="G730" s="165">
        <f t="shared" si="69"/>
        <v>0</v>
      </c>
      <c r="H730" s="20"/>
      <c r="I730" s="167">
        <f>IF(B730&gt;0,(Parametros!$H$11-'Calculo Intereses COOPS'!B730),0)</f>
        <v>0</v>
      </c>
      <c r="J730" s="168">
        <f>(F730-E730)*Parametros!$H$37/365*'Calculo Intereses COOPS'!I730</f>
        <v>0</v>
      </c>
      <c r="K730" s="169">
        <f t="shared" si="68"/>
        <v>0</v>
      </c>
    </row>
    <row r="731" spans="2:11" x14ac:dyDescent="0.25">
      <c r="B731" s="160"/>
      <c r="C731" s="161"/>
      <c r="D731" s="163"/>
      <c r="E731" s="159"/>
      <c r="F731" s="159"/>
      <c r="G731" s="165">
        <f t="shared" si="69"/>
        <v>0</v>
      </c>
      <c r="H731" s="20"/>
      <c r="I731" s="167">
        <f>IF(B731&gt;0,(Parametros!$H$11-'Calculo Intereses COOPS'!B731),0)</f>
        <v>0</v>
      </c>
      <c r="J731" s="168">
        <f>(F731-E731)*Parametros!$H$37/365*'Calculo Intereses COOPS'!I731</f>
        <v>0</v>
      </c>
      <c r="K731" s="169">
        <f t="shared" si="68"/>
        <v>0</v>
      </c>
    </row>
    <row r="732" spans="2:11" x14ac:dyDescent="0.25">
      <c r="B732" s="160"/>
      <c r="C732" s="161"/>
      <c r="D732" s="163"/>
      <c r="E732" s="159"/>
      <c r="F732" s="159"/>
      <c r="G732" s="165">
        <f t="shared" si="69"/>
        <v>0</v>
      </c>
      <c r="H732" s="20"/>
      <c r="I732" s="167">
        <f>IF(B732&gt;0,(Parametros!$H$11-'Calculo Intereses COOPS'!B732),0)</f>
        <v>0</v>
      </c>
      <c r="J732" s="168">
        <f>(F732-E732)*Parametros!$H$37/365*'Calculo Intereses COOPS'!I732</f>
        <v>0</v>
      </c>
      <c r="K732" s="169">
        <f t="shared" si="68"/>
        <v>0</v>
      </c>
    </row>
    <row r="733" spans="2:11" x14ac:dyDescent="0.25">
      <c r="B733" s="160"/>
      <c r="C733" s="161"/>
      <c r="D733" s="163"/>
      <c r="E733" s="159"/>
      <c r="F733" s="159"/>
      <c r="G733" s="165">
        <f t="shared" si="69"/>
        <v>0</v>
      </c>
      <c r="H733" s="20"/>
      <c r="I733" s="167">
        <f>IF(B733&gt;0,(Parametros!$H$11-'Calculo Intereses COOPS'!B733),0)</f>
        <v>0</v>
      </c>
      <c r="J733" s="168">
        <f>(F733-E733)*Parametros!$H$37/365*'Calculo Intereses COOPS'!I733</f>
        <v>0</v>
      </c>
      <c r="K733" s="169">
        <f t="shared" si="68"/>
        <v>0</v>
      </c>
    </row>
    <row r="734" spans="2:11" x14ac:dyDescent="0.25">
      <c r="B734" s="160"/>
      <c r="C734" s="161"/>
      <c r="D734" s="163"/>
      <c r="E734" s="159"/>
      <c r="F734" s="159"/>
      <c r="G734" s="165">
        <f t="shared" si="69"/>
        <v>0</v>
      </c>
      <c r="H734" s="20"/>
      <c r="I734" s="167">
        <f>IF(B734&gt;0,(Parametros!$H$11-'Calculo Intereses COOPS'!B734),0)</f>
        <v>0</v>
      </c>
      <c r="J734" s="168">
        <f>(F734-E734)*Parametros!$H$37/365*'Calculo Intereses COOPS'!I734</f>
        <v>0</v>
      </c>
      <c r="K734" s="169">
        <f t="shared" si="68"/>
        <v>0</v>
      </c>
    </row>
    <row r="735" spans="2:11" x14ac:dyDescent="0.25">
      <c r="B735" s="160"/>
      <c r="C735" s="161"/>
      <c r="D735" s="163"/>
      <c r="E735" s="159"/>
      <c r="F735" s="159"/>
      <c r="G735" s="165">
        <f t="shared" si="69"/>
        <v>0</v>
      </c>
      <c r="H735" s="20"/>
      <c r="I735" s="167">
        <f>IF(B735&gt;0,(Parametros!$H$11-'Calculo Intereses COOPS'!B735),0)</f>
        <v>0</v>
      </c>
      <c r="J735" s="168">
        <f>(F735-E735)*Parametros!$H$37/365*'Calculo Intereses COOPS'!I735</f>
        <v>0</v>
      </c>
      <c r="K735" s="169">
        <f t="shared" si="68"/>
        <v>0</v>
      </c>
    </row>
    <row r="736" spans="2:11" x14ac:dyDescent="0.25">
      <c r="B736" s="160"/>
      <c r="C736" s="161"/>
      <c r="D736" s="163"/>
      <c r="E736" s="159"/>
      <c r="F736" s="159"/>
      <c r="G736" s="165">
        <f t="shared" si="69"/>
        <v>0</v>
      </c>
      <c r="H736" s="20"/>
      <c r="I736" s="167">
        <f>IF(B736&gt;0,(Parametros!$H$11-'Calculo Intereses COOPS'!B736),0)</f>
        <v>0</v>
      </c>
      <c r="J736" s="168">
        <f>(F736-E736)*Parametros!$H$37/365*'Calculo Intereses COOPS'!I736</f>
        <v>0</v>
      </c>
      <c r="K736" s="169">
        <f t="shared" si="68"/>
        <v>0</v>
      </c>
    </row>
    <row r="737" spans="2:11" x14ac:dyDescent="0.25">
      <c r="B737" s="160"/>
      <c r="C737" s="161"/>
      <c r="D737" s="163"/>
      <c r="E737" s="159"/>
      <c r="F737" s="159"/>
      <c r="G737" s="165">
        <f>+G736+F737</f>
        <v>0</v>
      </c>
      <c r="H737" s="20"/>
      <c r="I737" s="167">
        <f>IF(B737&gt;0,(Parametros!$H$11-'Calculo Intereses COOPS'!B737),0)</f>
        <v>0</v>
      </c>
      <c r="J737" s="168">
        <f>(F737-E737)*Parametros!$H$37/365*'Calculo Intereses COOPS'!I737</f>
        <v>0</v>
      </c>
      <c r="K737" s="169">
        <f t="shared" si="68"/>
        <v>0</v>
      </c>
    </row>
    <row r="738" spans="2:11" x14ac:dyDescent="0.25">
      <c r="B738" s="20"/>
      <c r="C738" s="20"/>
      <c r="D738" s="52" t="s">
        <v>21</v>
      </c>
      <c r="E738" s="166">
        <f>SUM(E722:E737)</f>
        <v>0</v>
      </c>
      <c r="F738" s="166">
        <f>SUM(F722:F737)</f>
        <v>0</v>
      </c>
      <c r="G738" s="166">
        <f>+G737</f>
        <v>0</v>
      </c>
      <c r="J738" s="170">
        <f>SUM(J722:J737)</f>
        <v>0</v>
      </c>
    </row>
    <row r="740" spans="2:11" x14ac:dyDescent="0.25">
      <c r="B740" s="172" t="str">
        <f>CONCATENATE("APORTACIONES Y CALCULO DE INTERESES CORRESPONDIENTES AL AÑO ",YEAR(Parametros!$H$11))</f>
        <v>APORTACIONES Y CALCULO DE INTERESES CORRESPONDIENTES AL AÑO 2015</v>
      </c>
      <c r="C740" s="53"/>
      <c r="D740" s="53"/>
      <c r="E740" s="54"/>
      <c r="F740" s="54"/>
      <c r="G740" s="54"/>
      <c r="H740" s="20"/>
      <c r="I740" s="55"/>
      <c r="J740" s="56"/>
      <c r="K740" s="20"/>
    </row>
    <row r="741" spans="2:11" x14ac:dyDescent="0.25">
      <c r="B741" s="69" t="s">
        <v>186</v>
      </c>
      <c r="C741" s="173" t="str">
        <f>+'Calculo Excedentes'!A41</f>
        <v>CA-42</v>
      </c>
      <c r="D741" s="171" t="s">
        <v>187</v>
      </c>
      <c r="E741" s="176" t="str">
        <f>+'Calculo Excedentes'!B41</f>
        <v>ACAPRODUSCA</v>
      </c>
      <c r="F741" s="174"/>
      <c r="G741" s="175"/>
      <c r="H741" s="20"/>
      <c r="I741" s="39" t="s">
        <v>73</v>
      </c>
      <c r="J741" s="39" t="s">
        <v>74</v>
      </c>
      <c r="K741" s="39" t="s">
        <v>75</v>
      </c>
    </row>
    <row r="742" spans="2:11" x14ac:dyDescent="0.25">
      <c r="B742" s="40" t="s">
        <v>76</v>
      </c>
      <c r="C742" s="40" t="s">
        <v>77</v>
      </c>
      <c r="D742" s="40" t="s">
        <v>78</v>
      </c>
      <c r="E742" s="40" t="s">
        <v>79</v>
      </c>
      <c r="F742" s="40" t="s">
        <v>80</v>
      </c>
      <c r="G742" s="40" t="s">
        <v>81</v>
      </c>
      <c r="H742" s="20"/>
      <c r="I742" s="42" t="s">
        <v>82</v>
      </c>
      <c r="J742" s="164" t="s">
        <v>185</v>
      </c>
      <c r="K742" s="42" t="s">
        <v>84</v>
      </c>
    </row>
    <row r="743" spans="2:11" x14ac:dyDescent="0.25">
      <c r="B743" s="158">
        <f>+Parametros!$H$11-365</f>
        <v>42004</v>
      </c>
      <c r="C743" s="161"/>
      <c r="D743" s="162"/>
      <c r="E743" s="159"/>
      <c r="F743" s="159"/>
      <c r="G743" s="165">
        <f>+F743-E743</f>
        <v>0</v>
      </c>
      <c r="H743" s="20"/>
      <c r="I743" s="167">
        <f>IF(B743&gt;0,(Parametros!$H$11-'Calculo Intereses COOPS'!B743),0)</f>
        <v>365</v>
      </c>
      <c r="J743" s="168">
        <f>(F743-E743)*Parametros!$H$37/365*'Calculo Intereses COOPS'!I743</f>
        <v>0</v>
      </c>
      <c r="K743" s="169">
        <f>+J743</f>
        <v>0</v>
      </c>
    </row>
    <row r="744" spans="2:11" x14ac:dyDescent="0.25">
      <c r="B744" s="160"/>
      <c r="C744" s="161"/>
      <c r="D744" s="162"/>
      <c r="E744" s="159"/>
      <c r="F744" s="159"/>
      <c r="G744" s="165">
        <f>+G743+F744-E744</f>
        <v>0</v>
      </c>
      <c r="H744" s="20"/>
      <c r="I744" s="167">
        <f>IF(B744&gt;0,(Parametros!$H$11-'Calculo Intereses COOPS'!B744),0)</f>
        <v>0</v>
      </c>
      <c r="J744" s="168">
        <f>(F744-E744)*Parametros!$H$37/365*'Calculo Intereses COOPS'!I744</f>
        <v>0</v>
      </c>
      <c r="K744" s="169">
        <f>+J744+K743</f>
        <v>0</v>
      </c>
    </row>
    <row r="745" spans="2:11" x14ac:dyDescent="0.25">
      <c r="B745" s="160"/>
      <c r="C745" s="161"/>
      <c r="D745" s="162"/>
      <c r="E745" s="159"/>
      <c r="F745" s="159"/>
      <c r="G745" s="165">
        <f>+G744+F745</f>
        <v>0</v>
      </c>
      <c r="H745" s="20"/>
      <c r="I745" s="167">
        <f>IF(B745&gt;0,(Parametros!$H$11-'Calculo Intereses COOPS'!B745),0)</f>
        <v>0</v>
      </c>
      <c r="J745" s="168">
        <f>(F745-E745)*Parametros!$H$37/365*'Calculo Intereses COOPS'!I745</f>
        <v>0</v>
      </c>
      <c r="K745" s="169">
        <f t="shared" ref="K745:K758" si="70">+J745+K744</f>
        <v>0</v>
      </c>
    </row>
    <row r="746" spans="2:11" x14ac:dyDescent="0.25">
      <c r="B746" s="160"/>
      <c r="C746" s="161"/>
      <c r="D746" s="162"/>
      <c r="E746" s="159"/>
      <c r="F746" s="159"/>
      <c r="G746" s="165">
        <f>+G745+F746</f>
        <v>0</v>
      </c>
      <c r="H746" s="20"/>
      <c r="I746" s="167">
        <f>IF(B746&gt;0,(Parametros!$H$11-'Calculo Intereses COOPS'!B746),0)</f>
        <v>0</v>
      </c>
      <c r="J746" s="168">
        <f>(F746-E746)*Parametros!$H$37/365*'Calculo Intereses COOPS'!I746</f>
        <v>0</v>
      </c>
      <c r="K746" s="169">
        <f t="shared" si="70"/>
        <v>0</v>
      </c>
    </row>
    <row r="747" spans="2:11" x14ac:dyDescent="0.25">
      <c r="B747" s="160"/>
      <c r="C747" s="161"/>
      <c r="D747" s="162"/>
      <c r="E747" s="159"/>
      <c r="F747" s="159"/>
      <c r="G747" s="165">
        <f>+G746+F747</f>
        <v>0</v>
      </c>
      <c r="H747" s="20"/>
      <c r="I747" s="167">
        <f>IF(B747&gt;0,(Parametros!$H$11-'Calculo Intereses COOPS'!B747),0)</f>
        <v>0</v>
      </c>
      <c r="J747" s="168">
        <f>(F747-E747)*Parametros!$H$37/365*'Calculo Intereses COOPS'!I747</f>
        <v>0</v>
      </c>
      <c r="K747" s="169">
        <f t="shared" si="70"/>
        <v>0</v>
      </c>
    </row>
    <row r="748" spans="2:11" x14ac:dyDescent="0.25">
      <c r="B748" s="160"/>
      <c r="C748" s="161"/>
      <c r="D748" s="162"/>
      <c r="E748" s="159"/>
      <c r="F748" s="159"/>
      <c r="G748" s="165">
        <f>+G747+F748</f>
        <v>0</v>
      </c>
      <c r="H748" s="20"/>
      <c r="I748" s="167">
        <f>IF(B748&gt;0,(Parametros!$H$11-'Calculo Intereses COOPS'!B748),0)</f>
        <v>0</v>
      </c>
      <c r="J748" s="168">
        <f>(F748-E748)*Parametros!$H$37/365*'Calculo Intereses COOPS'!I748</f>
        <v>0</v>
      </c>
      <c r="K748" s="169">
        <f t="shared" si="70"/>
        <v>0</v>
      </c>
    </row>
    <row r="749" spans="2:11" x14ac:dyDescent="0.25">
      <c r="B749" s="160"/>
      <c r="C749" s="161"/>
      <c r="D749" s="163"/>
      <c r="E749" s="159"/>
      <c r="F749" s="159"/>
      <c r="G749" s="165">
        <f t="shared" ref="G749:G757" si="71">+G748+F749</f>
        <v>0</v>
      </c>
      <c r="H749" s="20"/>
      <c r="I749" s="167">
        <f>IF(B749&gt;0,(Parametros!$H$11-'Calculo Intereses COOPS'!B749),0)</f>
        <v>0</v>
      </c>
      <c r="J749" s="168">
        <f>(F749-E749)*Parametros!$H$37/365*'Calculo Intereses COOPS'!I749</f>
        <v>0</v>
      </c>
      <c r="K749" s="169">
        <f t="shared" si="70"/>
        <v>0</v>
      </c>
    </row>
    <row r="750" spans="2:11" x14ac:dyDescent="0.25">
      <c r="B750" s="160"/>
      <c r="C750" s="161"/>
      <c r="D750" s="163"/>
      <c r="E750" s="159"/>
      <c r="F750" s="159"/>
      <c r="G750" s="165">
        <f t="shared" si="71"/>
        <v>0</v>
      </c>
      <c r="H750" s="20"/>
      <c r="I750" s="167">
        <f>IF(B750&gt;0,(Parametros!$H$11-'Calculo Intereses COOPS'!B750),0)</f>
        <v>0</v>
      </c>
      <c r="J750" s="168">
        <f>(F750-E750)*Parametros!$H$37/365*'Calculo Intereses COOPS'!I750</f>
        <v>0</v>
      </c>
      <c r="K750" s="169">
        <f t="shared" si="70"/>
        <v>0</v>
      </c>
    </row>
    <row r="751" spans="2:11" x14ac:dyDescent="0.25">
      <c r="B751" s="160"/>
      <c r="C751" s="161"/>
      <c r="D751" s="163"/>
      <c r="E751" s="159"/>
      <c r="F751" s="159"/>
      <c r="G751" s="165">
        <f t="shared" si="71"/>
        <v>0</v>
      </c>
      <c r="H751" s="20"/>
      <c r="I751" s="167">
        <f>IF(B751&gt;0,(Parametros!$H$11-'Calculo Intereses COOPS'!B751),0)</f>
        <v>0</v>
      </c>
      <c r="J751" s="168">
        <f>(F751-E751)*Parametros!$H$37/365*'Calculo Intereses COOPS'!I751</f>
        <v>0</v>
      </c>
      <c r="K751" s="169">
        <f t="shared" si="70"/>
        <v>0</v>
      </c>
    </row>
    <row r="752" spans="2:11" x14ac:dyDescent="0.25">
      <c r="B752" s="160"/>
      <c r="C752" s="161"/>
      <c r="D752" s="163"/>
      <c r="E752" s="159"/>
      <c r="F752" s="159"/>
      <c r="G752" s="165">
        <f t="shared" si="71"/>
        <v>0</v>
      </c>
      <c r="H752" s="20"/>
      <c r="I752" s="167">
        <f>IF(B752&gt;0,(Parametros!$H$11-'Calculo Intereses COOPS'!B752),0)</f>
        <v>0</v>
      </c>
      <c r="J752" s="168">
        <f>(F752-E752)*Parametros!$H$37/365*'Calculo Intereses COOPS'!I752</f>
        <v>0</v>
      </c>
      <c r="K752" s="169">
        <f t="shared" si="70"/>
        <v>0</v>
      </c>
    </row>
    <row r="753" spans="2:11" x14ac:dyDescent="0.25">
      <c r="B753" s="160"/>
      <c r="C753" s="161"/>
      <c r="D753" s="163"/>
      <c r="E753" s="159"/>
      <c r="F753" s="159"/>
      <c r="G753" s="165">
        <f t="shared" si="71"/>
        <v>0</v>
      </c>
      <c r="H753" s="20"/>
      <c r="I753" s="167">
        <f>IF(B753&gt;0,(Parametros!$H$11-'Calculo Intereses COOPS'!B753),0)</f>
        <v>0</v>
      </c>
      <c r="J753" s="168">
        <f>(F753-E753)*Parametros!$H$37/365*'Calculo Intereses COOPS'!I753</f>
        <v>0</v>
      </c>
      <c r="K753" s="169">
        <f t="shared" si="70"/>
        <v>0</v>
      </c>
    </row>
    <row r="754" spans="2:11" x14ac:dyDescent="0.25">
      <c r="B754" s="160"/>
      <c r="C754" s="161"/>
      <c r="D754" s="163"/>
      <c r="E754" s="159"/>
      <c r="F754" s="159"/>
      <c r="G754" s="165">
        <f t="shared" si="71"/>
        <v>0</v>
      </c>
      <c r="H754" s="20"/>
      <c r="I754" s="167">
        <f>IF(B754&gt;0,(Parametros!$H$11-'Calculo Intereses COOPS'!B754),0)</f>
        <v>0</v>
      </c>
      <c r="J754" s="168">
        <f>(F754-E754)*Parametros!$H$37/365*'Calculo Intereses COOPS'!I754</f>
        <v>0</v>
      </c>
      <c r="K754" s="169">
        <f t="shared" si="70"/>
        <v>0</v>
      </c>
    </row>
    <row r="755" spans="2:11" x14ac:dyDescent="0.25">
      <c r="B755" s="160"/>
      <c r="C755" s="161"/>
      <c r="D755" s="163"/>
      <c r="E755" s="159"/>
      <c r="F755" s="159"/>
      <c r="G755" s="165">
        <f t="shared" si="71"/>
        <v>0</v>
      </c>
      <c r="H755" s="20"/>
      <c r="I755" s="167">
        <f>IF(B755&gt;0,(Parametros!$H$11-'Calculo Intereses COOPS'!B755),0)</f>
        <v>0</v>
      </c>
      <c r="J755" s="168">
        <f>(F755-E755)*Parametros!$H$37/365*'Calculo Intereses COOPS'!I755</f>
        <v>0</v>
      </c>
      <c r="K755" s="169">
        <f t="shared" si="70"/>
        <v>0</v>
      </c>
    </row>
    <row r="756" spans="2:11" x14ac:dyDescent="0.25">
      <c r="B756" s="160"/>
      <c r="C756" s="161"/>
      <c r="D756" s="163"/>
      <c r="E756" s="159"/>
      <c r="F756" s="159"/>
      <c r="G756" s="165">
        <f t="shared" si="71"/>
        <v>0</v>
      </c>
      <c r="H756" s="20"/>
      <c r="I756" s="167">
        <f>IF(B756&gt;0,(Parametros!$H$11-'Calculo Intereses COOPS'!B756),0)</f>
        <v>0</v>
      </c>
      <c r="J756" s="168">
        <f>(F756-E756)*Parametros!$H$37/365*'Calculo Intereses COOPS'!I756</f>
        <v>0</v>
      </c>
      <c r="K756" s="169">
        <f t="shared" si="70"/>
        <v>0</v>
      </c>
    </row>
    <row r="757" spans="2:11" x14ac:dyDescent="0.25">
      <c r="B757" s="160"/>
      <c r="C757" s="161"/>
      <c r="D757" s="163"/>
      <c r="E757" s="159"/>
      <c r="F757" s="159"/>
      <c r="G757" s="165">
        <f t="shared" si="71"/>
        <v>0</v>
      </c>
      <c r="H757" s="20"/>
      <c r="I757" s="167">
        <f>IF(B757&gt;0,(Parametros!$H$11-'Calculo Intereses COOPS'!B757),0)</f>
        <v>0</v>
      </c>
      <c r="J757" s="168">
        <f>(F757-E757)*Parametros!$H$37/365*'Calculo Intereses COOPS'!I757</f>
        <v>0</v>
      </c>
      <c r="K757" s="169">
        <f t="shared" si="70"/>
        <v>0</v>
      </c>
    </row>
    <row r="758" spans="2:11" x14ac:dyDescent="0.25">
      <c r="B758" s="160"/>
      <c r="C758" s="161"/>
      <c r="D758" s="163"/>
      <c r="E758" s="159"/>
      <c r="F758" s="159"/>
      <c r="G758" s="165">
        <f>+G757+F758</f>
        <v>0</v>
      </c>
      <c r="H758" s="20"/>
      <c r="I758" s="167">
        <f>IF(B758&gt;0,(Parametros!$H$11-'Calculo Intereses COOPS'!B758),0)</f>
        <v>0</v>
      </c>
      <c r="J758" s="168">
        <f>(F758-E758)*Parametros!$H$37/365*'Calculo Intereses COOPS'!I758</f>
        <v>0</v>
      </c>
      <c r="K758" s="169">
        <f t="shared" si="70"/>
        <v>0</v>
      </c>
    </row>
    <row r="759" spans="2:11" x14ac:dyDescent="0.25">
      <c r="B759" s="20"/>
      <c r="C759" s="20"/>
      <c r="D759" s="52" t="s">
        <v>21</v>
      </c>
      <c r="E759" s="166">
        <f>SUM(E743:E758)</f>
        <v>0</v>
      </c>
      <c r="F759" s="166">
        <f>SUM(F743:F758)</f>
        <v>0</v>
      </c>
      <c r="G759" s="166">
        <f>+G758</f>
        <v>0</v>
      </c>
      <c r="J759" s="170">
        <f>SUM(J743:J758)</f>
        <v>0</v>
      </c>
    </row>
    <row r="761" spans="2:11" x14ac:dyDescent="0.25">
      <c r="B761" s="172" t="str">
        <f>CONCATENATE("APORTACIONES Y CALCULO DE INTERESES CORRESPONDIENTES AL AÑO ",YEAR(Parametros!$H$11))</f>
        <v>APORTACIONES Y CALCULO DE INTERESES CORRESPONDIENTES AL AÑO 2015</v>
      </c>
      <c r="C761" s="53"/>
      <c r="D761" s="53"/>
      <c r="E761" s="54"/>
      <c r="F761" s="54"/>
      <c r="G761" s="54"/>
      <c r="H761" s="20"/>
      <c r="I761" s="55"/>
      <c r="J761" s="56"/>
      <c r="K761" s="20"/>
    </row>
    <row r="762" spans="2:11" x14ac:dyDescent="0.25">
      <c r="B762" s="69" t="s">
        <v>186</v>
      </c>
      <c r="C762" s="173" t="str">
        <f>+'Calculo Excedentes'!A42</f>
        <v>CA-43</v>
      </c>
      <c r="D762" s="171" t="s">
        <v>187</v>
      </c>
      <c r="E762" s="176" t="str">
        <f>+'Calculo Excedentes'!B42</f>
        <v>EL ROBLE</v>
      </c>
      <c r="F762" s="174"/>
      <c r="G762" s="175"/>
      <c r="H762" s="20"/>
      <c r="I762" s="39" t="s">
        <v>73</v>
      </c>
      <c r="J762" s="39" t="s">
        <v>74</v>
      </c>
      <c r="K762" s="39" t="s">
        <v>75</v>
      </c>
    </row>
    <row r="763" spans="2:11" x14ac:dyDescent="0.25">
      <c r="B763" s="40" t="s">
        <v>76</v>
      </c>
      <c r="C763" s="40" t="s">
        <v>77</v>
      </c>
      <c r="D763" s="40" t="s">
        <v>78</v>
      </c>
      <c r="E763" s="40" t="s">
        <v>79</v>
      </c>
      <c r="F763" s="40" t="s">
        <v>80</v>
      </c>
      <c r="G763" s="40" t="s">
        <v>81</v>
      </c>
      <c r="H763" s="20"/>
      <c r="I763" s="42" t="s">
        <v>82</v>
      </c>
      <c r="J763" s="164" t="s">
        <v>185</v>
      </c>
      <c r="K763" s="42" t="s">
        <v>84</v>
      </c>
    </row>
    <row r="764" spans="2:11" x14ac:dyDescent="0.25">
      <c r="B764" s="158">
        <f>+Parametros!$H$11-365</f>
        <v>42004</v>
      </c>
      <c r="C764" s="161"/>
      <c r="D764" s="162"/>
      <c r="E764" s="159"/>
      <c r="F764" s="159"/>
      <c r="G764" s="165">
        <f>+F764-E764</f>
        <v>0</v>
      </c>
      <c r="H764" s="20"/>
      <c r="I764" s="167">
        <f>IF(B764&gt;0,(Parametros!$H$11-'Calculo Intereses COOPS'!B764),0)</f>
        <v>365</v>
      </c>
      <c r="J764" s="168">
        <f>(F764-E764)*Parametros!$H$37/365*'Calculo Intereses COOPS'!I764</f>
        <v>0</v>
      </c>
      <c r="K764" s="169">
        <f>+J764</f>
        <v>0</v>
      </c>
    </row>
    <row r="765" spans="2:11" x14ac:dyDescent="0.25">
      <c r="B765" s="160"/>
      <c r="C765" s="161"/>
      <c r="D765" s="162"/>
      <c r="E765" s="159"/>
      <c r="F765" s="159"/>
      <c r="G765" s="165">
        <f>+G764+F765-E765</f>
        <v>0</v>
      </c>
      <c r="H765" s="20"/>
      <c r="I765" s="167">
        <f>IF(B765&gt;0,(Parametros!$H$11-'Calculo Intereses COOPS'!B765),0)</f>
        <v>0</v>
      </c>
      <c r="J765" s="168">
        <f>(F765-E765)*Parametros!$H$37/365*'Calculo Intereses COOPS'!I765</f>
        <v>0</v>
      </c>
      <c r="K765" s="169">
        <f>+J765+K764</f>
        <v>0</v>
      </c>
    </row>
    <row r="766" spans="2:11" x14ac:dyDescent="0.25">
      <c r="B766" s="160"/>
      <c r="C766" s="161"/>
      <c r="D766" s="162"/>
      <c r="E766" s="159"/>
      <c r="F766" s="159"/>
      <c r="G766" s="165">
        <f>+G765+F766</f>
        <v>0</v>
      </c>
      <c r="H766" s="20"/>
      <c r="I766" s="167">
        <f>IF(B766&gt;0,(Parametros!$H$11-'Calculo Intereses COOPS'!B766),0)</f>
        <v>0</v>
      </c>
      <c r="J766" s="168">
        <f>(F766-E766)*Parametros!$H$37/365*'Calculo Intereses COOPS'!I766</f>
        <v>0</v>
      </c>
      <c r="K766" s="169">
        <f t="shared" ref="K766:K779" si="72">+J766+K765</f>
        <v>0</v>
      </c>
    </row>
    <row r="767" spans="2:11" x14ac:dyDescent="0.25">
      <c r="B767" s="160"/>
      <c r="C767" s="161"/>
      <c r="D767" s="162"/>
      <c r="E767" s="159"/>
      <c r="F767" s="159"/>
      <c r="G767" s="165">
        <f>+G766+F767</f>
        <v>0</v>
      </c>
      <c r="H767" s="20"/>
      <c r="I767" s="167">
        <f>IF(B767&gt;0,(Parametros!$H$11-'Calculo Intereses COOPS'!B767),0)</f>
        <v>0</v>
      </c>
      <c r="J767" s="168">
        <f>(F767-E767)*Parametros!$H$37/365*'Calculo Intereses COOPS'!I767</f>
        <v>0</v>
      </c>
      <c r="K767" s="169">
        <f t="shared" si="72"/>
        <v>0</v>
      </c>
    </row>
    <row r="768" spans="2:11" x14ac:dyDescent="0.25">
      <c r="B768" s="160"/>
      <c r="C768" s="161"/>
      <c r="D768" s="162"/>
      <c r="E768" s="159"/>
      <c r="F768" s="159"/>
      <c r="G768" s="165">
        <f>+G767+F768</f>
        <v>0</v>
      </c>
      <c r="H768" s="20"/>
      <c r="I768" s="167">
        <f>IF(B768&gt;0,(Parametros!$H$11-'Calculo Intereses COOPS'!B768),0)</f>
        <v>0</v>
      </c>
      <c r="J768" s="168">
        <f>(F768-E768)*Parametros!$H$37/365*'Calculo Intereses COOPS'!I768</f>
        <v>0</v>
      </c>
      <c r="K768" s="169">
        <f t="shared" si="72"/>
        <v>0</v>
      </c>
    </row>
    <row r="769" spans="2:11" x14ac:dyDescent="0.25">
      <c r="B769" s="160"/>
      <c r="C769" s="161"/>
      <c r="D769" s="162"/>
      <c r="E769" s="159"/>
      <c r="F769" s="159"/>
      <c r="G769" s="165">
        <f>+G768+F769</f>
        <v>0</v>
      </c>
      <c r="H769" s="20"/>
      <c r="I769" s="167">
        <f>IF(B769&gt;0,(Parametros!$H$11-'Calculo Intereses COOPS'!B769),0)</f>
        <v>0</v>
      </c>
      <c r="J769" s="168">
        <f>(F769-E769)*Parametros!$H$37/365*'Calculo Intereses COOPS'!I769</f>
        <v>0</v>
      </c>
      <c r="K769" s="169">
        <f t="shared" si="72"/>
        <v>0</v>
      </c>
    </row>
    <row r="770" spans="2:11" x14ac:dyDescent="0.25">
      <c r="B770" s="160"/>
      <c r="C770" s="161"/>
      <c r="D770" s="163"/>
      <c r="E770" s="159"/>
      <c r="F770" s="159"/>
      <c r="G770" s="165">
        <f t="shared" ref="G770:G778" si="73">+G769+F770</f>
        <v>0</v>
      </c>
      <c r="H770" s="20"/>
      <c r="I770" s="167">
        <f>IF(B770&gt;0,(Parametros!$H$11-'Calculo Intereses COOPS'!B770),0)</f>
        <v>0</v>
      </c>
      <c r="J770" s="168">
        <f>(F770-E770)*Parametros!$H$37/365*'Calculo Intereses COOPS'!I770</f>
        <v>0</v>
      </c>
      <c r="K770" s="169">
        <f t="shared" si="72"/>
        <v>0</v>
      </c>
    </row>
    <row r="771" spans="2:11" x14ac:dyDescent="0.25">
      <c r="B771" s="160"/>
      <c r="C771" s="161"/>
      <c r="D771" s="163"/>
      <c r="E771" s="159"/>
      <c r="F771" s="159"/>
      <c r="G771" s="165">
        <f t="shared" si="73"/>
        <v>0</v>
      </c>
      <c r="H771" s="20"/>
      <c r="I771" s="167">
        <f>IF(B771&gt;0,(Parametros!$H$11-'Calculo Intereses COOPS'!B771),0)</f>
        <v>0</v>
      </c>
      <c r="J771" s="168">
        <f>(F771-E771)*Parametros!$H$37/365*'Calculo Intereses COOPS'!I771</f>
        <v>0</v>
      </c>
      <c r="K771" s="169">
        <f t="shared" si="72"/>
        <v>0</v>
      </c>
    </row>
    <row r="772" spans="2:11" x14ac:dyDescent="0.25">
      <c r="B772" s="160"/>
      <c r="C772" s="161"/>
      <c r="D772" s="163"/>
      <c r="E772" s="159"/>
      <c r="F772" s="159"/>
      <c r="G772" s="165">
        <f t="shared" si="73"/>
        <v>0</v>
      </c>
      <c r="H772" s="20"/>
      <c r="I772" s="167">
        <f>IF(B772&gt;0,(Parametros!$H$11-'Calculo Intereses COOPS'!B772),0)</f>
        <v>0</v>
      </c>
      <c r="J772" s="168">
        <f>(F772-E772)*Parametros!$H$37/365*'Calculo Intereses COOPS'!I772</f>
        <v>0</v>
      </c>
      <c r="K772" s="169">
        <f t="shared" si="72"/>
        <v>0</v>
      </c>
    </row>
    <row r="773" spans="2:11" x14ac:dyDescent="0.25">
      <c r="B773" s="160"/>
      <c r="C773" s="161"/>
      <c r="D773" s="163"/>
      <c r="E773" s="159"/>
      <c r="F773" s="159"/>
      <c r="G773" s="165">
        <f t="shared" si="73"/>
        <v>0</v>
      </c>
      <c r="H773" s="20"/>
      <c r="I773" s="167">
        <f>IF(B773&gt;0,(Parametros!$H$11-'Calculo Intereses COOPS'!B773),0)</f>
        <v>0</v>
      </c>
      <c r="J773" s="168">
        <f>(F773-E773)*Parametros!$H$37/365*'Calculo Intereses COOPS'!I773</f>
        <v>0</v>
      </c>
      <c r="K773" s="169">
        <f t="shared" si="72"/>
        <v>0</v>
      </c>
    </row>
    <row r="774" spans="2:11" x14ac:dyDescent="0.25">
      <c r="B774" s="160"/>
      <c r="C774" s="161"/>
      <c r="D774" s="163"/>
      <c r="E774" s="159"/>
      <c r="F774" s="159"/>
      <c r="G774" s="165">
        <f t="shared" si="73"/>
        <v>0</v>
      </c>
      <c r="H774" s="20"/>
      <c r="I774" s="167">
        <f>IF(B774&gt;0,(Parametros!$H$11-'Calculo Intereses COOPS'!B774),0)</f>
        <v>0</v>
      </c>
      <c r="J774" s="168">
        <f>(F774-E774)*Parametros!$H$37/365*'Calculo Intereses COOPS'!I774</f>
        <v>0</v>
      </c>
      <c r="K774" s="169">
        <f t="shared" si="72"/>
        <v>0</v>
      </c>
    </row>
    <row r="775" spans="2:11" x14ac:dyDescent="0.25">
      <c r="B775" s="160"/>
      <c r="C775" s="161"/>
      <c r="D775" s="163"/>
      <c r="E775" s="159"/>
      <c r="F775" s="159"/>
      <c r="G775" s="165">
        <f t="shared" si="73"/>
        <v>0</v>
      </c>
      <c r="H775" s="20"/>
      <c r="I775" s="167">
        <f>IF(B775&gt;0,(Parametros!$H$11-'Calculo Intereses COOPS'!B775),0)</f>
        <v>0</v>
      </c>
      <c r="J775" s="168">
        <f>(F775-E775)*Parametros!$H$37/365*'Calculo Intereses COOPS'!I775</f>
        <v>0</v>
      </c>
      <c r="K775" s="169">
        <f t="shared" si="72"/>
        <v>0</v>
      </c>
    </row>
    <row r="776" spans="2:11" x14ac:dyDescent="0.25">
      <c r="B776" s="160"/>
      <c r="C776" s="161"/>
      <c r="D776" s="163"/>
      <c r="E776" s="159"/>
      <c r="F776" s="159"/>
      <c r="G776" s="165">
        <f t="shared" si="73"/>
        <v>0</v>
      </c>
      <c r="H776" s="20"/>
      <c r="I776" s="167">
        <f>IF(B776&gt;0,(Parametros!$H$11-'Calculo Intereses COOPS'!B776),0)</f>
        <v>0</v>
      </c>
      <c r="J776" s="168">
        <f>(F776-E776)*Parametros!$H$37/365*'Calculo Intereses COOPS'!I776</f>
        <v>0</v>
      </c>
      <c r="K776" s="169">
        <f t="shared" si="72"/>
        <v>0</v>
      </c>
    </row>
    <row r="777" spans="2:11" x14ac:dyDescent="0.25">
      <c r="B777" s="160"/>
      <c r="C777" s="161"/>
      <c r="D777" s="163"/>
      <c r="E777" s="159"/>
      <c r="F777" s="159"/>
      <c r="G777" s="165">
        <f t="shared" si="73"/>
        <v>0</v>
      </c>
      <c r="H777" s="20"/>
      <c r="I777" s="167">
        <f>IF(B777&gt;0,(Parametros!$H$11-'Calculo Intereses COOPS'!B777),0)</f>
        <v>0</v>
      </c>
      <c r="J777" s="168">
        <f>(F777-E777)*Parametros!$H$37/365*'Calculo Intereses COOPS'!I777</f>
        <v>0</v>
      </c>
      <c r="K777" s="169">
        <f t="shared" si="72"/>
        <v>0</v>
      </c>
    </row>
    <row r="778" spans="2:11" x14ac:dyDescent="0.25">
      <c r="B778" s="160"/>
      <c r="C778" s="161"/>
      <c r="D778" s="163"/>
      <c r="E778" s="159"/>
      <c r="F778" s="159"/>
      <c r="G778" s="165">
        <f t="shared" si="73"/>
        <v>0</v>
      </c>
      <c r="H778" s="20"/>
      <c r="I778" s="167">
        <f>IF(B778&gt;0,(Parametros!$H$11-'Calculo Intereses COOPS'!B778),0)</f>
        <v>0</v>
      </c>
      <c r="J778" s="168">
        <f>(F778-E778)*Parametros!$H$37/365*'Calculo Intereses COOPS'!I778</f>
        <v>0</v>
      </c>
      <c r="K778" s="169">
        <f t="shared" si="72"/>
        <v>0</v>
      </c>
    </row>
    <row r="779" spans="2:11" x14ac:dyDescent="0.25">
      <c r="B779" s="160"/>
      <c r="C779" s="161"/>
      <c r="D779" s="163"/>
      <c r="E779" s="159"/>
      <c r="F779" s="159"/>
      <c r="G779" s="165">
        <f>+G778+F779</f>
        <v>0</v>
      </c>
      <c r="H779" s="20"/>
      <c r="I779" s="167">
        <f>IF(B779&gt;0,(Parametros!$H$11-'Calculo Intereses COOPS'!B779),0)</f>
        <v>0</v>
      </c>
      <c r="J779" s="168">
        <f>(F779-E779)*Parametros!$H$37/365*'Calculo Intereses COOPS'!I779</f>
        <v>0</v>
      </c>
      <c r="K779" s="169">
        <f t="shared" si="72"/>
        <v>0</v>
      </c>
    </row>
    <row r="780" spans="2:11" x14ac:dyDescent="0.25">
      <c r="B780" s="20"/>
      <c r="C780" s="20"/>
      <c r="D780" s="52" t="s">
        <v>21</v>
      </c>
      <c r="E780" s="166">
        <f>SUM(E764:E779)</f>
        <v>0</v>
      </c>
      <c r="F780" s="166">
        <f>SUM(F764:F779)</f>
        <v>0</v>
      </c>
      <c r="G780" s="166">
        <f>+G779</f>
        <v>0</v>
      </c>
      <c r="J780" s="170">
        <f>SUM(J764:J779)</f>
        <v>0</v>
      </c>
    </row>
    <row r="782" spans="2:11" x14ac:dyDescent="0.25">
      <c r="B782" s="172" t="str">
        <f>CONCATENATE("APORTACIONES Y CALCULO DE INTERESES CORRESPONDIENTES AL AÑO ",YEAR(Parametros!$H$11))</f>
        <v>APORTACIONES Y CALCULO DE INTERESES CORRESPONDIENTES AL AÑO 2015</v>
      </c>
      <c r="C782" s="53"/>
      <c r="D782" s="53"/>
      <c r="E782" s="54"/>
      <c r="F782" s="54"/>
      <c r="G782" s="54"/>
      <c r="H782" s="20"/>
      <c r="I782" s="55"/>
      <c r="J782" s="56"/>
      <c r="K782" s="20"/>
    </row>
    <row r="783" spans="2:11" x14ac:dyDescent="0.25">
      <c r="B783" s="69" t="s">
        <v>186</v>
      </c>
      <c r="C783" s="173" t="str">
        <f>+'Calculo Excedentes'!A43</f>
        <v>CA-44</v>
      </c>
      <c r="D783" s="171" t="s">
        <v>187</v>
      </c>
      <c r="E783" s="176" t="str">
        <f>+'Calculo Excedentes'!B43</f>
        <v>EL AMATE</v>
      </c>
      <c r="F783" s="174"/>
      <c r="G783" s="175"/>
      <c r="H783" s="20"/>
      <c r="I783" s="39" t="s">
        <v>73</v>
      </c>
      <c r="J783" s="39" t="s">
        <v>74</v>
      </c>
      <c r="K783" s="39" t="s">
        <v>75</v>
      </c>
    </row>
    <row r="784" spans="2:11" x14ac:dyDescent="0.25">
      <c r="B784" s="40" t="s">
        <v>76</v>
      </c>
      <c r="C784" s="40" t="s">
        <v>77</v>
      </c>
      <c r="D784" s="40" t="s">
        <v>78</v>
      </c>
      <c r="E784" s="40" t="s">
        <v>79</v>
      </c>
      <c r="F784" s="40" t="s">
        <v>80</v>
      </c>
      <c r="G784" s="40" t="s">
        <v>81</v>
      </c>
      <c r="H784" s="20"/>
      <c r="I784" s="42" t="s">
        <v>82</v>
      </c>
      <c r="J784" s="164" t="s">
        <v>185</v>
      </c>
      <c r="K784" s="42" t="s">
        <v>84</v>
      </c>
    </row>
    <row r="785" spans="2:11" x14ac:dyDescent="0.25">
      <c r="B785" s="158">
        <f>+Parametros!$H$11-365</f>
        <v>42004</v>
      </c>
      <c r="C785" s="161"/>
      <c r="D785" s="162"/>
      <c r="E785" s="159"/>
      <c r="F785" s="159"/>
      <c r="G785" s="165">
        <f>+F785-E785</f>
        <v>0</v>
      </c>
      <c r="H785" s="20"/>
      <c r="I785" s="167">
        <f>IF(B785&gt;0,(Parametros!$H$11-'Calculo Intereses COOPS'!B785),0)</f>
        <v>365</v>
      </c>
      <c r="J785" s="168">
        <f>(F785-E785)*Parametros!$H$37/365*'Calculo Intereses COOPS'!I785</f>
        <v>0</v>
      </c>
      <c r="K785" s="169">
        <f>+J785</f>
        <v>0</v>
      </c>
    </row>
    <row r="786" spans="2:11" x14ac:dyDescent="0.25">
      <c r="B786" s="160"/>
      <c r="C786" s="161"/>
      <c r="D786" s="162"/>
      <c r="E786" s="159"/>
      <c r="F786" s="159"/>
      <c r="G786" s="165">
        <f>+G785+F786-E786</f>
        <v>0</v>
      </c>
      <c r="H786" s="20"/>
      <c r="I786" s="167">
        <f>IF(B786&gt;0,(Parametros!$H$11-'Calculo Intereses COOPS'!B786),0)</f>
        <v>0</v>
      </c>
      <c r="J786" s="168">
        <f>(F786-E786)*Parametros!$H$37/365*'Calculo Intereses COOPS'!I786</f>
        <v>0</v>
      </c>
      <c r="K786" s="169">
        <f>+J786+K785</f>
        <v>0</v>
      </c>
    </row>
    <row r="787" spans="2:11" x14ac:dyDescent="0.25">
      <c r="B787" s="160"/>
      <c r="C787" s="161"/>
      <c r="D787" s="162"/>
      <c r="E787" s="159"/>
      <c r="F787" s="159"/>
      <c r="G787" s="165">
        <f>+G786+F787</f>
        <v>0</v>
      </c>
      <c r="H787" s="20"/>
      <c r="I787" s="167">
        <f>IF(B787&gt;0,(Parametros!$H$11-'Calculo Intereses COOPS'!B787),0)</f>
        <v>0</v>
      </c>
      <c r="J787" s="168">
        <f>(F787-E787)*Parametros!$H$37/365*'Calculo Intereses COOPS'!I787</f>
        <v>0</v>
      </c>
      <c r="K787" s="169">
        <f t="shared" ref="K787:K800" si="74">+J787+K786</f>
        <v>0</v>
      </c>
    </row>
    <row r="788" spans="2:11" x14ac:dyDescent="0.25">
      <c r="B788" s="160"/>
      <c r="C788" s="161"/>
      <c r="D788" s="162"/>
      <c r="E788" s="159"/>
      <c r="F788" s="159"/>
      <c r="G788" s="165">
        <f>+G787+F788</f>
        <v>0</v>
      </c>
      <c r="H788" s="20"/>
      <c r="I788" s="167">
        <f>IF(B788&gt;0,(Parametros!$H$11-'Calculo Intereses COOPS'!B788),0)</f>
        <v>0</v>
      </c>
      <c r="J788" s="168">
        <f>(F788-E788)*Parametros!$H$37/365*'Calculo Intereses COOPS'!I788</f>
        <v>0</v>
      </c>
      <c r="K788" s="169">
        <f t="shared" si="74"/>
        <v>0</v>
      </c>
    </row>
    <row r="789" spans="2:11" x14ac:dyDescent="0.25">
      <c r="B789" s="160"/>
      <c r="C789" s="161"/>
      <c r="D789" s="162"/>
      <c r="E789" s="159"/>
      <c r="F789" s="159"/>
      <c r="G789" s="165">
        <f>+G788+F789</f>
        <v>0</v>
      </c>
      <c r="H789" s="20"/>
      <c r="I789" s="167">
        <f>IF(B789&gt;0,(Parametros!$H$11-'Calculo Intereses COOPS'!B789),0)</f>
        <v>0</v>
      </c>
      <c r="J789" s="168">
        <f>(F789-E789)*Parametros!$H$37/365*'Calculo Intereses COOPS'!I789</f>
        <v>0</v>
      </c>
      <c r="K789" s="169">
        <f t="shared" si="74"/>
        <v>0</v>
      </c>
    </row>
    <row r="790" spans="2:11" x14ac:dyDescent="0.25">
      <c r="B790" s="160"/>
      <c r="C790" s="161"/>
      <c r="D790" s="162"/>
      <c r="E790" s="159"/>
      <c r="F790" s="159"/>
      <c r="G790" s="165">
        <f>+G789+F790</f>
        <v>0</v>
      </c>
      <c r="H790" s="20"/>
      <c r="I790" s="167">
        <f>IF(B790&gt;0,(Parametros!$H$11-'Calculo Intereses COOPS'!B790),0)</f>
        <v>0</v>
      </c>
      <c r="J790" s="168">
        <f>(F790-E790)*Parametros!$H$37/365*'Calculo Intereses COOPS'!I790</f>
        <v>0</v>
      </c>
      <c r="K790" s="169">
        <f t="shared" si="74"/>
        <v>0</v>
      </c>
    </row>
    <row r="791" spans="2:11" x14ac:dyDescent="0.25">
      <c r="B791" s="160"/>
      <c r="C791" s="161"/>
      <c r="D791" s="163"/>
      <c r="E791" s="159"/>
      <c r="F791" s="159"/>
      <c r="G791" s="165">
        <f t="shared" ref="G791:G799" si="75">+G790+F791</f>
        <v>0</v>
      </c>
      <c r="H791" s="20"/>
      <c r="I791" s="167">
        <f>IF(B791&gt;0,(Parametros!$H$11-'Calculo Intereses COOPS'!B791),0)</f>
        <v>0</v>
      </c>
      <c r="J791" s="168">
        <f>(F791-E791)*Parametros!$H$37/365*'Calculo Intereses COOPS'!I791</f>
        <v>0</v>
      </c>
      <c r="K791" s="169">
        <f t="shared" si="74"/>
        <v>0</v>
      </c>
    </row>
    <row r="792" spans="2:11" x14ac:dyDescent="0.25">
      <c r="B792" s="160"/>
      <c r="C792" s="161"/>
      <c r="D792" s="163"/>
      <c r="E792" s="159"/>
      <c r="F792" s="159"/>
      <c r="G792" s="165">
        <f t="shared" si="75"/>
        <v>0</v>
      </c>
      <c r="H792" s="20"/>
      <c r="I792" s="167">
        <f>IF(B792&gt;0,(Parametros!$H$11-'Calculo Intereses COOPS'!B792),0)</f>
        <v>0</v>
      </c>
      <c r="J792" s="168">
        <f>(F792-E792)*Parametros!$H$37/365*'Calculo Intereses COOPS'!I792</f>
        <v>0</v>
      </c>
      <c r="K792" s="169">
        <f t="shared" si="74"/>
        <v>0</v>
      </c>
    </row>
    <row r="793" spans="2:11" x14ac:dyDescent="0.25">
      <c r="B793" s="160"/>
      <c r="C793" s="161"/>
      <c r="D793" s="163"/>
      <c r="E793" s="159"/>
      <c r="F793" s="159"/>
      <c r="G793" s="165">
        <f t="shared" si="75"/>
        <v>0</v>
      </c>
      <c r="H793" s="20"/>
      <c r="I793" s="167">
        <f>IF(B793&gt;0,(Parametros!$H$11-'Calculo Intereses COOPS'!B793),0)</f>
        <v>0</v>
      </c>
      <c r="J793" s="168">
        <f>(F793-E793)*Parametros!$H$37/365*'Calculo Intereses COOPS'!I793</f>
        <v>0</v>
      </c>
      <c r="K793" s="169">
        <f t="shared" si="74"/>
        <v>0</v>
      </c>
    </row>
    <row r="794" spans="2:11" x14ac:dyDescent="0.25">
      <c r="B794" s="160"/>
      <c r="C794" s="161"/>
      <c r="D794" s="163"/>
      <c r="E794" s="159"/>
      <c r="F794" s="159"/>
      <c r="G794" s="165">
        <f t="shared" si="75"/>
        <v>0</v>
      </c>
      <c r="H794" s="20"/>
      <c r="I794" s="167">
        <f>IF(B794&gt;0,(Parametros!$H$11-'Calculo Intereses COOPS'!B794),0)</f>
        <v>0</v>
      </c>
      <c r="J794" s="168">
        <f>(F794-E794)*Parametros!$H$37/365*'Calculo Intereses COOPS'!I794</f>
        <v>0</v>
      </c>
      <c r="K794" s="169">
        <f t="shared" si="74"/>
        <v>0</v>
      </c>
    </row>
    <row r="795" spans="2:11" x14ac:dyDescent="0.25">
      <c r="B795" s="160"/>
      <c r="C795" s="161"/>
      <c r="D795" s="163"/>
      <c r="E795" s="159"/>
      <c r="F795" s="159"/>
      <c r="G795" s="165">
        <f t="shared" si="75"/>
        <v>0</v>
      </c>
      <c r="H795" s="20"/>
      <c r="I795" s="167">
        <f>IF(B795&gt;0,(Parametros!$H$11-'Calculo Intereses COOPS'!B795),0)</f>
        <v>0</v>
      </c>
      <c r="J795" s="168">
        <f>(F795-E795)*Parametros!$H$37/365*'Calculo Intereses COOPS'!I795</f>
        <v>0</v>
      </c>
      <c r="K795" s="169">
        <f t="shared" si="74"/>
        <v>0</v>
      </c>
    </row>
    <row r="796" spans="2:11" x14ac:dyDescent="0.25">
      <c r="B796" s="160"/>
      <c r="C796" s="161"/>
      <c r="D796" s="163"/>
      <c r="E796" s="159"/>
      <c r="F796" s="159"/>
      <c r="G796" s="165">
        <f t="shared" si="75"/>
        <v>0</v>
      </c>
      <c r="H796" s="20"/>
      <c r="I796" s="167">
        <f>IF(B796&gt;0,(Parametros!$H$11-'Calculo Intereses COOPS'!B796),0)</f>
        <v>0</v>
      </c>
      <c r="J796" s="168">
        <f>(F796-E796)*Parametros!$H$37/365*'Calculo Intereses COOPS'!I796</f>
        <v>0</v>
      </c>
      <c r="K796" s="169">
        <f t="shared" si="74"/>
        <v>0</v>
      </c>
    </row>
    <row r="797" spans="2:11" x14ac:dyDescent="0.25">
      <c r="B797" s="160"/>
      <c r="C797" s="161"/>
      <c r="D797" s="163"/>
      <c r="E797" s="159"/>
      <c r="F797" s="159"/>
      <c r="G797" s="165">
        <f t="shared" si="75"/>
        <v>0</v>
      </c>
      <c r="H797" s="20"/>
      <c r="I797" s="167">
        <f>IF(B797&gt;0,(Parametros!$H$11-'Calculo Intereses COOPS'!B797),0)</f>
        <v>0</v>
      </c>
      <c r="J797" s="168">
        <f>(F797-E797)*Parametros!$H$37/365*'Calculo Intereses COOPS'!I797</f>
        <v>0</v>
      </c>
      <c r="K797" s="169">
        <f t="shared" si="74"/>
        <v>0</v>
      </c>
    </row>
    <row r="798" spans="2:11" x14ac:dyDescent="0.25">
      <c r="B798" s="160"/>
      <c r="C798" s="161"/>
      <c r="D798" s="163"/>
      <c r="E798" s="159"/>
      <c r="F798" s="159"/>
      <c r="G798" s="165">
        <f t="shared" si="75"/>
        <v>0</v>
      </c>
      <c r="H798" s="20"/>
      <c r="I798" s="167">
        <f>IF(B798&gt;0,(Parametros!$H$11-'Calculo Intereses COOPS'!B798),0)</f>
        <v>0</v>
      </c>
      <c r="J798" s="168">
        <f>(F798-E798)*Parametros!$H$37/365*'Calculo Intereses COOPS'!I798</f>
        <v>0</v>
      </c>
      <c r="K798" s="169">
        <f t="shared" si="74"/>
        <v>0</v>
      </c>
    </row>
    <row r="799" spans="2:11" x14ac:dyDescent="0.25">
      <c r="B799" s="160"/>
      <c r="C799" s="161"/>
      <c r="D799" s="163"/>
      <c r="E799" s="159"/>
      <c r="F799" s="159"/>
      <c r="G799" s="165">
        <f t="shared" si="75"/>
        <v>0</v>
      </c>
      <c r="H799" s="20"/>
      <c r="I799" s="167">
        <f>IF(B799&gt;0,(Parametros!$H$11-'Calculo Intereses COOPS'!B799),0)</f>
        <v>0</v>
      </c>
      <c r="J799" s="168">
        <f>(F799-E799)*Parametros!$H$37/365*'Calculo Intereses COOPS'!I799</f>
        <v>0</v>
      </c>
      <c r="K799" s="169">
        <f t="shared" si="74"/>
        <v>0</v>
      </c>
    </row>
    <row r="800" spans="2:11" x14ac:dyDescent="0.25">
      <c r="B800" s="160"/>
      <c r="C800" s="161"/>
      <c r="D800" s="163"/>
      <c r="E800" s="159"/>
      <c r="F800" s="159"/>
      <c r="G800" s="165">
        <f>+G799+F800</f>
        <v>0</v>
      </c>
      <c r="H800" s="20"/>
      <c r="I800" s="167">
        <f>IF(B800&gt;0,(Parametros!$H$11-'Calculo Intereses COOPS'!B800),0)</f>
        <v>0</v>
      </c>
      <c r="J800" s="168">
        <f>(F800-E800)*Parametros!$H$37/365*'Calculo Intereses COOPS'!I800</f>
        <v>0</v>
      </c>
      <c r="K800" s="169">
        <f t="shared" si="74"/>
        <v>0</v>
      </c>
    </row>
    <row r="801" spans="2:11" x14ac:dyDescent="0.25">
      <c r="B801" s="20"/>
      <c r="C801" s="20"/>
      <c r="D801" s="52" t="s">
        <v>21</v>
      </c>
      <c r="E801" s="166">
        <f>SUM(E785:E800)</f>
        <v>0</v>
      </c>
      <c r="F801" s="166">
        <f>SUM(F785:F800)</f>
        <v>0</v>
      </c>
      <c r="G801" s="166">
        <f>+G800</f>
        <v>0</v>
      </c>
      <c r="J801" s="170">
        <f>SUM(J785:J800)</f>
        <v>0</v>
      </c>
    </row>
    <row r="803" spans="2:11" x14ac:dyDescent="0.25">
      <c r="B803" s="172" t="str">
        <f>CONCATENATE("APORTACIONES Y CALCULO DE INTERESES CORRESPONDIENTES AL AÑO ",YEAR(Parametros!$H$11))</f>
        <v>APORTACIONES Y CALCULO DE INTERESES CORRESPONDIENTES AL AÑO 2015</v>
      </c>
      <c r="C803" s="53"/>
      <c r="D803" s="53"/>
      <c r="E803" s="54"/>
      <c r="F803" s="54"/>
      <c r="G803" s="54"/>
      <c r="H803" s="20"/>
      <c r="I803" s="55"/>
      <c r="J803" s="56"/>
      <c r="K803" s="20"/>
    </row>
    <row r="804" spans="2:11" x14ac:dyDescent="0.25">
      <c r="B804" s="69" t="s">
        <v>186</v>
      </c>
      <c r="C804" s="173" t="str">
        <f>+'Calculo Excedentes'!A44</f>
        <v>CA-45</v>
      </c>
      <c r="D804" s="171" t="s">
        <v>187</v>
      </c>
      <c r="E804" s="176" t="str">
        <f>+'Calculo Excedentes'!B44</f>
        <v>ACACMA</v>
      </c>
      <c r="F804" s="174"/>
      <c r="G804" s="175"/>
      <c r="H804" s="20"/>
      <c r="I804" s="39" t="s">
        <v>73</v>
      </c>
      <c r="J804" s="39" t="s">
        <v>74</v>
      </c>
      <c r="K804" s="39" t="s">
        <v>75</v>
      </c>
    </row>
    <row r="805" spans="2:11" x14ac:dyDescent="0.25">
      <c r="B805" s="40" t="s">
        <v>76</v>
      </c>
      <c r="C805" s="40" t="s">
        <v>77</v>
      </c>
      <c r="D805" s="40" t="s">
        <v>78</v>
      </c>
      <c r="E805" s="40" t="s">
        <v>79</v>
      </c>
      <c r="F805" s="40" t="s">
        <v>80</v>
      </c>
      <c r="G805" s="40" t="s">
        <v>81</v>
      </c>
      <c r="H805" s="20"/>
      <c r="I805" s="42" t="s">
        <v>82</v>
      </c>
      <c r="J805" s="164" t="s">
        <v>185</v>
      </c>
      <c r="K805" s="42" t="s">
        <v>84</v>
      </c>
    </row>
    <row r="806" spans="2:11" x14ac:dyDescent="0.25">
      <c r="B806" s="158">
        <f>+Parametros!$H$11-365</f>
        <v>42004</v>
      </c>
      <c r="C806" s="161"/>
      <c r="D806" s="162"/>
      <c r="E806" s="159"/>
      <c r="F806" s="159"/>
      <c r="G806" s="165">
        <f>+F806-E806</f>
        <v>0</v>
      </c>
      <c r="H806" s="20"/>
      <c r="I806" s="167">
        <f>IF(B806&gt;0,(Parametros!$H$11-'Calculo Intereses COOPS'!B806),0)</f>
        <v>365</v>
      </c>
      <c r="J806" s="168">
        <f>(F806-E806)*Parametros!$H$37/365*'Calculo Intereses COOPS'!I806</f>
        <v>0</v>
      </c>
      <c r="K806" s="169">
        <f>+J806</f>
        <v>0</v>
      </c>
    </row>
    <row r="807" spans="2:11" x14ac:dyDescent="0.25">
      <c r="B807" s="160"/>
      <c r="C807" s="161"/>
      <c r="D807" s="162"/>
      <c r="E807" s="159"/>
      <c r="F807" s="159"/>
      <c r="G807" s="165">
        <f>+G806+F807-E807</f>
        <v>0</v>
      </c>
      <c r="H807" s="20"/>
      <c r="I807" s="167">
        <f>IF(B807&gt;0,(Parametros!$H$11-'Calculo Intereses COOPS'!B807),0)</f>
        <v>0</v>
      </c>
      <c r="J807" s="168">
        <f>(F807-E807)*Parametros!$H$37/365*'Calculo Intereses COOPS'!I807</f>
        <v>0</v>
      </c>
      <c r="K807" s="169">
        <f>+J807+K806</f>
        <v>0</v>
      </c>
    </row>
    <row r="808" spans="2:11" x14ac:dyDescent="0.25">
      <c r="B808" s="160"/>
      <c r="C808" s="161"/>
      <c r="D808" s="162"/>
      <c r="E808" s="159"/>
      <c r="F808" s="159"/>
      <c r="G808" s="165">
        <f>+G807+F808</f>
        <v>0</v>
      </c>
      <c r="H808" s="20"/>
      <c r="I808" s="167">
        <f>IF(B808&gt;0,(Parametros!$H$11-'Calculo Intereses COOPS'!B808),0)</f>
        <v>0</v>
      </c>
      <c r="J808" s="168">
        <f>(F808-E808)*Parametros!$H$37/365*'Calculo Intereses COOPS'!I808</f>
        <v>0</v>
      </c>
      <c r="K808" s="169">
        <f t="shared" ref="K808:K821" si="76">+J808+K807</f>
        <v>0</v>
      </c>
    </row>
    <row r="809" spans="2:11" x14ac:dyDescent="0.25">
      <c r="B809" s="160"/>
      <c r="C809" s="161"/>
      <c r="D809" s="162"/>
      <c r="E809" s="159"/>
      <c r="F809" s="159"/>
      <c r="G809" s="165">
        <f>+G808+F809</f>
        <v>0</v>
      </c>
      <c r="H809" s="20"/>
      <c r="I809" s="167">
        <f>IF(B809&gt;0,(Parametros!$H$11-'Calculo Intereses COOPS'!B809),0)</f>
        <v>0</v>
      </c>
      <c r="J809" s="168">
        <f>(F809-E809)*Parametros!$H$37/365*'Calculo Intereses COOPS'!I809</f>
        <v>0</v>
      </c>
      <c r="K809" s="169">
        <f t="shared" si="76"/>
        <v>0</v>
      </c>
    </row>
    <row r="810" spans="2:11" x14ac:dyDescent="0.25">
      <c r="B810" s="160"/>
      <c r="C810" s="161"/>
      <c r="D810" s="162"/>
      <c r="E810" s="159"/>
      <c r="F810" s="159"/>
      <c r="G810" s="165">
        <f>+G809+F810</f>
        <v>0</v>
      </c>
      <c r="H810" s="20"/>
      <c r="I810" s="167">
        <f>IF(B810&gt;0,(Parametros!$H$11-'Calculo Intereses COOPS'!B810),0)</f>
        <v>0</v>
      </c>
      <c r="J810" s="168">
        <f>(F810-E810)*Parametros!$H$37/365*'Calculo Intereses COOPS'!I810</f>
        <v>0</v>
      </c>
      <c r="K810" s="169">
        <f t="shared" si="76"/>
        <v>0</v>
      </c>
    </row>
    <row r="811" spans="2:11" x14ac:dyDescent="0.25">
      <c r="B811" s="160"/>
      <c r="C811" s="161"/>
      <c r="D811" s="162"/>
      <c r="E811" s="159"/>
      <c r="F811" s="159"/>
      <c r="G811" s="165">
        <f>+G810+F811</f>
        <v>0</v>
      </c>
      <c r="H811" s="20"/>
      <c r="I811" s="167">
        <f>IF(B811&gt;0,(Parametros!$H$11-'Calculo Intereses COOPS'!B811),0)</f>
        <v>0</v>
      </c>
      <c r="J811" s="168">
        <f>(F811-E811)*Parametros!$H$37/365*'Calculo Intereses COOPS'!I811</f>
        <v>0</v>
      </c>
      <c r="K811" s="169">
        <f t="shared" si="76"/>
        <v>0</v>
      </c>
    </row>
    <row r="812" spans="2:11" x14ac:dyDescent="0.25">
      <c r="B812" s="160"/>
      <c r="C812" s="161"/>
      <c r="D812" s="163"/>
      <c r="E812" s="159"/>
      <c r="F812" s="159"/>
      <c r="G812" s="165">
        <f t="shared" ref="G812:G820" si="77">+G811+F812</f>
        <v>0</v>
      </c>
      <c r="H812" s="20"/>
      <c r="I812" s="167">
        <f>IF(B812&gt;0,(Parametros!$H$11-'Calculo Intereses COOPS'!B812),0)</f>
        <v>0</v>
      </c>
      <c r="J812" s="168">
        <f>(F812-E812)*Parametros!$H$37/365*'Calculo Intereses COOPS'!I812</f>
        <v>0</v>
      </c>
      <c r="K812" s="169">
        <f t="shared" si="76"/>
        <v>0</v>
      </c>
    </row>
    <row r="813" spans="2:11" x14ac:dyDescent="0.25">
      <c r="B813" s="160"/>
      <c r="C813" s="161"/>
      <c r="D813" s="163"/>
      <c r="E813" s="159"/>
      <c r="F813" s="159"/>
      <c r="G813" s="165">
        <f t="shared" si="77"/>
        <v>0</v>
      </c>
      <c r="H813" s="20"/>
      <c r="I813" s="167">
        <f>IF(B813&gt;0,(Parametros!$H$11-'Calculo Intereses COOPS'!B813),0)</f>
        <v>0</v>
      </c>
      <c r="J813" s="168">
        <f>(F813-E813)*Parametros!$H$37/365*'Calculo Intereses COOPS'!I813</f>
        <v>0</v>
      </c>
      <c r="K813" s="169">
        <f t="shared" si="76"/>
        <v>0</v>
      </c>
    </row>
    <row r="814" spans="2:11" x14ac:dyDescent="0.25">
      <c r="B814" s="160"/>
      <c r="C814" s="161"/>
      <c r="D814" s="163"/>
      <c r="E814" s="159"/>
      <c r="F814" s="159"/>
      <c r="G814" s="165">
        <f t="shared" si="77"/>
        <v>0</v>
      </c>
      <c r="H814" s="20"/>
      <c r="I814" s="167">
        <f>IF(B814&gt;0,(Parametros!$H$11-'Calculo Intereses COOPS'!B814),0)</f>
        <v>0</v>
      </c>
      <c r="J814" s="168">
        <f>(F814-E814)*Parametros!$H$37/365*'Calculo Intereses COOPS'!I814</f>
        <v>0</v>
      </c>
      <c r="K814" s="169">
        <f t="shared" si="76"/>
        <v>0</v>
      </c>
    </row>
    <row r="815" spans="2:11" x14ac:dyDescent="0.25">
      <c r="B815" s="160"/>
      <c r="C815" s="161"/>
      <c r="D815" s="163"/>
      <c r="E815" s="159"/>
      <c r="F815" s="159"/>
      <c r="G815" s="165">
        <f t="shared" si="77"/>
        <v>0</v>
      </c>
      <c r="H815" s="20"/>
      <c r="I815" s="167">
        <f>IF(B815&gt;0,(Parametros!$H$11-'Calculo Intereses COOPS'!B815),0)</f>
        <v>0</v>
      </c>
      <c r="J815" s="168">
        <f>(F815-E815)*Parametros!$H$37/365*'Calculo Intereses COOPS'!I815</f>
        <v>0</v>
      </c>
      <c r="K815" s="169">
        <f t="shared" si="76"/>
        <v>0</v>
      </c>
    </row>
    <row r="816" spans="2:11" x14ac:dyDescent="0.25">
      <c r="B816" s="160"/>
      <c r="C816" s="161"/>
      <c r="D816" s="163"/>
      <c r="E816" s="159"/>
      <c r="F816" s="159"/>
      <c r="G816" s="165">
        <f t="shared" si="77"/>
        <v>0</v>
      </c>
      <c r="H816" s="20"/>
      <c r="I816" s="167">
        <f>IF(B816&gt;0,(Parametros!$H$11-'Calculo Intereses COOPS'!B816),0)</f>
        <v>0</v>
      </c>
      <c r="J816" s="168">
        <f>(F816-E816)*Parametros!$H$37/365*'Calculo Intereses COOPS'!I816</f>
        <v>0</v>
      </c>
      <c r="K816" s="169">
        <f t="shared" si="76"/>
        <v>0</v>
      </c>
    </row>
    <row r="817" spans="2:11" x14ac:dyDescent="0.25">
      <c r="B817" s="160"/>
      <c r="C817" s="161"/>
      <c r="D817" s="163"/>
      <c r="E817" s="159"/>
      <c r="F817" s="159"/>
      <c r="G817" s="165">
        <f t="shared" si="77"/>
        <v>0</v>
      </c>
      <c r="H817" s="20"/>
      <c r="I817" s="167">
        <f>IF(B817&gt;0,(Parametros!$H$11-'Calculo Intereses COOPS'!B817),0)</f>
        <v>0</v>
      </c>
      <c r="J817" s="168">
        <f>(F817-E817)*Parametros!$H$37/365*'Calculo Intereses COOPS'!I817</f>
        <v>0</v>
      </c>
      <c r="K817" s="169">
        <f t="shared" si="76"/>
        <v>0</v>
      </c>
    </row>
    <row r="818" spans="2:11" x14ac:dyDescent="0.25">
      <c r="B818" s="160"/>
      <c r="C818" s="161"/>
      <c r="D818" s="163"/>
      <c r="E818" s="159"/>
      <c r="F818" s="159"/>
      <c r="G818" s="165">
        <f t="shared" si="77"/>
        <v>0</v>
      </c>
      <c r="H818" s="20"/>
      <c r="I818" s="167">
        <f>IF(B818&gt;0,(Parametros!$H$11-'Calculo Intereses COOPS'!B818),0)</f>
        <v>0</v>
      </c>
      <c r="J818" s="168">
        <f>(F818-E818)*Parametros!$H$37/365*'Calculo Intereses COOPS'!I818</f>
        <v>0</v>
      </c>
      <c r="K818" s="169">
        <f t="shared" si="76"/>
        <v>0</v>
      </c>
    </row>
    <row r="819" spans="2:11" x14ac:dyDescent="0.25">
      <c r="B819" s="160"/>
      <c r="C819" s="161"/>
      <c r="D819" s="163"/>
      <c r="E819" s="159"/>
      <c r="F819" s="159"/>
      <c r="G819" s="165">
        <f t="shared" si="77"/>
        <v>0</v>
      </c>
      <c r="H819" s="20"/>
      <c r="I819" s="167">
        <f>IF(B819&gt;0,(Parametros!$H$11-'Calculo Intereses COOPS'!B819),0)</f>
        <v>0</v>
      </c>
      <c r="J819" s="168">
        <f>(F819-E819)*Parametros!$H$37/365*'Calculo Intereses COOPS'!I819</f>
        <v>0</v>
      </c>
      <c r="K819" s="169">
        <f t="shared" si="76"/>
        <v>0</v>
      </c>
    </row>
    <row r="820" spans="2:11" x14ac:dyDescent="0.25">
      <c r="B820" s="160"/>
      <c r="C820" s="161"/>
      <c r="D820" s="163"/>
      <c r="E820" s="159"/>
      <c r="F820" s="159"/>
      <c r="G820" s="165">
        <f t="shared" si="77"/>
        <v>0</v>
      </c>
      <c r="H820" s="20"/>
      <c r="I820" s="167">
        <f>IF(B820&gt;0,(Parametros!$H$11-'Calculo Intereses COOPS'!B820),0)</f>
        <v>0</v>
      </c>
      <c r="J820" s="168">
        <f>(F820-E820)*Parametros!$H$37/365*'Calculo Intereses COOPS'!I820</f>
        <v>0</v>
      </c>
      <c r="K820" s="169">
        <f t="shared" si="76"/>
        <v>0</v>
      </c>
    </row>
    <row r="821" spans="2:11" x14ac:dyDescent="0.25">
      <c r="B821" s="160"/>
      <c r="C821" s="161"/>
      <c r="D821" s="163"/>
      <c r="E821" s="159"/>
      <c r="F821" s="159"/>
      <c r="G821" s="165">
        <f>+G820+F821</f>
        <v>0</v>
      </c>
      <c r="H821" s="20"/>
      <c r="I821" s="167">
        <f>IF(B821&gt;0,(Parametros!$H$11-'Calculo Intereses COOPS'!B821),0)</f>
        <v>0</v>
      </c>
      <c r="J821" s="168">
        <f>(F821-E821)*Parametros!$H$37/365*'Calculo Intereses COOPS'!I821</f>
        <v>0</v>
      </c>
      <c r="K821" s="169">
        <f t="shared" si="76"/>
        <v>0</v>
      </c>
    </row>
    <row r="822" spans="2:11" x14ac:dyDescent="0.25">
      <c r="B822" s="20"/>
      <c r="C822" s="20"/>
      <c r="D822" s="52" t="s">
        <v>21</v>
      </c>
      <c r="E822" s="166">
        <f>SUM(E806:E821)</f>
        <v>0</v>
      </c>
      <c r="F822" s="166">
        <f>SUM(F806:F821)</f>
        <v>0</v>
      </c>
      <c r="G822" s="166">
        <f>+G821</f>
        <v>0</v>
      </c>
      <c r="J822" s="170">
        <f>SUM(J806:J821)</f>
        <v>0</v>
      </c>
    </row>
    <row r="824" spans="2:11" x14ac:dyDescent="0.25">
      <c r="B824" s="172" t="str">
        <f>CONCATENATE("APORTACIONES Y CALCULO DE INTERESES CORRESPONDIENTES AL AÑO ",YEAR(Parametros!$H$11))</f>
        <v>APORTACIONES Y CALCULO DE INTERESES CORRESPONDIENTES AL AÑO 2015</v>
      </c>
      <c r="C824" s="53"/>
      <c r="D824" s="53"/>
      <c r="E824" s="54"/>
      <c r="F824" s="54"/>
      <c r="G824" s="54"/>
      <c r="H824" s="20"/>
      <c r="I824" s="55"/>
      <c r="J824" s="56"/>
      <c r="K824" s="20"/>
    </row>
    <row r="825" spans="2:11" x14ac:dyDescent="0.25">
      <c r="B825" s="69" t="s">
        <v>186</v>
      </c>
      <c r="C825" s="173" t="str">
        <f>+'Calculo Excedentes'!A45</f>
        <v>CA-46</v>
      </c>
      <c r="D825" s="171" t="s">
        <v>187</v>
      </c>
      <c r="E825" s="176">
        <f>+'Calculo Excedentes'!B45</f>
        <v>0</v>
      </c>
      <c r="F825" s="174"/>
      <c r="G825" s="175"/>
      <c r="H825" s="20"/>
      <c r="I825" s="39" t="s">
        <v>73</v>
      </c>
      <c r="J825" s="39" t="s">
        <v>74</v>
      </c>
      <c r="K825" s="39" t="s">
        <v>75</v>
      </c>
    </row>
    <row r="826" spans="2:11" x14ac:dyDescent="0.25">
      <c r="B826" s="40" t="s">
        <v>76</v>
      </c>
      <c r="C826" s="40" t="s">
        <v>77</v>
      </c>
      <c r="D826" s="40" t="s">
        <v>78</v>
      </c>
      <c r="E826" s="40" t="s">
        <v>79</v>
      </c>
      <c r="F826" s="40" t="s">
        <v>80</v>
      </c>
      <c r="G826" s="40" t="s">
        <v>81</v>
      </c>
      <c r="H826" s="20"/>
      <c r="I826" s="42" t="s">
        <v>82</v>
      </c>
      <c r="J826" s="164" t="s">
        <v>185</v>
      </c>
      <c r="K826" s="42" t="s">
        <v>84</v>
      </c>
    </row>
    <row r="827" spans="2:11" x14ac:dyDescent="0.25">
      <c r="B827" s="158">
        <f>+Parametros!$H$11-365</f>
        <v>42004</v>
      </c>
      <c r="C827" s="161"/>
      <c r="D827" s="162"/>
      <c r="E827" s="159"/>
      <c r="F827" s="159"/>
      <c r="G827" s="165">
        <f>+F827-E827</f>
        <v>0</v>
      </c>
      <c r="H827" s="20"/>
      <c r="I827" s="167">
        <f>IF(B827&gt;0,(Parametros!$H$11-'Calculo Intereses COOPS'!B827),0)</f>
        <v>365</v>
      </c>
      <c r="J827" s="168">
        <f>(F827-E827)*Parametros!$H$37/365*'Calculo Intereses COOPS'!I827</f>
        <v>0</v>
      </c>
      <c r="K827" s="169">
        <f>+J827</f>
        <v>0</v>
      </c>
    </row>
    <row r="828" spans="2:11" x14ac:dyDescent="0.25">
      <c r="B828" s="160"/>
      <c r="C828" s="161"/>
      <c r="D828" s="162"/>
      <c r="E828" s="159"/>
      <c r="F828" s="159"/>
      <c r="G828" s="165">
        <f>+G827+F828-E828</f>
        <v>0</v>
      </c>
      <c r="H828" s="20"/>
      <c r="I828" s="167">
        <f>IF(B828&gt;0,(Parametros!$H$11-'Calculo Intereses COOPS'!B828),0)</f>
        <v>0</v>
      </c>
      <c r="J828" s="168">
        <f>(F828-E828)*Parametros!$H$37/365*'Calculo Intereses COOPS'!I828</f>
        <v>0</v>
      </c>
      <c r="K828" s="169">
        <f>+J828+K827</f>
        <v>0</v>
      </c>
    </row>
    <row r="829" spans="2:11" x14ac:dyDescent="0.25">
      <c r="B829" s="160"/>
      <c r="C829" s="161"/>
      <c r="D829" s="162"/>
      <c r="E829" s="159"/>
      <c r="F829" s="159"/>
      <c r="G829" s="165">
        <f>+G828+F829</f>
        <v>0</v>
      </c>
      <c r="H829" s="20"/>
      <c r="I829" s="167">
        <f>IF(B829&gt;0,(Parametros!$H$11-'Calculo Intereses COOPS'!B829),0)</f>
        <v>0</v>
      </c>
      <c r="J829" s="168">
        <f>(F829-E829)*Parametros!$H$37/365*'Calculo Intereses COOPS'!I829</f>
        <v>0</v>
      </c>
      <c r="K829" s="169">
        <f t="shared" ref="K829:K842" si="78">+J829+K828</f>
        <v>0</v>
      </c>
    </row>
    <row r="830" spans="2:11" x14ac:dyDescent="0.25">
      <c r="B830" s="160"/>
      <c r="C830" s="161"/>
      <c r="D830" s="162"/>
      <c r="E830" s="159"/>
      <c r="F830" s="159"/>
      <c r="G830" s="165">
        <f>+G829+F830</f>
        <v>0</v>
      </c>
      <c r="H830" s="20"/>
      <c r="I830" s="167">
        <f>IF(B830&gt;0,(Parametros!$H$11-'Calculo Intereses COOPS'!B830),0)</f>
        <v>0</v>
      </c>
      <c r="J830" s="168">
        <f>(F830-E830)*Parametros!$H$37/365*'Calculo Intereses COOPS'!I830</f>
        <v>0</v>
      </c>
      <c r="K830" s="169">
        <f t="shared" si="78"/>
        <v>0</v>
      </c>
    </row>
    <row r="831" spans="2:11" x14ac:dyDescent="0.25">
      <c r="B831" s="160"/>
      <c r="C831" s="161"/>
      <c r="D831" s="162"/>
      <c r="E831" s="159"/>
      <c r="F831" s="159"/>
      <c r="G831" s="165">
        <f>+G830+F831</f>
        <v>0</v>
      </c>
      <c r="H831" s="20"/>
      <c r="I831" s="167">
        <f>IF(B831&gt;0,(Parametros!$H$11-'Calculo Intereses COOPS'!B831),0)</f>
        <v>0</v>
      </c>
      <c r="J831" s="168">
        <f>(F831-E831)*Parametros!$H$37/365*'Calculo Intereses COOPS'!I831</f>
        <v>0</v>
      </c>
      <c r="K831" s="169">
        <f t="shared" si="78"/>
        <v>0</v>
      </c>
    </row>
    <row r="832" spans="2:11" x14ac:dyDescent="0.25">
      <c r="B832" s="160"/>
      <c r="C832" s="161"/>
      <c r="D832" s="162"/>
      <c r="E832" s="159"/>
      <c r="F832" s="159"/>
      <c r="G832" s="165">
        <f>+G831+F832</f>
        <v>0</v>
      </c>
      <c r="H832" s="20"/>
      <c r="I832" s="167">
        <f>IF(B832&gt;0,(Parametros!$H$11-'Calculo Intereses COOPS'!B832),0)</f>
        <v>0</v>
      </c>
      <c r="J832" s="168">
        <f>(F832-E832)*Parametros!$H$37/365*'Calculo Intereses COOPS'!I832</f>
        <v>0</v>
      </c>
      <c r="K832" s="169">
        <f t="shared" si="78"/>
        <v>0</v>
      </c>
    </row>
    <row r="833" spans="2:11" x14ac:dyDescent="0.25">
      <c r="B833" s="160"/>
      <c r="C833" s="161"/>
      <c r="D833" s="163"/>
      <c r="E833" s="159"/>
      <c r="F833" s="159"/>
      <c r="G833" s="165">
        <f t="shared" ref="G833:G841" si="79">+G832+F833</f>
        <v>0</v>
      </c>
      <c r="H833" s="20"/>
      <c r="I833" s="167">
        <f>IF(B833&gt;0,(Parametros!$H$11-'Calculo Intereses COOPS'!B833),0)</f>
        <v>0</v>
      </c>
      <c r="J833" s="168">
        <f>(F833-E833)*Parametros!$H$37/365*'Calculo Intereses COOPS'!I833</f>
        <v>0</v>
      </c>
      <c r="K833" s="169">
        <f t="shared" si="78"/>
        <v>0</v>
      </c>
    </row>
    <row r="834" spans="2:11" x14ac:dyDescent="0.25">
      <c r="B834" s="160"/>
      <c r="C834" s="161"/>
      <c r="D834" s="163"/>
      <c r="E834" s="159"/>
      <c r="F834" s="159"/>
      <c r="G834" s="165">
        <f t="shared" si="79"/>
        <v>0</v>
      </c>
      <c r="H834" s="20"/>
      <c r="I834" s="167">
        <f>IF(B834&gt;0,(Parametros!$H$11-'Calculo Intereses COOPS'!B834),0)</f>
        <v>0</v>
      </c>
      <c r="J834" s="168">
        <f>(F834-E834)*Parametros!$H$37/365*'Calculo Intereses COOPS'!I834</f>
        <v>0</v>
      </c>
      <c r="K834" s="169">
        <f t="shared" si="78"/>
        <v>0</v>
      </c>
    </row>
    <row r="835" spans="2:11" x14ac:dyDescent="0.25">
      <c r="B835" s="160"/>
      <c r="C835" s="161"/>
      <c r="D835" s="163"/>
      <c r="E835" s="159"/>
      <c r="F835" s="159"/>
      <c r="G835" s="165">
        <f t="shared" si="79"/>
        <v>0</v>
      </c>
      <c r="H835" s="20"/>
      <c r="I835" s="167">
        <f>IF(B835&gt;0,(Parametros!$H$11-'Calculo Intereses COOPS'!B835),0)</f>
        <v>0</v>
      </c>
      <c r="J835" s="168">
        <f>(F835-E835)*Parametros!$H$37/365*'Calculo Intereses COOPS'!I835</f>
        <v>0</v>
      </c>
      <c r="K835" s="169">
        <f t="shared" si="78"/>
        <v>0</v>
      </c>
    </row>
    <row r="836" spans="2:11" x14ac:dyDescent="0.25">
      <c r="B836" s="160"/>
      <c r="C836" s="161"/>
      <c r="D836" s="163"/>
      <c r="E836" s="159"/>
      <c r="F836" s="159"/>
      <c r="G836" s="165">
        <f t="shared" si="79"/>
        <v>0</v>
      </c>
      <c r="H836" s="20"/>
      <c r="I836" s="167">
        <f>IF(B836&gt;0,(Parametros!$H$11-'Calculo Intereses COOPS'!B836),0)</f>
        <v>0</v>
      </c>
      <c r="J836" s="168">
        <f>(F836-E836)*Parametros!$H$37/365*'Calculo Intereses COOPS'!I836</f>
        <v>0</v>
      </c>
      <c r="K836" s="169">
        <f t="shared" si="78"/>
        <v>0</v>
      </c>
    </row>
    <row r="837" spans="2:11" x14ac:dyDescent="0.25">
      <c r="B837" s="160"/>
      <c r="C837" s="161"/>
      <c r="D837" s="163"/>
      <c r="E837" s="159"/>
      <c r="F837" s="159"/>
      <c r="G837" s="165">
        <f t="shared" si="79"/>
        <v>0</v>
      </c>
      <c r="H837" s="20"/>
      <c r="I837" s="167">
        <f>IF(B837&gt;0,(Parametros!$H$11-'Calculo Intereses COOPS'!B837),0)</f>
        <v>0</v>
      </c>
      <c r="J837" s="168">
        <f>(F837-E837)*Parametros!$H$37/365*'Calculo Intereses COOPS'!I837</f>
        <v>0</v>
      </c>
      <c r="K837" s="169">
        <f t="shared" si="78"/>
        <v>0</v>
      </c>
    </row>
    <row r="838" spans="2:11" x14ac:dyDescent="0.25">
      <c r="B838" s="160"/>
      <c r="C838" s="161"/>
      <c r="D838" s="163"/>
      <c r="E838" s="159"/>
      <c r="F838" s="159"/>
      <c r="G838" s="165">
        <f t="shared" si="79"/>
        <v>0</v>
      </c>
      <c r="H838" s="20"/>
      <c r="I838" s="167">
        <f>IF(B838&gt;0,(Parametros!$H$11-'Calculo Intereses COOPS'!B838),0)</f>
        <v>0</v>
      </c>
      <c r="J838" s="168">
        <f>(F838-E838)*Parametros!$H$37/365*'Calculo Intereses COOPS'!I838</f>
        <v>0</v>
      </c>
      <c r="K838" s="169">
        <f t="shared" si="78"/>
        <v>0</v>
      </c>
    </row>
    <row r="839" spans="2:11" x14ac:dyDescent="0.25">
      <c r="B839" s="160"/>
      <c r="C839" s="161"/>
      <c r="D839" s="163"/>
      <c r="E839" s="159"/>
      <c r="F839" s="159"/>
      <c r="G839" s="165">
        <f t="shared" si="79"/>
        <v>0</v>
      </c>
      <c r="H839" s="20"/>
      <c r="I839" s="167">
        <f>IF(B839&gt;0,(Parametros!$H$11-'Calculo Intereses COOPS'!B839),0)</f>
        <v>0</v>
      </c>
      <c r="J839" s="168">
        <f>(F839-E839)*Parametros!$H$37/365*'Calculo Intereses COOPS'!I839</f>
        <v>0</v>
      </c>
      <c r="K839" s="169">
        <f t="shared" si="78"/>
        <v>0</v>
      </c>
    </row>
    <row r="840" spans="2:11" x14ac:dyDescent="0.25">
      <c r="B840" s="160"/>
      <c r="C840" s="161"/>
      <c r="D840" s="163"/>
      <c r="E840" s="159"/>
      <c r="F840" s="159"/>
      <c r="G840" s="165">
        <f t="shared" si="79"/>
        <v>0</v>
      </c>
      <c r="H840" s="20"/>
      <c r="I840" s="167">
        <f>IF(B840&gt;0,(Parametros!$H$11-'Calculo Intereses COOPS'!B840),0)</f>
        <v>0</v>
      </c>
      <c r="J840" s="168">
        <f>(F840-E840)*Parametros!$H$37/365*'Calculo Intereses COOPS'!I840</f>
        <v>0</v>
      </c>
      <c r="K840" s="169">
        <f t="shared" si="78"/>
        <v>0</v>
      </c>
    </row>
    <row r="841" spans="2:11" x14ac:dyDescent="0.25">
      <c r="B841" s="160"/>
      <c r="C841" s="161"/>
      <c r="D841" s="163"/>
      <c r="E841" s="159"/>
      <c r="F841" s="159"/>
      <c r="G841" s="165">
        <f t="shared" si="79"/>
        <v>0</v>
      </c>
      <c r="H841" s="20"/>
      <c r="I841" s="167">
        <f>IF(B841&gt;0,(Parametros!$H$11-'Calculo Intereses COOPS'!B841),0)</f>
        <v>0</v>
      </c>
      <c r="J841" s="168">
        <f>(F841-E841)*Parametros!$H$37/365*'Calculo Intereses COOPS'!I841</f>
        <v>0</v>
      </c>
      <c r="K841" s="169">
        <f t="shared" si="78"/>
        <v>0</v>
      </c>
    </row>
    <row r="842" spans="2:11" x14ac:dyDescent="0.25">
      <c r="B842" s="160"/>
      <c r="C842" s="161"/>
      <c r="D842" s="163"/>
      <c r="E842" s="159"/>
      <c r="F842" s="159"/>
      <c r="G842" s="165">
        <f>+G841+F842</f>
        <v>0</v>
      </c>
      <c r="H842" s="20"/>
      <c r="I842" s="167">
        <f>IF(B842&gt;0,(Parametros!$H$11-'Calculo Intereses COOPS'!B842),0)</f>
        <v>0</v>
      </c>
      <c r="J842" s="168">
        <f>(F842-E842)*Parametros!$H$37/365*'Calculo Intereses COOPS'!I842</f>
        <v>0</v>
      </c>
      <c r="K842" s="169">
        <f t="shared" si="78"/>
        <v>0</v>
      </c>
    </row>
    <row r="843" spans="2:11" x14ac:dyDescent="0.25">
      <c r="B843" s="20"/>
      <c r="C843" s="20"/>
      <c r="D843" s="52" t="s">
        <v>21</v>
      </c>
      <c r="E843" s="166">
        <f>SUM(E827:E842)</f>
        <v>0</v>
      </c>
      <c r="F843" s="166">
        <f>SUM(F827:F842)</f>
        <v>0</v>
      </c>
      <c r="G843" s="166">
        <f>+G842</f>
        <v>0</v>
      </c>
      <c r="J843" s="170">
        <f>SUM(J827:J842)</f>
        <v>0</v>
      </c>
    </row>
    <row r="845" spans="2:11" x14ac:dyDescent="0.25">
      <c r="B845" s="172" t="str">
        <f>CONCATENATE("APORTACIONES Y CALCULO DE INTERESES CORRESPONDIENTES AL AÑO ",YEAR(Parametros!$H$11))</f>
        <v>APORTACIONES Y CALCULO DE INTERESES CORRESPONDIENTES AL AÑO 2015</v>
      </c>
      <c r="C845" s="53"/>
      <c r="D845" s="53"/>
      <c r="E845" s="54"/>
      <c r="F845" s="54"/>
      <c r="G845" s="54"/>
      <c r="H845" s="20"/>
      <c r="I845" s="55"/>
      <c r="J845" s="56"/>
      <c r="K845" s="20"/>
    </row>
    <row r="846" spans="2:11" x14ac:dyDescent="0.25">
      <c r="B846" s="69" t="s">
        <v>186</v>
      </c>
      <c r="C846" s="173" t="str">
        <f>+'Calculo Excedentes'!A46</f>
        <v>CA-47</v>
      </c>
      <c r="D846" s="171" t="s">
        <v>187</v>
      </c>
      <c r="E846" s="176">
        <f>+'Calculo Excedentes'!B46</f>
        <v>0</v>
      </c>
      <c r="F846" s="174"/>
      <c r="G846" s="175"/>
      <c r="H846" s="20"/>
      <c r="I846" s="39" t="s">
        <v>73</v>
      </c>
      <c r="J846" s="39" t="s">
        <v>74</v>
      </c>
      <c r="K846" s="39" t="s">
        <v>75</v>
      </c>
    </row>
    <row r="847" spans="2:11" x14ac:dyDescent="0.25">
      <c r="B847" s="40" t="s">
        <v>76</v>
      </c>
      <c r="C847" s="40" t="s">
        <v>77</v>
      </c>
      <c r="D847" s="40" t="s">
        <v>78</v>
      </c>
      <c r="E847" s="40" t="s">
        <v>79</v>
      </c>
      <c r="F847" s="40" t="s">
        <v>80</v>
      </c>
      <c r="G847" s="40" t="s">
        <v>81</v>
      </c>
      <c r="H847" s="20"/>
      <c r="I847" s="42" t="s">
        <v>82</v>
      </c>
      <c r="J847" s="164" t="s">
        <v>185</v>
      </c>
      <c r="K847" s="42" t="s">
        <v>84</v>
      </c>
    </row>
    <row r="848" spans="2:11" x14ac:dyDescent="0.25">
      <c r="B848" s="158">
        <f>+Parametros!$H$11-365</f>
        <v>42004</v>
      </c>
      <c r="C848" s="161"/>
      <c r="D848" s="162"/>
      <c r="E848" s="159"/>
      <c r="F848" s="159"/>
      <c r="G848" s="165">
        <f>+F848-E848</f>
        <v>0</v>
      </c>
      <c r="H848" s="20"/>
      <c r="I848" s="167">
        <f>IF(B848&gt;0,(Parametros!$H$11-'Calculo Intereses COOPS'!B848),0)</f>
        <v>365</v>
      </c>
      <c r="J848" s="168">
        <f>(F848-E848)*Parametros!$H$37/365*'Calculo Intereses COOPS'!I848</f>
        <v>0</v>
      </c>
      <c r="K848" s="169">
        <f>+J848</f>
        <v>0</v>
      </c>
    </row>
    <row r="849" spans="2:11" x14ac:dyDescent="0.25">
      <c r="B849" s="160"/>
      <c r="C849" s="161"/>
      <c r="D849" s="162"/>
      <c r="E849" s="159"/>
      <c r="F849" s="159"/>
      <c r="G849" s="165">
        <f>+G848+F849-E849</f>
        <v>0</v>
      </c>
      <c r="H849" s="20"/>
      <c r="I849" s="167">
        <f>IF(B849&gt;0,(Parametros!$H$11-'Calculo Intereses COOPS'!B849),0)</f>
        <v>0</v>
      </c>
      <c r="J849" s="168">
        <f>(F849-E849)*Parametros!$H$37/365*'Calculo Intereses COOPS'!I849</f>
        <v>0</v>
      </c>
      <c r="K849" s="169">
        <f>+J849+K848</f>
        <v>0</v>
      </c>
    </row>
    <row r="850" spans="2:11" x14ac:dyDescent="0.25">
      <c r="B850" s="160"/>
      <c r="C850" s="161"/>
      <c r="D850" s="162"/>
      <c r="E850" s="159"/>
      <c r="F850" s="159"/>
      <c r="G850" s="165">
        <f>+G849+F850</f>
        <v>0</v>
      </c>
      <c r="H850" s="20"/>
      <c r="I850" s="167">
        <f>IF(B850&gt;0,(Parametros!$H$11-'Calculo Intereses COOPS'!B850),0)</f>
        <v>0</v>
      </c>
      <c r="J850" s="168">
        <f>(F850-E850)*Parametros!$H$37/365*'Calculo Intereses COOPS'!I850</f>
        <v>0</v>
      </c>
      <c r="K850" s="169">
        <f t="shared" ref="K850:K863" si="80">+J850+K849</f>
        <v>0</v>
      </c>
    </row>
    <row r="851" spans="2:11" x14ac:dyDescent="0.25">
      <c r="B851" s="160"/>
      <c r="C851" s="161"/>
      <c r="D851" s="162"/>
      <c r="E851" s="159"/>
      <c r="F851" s="159"/>
      <c r="G851" s="165">
        <f>+G850+F851</f>
        <v>0</v>
      </c>
      <c r="H851" s="20"/>
      <c r="I851" s="167">
        <f>IF(B851&gt;0,(Parametros!$H$11-'Calculo Intereses COOPS'!B851),0)</f>
        <v>0</v>
      </c>
      <c r="J851" s="168">
        <f>(F851-E851)*Parametros!$H$37/365*'Calculo Intereses COOPS'!I851</f>
        <v>0</v>
      </c>
      <c r="K851" s="169">
        <f t="shared" si="80"/>
        <v>0</v>
      </c>
    </row>
    <row r="852" spans="2:11" x14ac:dyDescent="0.25">
      <c r="B852" s="160"/>
      <c r="C852" s="161"/>
      <c r="D852" s="162"/>
      <c r="E852" s="159"/>
      <c r="F852" s="159"/>
      <c r="G852" s="165">
        <f>+G851+F852</f>
        <v>0</v>
      </c>
      <c r="H852" s="20"/>
      <c r="I852" s="167">
        <f>IF(B852&gt;0,(Parametros!$H$11-'Calculo Intereses COOPS'!B852),0)</f>
        <v>0</v>
      </c>
      <c r="J852" s="168">
        <f>(F852-E852)*Parametros!$H$37/365*'Calculo Intereses COOPS'!I852</f>
        <v>0</v>
      </c>
      <c r="K852" s="169">
        <f t="shared" si="80"/>
        <v>0</v>
      </c>
    </row>
    <row r="853" spans="2:11" x14ac:dyDescent="0.25">
      <c r="B853" s="160"/>
      <c r="C853" s="161"/>
      <c r="D853" s="162"/>
      <c r="E853" s="159"/>
      <c r="F853" s="159"/>
      <c r="G853" s="165">
        <f>+G852+F853</f>
        <v>0</v>
      </c>
      <c r="H853" s="20"/>
      <c r="I853" s="167">
        <f>IF(B853&gt;0,(Parametros!$H$11-'Calculo Intereses COOPS'!B853),0)</f>
        <v>0</v>
      </c>
      <c r="J853" s="168">
        <f>(F853-E853)*Parametros!$H$37/365*'Calculo Intereses COOPS'!I853</f>
        <v>0</v>
      </c>
      <c r="K853" s="169">
        <f t="shared" si="80"/>
        <v>0</v>
      </c>
    </row>
    <row r="854" spans="2:11" x14ac:dyDescent="0.25">
      <c r="B854" s="160"/>
      <c r="C854" s="161"/>
      <c r="D854" s="163"/>
      <c r="E854" s="159"/>
      <c r="F854" s="159"/>
      <c r="G854" s="165">
        <f t="shared" ref="G854:G862" si="81">+G853+F854</f>
        <v>0</v>
      </c>
      <c r="H854" s="20"/>
      <c r="I854" s="167">
        <f>IF(B854&gt;0,(Parametros!$H$11-'Calculo Intereses COOPS'!B854),0)</f>
        <v>0</v>
      </c>
      <c r="J854" s="168">
        <f>(F854-E854)*Parametros!$H$37/365*'Calculo Intereses COOPS'!I854</f>
        <v>0</v>
      </c>
      <c r="K854" s="169">
        <f t="shared" si="80"/>
        <v>0</v>
      </c>
    </row>
    <row r="855" spans="2:11" x14ac:dyDescent="0.25">
      <c r="B855" s="160"/>
      <c r="C855" s="161"/>
      <c r="D855" s="163"/>
      <c r="E855" s="159"/>
      <c r="F855" s="159"/>
      <c r="G855" s="165">
        <f t="shared" si="81"/>
        <v>0</v>
      </c>
      <c r="H855" s="20"/>
      <c r="I855" s="167">
        <f>IF(B855&gt;0,(Parametros!$H$11-'Calculo Intereses COOPS'!B855),0)</f>
        <v>0</v>
      </c>
      <c r="J855" s="168">
        <f>(F855-E855)*Parametros!$H$37/365*'Calculo Intereses COOPS'!I855</f>
        <v>0</v>
      </c>
      <c r="K855" s="169">
        <f t="shared" si="80"/>
        <v>0</v>
      </c>
    </row>
    <row r="856" spans="2:11" x14ac:dyDescent="0.25">
      <c r="B856" s="160"/>
      <c r="C856" s="161"/>
      <c r="D856" s="163"/>
      <c r="E856" s="159"/>
      <c r="F856" s="159"/>
      <c r="G856" s="165">
        <f t="shared" si="81"/>
        <v>0</v>
      </c>
      <c r="H856" s="20"/>
      <c r="I856" s="167">
        <f>IF(B856&gt;0,(Parametros!$H$11-'Calculo Intereses COOPS'!B856),0)</f>
        <v>0</v>
      </c>
      <c r="J856" s="168">
        <f>(F856-E856)*Parametros!$H$37/365*'Calculo Intereses COOPS'!I856</f>
        <v>0</v>
      </c>
      <c r="K856" s="169">
        <f t="shared" si="80"/>
        <v>0</v>
      </c>
    </row>
    <row r="857" spans="2:11" x14ac:dyDescent="0.25">
      <c r="B857" s="160"/>
      <c r="C857" s="161"/>
      <c r="D857" s="163"/>
      <c r="E857" s="159"/>
      <c r="F857" s="159"/>
      <c r="G857" s="165">
        <f t="shared" si="81"/>
        <v>0</v>
      </c>
      <c r="H857" s="20"/>
      <c r="I857" s="167">
        <f>IF(B857&gt;0,(Parametros!$H$11-'Calculo Intereses COOPS'!B857),0)</f>
        <v>0</v>
      </c>
      <c r="J857" s="168">
        <f>(F857-E857)*Parametros!$H$37/365*'Calculo Intereses COOPS'!I857</f>
        <v>0</v>
      </c>
      <c r="K857" s="169">
        <f t="shared" si="80"/>
        <v>0</v>
      </c>
    </row>
    <row r="858" spans="2:11" x14ac:dyDescent="0.25">
      <c r="B858" s="160"/>
      <c r="C858" s="161"/>
      <c r="D858" s="163"/>
      <c r="E858" s="159"/>
      <c r="F858" s="159"/>
      <c r="G858" s="165">
        <f t="shared" si="81"/>
        <v>0</v>
      </c>
      <c r="H858" s="20"/>
      <c r="I858" s="167">
        <f>IF(B858&gt;0,(Parametros!$H$11-'Calculo Intereses COOPS'!B858),0)</f>
        <v>0</v>
      </c>
      <c r="J858" s="168">
        <f>(F858-E858)*Parametros!$H$37/365*'Calculo Intereses COOPS'!I858</f>
        <v>0</v>
      </c>
      <c r="K858" s="169">
        <f t="shared" si="80"/>
        <v>0</v>
      </c>
    </row>
    <row r="859" spans="2:11" x14ac:dyDescent="0.25">
      <c r="B859" s="160"/>
      <c r="C859" s="161"/>
      <c r="D859" s="163"/>
      <c r="E859" s="159"/>
      <c r="F859" s="159"/>
      <c r="G859" s="165">
        <f t="shared" si="81"/>
        <v>0</v>
      </c>
      <c r="H859" s="20"/>
      <c r="I859" s="167">
        <f>IF(B859&gt;0,(Parametros!$H$11-'Calculo Intereses COOPS'!B859),0)</f>
        <v>0</v>
      </c>
      <c r="J859" s="168">
        <f>(F859-E859)*Parametros!$H$37/365*'Calculo Intereses COOPS'!I859</f>
        <v>0</v>
      </c>
      <c r="K859" s="169">
        <f t="shared" si="80"/>
        <v>0</v>
      </c>
    </row>
    <row r="860" spans="2:11" x14ac:dyDescent="0.25">
      <c r="B860" s="160"/>
      <c r="C860" s="161"/>
      <c r="D860" s="163"/>
      <c r="E860" s="159"/>
      <c r="F860" s="159"/>
      <c r="G860" s="165">
        <f t="shared" si="81"/>
        <v>0</v>
      </c>
      <c r="H860" s="20"/>
      <c r="I860" s="167">
        <f>IF(B860&gt;0,(Parametros!$H$11-'Calculo Intereses COOPS'!B860),0)</f>
        <v>0</v>
      </c>
      <c r="J860" s="168">
        <f>(F860-E860)*Parametros!$H$37/365*'Calculo Intereses COOPS'!I860</f>
        <v>0</v>
      </c>
      <c r="K860" s="169">
        <f t="shared" si="80"/>
        <v>0</v>
      </c>
    </row>
    <row r="861" spans="2:11" x14ac:dyDescent="0.25">
      <c r="B861" s="160"/>
      <c r="C861" s="161"/>
      <c r="D861" s="163"/>
      <c r="E861" s="159"/>
      <c r="F861" s="159"/>
      <c r="G861" s="165">
        <f t="shared" si="81"/>
        <v>0</v>
      </c>
      <c r="H861" s="20"/>
      <c r="I861" s="167">
        <f>IF(B861&gt;0,(Parametros!$H$11-'Calculo Intereses COOPS'!B861),0)</f>
        <v>0</v>
      </c>
      <c r="J861" s="168">
        <f>(F861-E861)*Parametros!$H$37/365*'Calculo Intereses COOPS'!I861</f>
        <v>0</v>
      </c>
      <c r="K861" s="169">
        <f t="shared" si="80"/>
        <v>0</v>
      </c>
    </row>
    <row r="862" spans="2:11" x14ac:dyDescent="0.25">
      <c r="B862" s="160"/>
      <c r="C862" s="161"/>
      <c r="D862" s="163"/>
      <c r="E862" s="159"/>
      <c r="F862" s="159"/>
      <c r="G862" s="165">
        <f t="shared" si="81"/>
        <v>0</v>
      </c>
      <c r="H862" s="20"/>
      <c r="I862" s="167">
        <f>IF(B862&gt;0,(Parametros!$H$11-'Calculo Intereses COOPS'!B862),0)</f>
        <v>0</v>
      </c>
      <c r="J862" s="168">
        <f>(F862-E862)*Parametros!$H$37/365*'Calculo Intereses COOPS'!I862</f>
        <v>0</v>
      </c>
      <c r="K862" s="169">
        <f t="shared" si="80"/>
        <v>0</v>
      </c>
    </row>
    <row r="863" spans="2:11" x14ac:dyDescent="0.25">
      <c r="B863" s="160"/>
      <c r="C863" s="161"/>
      <c r="D863" s="163"/>
      <c r="E863" s="159"/>
      <c r="F863" s="159"/>
      <c r="G863" s="165">
        <f>+G862+F863</f>
        <v>0</v>
      </c>
      <c r="H863" s="20"/>
      <c r="I863" s="167">
        <f>IF(B863&gt;0,(Parametros!$H$11-'Calculo Intereses COOPS'!B863),0)</f>
        <v>0</v>
      </c>
      <c r="J863" s="168">
        <f>(F863-E863)*Parametros!$H$37/365*'Calculo Intereses COOPS'!I863</f>
        <v>0</v>
      </c>
      <c r="K863" s="169">
        <f t="shared" si="80"/>
        <v>0</v>
      </c>
    </row>
    <row r="864" spans="2:11" x14ac:dyDescent="0.25">
      <c r="B864" s="20"/>
      <c r="C864" s="20"/>
      <c r="D864" s="52" t="s">
        <v>21</v>
      </c>
      <c r="E864" s="166">
        <f>SUM(E848:E863)</f>
        <v>0</v>
      </c>
      <c r="F864" s="166">
        <f>SUM(F848:F863)</f>
        <v>0</v>
      </c>
      <c r="G864" s="166">
        <f>+G863</f>
        <v>0</v>
      </c>
      <c r="J864" s="170">
        <f>SUM(J848:J863)</f>
        <v>0</v>
      </c>
    </row>
    <row r="866" spans="2:11" x14ac:dyDescent="0.25">
      <c r="B866" s="172" t="str">
        <f>CONCATENATE("APORTACIONES Y CALCULO DE INTERESES CORRESPONDIENTES AL AÑO ",YEAR(Parametros!$H$11))</f>
        <v>APORTACIONES Y CALCULO DE INTERESES CORRESPONDIENTES AL AÑO 2015</v>
      </c>
      <c r="C866" s="53"/>
      <c r="D866" s="53"/>
      <c r="E866" s="54"/>
      <c r="F866" s="54"/>
      <c r="G866" s="54"/>
      <c r="H866" s="20"/>
      <c r="I866" s="55"/>
      <c r="J866" s="56"/>
      <c r="K866" s="20"/>
    </row>
    <row r="867" spans="2:11" x14ac:dyDescent="0.25">
      <c r="B867" s="69" t="s">
        <v>186</v>
      </c>
      <c r="C867" s="173" t="str">
        <f>+'Calculo Excedentes'!A47</f>
        <v>CA-48</v>
      </c>
      <c r="D867" s="171" t="s">
        <v>187</v>
      </c>
      <c r="E867" s="176">
        <f>+'Calculo Excedentes'!B47</f>
        <v>0</v>
      </c>
      <c r="F867" s="174"/>
      <c r="G867" s="175"/>
      <c r="H867" s="20"/>
      <c r="I867" s="39" t="s">
        <v>73</v>
      </c>
      <c r="J867" s="39" t="s">
        <v>74</v>
      </c>
      <c r="K867" s="39" t="s">
        <v>75</v>
      </c>
    </row>
    <row r="868" spans="2:11" x14ac:dyDescent="0.25">
      <c r="B868" s="40" t="s">
        <v>76</v>
      </c>
      <c r="C868" s="40" t="s">
        <v>77</v>
      </c>
      <c r="D868" s="40" t="s">
        <v>78</v>
      </c>
      <c r="E868" s="40" t="s">
        <v>79</v>
      </c>
      <c r="F868" s="40" t="s">
        <v>80</v>
      </c>
      <c r="G868" s="40" t="s">
        <v>81</v>
      </c>
      <c r="H868" s="20"/>
      <c r="I868" s="42" t="s">
        <v>82</v>
      </c>
      <c r="J868" s="164" t="s">
        <v>185</v>
      </c>
      <c r="K868" s="42" t="s">
        <v>84</v>
      </c>
    </row>
    <row r="869" spans="2:11" x14ac:dyDescent="0.25">
      <c r="B869" s="158">
        <f>+Parametros!$H$11-365</f>
        <v>42004</v>
      </c>
      <c r="C869" s="161"/>
      <c r="D869" s="162"/>
      <c r="E869" s="159"/>
      <c r="F869" s="159"/>
      <c r="G869" s="165">
        <f>+F869-E869</f>
        <v>0</v>
      </c>
      <c r="H869" s="20"/>
      <c r="I869" s="167">
        <f>IF(B869&gt;0,(Parametros!$H$11-'Calculo Intereses COOPS'!B869),0)</f>
        <v>365</v>
      </c>
      <c r="J869" s="168">
        <f>(F869-E869)*Parametros!$H$37/365*'Calculo Intereses COOPS'!I869</f>
        <v>0</v>
      </c>
      <c r="K869" s="169">
        <f>+J869</f>
        <v>0</v>
      </c>
    </row>
    <row r="870" spans="2:11" x14ac:dyDescent="0.25">
      <c r="B870" s="160"/>
      <c r="C870" s="161"/>
      <c r="D870" s="162"/>
      <c r="E870" s="159"/>
      <c r="F870" s="159"/>
      <c r="G870" s="165">
        <f>+G869+F870-E870</f>
        <v>0</v>
      </c>
      <c r="H870" s="20"/>
      <c r="I870" s="167">
        <f>IF(B870&gt;0,(Parametros!$H$11-'Calculo Intereses COOPS'!B870),0)</f>
        <v>0</v>
      </c>
      <c r="J870" s="168">
        <f>(F870-E870)*Parametros!$H$37/365*'Calculo Intereses COOPS'!I870</f>
        <v>0</v>
      </c>
      <c r="K870" s="169">
        <f>+J870+K869</f>
        <v>0</v>
      </c>
    </row>
    <row r="871" spans="2:11" x14ac:dyDescent="0.25">
      <c r="B871" s="160"/>
      <c r="C871" s="161"/>
      <c r="D871" s="162"/>
      <c r="E871" s="159"/>
      <c r="F871" s="159"/>
      <c r="G871" s="165">
        <f>+G870+F871</f>
        <v>0</v>
      </c>
      <c r="H871" s="20"/>
      <c r="I871" s="167">
        <f>IF(B871&gt;0,(Parametros!$H$11-'Calculo Intereses COOPS'!B871),0)</f>
        <v>0</v>
      </c>
      <c r="J871" s="168">
        <f>(F871-E871)*Parametros!$H$37/365*'Calculo Intereses COOPS'!I871</f>
        <v>0</v>
      </c>
      <c r="K871" s="169">
        <f t="shared" ref="K871:K884" si="82">+J871+K870</f>
        <v>0</v>
      </c>
    </row>
    <row r="872" spans="2:11" x14ac:dyDescent="0.25">
      <c r="B872" s="160"/>
      <c r="C872" s="161"/>
      <c r="D872" s="162"/>
      <c r="E872" s="159"/>
      <c r="F872" s="159"/>
      <c r="G872" s="165">
        <f>+G871+F872</f>
        <v>0</v>
      </c>
      <c r="H872" s="20"/>
      <c r="I872" s="167">
        <f>IF(B872&gt;0,(Parametros!$H$11-'Calculo Intereses COOPS'!B872),0)</f>
        <v>0</v>
      </c>
      <c r="J872" s="168">
        <f>(F872-E872)*Parametros!$H$37/365*'Calculo Intereses COOPS'!I872</f>
        <v>0</v>
      </c>
      <c r="K872" s="169">
        <f t="shared" si="82"/>
        <v>0</v>
      </c>
    </row>
    <row r="873" spans="2:11" x14ac:dyDescent="0.25">
      <c r="B873" s="160"/>
      <c r="C873" s="161"/>
      <c r="D873" s="162"/>
      <c r="E873" s="159"/>
      <c r="F873" s="159"/>
      <c r="G873" s="165">
        <f>+G872+F873</f>
        <v>0</v>
      </c>
      <c r="H873" s="20"/>
      <c r="I873" s="167">
        <f>IF(B873&gt;0,(Parametros!$H$11-'Calculo Intereses COOPS'!B873),0)</f>
        <v>0</v>
      </c>
      <c r="J873" s="168">
        <f>(F873-E873)*Parametros!$H$37/365*'Calculo Intereses COOPS'!I873</f>
        <v>0</v>
      </c>
      <c r="K873" s="169">
        <f t="shared" si="82"/>
        <v>0</v>
      </c>
    </row>
    <row r="874" spans="2:11" x14ac:dyDescent="0.25">
      <c r="B874" s="160"/>
      <c r="C874" s="161"/>
      <c r="D874" s="162"/>
      <c r="E874" s="159"/>
      <c r="F874" s="159"/>
      <c r="G874" s="165">
        <f>+G873+F874</f>
        <v>0</v>
      </c>
      <c r="H874" s="20"/>
      <c r="I874" s="167">
        <f>IF(B874&gt;0,(Parametros!$H$11-'Calculo Intereses COOPS'!B874),0)</f>
        <v>0</v>
      </c>
      <c r="J874" s="168">
        <f>(F874-E874)*Parametros!$H$37/365*'Calculo Intereses COOPS'!I874</f>
        <v>0</v>
      </c>
      <c r="K874" s="169">
        <f t="shared" si="82"/>
        <v>0</v>
      </c>
    </row>
    <row r="875" spans="2:11" x14ac:dyDescent="0.25">
      <c r="B875" s="160"/>
      <c r="C875" s="161"/>
      <c r="D875" s="163"/>
      <c r="E875" s="159"/>
      <c r="F875" s="159"/>
      <c r="G875" s="165">
        <f t="shared" ref="G875:G883" si="83">+G874+F875</f>
        <v>0</v>
      </c>
      <c r="H875" s="20"/>
      <c r="I875" s="167">
        <f>IF(B875&gt;0,(Parametros!$H$11-'Calculo Intereses COOPS'!B875),0)</f>
        <v>0</v>
      </c>
      <c r="J875" s="168">
        <f>(F875-E875)*Parametros!$H$37/365*'Calculo Intereses COOPS'!I875</f>
        <v>0</v>
      </c>
      <c r="K875" s="169">
        <f t="shared" si="82"/>
        <v>0</v>
      </c>
    </row>
    <row r="876" spans="2:11" x14ac:dyDescent="0.25">
      <c r="B876" s="160"/>
      <c r="C876" s="161"/>
      <c r="D876" s="163"/>
      <c r="E876" s="159"/>
      <c r="F876" s="159"/>
      <c r="G876" s="165">
        <f t="shared" si="83"/>
        <v>0</v>
      </c>
      <c r="H876" s="20"/>
      <c r="I876" s="167">
        <f>IF(B876&gt;0,(Parametros!$H$11-'Calculo Intereses COOPS'!B876),0)</f>
        <v>0</v>
      </c>
      <c r="J876" s="168">
        <f>(F876-E876)*Parametros!$H$37/365*'Calculo Intereses COOPS'!I876</f>
        <v>0</v>
      </c>
      <c r="K876" s="169">
        <f t="shared" si="82"/>
        <v>0</v>
      </c>
    </row>
    <row r="877" spans="2:11" x14ac:dyDescent="0.25">
      <c r="B877" s="160"/>
      <c r="C877" s="161"/>
      <c r="D877" s="163"/>
      <c r="E877" s="159"/>
      <c r="F877" s="159"/>
      <c r="G877" s="165">
        <f t="shared" si="83"/>
        <v>0</v>
      </c>
      <c r="H877" s="20"/>
      <c r="I877" s="167">
        <f>IF(B877&gt;0,(Parametros!$H$11-'Calculo Intereses COOPS'!B877),0)</f>
        <v>0</v>
      </c>
      <c r="J877" s="168">
        <f>(F877-E877)*Parametros!$H$37/365*'Calculo Intereses COOPS'!I877</f>
        <v>0</v>
      </c>
      <c r="K877" s="169">
        <f t="shared" si="82"/>
        <v>0</v>
      </c>
    </row>
    <row r="878" spans="2:11" x14ac:dyDescent="0.25">
      <c r="B878" s="160"/>
      <c r="C878" s="161"/>
      <c r="D878" s="163"/>
      <c r="E878" s="159"/>
      <c r="F878" s="159"/>
      <c r="G878" s="165">
        <f t="shared" si="83"/>
        <v>0</v>
      </c>
      <c r="H878" s="20"/>
      <c r="I878" s="167">
        <f>IF(B878&gt;0,(Parametros!$H$11-'Calculo Intereses COOPS'!B878),0)</f>
        <v>0</v>
      </c>
      <c r="J878" s="168">
        <f>(F878-E878)*Parametros!$H$37/365*'Calculo Intereses COOPS'!I878</f>
        <v>0</v>
      </c>
      <c r="K878" s="169">
        <f t="shared" si="82"/>
        <v>0</v>
      </c>
    </row>
    <row r="879" spans="2:11" x14ac:dyDescent="0.25">
      <c r="B879" s="160"/>
      <c r="C879" s="161"/>
      <c r="D879" s="163"/>
      <c r="E879" s="159"/>
      <c r="F879" s="159"/>
      <c r="G879" s="165">
        <f t="shared" si="83"/>
        <v>0</v>
      </c>
      <c r="H879" s="20"/>
      <c r="I879" s="167">
        <f>IF(B879&gt;0,(Parametros!$H$11-'Calculo Intereses COOPS'!B879),0)</f>
        <v>0</v>
      </c>
      <c r="J879" s="168">
        <f>(F879-E879)*Parametros!$H$37/365*'Calculo Intereses COOPS'!I879</f>
        <v>0</v>
      </c>
      <c r="K879" s="169">
        <f t="shared" si="82"/>
        <v>0</v>
      </c>
    </row>
    <row r="880" spans="2:11" x14ac:dyDescent="0.25">
      <c r="B880" s="160"/>
      <c r="C880" s="161"/>
      <c r="D880" s="163"/>
      <c r="E880" s="159"/>
      <c r="F880" s="159"/>
      <c r="G880" s="165">
        <f t="shared" si="83"/>
        <v>0</v>
      </c>
      <c r="H880" s="20"/>
      <c r="I880" s="167">
        <f>IF(B880&gt;0,(Parametros!$H$11-'Calculo Intereses COOPS'!B880),0)</f>
        <v>0</v>
      </c>
      <c r="J880" s="168">
        <f>(F880-E880)*Parametros!$H$37/365*'Calculo Intereses COOPS'!I880</f>
        <v>0</v>
      </c>
      <c r="K880" s="169">
        <f t="shared" si="82"/>
        <v>0</v>
      </c>
    </row>
    <row r="881" spans="2:11" x14ac:dyDescent="0.25">
      <c r="B881" s="160"/>
      <c r="C881" s="161"/>
      <c r="D881" s="163"/>
      <c r="E881" s="159"/>
      <c r="F881" s="159"/>
      <c r="G881" s="165">
        <f t="shared" si="83"/>
        <v>0</v>
      </c>
      <c r="H881" s="20"/>
      <c r="I881" s="167">
        <f>IF(B881&gt;0,(Parametros!$H$11-'Calculo Intereses COOPS'!B881),0)</f>
        <v>0</v>
      </c>
      <c r="J881" s="168">
        <f>(F881-E881)*Parametros!$H$37/365*'Calculo Intereses COOPS'!I881</f>
        <v>0</v>
      </c>
      <c r="K881" s="169">
        <f t="shared" si="82"/>
        <v>0</v>
      </c>
    </row>
    <row r="882" spans="2:11" x14ac:dyDescent="0.25">
      <c r="B882" s="160"/>
      <c r="C882" s="161"/>
      <c r="D882" s="163"/>
      <c r="E882" s="159"/>
      <c r="F882" s="159"/>
      <c r="G882" s="165">
        <f t="shared" si="83"/>
        <v>0</v>
      </c>
      <c r="H882" s="20"/>
      <c r="I882" s="167">
        <f>IF(B882&gt;0,(Parametros!$H$11-'Calculo Intereses COOPS'!B882),0)</f>
        <v>0</v>
      </c>
      <c r="J882" s="168">
        <f>(F882-E882)*Parametros!$H$37/365*'Calculo Intereses COOPS'!I882</f>
        <v>0</v>
      </c>
      <c r="K882" s="169">
        <f t="shared" si="82"/>
        <v>0</v>
      </c>
    </row>
    <row r="883" spans="2:11" x14ac:dyDescent="0.25">
      <c r="B883" s="160"/>
      <c r="C883" s="161"/>
      <c r="D883" s="163"/>
      <c r="E883" s="159"/>
      <c r="F883" s="159"/>
      <c r="G883" s="165">
        <f t="shared" si="83"/>
        <v>0</v>
      </c>
      <c r="H883" s="20"/>
      <c r="I883" s="167">
        <f>IF(B883&gt;0,(Parametros!$H$11-'Calculo Intereses COOPS'!B883),0)</f>
        <v>0</v>
      </c>
      <c r="J883" s="168">
        <f>(F883-E883)*Parametros!$H$37/365*'Calculo Intereses COOPS'!I883</f>
        <v>0</v>
      </c>
      <c r="K883" s="169">
        <f t="shared" si="82"/>
        <v>0</v>
      </c>
    </row>
    <row r="884" spans="2:11" x14ac:dyDescent="0.25">
      <c r="B884" s="160"/>
      <c r="C884" s="161"/>
      <c r="D884" s="163"/>
      <c r="E884" s="159"/>
      <c r="F884" s="159"/>
      <c r="G884" s="165">
        <f>+G883+F884</f>
        <v>0</v>
      </c>
      <c r="H884" s="20"/>
      <c r="I884" s="167">
        <f>IF(B884&gt;0,(Parametros!$H$11-'Calculo Intereses COOPS'!B884),0)</f>
        <v>0</v>
      </c>
      <c r="J884" s="168">
        <f>(F884-E884)*Parametros!$H$37/365*'Calculo Intereses COOPS'!I884</f>
        <v>0</v>
      </c>
      <c r="K884" s="169">
        <f t="shared" si="82"/>
        <v>0</v>
      </c>
    </row>
    <row r="885" spans="2:11" x14ac:dyDescent="0.25">
      <c r="B885" s="20"/>
      <c r="C885" s="20"/>
      <c r="D885" s="52" t="s">
        <v>21</v>
      </c>
      <c r="E885" s="166">
        <f>SUM(E869:E884)</f>
        <v>0</v>
      </c>
      <c r="F885" s="166">
        <f>SUM(F869:F884)</f>
        <v>0</v>
      </c>
      <c r="G885" s="166">
        <f>+G884</f>
        <v>0</v>
      </c>
      <c r="J885" s="170">
        <f>SUM(J869:J884)</f>
        <v>0</v>
      </c>
    </row>
    <row r="887" spans="2:11" x14ac:dyDescent="0.25">
      <c r="B887" s="172" t="str">
        <f>CONCATENATE("APORTACIONES Y CALCULO DE INTERESES CORRESPONDIENTES AL AÑO ",YEAR(Parametros!$H$11))</f>
        <v>APORTACIONES Y CALCULO DE INTERESES CORRESPONDIENTES AL AÑO 2015</v>
      </c>
      <c r="C887" s="53"/>
      <c r="D887" s="53"/>
      <c r="E887" s="54"/>
      <c r="F887" s="54"/>
      <c r="G887" s="54"/>
      <c r="H887" s="20"/>
      <c r="I887" s="55"/>
      <c r="J887" s="56"/>
      <c r="K887" s="20"/>
    </row>
    <row r="888" spans="2:11" x14ac:dyDescent="0.25">
      <c r="B888" s="69" t="s">
        <v>186</v>
      </c>
      <c r="C888" s="173" t="str">
        <f>+'Calculo Excedentes'!A48</f>
        <v>CA-49</v>
      </c>
      <c r="D888" s="171" t="s">
        <v>187</v>
      </c>
      <c r="E888" s="176">
        <f>+'Calculo Excedentes'!B48</f>
        <v>0</v>
      </c>
      <c r="F888" s="174"/>
      <c r="G888" s="175"/>
      <c r="H888" s="20"/>
      <c r="I888" s="39" t="s">
        <v>73</v>
      </c>
      <c r="J888" s="39" t="s">
        <v>74</v>
      </c>
      <c r="K888" s="39" t="s">
        <v>75</v>
      </c>
    </row>
    <row r="889" spans="2:11" x14ac:dyDescent="0.25">
      <c r="B889" s="40" t="s">
        <v>76</v>
      </c>
      <c r="C889" s="40" t="s">
        <v>77</v>
      </c>
      <c r="D889" s="40" t="s">
        <v>78</v>
      </c>
      <c r="E889" s="40" t="s">
        <v>79</v>
      </c>
      <c r="F889" s="40" t="s">
        <v>80</v>
      </c>
      <c r="G889" s="40" t="s">
        <v>81</v>
      </c>
      <c r="H889" s="20"/>
      <c r="I889" s="42" t="s">
        <v>82</v>
      </c>
      <c r="J889" s="164" t="s">
        <v>185</v>
      </c>
      <c r="K889" s="42" t="s">
        <v>84</v>
      </c>
    </row>
    <row r="890" spans="2:11" x14ac:dyDescent="0.25">
      <c r="B890" s="158">
        <f>+Parametros!$H$11-365</f>
        <v>42004</v>
      </c>
      <c r="C890" s="161"/>
      <c r="D890" s="162"/>
      <c r="E890" s="159"/>
      <c r="F890" s="159"/>
      <c r="G890" s="165">
        <f>+F890-E890</f>
        <v>0</v>
      </c>
      <c r="H890" s="20"/>
      <c r="I890" s="167">
        <f>IF(B890&gt;0,(Parametros!$H$11-'Calculo Intereses COOPS'!B890),0)</f>
        <v>365</v>
      </c>
      <c r="J890" s="168">
        <f>(F890-E890)*Parametros!$H$37/365*'Calculo Intereses COOPS'!I890</f>
        <v>0</v>
      </c>
      <c r="K890" s="169">
        <f>+J890</f>
        <v>0</v>
      </c>
    </row>
    <row r="891" spans="2:11" x14ac:dyDescent="0.25">
      <c r="B891" s="160"/>
      <c r="C891" s="161"/>
      <c r="D891" s="162"/>
      <c r="E891" s="159"/>
      <c r="F891" s="159"/>
      <c r="G891" s="165">
        <f>+G890+F891-E891</f>
        <v>0</v>
      </c>
      <c r="H891" s="20"/>
      <c r="I891" s="167">
        <f>IF(B891&gt;0,(Parametros!$H$11-'Calculo Intereses COOPS'!B891),0)</f>
        <v>0</v>
      </c>
      <c r="J891" s="168">
        <f>(F891-E891)*Parametros!$H$37/365*'Calculo Intereses COOPS'!I891</f>
        <v>0</v>
      </c>
      <c r="K891" s="169">
        <f>+J891+K890</f>
        <v>0</v>
      </c>
    </row>
    <row r="892" spans="2:11" x14ac:dyDescent="0.25">
      <c r="B892" s="160"/>
      <c r="C892" s="161"/>
      <c r="D892" s="162"/>
      <c r="E892" s="159"/>
      <c r="F892" s="159"/>
      <c r="G892" s="165">
        <f>+G891+F892</f>
        <v>0</v>
      </c>
      <c r="H892" s="20"/>
      <c r="I892" s="167">
        <f>IF(B892&gt;0,(Parametros!$H$11-'Calculo Intereses COOPS'!B892),0)</f>
        <v>0</v>
      </c>
      <c r="J892" s="168">
        <f>(F892-E892)*Parametros!$H$37/365*'Calculo Intereses COOPS'!I892</f>
        <v>0</v>
      </c>
      <c r="K892" s="169">
        <f t="shared" ref="K892:K905" si="84">+J892+K891</f>
        <v>0</v>
      </c>
    </row>
    <row r="893" spans="2:11" x14ac:dyDescent="0.25">
      <c r="B893" s="160"/>
      <c r="C893" s="161"/>
      <c r="D893" s="162"/>
      <c r="E893" s="159"/>
      <c r="F893" s="159"/>
      <c r="G893" s="165">
        <f>+G892+F893</f>
        <v>0</v>
      </c>
      <c r="H893" s="20"/>
      <c r="I893" s="167">
        <f>IF(B893&gt;0,(Parametros!$H$11-'Calculo Intereses COOPS'!B893),0)</f>
        <v>0</v>
      </c>
      <c r="J893" s="168">
        <f>(F893-E893)*Parametros!$H$37/365*'Calculo Intereses COOPS'!I893</f>
        <v>0</v>
      </c>
      <c r="K893" s="169">
        <f t="shared" si="84"/>
        <v>0</v>
      </c>
    </row>
    <row r="894" spans="2:11" x14ac:dyDescent="0.25">
      <c r="B894" s="160"/>
      <c r="C894" s="161"/>
      <c r="D894" s="162"/>
      <c r="E894" s="159"/>
      <c r="F894" s="159"/>
      <c r="G894" s="165">
        <f>+G893+F894</f>
        <v>0</v>
      </c>
      <c r="H894" s="20"/>
      <c r="I894" s="167">
        <f>IF(B894&gt;0,(Parametros!$H$11-'Calculo Intereses COOPS'!B894),0)</f>
        <v>0</v>
      </c>
      <c r="J894" s="168">
        <f>(F894-E894)*Parametros!$H$37/365*'Calculo Intereses COOPS'!I894</f>
        <v>0</v>
      </c>
      <c r="K894" s="169">
        <f t="shared" si="84"/>
        <v>0</v>
      </c>
    </row>
    <row r="895" spans="2:11" x14ac:dyDescent="0.25">
      <c r="B895" s="160"/>
      <c r="C895" s="161"/>
      <c r="D895" s="162"/>
      <c r="E895" s="159"/>
      <c r="F895" s="159"/>
      <c r="G895" s="165">
        <f>+G894+F895</f>
        <v>0</v>
      </c>
      <c r="H895" s="20"/>
      <c r="I895" s="167">
        <f>IF(B895&gt;0,(Parametros!$H$11-'Calculo Intereses COOPS'!B895),0)</f>
        <v>0</v>
      </c>
      <c r="J895" s="168">
        <f>(F895-E895)*Parametros!$H$37/365*'Calculo Intereses COOPS'!I895</f>
        <v>0</v>
      </c>
      <c r="K895" s="169">
        <f t="shared" si="84"/>
        <v>0</v>
      </c>
    </row>
    <row r="896" spans="2:11" x14ac:dyDescent="0.25">
      <c r="B896" s="160"/>
      <c r="C896" s="161"/>
      <c r="D896" s="163"/>
      <c r="E896" s="159"/>
      <c r="F896" s="159"/>
      <c r="G896" s="165">
        <f t="shared" ref="G896:G904" si="85">+G895+F896</f>
        <v>0</v>
      </c>
      <c r="H896" s="20"/>
      <c r="I896" s="167">
        <f>IF(B896&gt;0,(Parametros!$H$11-'Calculo Intereses COOPS'!B896),0)</f>
        <v>0</v>
      </c>
      <c r="J896" s="168">
        <f>(F896-E896)*Parametros!$H$37/365*'Calculo Intereses COOPS'!I896</f>
        <v>0</v>
      </c>
      <c r="K896" s="169">
        <f t="shared" si="84"/>
        <v>0</v>
      </c>
    </row>
    <row r="897" spans="2:11" x14ac:dyDescent="0.25">
      <c r="B897" s="160"/>
      <c r="C897" s="161"/>
      <c r="D897" s="163"/>
      <c r="E897" s="159"/>
      <c r="F897" s="159"/>
      <c r="G897" s="165">
        <f t="shared" si="85"/>
        <v>0</v>
      </c>
      <c r="H897" s="20"/>
      <c r="I897" s="167">
        <f>IF(B897&gt;0,(Parametros!$H$11-'Calculo Intereses COOPS'!B897),0)</f>
        <v>0</v>
      </c>
      <c r="J897" s="168">
        <f>(F897-E897)*Parametros!$H$37/365*'Calculo Intereses COOPS'!I897</f>
        <v>0</v>
      </c>
      <c r="K897" s="169">
        <f t="shared" si="84"/>
        <v>0</v>
      </c>
    </row>
    <row r="898" spans="2:11" x14ac:dyDescent="0.25">
      <c r="B898" s="160"/>
      <c r="C898" s="161"/>
      <c r="D898" s="163"/>
      <c r="E898" s="159"/>
      <c r="F898" s="159"/>
      <c r="G898" s="165">
        <f t="shared" si="85"/>
        <v>0</v>
      </c>
      <c r="H898" s="20"/>
      <c r="I898" s="167">
        <f>IF(B898&gt;0,(Parametros!$H$11-'Calculo Intereses COOPS'!B898),0)</f>
        <v>0</v>
      </c>
      <c r="J898" s="168">
        <f>(F898-E898)*Parametros!$H$37/365*'Calculo Intereses COOPS'!I898</f>
        <v>0</v>
      </c>
      <c r="K898" s="169">
        <f t="shared" si="84"/>
        <v>0</v>
      </c>
    </row>
    <row r="899" spans="2:11" x14ac:dyDescent="0.25">
      <c r="B899" s="160"/>
      <c r="C899" s="161"/>
      <c r="D899" s="163"/>
      <c r="E899" s="159"/>
      <c r="F899" s="159"/>
      <c r="G899" s="165">
        <f t="shared" si="85"/>
        <v>0</v>
      </c>
      <c r="H899" s="20"/>
      <c r="I899" s="167">
        <f>IF(B899&gt;0,(Parametros!$H$11-'Calculo Intereses COOPS'!B899),0)</f>
        <v>0</v>
      </c>
      <c r="J899" s="168">
        <f>(F899-E899)*Parametros!$H$37/365*'Calculo Intereses COOPS'!I899</f>
        <v>0</v>
      </c>
      <c r="K899" s="169">
        <f t="shared" si="84"/>
        <v>0</v>
      </c>
    </row>
    <row r="900" spans="2:11" x14ac:dyDescent="0.25">
      <c r="B900" s="160"/>
      <c r="C900" s="161"/>
      <c r="D900" s="163"/>
      <c r="E900" s="159"/>
      <c r="F900" s="159"/>
      <c r="G900" s="165">
        <f t="shared" si="85"/>
        <v>0</v>
      </c>
      <c r="H900" s="20"/>
      <c r="I900" s="167">
        <f>IF(B900&gt;0,(Parametros!$H$11-'Calculo Intereses COOPS'!B900),0)</f>
        <v>0</v>
      </c>
      <c r="J900" s="168">
        <f>(F900-E900)*Parametros!$H$37/365*'Calculo Intereses COOPS'!I900</f>
        <v>0</v>
      </c>
      <c r="K900" s="169">
        <f t="shared" si="84"/>
        <v>0</v>
      </c>
    </row>
    <row r="901" spans="2:11" x14ac:dyDescent="0.25">
      <c r="B901" s="160"/>
      <c r="C901" s="161"/>
      <c r="D901" s="163"/>
      <c r="E901" s="159"/>
      <c r="F901" s="159"/>
      <c r="G901" s="165">
        <f t="shared" si="85"/>
        <v>0</v>
      </c>
      <c r="H901" s="20"/>
      <c r="I901" s="167">
        <f>IF(B901&gt;0,(Parametros!$H$11-'Calculo Intereses COOPS'!B901),0)</f>
        <v>0</v>
      </c>
      <c r="J901" s="168">
        <f>(F901-E901)*Parametros!$H$37/365*'Calculo Intereses COOPS'!I901</f>
        <v>0</v>
      </c>
      <c r="K901" s="169">
        <f t="shared" si="84"/>
        <v>0</v>
      </c>
    </row>
    <row r="902" spans="2:11" x14ac:dyDescent="0.25">
      <c r="B902" s="160"/>
      <c r="C902" s="161"/>
      <c r="D902" s="163"/>
      <c r="E902" s="159"/>
      <c r="F902" s="159"/>
      <c r="G902" s="165">
        <f t="shared" si="85"/>
        <v>0</v>
      </c>
      <c r="H902" s="20"/>
      <c r="I902" s="167">
        <f>IF(B902&gt;0,(Parametros!$H$11-'Calculo Intereses COOPS'!B902),0)</f>
        <v>0</v>
      </c>
      <c r="J902" s="168">
        <f>(F902-E902)*Parametros!$H$37/365*'Calculo Intereses COOPS'!I902</f>
        <v>0</v>
      </c>
      <c r="K902" s="169">
        <f t="shared" si="84"/>
        <v>0</v>
      </c>
    </row>
    <row r="903" spans="2:11" x14ac:dyDescent="0.25">
      <c r="B903" s="160"/>
      <c r="C903" s="161"/>
      <c r="D903" s="163"/>
      <c r="E903" s="159"/>
      <c r="F903" s="159"/>
      <c r="G903" s="165">
        <f t="shared" si="85"/>
        <v>0</v>
      </c>
      <c r="H903" s="20"/>
      <c r="I903" s="167">
        <f>IF(B903&gt;0,(Parametros!$H$11-'Calculo Intereses COOPS'!B903),0)</f>
        <v>0</v>
      </c>
      <c r="J903" s="168">
        <f>(F903-E903)*Parametros!$H$37/365*'Calculo Intereses COOPS'!I903</f>
        <v>0</v>
      </c>
      <c r="K903" s="169">
        <f t="shared" si="84"/>
        <v>0</v>
      </c>
    </row>
    <row r="904" spans="2:11" x14ac:dyDescent="0.25">
      <c r="B904" s="160"/>
      <c r="C904" s="161"/>
      <c r="D904" s="163"/>
      <c r="E904" s="159"/>
      <c r="F904" s="159"/>
      <c r="G904" s="165">
        <f t="shared" si="85"/>
        <v>0</v>
      </c>
      <c r="H904" s="20"/>
      <c r="I904" s="167">
        <f>IF(B904&gt;0,(Parametros!$H$11-'Calculo Intereses COOPS'!B904),0)</f>
        <v>0</v>
      </c>
      <c r="J904" s="168">
        <f>(F904-E904)*Parametros!$H$37/365*'Calculo Intereses COOPS'!I904</f>
        <v>0</v>
      </c>
      <c r="K904" s="169">
        <f t="shared" si="84"/>
        <v>0</v>
      </c>
    </row>
    <row r="905" spans="2:11" x14ac:dyDescent="0.25">
      <c r="B905" s="160"/>
      <c r="C905" s="161"/>
      <c r="D905" s="163"/>
      <c r="E905" s="159"/>
      <c r="F905" s="159"/>
      <c r="G905" s="165">
        <f>+G904+F905</f>
        <v>0</v>
      </c>
      <c r="H905" s="20"/>
      <c r="I905" s="167">
        <f>IF(B905&gt;0,(Parametros!$H$11-'Calculo Intereses COOPS'!B905),0)</f>
        <v>0</v>
      </c>
      <c r="J905" s="168">
        <f>(F905-E905)*Parametros!$H$37/365*'Calculo Intereses COOPS'!I905</f>
        <v>0</v>
      </c>
      <c r="K905" s="169">
        <f t="shared" si="84"/>
        <v>0</v>
      </c>
    </row>
    <row r="906" spans="2:11" x14ac:dyDescent="0.25">
      <c r="B906" s="20"/>
      <c r="C906" s="20"/>
      <c r="D906" s="52" t="s">
        <v>21</v>
      </c>
      <c r="E906" s="166">
        <f>SUM(E890:E905)</f>
        <v>0</v>
      </c>
      <c r="F906" s="166">
        <f>SUM(F890:F905)</f>
        <v>0</v>
      </c>
      <c r="G906" s="166">
        <f>+G905</f>
        <v>0</v>
      </c>
      <c r="J906" s="170">
        <f>SUM(J890:J905)</f>
        <v>0</v>
      </c>
    </row>
    <row r="908" spans="2:11" x14ac:dyDescent="0.25">
      <c r="B908" s="172" t="str">
        <f>CONCATENATE("APORTACIONES Y CALCULO DE INTERESES CORRESPONDIENTES AL AÑO ",YEAR(Parametros!$H$11))</f>
        <v>APORTACIONES Y CALCULO DE INTERESES CORRESPONDIENTES AL AÑO 2015</v>
      </c>
      <c r="C908" s="53"/>
      <c r="D908" s="53"/>
      <c r="E908" s="54"/>
      <c r="F908" s="54"/>
      <c r="G908" s="54"/>
      <c r="H908" s="20"/>
      <c r="I908" s="55"/>
      <c r="J908" s="56"/>
      <c r="K908" s="20"/>
    </row>
    <row r="909" spans="2:11" x14ac:dyDescent="0.25">
      <c r="B909" s="69" t="s">
        <v>186</v>
      </c>
      <c r="C909" s="173" t="str">
        <f>+'Calculo Excedentes'!A49</f>
        <v>CA-50</v>
      </c>
      <c r="D909" s="171" t="s">
        <v>187</v>
      </c>
      <c r="E909" s="176">
        <f>+'Calculo Excedentes'!B49</f>
        <v>0</v>
      </c>
      <c r="F909" s="174"/>
      <c r="G909" s="175"/>
      <c r="H909" s="20"/>
      <c r="I909" s="39" t="s">
        <v>73</v>
      </c>
      <c r="J909" s="39" t="s">
        <v>74</v>
      </c>
      <c r="K909" s="39" t="s">
        <v>75</v>
      </c>
    </row>
    <row r="910" spans="2:11" x14ac:dyDescent="0.25">
      <c r="B910" s="40" t="s">
        <v>76</v>
      </c>
      <c r="C910" s="40" t="s">
        <v>77</v>
      </c>
      <c r="D910" s="40" t="s">
        <v>78</v>
      </c>
      <c r="E910" s="40" t="s">
        <v>79</v>
      </c>
      <c r="F910" s="40" t="s">
        <v>80</v>
      </c>
      <c r="G910" s="40" t="s">
        <v>81</v>
      </c>
      <c r="H910" s="20"/>
      <c r="I910" s="42" t="s">
        <v>82</v>
      </c>
      <c r="J910" s="164" t="s">
        <v>185</v>
      </c>
      <c r="K910" s="42" t="s">
        <v>84</v>
      </c>
    </row>
    <row r="911" spans="2:11" x14ac:dyDescent="0.25">
      <c r="B911" s="158">
        <f>+Parametros!$H$11-365</f>
        <v>42004</v>
      </c>
      <c r="C911" s="161"/>
      <c r="D911" s="162"/>
      <c r="E911" s="159"/>
      <c r="F911" s="159"/>
      <c r="G911" s="165">
        <f>+F911-E911</f>
        <v>0</v>
      </c>
      <c r="H911" s="20"/>
      <c r="I911" s="167">
        <f>IF(B911&gt;0,(Parametros!$H$11-'Calculo Intereses COOPS'!B911),0)</f>
        <v>365</v>
      </c>
      <c r="J911" s="168">
        <f>(F911-E911)*Parametros!$H$37/365*'Calculo Intereses COOPS'!I911</f>
        <v>0</v>
      </c>
      <c r="K911" s="169">
        <f>+J911</f>
        <v>0</v>
      </c>
    </row>
    <row r="912" spans="2:11" x14ac:dyDescent="0.25">
      <c r="B912" s="160"/>
      <c r="C912" s="161"/>
      <c r="D912" s="162"/>
      <c r="E912" s="159"/>
      <c r="F912" s="159"/>
      <c r="G912" s="165">
        <f>+G911+F912-E912</f>
        <v>0</v>
      </c>
      <c r="H912" s="20"/>
      <c r="I912" s="167">
        <f>IF(B912&gt;0,(Parametros!$H$11-'Calculo Intereses COOPS'!B912),0)</f>
        <v>0</v>
      </c>
      <c r="J912" s="168">
        <f>(F912-E912)*Parametros!$H$37/365*'Calculo Intereses COOPS'!I912</f>
        <v>0</v>
      </c>
      <c r="K912" s="169">
        <f>+J912+K911</f>
        <v>0</v>
      </c>
    </row>
    <row r="913" spans="2:11" x14ac:dyDescent="0.25">
      <c r="B913" s="160"/>
      <c r="C913" s="161"/>
      <c r="D913" s="162"/>
      <c r="E913" s="159"/>
      <c r="F913" s="159"/>
      <c r="G913" s="165">
        <f>+G912+F913</f>
        <v>0</v>
      </c>
      <c r="H913" s="20"/>
      <c r="I913" s="167">
        <f>IF(B913&gt;0,(Parametros!$H$11-'Calculo Intereses COOPS'!B913),0)</f>
        <v>0</v>
      </c>
      <c r="J913" s="168">
        <f>(F913-E913)*Parametros!$H$37/365*'Calculo Intereses COOPS'!I913</f>
        <v>0</v>
      </c>
      <c r="K913" s="169">
        <f t="shared" ref="K913:K926" si="86">+J913+K912</f>
        <v>0</v>
      </c>
    </row>
    <row r="914" spans="2:11" x14ac:dyDescent="0.25">
      <c r="B914" s="160"/>
      <c r="C914" s="161"/>
      <c r="D914" s="162"/>
      <c r="E914" s="159"/>
      <c r="F914" s="159"/>
      <c r="G914" s="165">
        <f>+G913+F914</f>
        <v>0</v>
      </c>
      <c r="H914" s="20"/>
      <c r="I914" s="167">
        <f>IF(B914&gt;0,(Parametros!$H$11-'Calculo Intereses COOPS'!B914),0)</f>
        <v>0</v>
      </c>
      <c r="J914" s="168">
        <f>(F914-E914)*Parametros!$H$37/365*'Calculo Intereses COOPS'!I914</f>
        <v>0</v>
      </c>
      <c r="K914" s="169">
        <f t="shared" si="86"/>
        <v>0</v>
      </c>
    </row>
    <row r="915" spans="2:11" x14ac:dyDescent="0.25">
      <c r="B915" s="160"/>
      <c r="C915" s="161"/>
      <c r="D915" s="162"/>
      <c r="E915" s="159"/>
      <c r="F915" s="159"/>
      <c r="G915" s="165">
        <f>+G914+F915</f>
        <v>0</v>
      </c>
      <c r="H915" s="20"/>
      <c r="I915" s="167">
        <f>IF(B915&gt;0,(Parametros!$H$11-'Calculo Intereses COOPS'!B915),0)</f>
        <v>0</v>
      </c>
      <c r="J915" s="168">
        <f>(F915-E915)*Parametros!$H$37/365*'Calculo Intereses COOPS'!I915</f>
        <v>0</v>
      </c>
      <c r="K915" s="169">
        <f t="shared" si="86"/>
        <v>0</v>
      </c>
    </row>
    <row r="916" spans="2:11" x14ac:dyDescent="0.25">
      <c r="B916" s="160"/>
      <c r="C916" s="161"/>
      <c r="D916" s="162"/>
      <c r="E916" s="159"/>
      <c r="F916" s="159"/>
      <c r="G916" s="165">
        <f>+G915+F916</f>
        <v>0</v>
      </c>
      <c r="H916" s="20"/>
      <c r="I916" s="167">
        <f>IF(B916&gt;0,(Parametros!$H$11-'Calculo Intereses COOPS'!B916),0)</f>
        <v>0</v>
      </c>
      <c r="J916" s="168">
        <f>(F916-E916)*Parametros!$H$37/365*'Calculo Intereses COOPS'!I916</f>
        <v>0</v>
      </c>
      <c r="K916" s="169">
        <f t="shared" si="86"/>
        <v>0</v>
      </c>
    </row>
    <row r="917" spans="2:11" x14ac:dyDescent="0.25">
      <c r="B917" s="160"/>
      <c r="C917" s="161"/>
      <c r="D917" s="163"/>
      <c r="E917" s="159"/>
      <c r="F917" s="159"/>
      <c r="G917" s="165">
        <f t="shared" ref="G917:G925" si="87">+G916+F917</f>
        <v>0</v>
      </c>
      <c r="H917" s="20"/>
      <c r="I917" s="167">
        <f>IF(B917&gt;0,(Parametros!$H$11-'Calculo Intereses COOPS'!B917),0)</f>
        <v>0</v>
      </c>
      <c r="J917" s="168">
        <f>(F917-E917)*Parametros!$H$37/365*'Calculo Intereses COOPS'!I917</f>
        <v>0</v>
      </c>
      <c r="K917" s="169">
        <f t="shared" si="86"/>
        <v>0</v>
      </c>
    </row>
    <row r="918" spans="2:11" x14ac:dyDescent="0.25">
      <c r="B918" s="160"/>
      <c r="C918" s="161"/>
      <c r="D918" s="163"/>
      <c r="E918" s="159"/>
      <c r="F918" s="159"/>
      <c r="G918" s="165">
        <f t="shared" si="87"/>
        <v>0</v>
      </c>
      <c r="H918" s="20"/>
      <c r="I918" s="167">
        <f>IF(B918&gt;0,(Parametros!$H$11-'Calculo Intereses COOPS'!B918),0)</f>
        <v>0</v>
      </c>
      <c r="J918" s="168">
        <f>(F918-E918)*Parametros!$H$37/365*'Calculo Intereses COOPS'!I918</f>
        <v>0</v>
      </c>
      <c r="K918" s="169">
        <f t="shared" si="86"/>
        <v>0</v>
      </c>
    </row>
    <row r="919" spans="2:11" x14ac:dyDescent="0.25">
      <c r="B919" s="160"/>
      <c r="C919" s="161"/>
      <c r="D919" s="163"/>
      <c r="E919" s="159"/>
      <c r="F919" s="159"/>
      <c r="G919" s="165">
        <f t="shared" si="87"/>
        <v>0</v>
      </c>
      <c r="H919" s="20"/>
      <c r="I919" s="167">
        <f>IF(B919&gt;0,(Parametros!$H$11-'Calculo Intereses COOPS'!B919),0)</f>
        <v>0</v>
      </c>
      <c r="J919" s="168">
        <f>(F919-E919)*Parametros!$H$37/365*'Calculo Intereses COOPS'!I919</f>
        <v>0</v>
      </c>
      <c r="K919" s="169">
        <f t="shared" si="86"/>
        <v>0</v>
      </c>
    </row>
    <row r="920" spans="2:11" x14ac:dyDescent="0.25">
      <c r="B920" s="160"/>
      <c r="C920" s="161"/>
      <c r="D920" s="163"/>
      <c r="E920" s="159"/>
      <c r="F920" s="159"/>
      <c r="G920" s="165">
        <f t="shared" si="87"/>
        <v>0</v>
      </c>
      <c r="H920" s="20"/>
      <c r="I920" s="167">
        <f>IF(B920&gt;0,(Parametros!$H$11-'Calculo Intereses COOPS'!B920),0)</f>
        <v>0</v>
      </c>
      <c r="J920" s="168">
        <f>(F920-E920)*Parametros!$H$37/365*'Calculo Intereses COOPS'!I920</f>
        <v>0</v>
      </c>
      <c r="K920" s="169">
        <f t="shared" si="86"/>
        <v>0</v>
      </c>
    </row>
    <row r="921" spans="2:11" x14ac:dyDescent="0.25">
      <c r="B921" s="160"/>
      <c r="C921" s="161"/>
      <c r="D921" s="163"/>
      <c r="E921" s="159"/>
      <c r="F921" s="159"/>
      <c r="G921" s="165">
        <f t="shared" si="87"/>
        <v>0</v>
      </c>
      <c r="H921" s="20"/>
      <c r="I921" s="167">
        <f>IF(B921&gt;0,(Parametros!$H$11-'Calculo Intereses COOPS'!B921),0)</f>
        <v>0</v>
      </c>
      <c r="J921" s="168">
        <f>(F921-E921)*Parametros!$H$37/365*'Calculo Intereses COOPS'!I921</f>
        <v>0</v>
      </c>
      <c r="K921" s="169">
        <f t="shared" si="86"/>
        <v>0</v>
      </c>
    </row>
    <row r="922" spans="2:11" x14ac:dyDescent="0.25">
      <c r="B922" s="160"/>
      <c r="C922" s="161"/>
      <c r="D922" s="163"/>
      <c r="E922" s="159"/>
      <c r="F922" s="159"/>
      <c r="G922" s="165">
        <f t="shared" si="87"/>
        <v>0</v>
      </c>
      <c r="H922" s="20"/>
      <c r="I922" s="167">
        <f>IF(B922&gt;0,(Parametros!$H$11-'Calculo Intereses COOPS'!B922),0)</f>
        <v>0</v>
      </c>
      <c r="J922" s="168">
        <f>(F922-E922)*Parametros!$H$37/365*'Calculo Intereses COOPS'!I922</f>
        <v>0</v>
      </c>
      <c r="K922" s="169">
        <f t="shared" si="86"/>
        <v>0</v>
      </c>
    </row>
    <row r="923" spans="2:11" x14ac:dyDescent="0.25">
      <c r="B923" s="160"/>
      <c r="C923" s="161"/>
      <c r="D923" s="163"/>
      <c r="E923" s="159"/>
      <c r="F923" s="159"/>
      <c r="G923" s="165">
        <f t="shared" si="87"/>
        <v>0</v>
      </c>
      <c r="H923" s="20"/>
      <c r="I923" s="167">
        <f>IF(B923&gt;0,(Parametros!$H$11-'Calculo Intereses COOPS'!B923),0)</f>
        <v>0</v>
      </c>
      <c r="J923" s="168">
        <f>(F923-E923)*Parametros!$H$37/365*'Calculo Intereses COOPS'!I923</f>
        <v>0</v>
      </c>
      <c r="K923" s="169">
        <f t="shared" si="86"/>
        <v>0</v>
      </c>
    </row>
    <row r="924" spans="2:11" x14ac:dyDescent="0.25">
      <c r="B924" s="160"/>
      <c r="C924" s="161"/>
      <c r="D924" s="163"/>
      <c r="E924" s="159"/>
      <c r="F924" s="159"/>
      <c r="G924" s="165">
        <f t="shared" si="87"/>
        <v>0</v>
      </c>
      <c r="H924" s="20"/>
      <c r="I924" s="167">
        <f>IF(B924&gt;0,(Parametros!$H$11-'Calculo Intereses COOPS'!B924),0)</f>
        <v>0</v>
      </c>
      <c r="J924" s="168">
        <f>(F924-E924)*Parametros!$H$37/365*'Calculo Intereses COOPS'!I924</f>
        <v>0</v>
      </c>
      <c r="K924" s="169">
        <f t="shared" si="86"/>
        <v>0</v>
      </c>
    </row>
    <row r="925" spans="2:11" x14ac:dyDescent="0.25">
      <c r="B925" s="160"/>
      <c r="C925" s="161"/>
      <c r="D925" s="163"/>
      <c r="E925" s="159"/>
      <c r="F925" s="159"/>
      <c r="G925" s="165">
        <f t="shared" si="87"/>
        <v>0</v>
      </c>
      <c r="H925" s="20"/>
      <c r="I925" s="167">
        <f>IF(B925&gt;0,(Parametros!$H$11-'Calculo Intereses COOPS'!B925),0)</f>
        <v>0</v>
      </c>
      <c r="J925" s="168">
        <f>(F925-E925)*Parametros!$H$37/365*'Calculo Intereses COOPS'!I925</f>
        <v>0</v>
      </c>
      <c r="K925" s="169">
        <f t="shared" si="86"/>
        <v>0</v>
      </c>
    </row>
    <row r="926" spans="2:11" x14ac:dyDescent="0.25">
      <c r="B926" s="160"/>
      <c r="C926" s="161"/>
      <c r="D926" s="163"/>
      <c r="E926" s="159"/>
      <c r="F926" s="159"/>
      <c r="G926" s="165">
        <f>+G925+F926</f>
        <v>0</v>
      </c>
      <c r="H926" s="20"/>
      <c r="I926" s="167">
        <f>IF(B926&gt;0,(Parametros!$H$11-'Calculo Intereses COOPS'!B926),0)</f>
        <v>0</v>
      </c>
      <c r="J926" s="168">
        <f>(F926-E926)*Parametros!$H$37/365*'Calculo Intereses COOPS'!I926</f>
        <v>0</v>
      </c>
      <c r="K926" s="169">
        <f t="shared" si="86"/>
        <v>0</v>
      </c>
    </row>
    <row r="927" spans="2:11" x14ac:dyDescent="0.25">
      <c r="B927" s="20"/>
      <c r="C927" s="20"/>
      <c r="D927" s="52" t="s">
        <v>21</v>
      </c>
      <c r="E927" s="166">
        <f>SUM(E911:E926)</f>
        <v>0</v>
      </c>
      <c r="F927" s="166">
        <f>SUM(F911:F926)</f>
        <v>0</v>
      </c>
      <c r="G927" s="166">
        <f>+G926</f>
        <v>0</v>
      </c>
      <c r="J927" s="170">
        <f>SUM(J911:J926)</f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37"/>
  <sheetViews>
    <sheetView topLeftCell="A500" zoomScale="120" zoomScaleNormal="120" workbookViewId="0">
      <selection activeCell="F517" sqref="F517"/>
    </sheetView>
  </sheetViews>
  <sheetFormatPr baseColWidth="10" defaultRowHeight="13.2" x14ac:dyDescent="0.25"/>
  <cols>
    <col min="1" max="1" width="11.44140625" style="1"/>
    <col min="3" max="3" width="15" bestFit="1" customWidth="1"/>
    <col min="4" max="4" width="24.44140625" bestFit="1" customWidth="1"/>
    <col min="6" max="6" width="12.44140625" bestFit="1" customWidth="1"/>
    <col min="7" max="7" width="13.5546875" customWidth="1"/>
    <col min="8" max="8" width="2.44140625" customWidth="1"/>
    <col min="9" max="9" width="17" customWidth="1"/>
    <col min="10" max="10" width="17.33203125" customWidth="1"/>
    <col min="14" max="14" width="11.44140625" style="1"/>
    <col min="16" max="16" width="17" customWidth="1"/>
    <col min="22" max="22" width="17.109375" customWidth="1"/>
    <col min="23" max="23" width="16.33203125" customWidth="1"/>
    <col min="24" max="24" width="12.6640625" customWidth="1"/>
    <col min="25" max="25" width="11.44140625" style="1"/>
    <col min="28" max="28" width="11.44140625" style="1"/>
    <col min="29" max="29" width="11.6640625" customWidth="1"/>
    <col min="30" max="30" width="17" customWidth="1"/>
    <col min="36" max="36" width="16.5546875" customWidth="1"/>
    <col min="37" max="37" width="15.5546875" customWidth="1"/>
  </cols>
  <sheetData>
    <row r="1" spans="2:38" x14ac:dyDescent="0.25">
      <c r="B1" s="1" t="s">
        <v>72</v>
      </c>
    </row>
    <row r="2" spans="2:38" ht="13.8" x14ac:dyDescent="0.25">
      <c r="B2" s="1" t="s">
        <v>188</v>
      </c>
    </row>
    <row r="3" spans="2:38" x14ac:dyDescent="0.25">
      <c r="B3" s="1"/>
    </row>
    <row r="4" spans="2:38" x14ac:dyDescent="0.25">
      <c r="B4" s="51"/>
      <c r="C4" s="53"/>
      <c r="D4" s="53"/>
      <c r="E4" s="54"/>
      <c r="F4" s="54"/>
      <c r="G4" s="54"/>
      <c r="H4" s="20"/>
      <c r="I4" s="55"/>
      <c r="J4" s="56"/>
      <c r="K4" s="20"/>
      <c r="L4" s="20"/>
      <c r="M4" s="20"/>
      <c r="AC4" s="77">
        <v>40883</v>
      </c>
      <c r="AG4" s="94">
        <v>10</v>
      </c>
      <c r="AH4" s="94" t="e">
        <f>+#REF!+AG4</f>
        <v>#REF!</v>
      </c>
      <c r="AJ4" s="95">
        <f>31-5</f>
        <v>26</v>
      </c>
      <c r="AK4" s="87" t="e">
        <f>+AG4*#REF!/365*AJ4</f>
        <v>#REF!</v>
      </c>
      <c r="AL4" s="78" t="e">
        <f>+#REF!+AK4</f>
        <v>#REF!</v>
      </c>
    </row>
    <row r="5" spans="2:38" x14ac:dyDescent="0.25">
      <c r="B5" s="172" t="str">
        <f>CONCATENATE("APORTACIONES Y CALCULO DE INTERESES CORRESPONDIENTES AL AÑO ",YEAR(Parametros!$H$11))</f>
        <v>APORTACIONES Y CALCULO DE INTERESES CORRESPONDIENTES AL AÑO 2015</v>
      </c>
      <c r="C5" s="53"/>
      <c r="D5" s="53"/>
      <c r="E5" s="54"/>
      <c r="G5" s="54"/>
      <c r="H5" s="20"/>
      <c r="I5" s="55"/>
      <c r="J5" s="56"/>
      <c r="K5" s="20"/>
      <c r="L5" s="20"/>
      <c r="M5" s="20"/>
      <c r="AG5" s="65">
        <f>SUM(AG4:AG4)</f>
        <v>10</v>
      </c>
      <c r="AJ5" s="95">
        <v>365</v>
      </c>
      <c r="AK5" s="87" t="e">
        <f>+AG6*#REF!/365*AJ5</f>
        <v>#REF!</v>
      </c>
      <c r="AL5" s="78" t="e">
        <f>+AL4+AK5</f>
        <v>#REF!</v>
      </c>
    </row>
    <row r="6" spans="2:38" x14ac:dyDescent="0.25">
      <c r="B6" s="69" t="s">
        <v>186</v>
      </c>
      <c r="C6" s="173" t="str">
        <f>+'Calculo Excedentes'!A53</f>
        <v>PN-1</v>
      </c>
      <c r="D6" s="171" t="s">
        <v>187</v>
      </c>
      <c r="E6" s="176" t="str">
        <f>+'Calculo Excedentes'!B53</f>
        <v>Héctor David Córdova</v>
      </c>
      <c r="F6" s="174"/>
      <c r="G6" s="175"/>
      <c r="H6" s="20"/>
      <c r="I6" s="39" t="s">
        <v>73</v>
      </c>
      <c r="J6" s="39" t="s">
        <v>74</v>
      </c>
      <c r="K6" s="39" t="s">
        <v>75</v>
      </c>
      <c r="L6" s="20"/>
      <c r="M6" s="20"/>
      <c r="AC6" s="28"/>
      <c r="AD6" s="74" t="s">
        <v>91</v>
      </c>
      <c r="AG6" s="84">
        <v>43.13</v>
      </c>
      <c r="AJ6" s="39" t="s">
        <v>73</v>
      </c>
      <c r="AK6" s="39" t="s">
        <v>74</v>
      </c>
      <c r="AL6" s="39" t="s">
        <v>75</v>
      </c>
    </row>
    <row r="7" spans="2:38" x14ac:dyDescent="0.25">
      <c r="B7" s="40" t="s">
        <v>76</v>
      </c>
      <c r="C7" s="40" t="s">
        <v>77</v>
      </c>
      <c r="D7" s="40" t="s">
        <v>78</v>
      </c>
      <c r="E7" s="40" t="s">
        <v>79</v>
      </c>
      <c r="F7" s="40" t="s">
        <v>80</v>
      </c>
      <c r="G7" s="40" t="s">
        <v>81</v>
      </c>
      <c r="H7" s="20"/>
      <c r="I7" s="42" t="s">
        <v>82</v>
      </c>
      <c r="J7" s="164" t="s">
        <v>185</v>
      </c>
      <c r="K7" s="42" t="s">
        <v>84</v>
      </c>
      <c r="L7" s="20"/>
      <c r="M7" s="20"/>
      <c r="AC7" s="40" t="s">
        <v>76</v>
      </c>
      <c r="AD7" s="40" t="s">
        <v>77</v>
      </c>
      <c r="AE7" s="40" t="s">
        <v>78</v>
      </c>
      <c r="AF7" s="40" t="s">
        <v>79</v>
      </c>
      <c r="AG7" s="40" t="s">
        <v>80</v>
      </c>
      <c r="AH7" s="40" t="s">
        <v>81</v>
      </c>
      <c r="AI7" s="41"/>
      <c r="AJ7" s="42" t="s">
        <v>82</v>
      </c>
      <c r="AK7" s="42" t="s">
        <v>83</v>
      </c>
      <c r="AL7" s="42" t="s">
        <v>84</v>
      </c>
    </row>
    <row r="8" spans="2:38" x14ac:dyDescent="0.25">
      <c r="B8" s="158">
        <f>+Parametros!$H$11-365</f>
        <v>42004</v>
      </c>
      <c r="C8" s="161"/>
      <c r="D8" s="162"/>
      <c r="E8" s="159"/>
      <c r="F8" s="159">
        <v>1828.57</v>
      </c>
      <c r="G8" s="165">
        <f>+F8-E8</f>
        <v>1828.57</v>
      </c>
      <c r="H8" s="20"/>
      <c r="I8" s="167">
        <f>IF(B8&gt;0,(Parametros!$H$11-'Calculo Intereses PERS NAT'!B8),0)</f>
        <v>365</v>
      </c>
      <c r="J8" s="168">
        <f>(F8-E8)*Parametros!$H$37/365*'Calculo Intereses PERS NAT'!I8</f>
        <v>100.57134999999998</v>
      </c>
      <c r="K8" s="169">
        <f>+J8</f>
        <v>100.57134999999998</v>
      </c>
      <c r="L8" s="20"/>
      <c r="M8" s="20"/>
      <c r="AB8" s="1">
        <v>21</v>
      </c>
      <c r="AC8" s="86">
        <v>40543</v>
      </c>
      <c r="AD8" s="44"/>
      <c r="AE8" s="45"/>
      <c r="AF8" s="46"/>
      <c r="AG8" s="46">
        <f>+'Calculo Excedentes'!X66</f>
        <v>2628.57</v>
      </c>
      <c r="AH8" s="47">
        <f>+AG8</f>
        <v>2628.57</v>
      </c>
      <c r="AJ8" s="48"/>
      <c r="AK8" s="49"/>
      <c r="AL8" s="73"/>
    </row>
    <row r="9" spans="2:38" x14ac:dyDescent="0.25">
      <c r="B9" s="160">
        <v>42049</v>
      </c>
      <c r="C9" s="221"/>
      <c r="D9" s="162" t="s">
        <v>236</v>
      </c>
      <c r="E9" s="159"/>
      <c r="F9" s="159">
        <v>227.93</v>
      </c>
      <c r="G9" s="165">
        <f>+G8+F9-E9</f>
        <v>2056.5</v>
      </c>
      <c r="H9" s="20"/>
      <c r="I9" s="167">
        <f>IF(B9&gt;0,(Parametros!$H$11-'Calculo Intereses PERS NAT'!B9),0)</f>
        <v>320</v>
      </c>
      <c r="J9" s="168">
        <f>(F9-E9)*Parametros!$H$37/365*'Calculo Intereses PERS NAT'!I9</f>
        <v>10.990597260273972</v>
      </c>
      <c r="K9" s="169">
        <f>+J9+K8</f>
        <v>111.56194726027395</v>
      </c>
      <c r="L9" s="20"/>
      <c r="M9" s="20"/>
      <c r="AC9" s="43">
        <v>40558</v>
      </c>
      <c r="AD9" s="50"/>
      <c r="AE9" s="45"/>
      <c r="AF9" s="46"/>
      <c r="AG9" s="47">
        <v>10</v>
      </c>
      <c r="AH9" s="47">
        <f t="shared" ref="AH9:AH17" si="0">+AH8+AG9</f>
        <v>2638.57</v>
      </c>
      <c r="AJ9" s="48">
        <f>365-14</f>
        <v>351</v>
      </c>
      <c r="AK9" s="49" t="e">
        <f>+AG9*#REF!/365*AJ9</f>
        <v>#REF!</v>
      </c>
      <c r="AL9" s="75" t="e">
        <f>+AK9</f>
        <v>#REF!</v>
      </c>
    </row>
    <row r="10" spans="2:38" x14ac:dyDescent="0.25">
      <c r="B10" s="160"/>
      <c r="C10" s="221"/>
      <c r="D10" s="162"/>
      <c r="E10" s="159"/>
      <c r="F10" s="159"/>
      <c r="G10" s="165">
        <f>+G9+F10</f>
        <v>2056.5</v>
      </c>
      <c r="H10" s="20"/>
      <c r="I10" s="167">
        <f>IF(B10&gt;0,(Parametros!$H$11-'Calculo Intereses PERS NAT'!B10),0)</f>
        <v>0</v>
      </c>
      <c r="J10" s="168">
        <f>(F10-E10)*Parametros!$H$37/365*'Calculo Intereses PERS NAT'!I10</f>
        <v>0</v>
      </c>
      <c r="K10" s="169">
        <f t="shared" ref="K10:K23" si="1">+J10+K9</f>
        <v>111.56194726027395</v>
      </c>
      <c r="L10" s="20"/>
      <c r="M10" s="20"/>
      <c r="AC10" s="43">
        <v>40578</v>
      </c>
      <c r="AD10" s="61"/>
      <c r="AE10" s="52"/>
      <c r="AF10" s="46"/>
      <c r="AG10" s="47">
        <v>10</v>
      </c>
      <c r="AH10" s="47">
        <f t="shared" si="0"/>
        <v>2648.57</v>
      </c>
      <c r="AJ10" s="48">
        <f>365-31-3</f>
        <v>331</v>
      </c>
      <c r="AK10" s="49" t="e">
        <f>+AG10*#REF!/365*AJ10</f>
        <v>#REF!</v>
      </c>
      <c r="AL10" s="78" t="e">
        <f t="shared" ref="AL10:AL17" si="2">+AL9+AK10</f>
        <v>#REF!</v>
      </c>
    </row>
    <row r="11" spans="2:38" x14ac:dyDescent="0.25">
      <c r="B11" s="160"/>
      <c r="C11" s="221"/>
      <c r="D11" s="162"/>
      <c r="E11" s="159"/>
      <c r="F11" s="159"/>
      <c r="G11" s="165">
        <f>+G10+F11</f>
        <v>2056.5</v>
      </c>
      <c r="H11" s="20"/>
      <c r="I11" s="167">
        <f>IF(B11&gt;0,(Parametros!$H$11-'Calculo Intereses PERS NAT'!B11),0)</f>
        <v>0</v>
      </c>
      <c r="J11" s="168">
        <f>(F11-E11)*Parametros!$H$37/365*'Calculo Intereses PERS NAT'!I11</f>
        <v>0</v>
      </c>
      <c r="K11" s="169">
        <f t="shared" si="1"/>
        <v>111.56194726027395</v>
      </c>
      <c r="L11" s="20"/>
      <c r="M11" s="20"/>
      <c r="AC11" s="43">
        <v>40592</v>
      </c>
      <c r="AD11" s="61"/>
      <c r="AE11" s="52"/>
      <c r="AF11" s="46"/>
      <c r="AG11" s="47">
        <v>10</v>
      </c>
      <c r="AH11" s="47">
        <f t="shared" si="0"/>
        <v>2658.57</v>
      </c>
      <c r="AJ11" s="48">
        <f>365-31-17</f>
        <v>317</v>
      </c>
      <c r="AK11" s="49" t="e">
        <f>+AG11*#REF!/365*AJ11</f>
        <v>#REF!</v>
      </c>
      <c r="AL11" s="78" t="e">
        <f t="shared" si="2"/>
        <v>#REF!</v>
      </c>
    </row>
    <row r="12" spans="2:38" x14ac:dyDescent="0.25">
      <c r="B12" s="160"/>
      <c r="C12" s="221"/>
      <c r="D12" s="162"/>
      <c r="E12" s="159"/>
      <c r="F12" s="159"/>
      <c r="G12" s="165">
        <f>+G11+F12</f>
        <v>2056.5</v>
      </c>
      <c r="H12" s="20"/>
      <c r="I12" s="167">
        <f>IF(B12&gt;0,(Parametros!$H$11-'Calculo Intereses PERS NAT'!B12),0)</f>
        <v>0</v>
      </c>
      <c r="J12" s="168">
        <f>(F12-E12)*Parametros!$H$37/365*'Calculo Intereses PERS NAT'!I12</f>
        <v>0</v>
      </c>
      <c r="K12" s="169">
        <f t="shared" si="1"/>
        <v>111.56194726027395</v>
      </c>
      <c r="L12" s="20"/>
      <c r="M12" s="20"/>
      <c r="AC12" s="43">
        <v>40606</v>
      </c>
      <c r="AD12" s="61"/>
      <c r="AE12" s="52"/>
      <c r="AF12" s="46"/>
      <c r="AG12" s="47">
        <v>13</v>
      </c>
      <c r="AH12" s="47">
        <f t="shared" si="0"/>
        <v>2671.57</v>
      </c>
      <c r="AJ12" s="48">
        <f>365-31-28-3</f>
        <v>303</v>
      </c>
      <c r="AK12" s="49" t="e">
        <f>+AG12*#REF!/365*AJ12</f>
        <v>#REF!</v>
      </c>
      <c r="AL12" s="78" t="e">
        <f t="shared" si="2"/>
        <v>#REF!</v>
      </c>
    </row>
    <row r="13" spans="2:38" x14ac:dyDescent="0.25">
      <c r="B13" s="160"/>
      <c r="C13" s="161"/>
      <c r="D13" s="162"/>
      <c r="E13" s="159"/>
      <c r="F13" s="159"/>
      <c r="G13" s="165">
        <f>+G12+F13</f>
        <v>2056.5</v>
      </c>
      <c r="H13" s="20"/>
      <c r="I13" s="167">
        <f>IF(B13&gt;0,(Parametros!$H$11-'Calculo Intereses PERS NAT'!B13),0)</f>
        <v>0</v>
      </c>
      <c r="J13" s="168">
        <f>(F13-E13)*Parametros!$H$37/365*'Calculo Intereses PERS NAT'!I13</f>
        <v>0</v>
      </c>
      <c r="K13" s="169">
        <f t="shared" si="1"/>
        <v>111.56194726027395</v>
      </c>
      <c r="L13" s="20"/>
      <c r="M13" s="20"/>
      <c r="AC13" s="43">
        <v>40620</v>
      </c>
      <c r="AD13" s="61"/>
      <c r="AE13" s="52"/>
      <c r="AF13" s="46"/>
      <c r="AG13" s="47">
        <v>13</v>
      </c>
      <c r="AH13" s="47">
        <f t="shared" si="0"/>
        <v>2684.57</v>
      </c>
      <c r="AJ13" s="90">
        <f>365-31-28-17</f>
        <v>289</v>
      </c>
      <c r="AK13" s="91" t="e">
        <f>+AG13*#REF!/365*AJ13</f>
        <v>#REF!</v>
      </c>
      <c r="AL13" s="78" t="e">
        <f t="shared" si="2"/>
        <v>#REF!</v>
      </c>
    </row>
    <row r="14" spans="2:38" x14ac:dyDescent="0.25">
      <c r="B14" s="160"/>
      <c r="C14" s="161"/>
      <c r="D14" s="163"/>
      <c r="E14" s="159"/>
      <c r="F14" s="159"/>
      <c r="G14" s="165">
        <f t="shared" ref="G14:G22" si="3">+G13+F14</f>
        <v>2056.5</v>
      </c>
      <c r="H14" s="20"/>
      <c r="I14" s="167">
        <f>IF(B14&gt;0,(Parametros!$H$11-'Calculo Intereses PERS NAT'!B14),0)</f>
        <v>0</v>
      </c>
      <c r="J14" s="168">
        <f>(F14-E14)*Parametros!$H$37/365*'Calculo Intereses PERS NAT'!I14</f>
        <v>0</v>
      </c>
      <c r="K14" s="169">
        <f t="shared" si="1"/>
        <v>111.56194726027395</v>
      </c>
      <c r="L14" s="20"/>
      <c r="M14" s="20"/>
      <c r="AC14" s="82">
        <v>40745</v>
      </c>
      <c r="AD14" s="7"/>
      <c r="AE14" s="7"/>
      <c r="AF14" s="7"/>
      <c r="AG14" s="81">
        <v>25</v>
      </c>
      <c r="AH14" s="47">
        <f t="shared" si="0"/>
        <v>2709.57</v>
      </c>
      <c r="AJ14" s="88">
        <f>31-20+31+30+31+30+31</f>
        <v>164</v>
      </c>
      <c r="AK14" s="89" t="e">
        <f>+AG14*#REF!/365*AJ14</f>
        <v>#REF!</v>
      </c>
      <c r="AL14" s="78" t="e">
        <f t="shared" si="2"/>
        <v>#REF!</v>
      </c>
    </row>
    <row r="15" spans="2:38" x14ac:dyDescent="0.25">
      <c r="B15" s="160"/>
      <c r="C15" s="161"/>
      <c r="D15" s="163"/>
      <c r="E15" s="159"/>
      <c r="F15" s="159"/>
      <c r="G15" s="165">
        <f t="shared" si="3"/>
        <v>2056.5</v>
      </c>
      <c r="H15" s="20"/>
      <c r="I15" s="167">
        <f>IF(B15&gt;0,(Parametros!$H$11-'Calculo Intereses PERS NAT'!B15),0)</f>
        <v>0</v>
      </c>
      <c r="J15" s="168">
        <f>(F15-E15)*Parametros!$H$37/365*'Calculo Intereses PERS NAT'!I15</f>
        <v>0</v>
      </c>
      <c r="K15" s="169">
        <f t="shared" si="1"/>
        <v>111.56194726027395</v>
      </c>
      <c r="L15" s="20"/>
      <c r="M15" s="20"/>
      <c r="AC15" s="82">
        <v>40781</v>
      </c>
      <c r="AD15" s="7"/>
      <c r="AE15" s="7"/>
      <c r="AF15" s="7"/>
      <c r="AG15" s="81">
        <v>25</v>
      </c>
      <c r="AH15" s="47">
        <f t="shared" si="0"/>
        <v>2734.57</v>
      </c>
      <c r="AJ15" s="88">
        <f>31-25+30+31+30+31</f>
        <v>128</v>
      </c>
      <c r="AK15" s="89" t="e">
        <f>+AG15*#REF!/365*AJ15</f>
        <v>#REF!</v>
      </c>
      <c r="AL15" s="78" t="e">
        <f t="shared" si="2"/>
        <v>#REF!</v>
      </c>
    </row>
    <row r="16" spans="2:38" x14ac:dyDescent="0.25">
      <c r="B16" s="160"/>
      <c r="C16" s="161"/>
      <c r="D16" s="163"/>
      <c r="E16" s="159"/>
      <c r="F16" s="159"/>
      <c r="G16" s="165">
        <f t="shared" si="3"/>
        <v>2056.5</v>
      </c>
      <c r="H16" s="20"/>
      <c r="I16" s="167">
        <f>IF(B16&gt;0,(Parametros!$H$11-'Calculo Intereses PERS NAT'!B16),0)</f>
        <v>0</v>
      </c>
      <c r="J16" s="168">
        <f>(F16-E16)*Parametros!$H$37/365*'Calculo Intereses PERS NAT'!I16</f>
        <v>0</v>
      </c>
      <c r="K16" s="169">
        <f t="shared" si="1"/>
        <v>111.56194726027395</v>
      </c>
      <c r="L16" s="20"/>
      <c r="M16" s="20"/>
      <c r="AC16" s="82">
        <v>40800</v>
      </c>
      <c r="AD16" s="7"/>
      <c r="AE16" s="7"/>
      <c r="AF16" s="7"/>
      <c r="AG16" s="81">
        <v>20</v>
      </c>
      <c r="AH16" s="47">
        <f t="shared" si="0"/>
        <v>2754.57</v>
      </c>
      <c r="AJ16" s="88">
        <f>30-13+31+30+31</f>
        <v>109</v>
      </c>
      <c r="AK16" s="89" t="e">
        <f>+AG16*#REF!/365*AJ16</f>
        <v>#REF!</v>
      </c>
      <c r="AL16" s="78" t="e">
        <f t="shared" si="2"/>
        <v>#REF!</v>
      </c>
    </row>
    <row r="17" spans="2:38" x14ac:dyDescent="0.25">
      <c r="B17" s="160"/>
      <c r="C17" s="161"/>
      <c r="D17" s="163"/>
      <c r="E17" s="159"/>
      <c r="F17" s="159"/>
      <c r="G17" s="165">
        <f t="shared" si="3"/>
        <v>2056.5</v>
      </c>
      <c r="H17" s="20"/>
      <c r="I17" s="167">
        <f>IF(B17&gt;0,(Parametros!$H$11-'Calculo Intereses PERS NAT'!B17),0)</f>
        <v>0</v>
      </c>
      <c r="J17" s="168">
        <f>(F17-E17)*Parametros!$H$37/365*'Calculo Intereses PERS NAT'!I17</f>
        <v>0</v>
      </c>
      <c r="K17" s="169">
        <f t="shared" si="1"/>
        <v>111.56194726027395</v>
      </c>
      <c r="L17" s="20"/>
      <c r="M17" s="20"/>
      <c r="AC17" s="82">
        <v>40603</v>
      </c>
      <c r="AD17" s="7"/>
      <c r="AE17" s="7"/>
      <c r="AF17" s="7"/>
      <c r="AG17" s="81">
        <v>114.29</v>
      </c>
      <c r="AH17" s="47">
        <f t="shared" si="0"/>
        <v>2868.86</v>
      </c>
      <c r="AJ17" s="90">
        <f>365-31-28</f>
        <v>306</v>
      </c>
      <c r="AK17" s="91" t="e">
        <f>+AG17*#REF!/365*AJ17</f>
        <v>#REF!</v>
      </c>
      <c r="AL17" s="78" t="e">
        <f t="shared" si="2"/>
        <v>#REF!</v>
      </c>
    </row>
    <row r="18" spans="2:38" x14ac:dyDescent="0.25">
      <c r="B18" s="160"/>
      <c r="C18" s="161"/>
      <c r="D18" s="163"/>
      <c r="E18" s="159"/>
      <c r="F18" s="159"/>
      <c r="G18" s="165">
        <f t="shared" si="3"/>
        <v>2056.5</v>
      </c>
      <c r="H18" s="20"/>
      <c r="I18" s="167">
        <f>IF(B18&gt;0,(Parametros!$H$11-'Calculo Intereses PERS NAT'!B18),0)</f>
        <v>0</v>
      </c>
      <c r="J18" s="168">
        <f>(F18-E18)*Parametros!$H$37/365*'Calculo Intereses PERS NAT'!I18</f>
        <v>0</v>
      </c>
      <c r="K18" s="169">
        <f t="shared" si="1"/>
        <v>111.56194726027395</v>
      </c>
      <c r="L18" s="20"/>
      <c r="M18" s="20"/>
      <c r="AG18" s="65">
        <f>SUM(AG9:AG17)</f>
        <v>240.29000000000002</v>
      </c>
      <c r="AJ18" s="90">
        <v>365</v>
      </c>
      <c r="AK18" s="91" t="e">
        <f>+AG19*#REF!/365*AJ18</f>
        <v>#REF!</v>
      </c>
      <c r="AL18" s="78" t="e">
        <f>+AL17+AK18</f>
        <v>#REF!</v>
      </c>
    </row>
    <row r="19" spans="2:38" x14ac:dyDescent="0.25">
      <c r="B19" s="160"/>
      <c r="C19" s="161"/>
      <c r="D19" s="163"/>
      <c r="E19" s="159"/>
      <c r="F19" s="159"/>
      <c r="G19" s="165">
        <f t="shared" si="3"/>
        <v>2056.5</v>
      </c>
      <c r="H19" s="20"/>
      <c r="I19" s="167">
        <f>IF(B19&gt;0,(Parametros!$H$11-'Calculo Intereses PERS NAT'!B19),0)</f>
        <v>0</v>
      </c>
      <c r="J19" s="168">
        <f>(F19-E19)*Parametros!$H$37/365*'Calculo Intereses PERS NAT'!I19</f>
        <v>0</v>
      </c>
      <c r="K19" s="169">
        <f t="shared" si="1"/>
        <v>111.56194726027395</v>
      </c>
      <c r="L19" s="20"/>
      <c r="M19" s="20"/>
      <c r="AG19" s="65">
        <v>27.32</v>
      </c>
    </row>
    <row r="20" spans="2:38" x14ac:dyDescent="0.25">
      <c r="B20" s="160"/>
      <c r="C20" s="161"/>
      <c r="D20" s="163"/>
      <c r="E20" s="159"/>
      <c r="F20" s="159"/>
      <c r="G20" s="165">
        <f t="shared" si="3"/>
        <v>2056.5</v>
      </c>
      <c r="H20" s="20"/>
      <c r="I20" s="167">
        <f>IF(B20&gt;0,(Parametros!$H$11-'Calculo Intereses PERS NAT'!B20),0)</f>
        <v>0</v>
      </c>
      <c r="J20" s="168">
        <f>(F20-E20)*Parametros!$H$37/365*'Calculo Intereses PERS NAT'!I20</f>
        <v>0</v>
      </c>
      <c r="K20" s="169">
        <f t="shared" si="1"/>
        <v>111.56194726027395</v>
      </c>
      <c r="L20" s="20"/>
      <c r="M20" s="20"/>
    </row>
    <row r="21" spans="2:38" x14ac:dyDescent="0.25">
      <c r="B21" s="160"/>
      <c r="C21" s="161"/>
      <c r="D21" s="163"/>
      <c r="E21" s="159"/>
      <c r="F21" s="159"/>
      <c r="G21" s="165">
        <f t="shared" si="3"/>
        <v>2056.5</v>
      </c>
      <c r="H21" s="20"/>
      <c r="I21" s="167">
        <f>IF(B21&gt;0,(Parametros!$H$11-'Calculo Intereses PERS NAT'!B21),0)</f>
        <v>0</v>
      </c>
      <c r="J21" s="168">
        <f>(F21-E21)*Parametros!$H$37/365*'Calculo Intereses PERS NAT'!I21</f>
        <v>0</v>
      </c>
      <c r="K21" s="169">
        <f t="shared" si="1"/>
        <v>111.56194726027395</v>
      </c>
      <c r="L21" s="20"/>
      <c r="M21" s="20"/>
      <c r="AC21" s="28"/>
      <c r="AD21" s="74" t="s">
        <v>90</v>
      </c>
      <c r="AJ21" s="39" t="s">
        <v>73</v>
      </c>
      <c r="AK21" s="39" t="s">
        <v>74</v>
      </c>
      <c r="AL21" s="39" t="s">
        <v>75</v>
      </c>
    </row>
    <row r="22" spans="2:38" x14ac:dyDescent="0.25">
      <c r="B22" s="160"/>
      <c r="C22" s="161"/>
      <c r="D22" s="163"/>
      <c r="E22" s="159"/>
      <c r="F22" s="159"/>
      <c r="G22" s="165">
        <f t="shared" si="3"/>
        <v>2056.5</v>
      </c>
      <c r="H22" s="20"/>
      <c r="I22" s="167">
        <f>IF(B22&gt;0,(Parametros!$H$11-'Calculo Intereses PERS NAT'!B22),0)</f>
        <v>0</v>
      </c>
      <c r="J22" s="168">
        <f>(F22-E22)*Parametros!$H$37/365*'Calculo Intereses PERS NAT'!I22</f>
        <v>0</v>
      </c>
      <c r="K22" s="169">
        <f t="shared" si="1"/>
        <v>111.56194726027395</v>
      </c>
      <c r="L22" s="20"/>
      <c r="M22" s="20"/>
      <c r="AB22" s="1">
        <v>22</v>
      </c>
      <c r="AC22" s="40" t="s">
        <v>76</v>
      </c>
      <c r="AD22" s="40" t="s">
        <v>77</v>
      </c>
      <c r="AE22" s="40" t="s">
        <v>78</v>
      </c>
      <c r="AF22" s="40" t="s">
        <v>79</v>
      </c>
      <c r="AG22" s="40" t="s">
        <v>80</v>
      </c>
      <c r="AH22" s="40" t="s">
        <v>81</v>
      </c>
      <c r="AI22" s="41"/>
      <c r="AJ22" s="42" t="s">
        <v>82</v>
      </c>
      <c r="AK22" s="42" t="s">
        <v>83</v>
      </c>
      <c r="AL22" s="42" t="s">
        <v>84</v>
      </c>
    </row>
    <row r="23" spans="2:38" x14ac:dyDescent="0.25">
      <c r="B23" s="160"/>
      <c r="C23" s="161"/>
      <c r="D23" s="163"/>
      <c r="E23" s="159"/>
      <c r="F23" s="159"/>
      <c r="G23" s="165">
        <f>+G22+F23</f>
        <v>2056.5</v>
      </c>
      <c r="H23" s="20"/>
      <c r="I23" s="167">
        <f>IF(B23&gt;0,(Parametros!$H$11-'Calculo Intereses PERS NAT'!B23),0)</f>
        <v>0</v>
      </c>
      <c r="J23" s="168">
        <f>(F23-E23)*Parametros!$H$37/365*'Calculo Intereses PERS NAT'!I23</f>
        <v>0</v>
      </c>
      <c r="K23" s="169">
        <f t="shared" si="1"/>
        <v>111.56194726027395</v>
      </c>
      <c r="L23" s="20"/>
      <c r="M23" s="20"/>
      <c r="AC23" s="43">
        <v>40543</v>
      </c>
      <c r="AD23" s="44"/>
      <c r="AE23" s="45"/>
      <c r="AF23" s="46"/>
      <c r="AG23" s="46">
        <f>+'Calculo Excedentes'!X59</f>
        <v>1046.0899999999999</v>
      </c>
      <c r="AH23" s="47">
        <f>+AG23</f>
        <v>1046.0899999999999</v>
      </c>
      <c r="AJ23" s="48"/>
      <c r="AK23" s="49"/>
      <c r="AL23" s="73"/>
    </row>
    <row r="24" spans="2:38" x14ac:dyDescent="0.25">
      <c r="B24" s="20"/>
      <c r="C24" s="20"/>
      <c r="D24" s="52" t="s">
        <v>21</v>
      </c>
      <c r="E24" s="166">
        <f>SUM(E8:E23)</f>
        <v>0</v>
      </c>
      <c r="F24" s="166">
        <f>SUM(F8:F23)</f>
        <v>2056.5</v>
      </c>
      <c r="G24" s="166">
        <f>+G23</f>
        <v>2056.5</v>
      </c>
      <c r="J24" s="170">
        <f>SUM(J8:J23)</f>
        <v>111.56194726027395</v>
      </c>
      <c r="L24" s="20"/>
      <c r="M24" s="20"/>
      <c r="AC24" s="43">
        <v>40606</v>
      </c>
      <c r="AD24" s="50"/>
      <c r="AE24" s="45"/>
      <c r="AF24" s="46"/>
      <c r="AG24" s="46">
        <v>10</v>
      </c>
      <c r="AH24" s="47">
        <f t="shared" ref="AH24:AH31" si="4">+AH23+AG24</f>
        <v>1056.0899999999999</v>
      </c>
      <c r="AJ24" s="48">
        <f>365-31-28-3</f>
        <v>303</v>
      </c>
      <c r="AK24" s="49" t="e">
        <f>+AG24*#REF!/365*AJ24</f>
        <v>#REF!</v>
      </c>
      <c r="AL24" s="73" t="e">
        <f>+AK24</f>
        <v>#REF!</v>
      </c>
    </row>
    <row r="25" spans="2:38" x14ac:dyDescent="0.25"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AC25" s="43">
        <v>40620</v>
      </c>
      <c r="AD25" s="50"/>
      <c r="AE25" s="45"/>
      <c r="AF25" s="46"/>
      <c r="AG25" s="46">
        <v>10</v>
      </c>
      <c r="AH25" s="47">
        <f t="shared" si="4"/>
        <v>1066.0899999999999</v>
      </c>
      <c r="AJ25" s="48">
        <f>365-31-28-17</f>
        <v>289</v>
      </c>
      <c r="AK25" s="49" t="e">
        <f>+AG25*#REF!/365*AJ25</f>
        <v>#REF!</v>
      </c>
      <c r="AL25" s="76" t="e">
        <f t="shared" ref="AL25:AL31" si="5">+AL24+AK25</f>
        <v>#REF!</v>
      </c>
    </row>
    <row r="26" spans="2:38" x14ac:dyDescent="0.25">
      <c r="B26" s="172" t="str">
        <f>CONCATENATE("APORTACIONES Y CALCULO DE INTERESES CORRESPONDIENTES AL AÑO ",YEAR(Parametros!$H$11))</f>
        <v>APORTACIONES Y CALCULO DE INTERESES CORRESPONDIENTES AL AÑO 2015</v>
      </c>
      <c r="C26" s="53"/>
      <c r="D26" s="53"/>
      <c r="E26" s="54"/>
      <c r="F26" s="54"/>
      <c r="G26" s="54"/>
      <c r="H26" s="20"/>
      <c r="I26" s="55"/>
      <c r="J26" s="56"/>
      <c r="K26" s="20"/>
      <c r="L26" s="20"/>
      <c r="M26" s="20"/>
      <c r="AC26" s="43">
        <v>40663</v>
      </c>
      <c r="AD26" s="50"/>
      <c r="AE26" s="45"/>
      <c r="AF26" s="46"/>
      <c r="AG26" s="46">
        <v>10</v>
      </c>
      <c r="AH26" s="47">
        <f t="shared" si="4"/>
        <v>1076.0899999999999</v>
      </c>
      <c r="AJ26" s="48">
        <f>365-31-28-31-29</f>
        <v>246</v>
      </c>
      <c r="AK26" s="49" t="e">
        <f>+AG26*#REF!/365*AJ26</f>
        <v>#REF!</v>
      </c>
      <c r="AL26" s="76" t="e">
        <f t="shared" si="5"/>
        <v>#REF!</v>
      </c>
    </row>
    <row r="27" spans="2:38" x14ac:dyDescent="0.25">
      <c r="B27" s="69" t="s">
        <v>186</v>
      </c>
      <c r="C27" s="173" t="str">
        <f>+'Calculo Excedentes'!A54</f>
        <v>PN-2</v>
      </c>
      <c r="D27" s="171" t="s">
        <v>187</v>
      </c>
      <c r="E27" s="176" t="str">
        <f>+'Calculo Excedentes'!B54</f>
        <v>Alirio  Henríquez</v>
      </c>
      <c r="F27" s="174"/>
      <c r="G27" s="175"/>
      <c r="H27" s="20"/>
      <c r="I27" s="39" t="s">
        <v>73</v>
      </c>
      <c r="J27" s="39" t="s">
        <v>74</v>
      </c>
      <c r="K27" s="39" t="s">
        <v>75</v>
      </c>
      <c r="L27" s="20"/>
      <c r="M27" s="20"/>
      <c r="AC27" s="43">
        <v>40731</v>
      </c>
      <c r="AD27" s="44"/>
      <c r="AE27" s="52"/>
      <c r="AF27" s="46"/>
      <c r="AG27" s="46">
        <v>10</v>
      </c>
      <c r="AH27" s="47">
        <f t="shared" si="4"/>
        <v>1086.0899999999999</v>
      </c>
      <c r="AJ27" s="48">
        <f>365-31-28-31-30-31-30-6</f>
        <v>178</v>
      </c>
      <c r="AK27" s="49" t="e">
        <f>+AG27*#REF!/365*AJ27</f>
        <v>#REF!</v>
      </c>
      <c r="AL27" s="76" t="e">
        <f t="shared" si="5"/>
        <v>#REF!</v>
      </c>
    </row>
    <row r="28" spans="2:38" x14ac:dyDescent="0.25">
      <c r="B28" s="40" t="s">
        <v>76</v>
      </c>
      <c r="C28" s="40" t="s">
        <v>77</v>
      </c>
      <c r="D28" s="40" t="s">
        <v>78</v>
      </c>
      <c r="E28" s="40" t="s">
        <v>79</v>
      </c>
      <c r="F28" s="40" t="s">
        <v>80</v>
      </c>
      <c r="G28" s="40" t="s">
        <v>81</v>
      </c>
      <c r="H28" s="20"/>
      <c r="I28" s="42" t="s">
        <v>82</v>
      </c>
      <c r="J28" s="164" t="s">
        <v>185</v>
      </c>
      <c r="K28" s="42" t="s">
        <v>84</v>
      </c>
      <c r="L28" s="20"/>
      <c r="M28" s="20"/>
      <c r="AC28" s="43">
        <v>40745</v>
      </c>
      <c r="AD28" s="7"/>
      <c r="AE28" s="7"/>
      <c r="AF28" s="7"/>
      <c r="AG28" s="46">
        <v>10</v>
      </c>
      <c r="AH28" s="47">
        <f t="shared" si="4"/>
        <v>1096.0899999999999</v>
      </c>
      <c r="AJ28" s="48">
        <f>31-20+31+30+31+30+31</f>
        <v>164</v>
      </c>
      <c r="AK28" s="49" t="e">
        <f>+AG28*#REF!/365*AJ28</f>
        <v>#REF!</v>
      </c>
      <c r="AL28" s="76" t="e">
        <f t="shared" si="5"/>
        <v>#REF!</v>
      </c>
    </row>
    <row r="29" spans="2:38" x14ac:dyDescent="0.25">
      <c r="B29" s="158">
        <f>+Parametros!$H$11-365</f>
        <v>42004</v>
      </c>
      <c r="C29" s="161"/>
      <c r="D29" s="162"/>
      <c r="E29" s="159"/>
      <c r="F29" s="159">
        <v>1828.57</v>
      </c>
      <c r="G29" s="165">
        <f>+F29-E29</f>
        <v>1828.57</v>
      </c>
      <c r="H29" s="20"/>
      <c r="I29" s="167">
        <f>IF(B29&gt;0,(Parametros!$H$11-'Calculo Intereses PERS NAT'!B29),0)</f>
        <v>365</v>
      </c>
      <c r="J29" s="168">
        <f>(F29-E29)*Parametros!$H$37/365*'Calculo Intereses PERS NAT'!I29</f>
        <v>100.57134999999998</v>
      </c>
      <c r="K29" s="169">
        <f>+J29</f>
        <v>100.57134999999998</v>
      </c>
      <c r="L29" s="20"/>
      <c r="M29" s="20"/>
      <c r="AC29" s="43">
        <v>40767</v>
      </c>
      <c r="AD29" s="7"/>
      <c r="AE29" s="7"/>
      <c r="AF29" s="7"/>
      <c r="AG29" s="46">
        <v>10</v>
      </c>
      <c r="AH29" s="47">
        <f t="shared" si="4"/>
        <v>1106.0899999999999</v>
      </c>
      <c r="AJ29" s="48">
        <f>31-7+30+31+30+31</f>
        <v>146</v>
      </c>
      <c r="AK29" s="49" t="e">
        <f>+AG29*#REF!/365*AJ29</f>
        <v>#REF!</v>
      </c>
      <c r="AL29" s="76" t="e">
        <f t="shared" si="5"/>
        <v>#REF!</v>
      </c>
    </row>
    <row r="30" spans="2:38" x14ac:dyDescent="0.25">
      <c r="B30" s="160">
        <v>42049</v>
      </c>
      <c r="C30" s="221"/>
      <c r="D30" s="162" t="s">
        <v>236</v>
      </c>
      <c r="E30" s="159"/>
      <c r="F30" s="159">
        <v>213.51</v>
      </c>
      <c r="G30" s="165">
        <f>+G29+F30-E30</f>
        <v>2042.08</v>
      </c>
      <c r="H30" s="20"/>
      <c r="I30" s="167">
        <f>IF(B30&gt;0,(Parametros!$H$11-'Calculo Intereses PERS NAT'!B30),0)</f>
        <v>320</v>
      </c>
      <c r="J30" s="168">
        <f>(F30-E30)*Parametros!$H$37/365*'Calculo Intereses PERS NAT'!I30</f>
        <v>10.295276712328768</v>
      </c>
      <c r="K30" s="169">
        <f>+J30+K29</f>
        <v>110.86662671232875</v>
      </c>
      <c r="L30" s="20"/>
      <c r="M30" s="20"/>
      <c r="AC30" s="43">
        <v>40781</v>
      </c>
      <c r="AD30" s="7"/>
      <c r="AE30" s="7"/>
      <c r="AF30" s="7"/>
      <c r="AG30" s="46">
        <v>10</v>
      </c>
      <c r="AH30" s="47">
        <f t="shared" si="4"/>
        <v>1116.0899999999999</v>
      </c>
      <c r="AJ30" s="83">
        <f>31-25+30+31+30+31</f>
        <v>128</v>
      </c>
      <c r="AK30" s="49" t="e">
        <f>+AG30*#REF!/365*AJ30</f>
        <v>#REF!</v>
      </c>
      <c r="AL30" s="76" t="e">
        <f t="shared" si="5"/>
        <v>#REF!</v>
      </c>
    </row>
    <row r="31" spans="2:38" x14ac:dyDescent="0.25">
      <c r="B31" s="160"/>
      <c r="C31" s="221"/>
      <c r="D31" s="162"/>
      <c r="E31" s="159"/>
      <c r="F31" s="159"/>
      <c r="G31" s="165">
        <f>+G30+F31</f>
        <v>2042.08</v>
      </c>
      <c r="H31" s="20"/>
      <c r="I31" s="167">
        <f>IF(B31&gt;0,(Parametros!$H$11-'Calculo Intereses PERS NAT'!B31),0)</f>
        <v>0</v>
      </c>
      <c r="J31" s="168">
        <f>(F31-E31)*Parametros!$H$37/365*'Calculo Intereses PERS NAT'!I31</f>
        <v>0</v>
      </c>
      <c r="K31" s="169">
        <f t="shared" ref="K31:K44" si="6">+J31+K30</f>
        <v>110.86662671232875</v>
      </c>
      <c r="L31" s="20"/>
      <c r="M31" s="20"/>
      <c r="AC31" s="43">
        <v>40837</v>
      </c>
      <c r="AD31" s="7"/>
      <c r="AE31" s="7"/>
      <c r="AF31" s="7"/>
      <c r="AG31" s="46">
        <v>10</v>
      </c>
      <c r="AH31" s="47">
        <f t="shared" si="4"/>
        <v>1126.0899999999999</v>
      </c>
      <c r="AJ31" s="83">
        <f>31-20+30+31</f>
        <v>72</v>
      </c>
      <c r="AK31" s="49" t="e">
        <f>+AG31*#REF!/365*AJ31</f>
        <v>#REF!</v>
      </c>
      <c r="AL31" s="76" t="e">
        <f t="shared" si="5"/>
        <v>#REF!</v>
      </c>
    </row>
    <row r="32" spans="2:38" x14ac:dyDescent="0.25">
      <c r="B32" s="160"/>
      <c r="C32" s="221"/>
      <c r="D32" s="162"/>
      <c r="E32" s="159"/>
      <c r="F32" s="159"/>
      <c r="G32" s="165">
        <f>+G31+F32</f>
        <v>2042.08</v>
      </c>
      <c r="H32" s="20"/>
      <c r="I32" s="167">
        <f>IF(B32&gt;0,(Parametros!$H$11-'Calculo Intereses PERS NAT'!B32),0)</f>
        <v>0</v>
      </c>
      <c r="J32" s="168">
        <f>(F32-E32)*Parametros!$H$37/365*'Calculo Intereses PERS NAT'!I32</f>
        <v>0</v>
      </c>
      <c r="K32" s="169">
        <f t="shared" si="6"/>
        <v>110.86662671232875</v>
      </c>
      <c r="L32" s="20"/>
      <c r="M32" s="20"/>
      <c r="AC32" s="43"/>
      <c r="AD32" s="7"/>
      <c r="AE32" s="7"/>
      <c r="AF32" s="7"/>
      <c r="AG32" s="8">
        <v>105.52</v>
      </c>
      <c r="AH32" s="47"/>
      <c r="AJ32" s="83">
        <v>365</v>
      </c>
      <c r="AK32" s="49" t="e">
        <f>+AG32*#REF!/365*AJ32</f>
        <v>#REF!</v>
      </c>
      <c r="AL32" s="76" t="e">
        <f>+AL31+AK32</f>
        <v>#REF!</v>
      </c>
    </row>
    <row r="33" spans="2:38" x14ac:dyDescent="0.25">
      <c r="B33" s="160"/>
      <c r="C33" s="161"/>
      <c r="D33" s="162"/>
      <c r="E33" s="159"/>
      <c r="F33" s="159"/>
      <c r="G33" s="165">
        <f>+G32+F33</f>
        <v>2042.08</v>
      </c>
      <c r="H33" s="20"/>
      <c r="I33" s="167">
        <f>IF(B33&gt;0,(Parametros!$H$11-'Calculo Intereses PERS NAT'!B33),0)</f>
        <v>0</v>
      </c>
      <c r="J33" s="168">
        <f>(F33-E33)*Parametros!$H$37/365*'Calculo Intereses PERS NAT'!I33</f>
        <v>0</v>
      </c>
      <c r="K33" s="169">
        <f t="shared" si="6"/>
        <v>110.86662671232875</v>
      </c>
      <c r="L33" s="20"/>
      <c r="M33" s="20"/>
    </row>
    <row r="34" spans="2:38" x14ac:dyDescent="0.25">
      <c r="B34" s="160"/>
      <c r="C34" s="161"/>
      <c r="D34" s="162"/>
      <c r="E34" s="159"/>
      <c r="F34" s="159"/>
      <c r="G34" s="165">
        <f>+G33+F34</f>
        <v>2042.08</v>
      </c>
      <c r="H34" s="20"/>
      <c r="I34" s="167">
        <f>IF(B34&gt;0,(Parametros!$H$11-'Calculo Intereses PERS NAT'!B34),0)</f>
        <v>0</v>
      </c>
      <c r="J34" s="168">
        <f>(F34-E34)*Parametros!$H$37/365*'Calculo Intereses PERS NAT'!I34</f>
        <v>0</v>
      </c>
      <c r="K34" s="169">
        <f t="shared" si="6"/>
        <v>110.86662671232875</v>
      </c>
      <c r="L34" s="20"/>
      <c r="M34" s="20"/>
    </row>
    <row r="35" spans="2:38" x14ac:dyDescent="0.25">
      <c r="B35" s="160"/>
      <c r="C35" s="161"/>
      <c r="D35" s="163"/>
      <c r="E35" s="159"/>
      <c r="F35" s="159"/>
      <c r="G35" s="165">
        <f t="shared" ref="G35:G43" si="7">+G34+F35</f>
        <v>2042.08</v>
      </c>
      <c r="H35" s="20"/>
      <c r="I35" s="167">
        <f>IF(B35&gt;0,(Parametros!$H$11-'Calculo Intereses PERS NAT'!B35),0)</f>
        <v>0</v>
      </c>
      <c r="J35" s="168">
        <f>(F35-E35)*Parametros!$H$37/365*'Calculo Intereses PERS NAT'!I35</f>
        <v>0</v>
      </c>
      <c r="K35" s="169">
        <f t="shared" si="6"/>
        <v>110.86662671232875</v>
      </c>
      <c r="L35" s="20"/>
      <c r="M35" s="20"/>
      <c r="AC35" s="28"/>
      <c r="AD35" s="74" t="s">
        <v>70</v>
      </c>
      <c r="AJ35" s="39" t="s">
        <v>73</v>
      </c>
      <c r="AK35" s="39" t="s">
        <v>74</v>
      </c>
      <c r="AL35" s="39" t="s">
        <v>75</v>
      </c>
    </row>
    <row r="36" spans="2:38" x14ac:dyDescent="0.25">
      <c r="B36" s="160"/>
      <c r="C36" s="161"/>
      <c r="D36" s="163"/>
      <c r="E36" s="159"/>
      <c r="F36" s="159"/>
      <c r="G36" s="165">
        <f t="shared" si="7"/>
        <v>2042.08</v>
      </c>
      <c r="H36" s="20"/>
      <c r="I36" s="167">
        <f>IF(B36&gt;0,(Parametros!$H$11-'Calculo Intereses PERS NAT'!B36),0)</f>
        <v>0</v>
      </c>
      <c r="J36" s="168">
        <f>(F36-E36)*Parametros!$H$37/365*'Calculo Intereses PERS NAT'!I36</f>
        <v>0</v>
      </c>
      <c r="K36" s="169">
        <f t="shared" si="6"/>
        <v>110.86662671232875</v>
      </c>
      <c r="L36" s="20"/>
      <c r="M36" s="20"/>
      <c r="AB36" s="1">
        <v>23</v>
      </c>
      <c r="AC36" s="40" t="s">
        <v>76</v>
      </c>
      <c r="AD36" s="40" t="s">
        <v>77</v>
      </c>
      <c r="AE36" s="40" t="s">
        <v>78</v>
      </c>
      <c r="AF36" s="40" t="s">
        <v>79</v>
      </c>
      <c r="AG36" s="40" t="s">
        <v>80</v>
      </c>
      <c r="AH36" s="40" t="s">
        <v>81</v>
      </c>
      <c r="AI36" s="41"/>
      <c r="AJ36" s="42" t="s">
        <v>82</v>
      </c>
      <c r="AK36" s="42" t="s">
        <v>83</v>
      </c>
      <c r="AL36" s="42" t="s">
        <v>84</v>
      </c>
    </row>
    <row r="37" spans="2:38" x14ac:dyDescent="0.25">
      <c r="B37" s="160"/>
      <c r="C37" s="161"/>
      <c r="D37" s="163"/>
      <c r="E37" s="159"/>
      <c r="F37" s="159"/>
      <c r="G37" s="165">
        <f t="shared" si="7"/>
        <v>2042.08</v>
      </c>
      <c r="H37" s="20"/>
      <c r="I37" s="167">
        <f>IF(B37&gt;0,(Parametros!$H$11-'Calculo Intereses PERS NAT'!B37),0)</f>
        <v>0</v>
      </c>
      <c r="J37" s="168">
        <f>(F37-E37)*Parametros!$H$37/365*'Calculo Intereses PERS NAT'!I37</f>
        <v>0</v>
      </c>
      <c r="K37" s="169">
        <f t="shared" si="6"/>
        <v>110.86662671232875</v>
      </c>
      <c r="L37" s="20"/>
      <c r="M37" s="20"/>
      <c r="AC37" s="86">
        <v>40543</v>
      </c>
      <c r="AD37" s="44"/>
      <c r="AE37" s="45"/>
      <c r="AF37" s="46"/>
      <c r="AG37" s="46">
        <f>+'Calculo Excedentes'!X71</f>
        <v>988.96999999999991</v>
      </c>
      <c r="AH37" s="47">
        <f>+AG37</f>
        <v>988.96999999999991</v>
      </c>
      <c r="AJ37" s="48"/>
      <c r="AK37" s="49"/>
      <c r="AL37" s="76"/>
    </row>
    <row r="38" spans="2:38" x14ac:dyDescent="0.25">
      <c r="B38" s="160"/>
      <c r="C38" s="161"/>
      <c r="D38" s="163"/>
      <c r="E38" s="159"/>
      <c r="F38" s="159"/>
      <c r="G38" s="165">
        <f t="shared" si="7"/>
        <v>2042.08</v>
      </c>
      <c r="H38" s="20"/>
      <c r="I38" s="167">
        <f>IF(B38&gt;0,(Parametros!$H$11-'Calculo Intereses PERS NAT'!B38),0)</f>
        <v>0</v>
      </c>
      <c r="J38" s="168">
        <f>(F38-E38)*Parametros!$H$37/365*'Calculo Intereses PERS NAT'!I38</f>
        <v>0</v>
      </c>
      <c r="K38" s="169">
        <f t="shared" si="6"/>
        <v>110.86662671232875</v>
      </c>
      <c r="L38" s="20"/>
      <c r="M38" s="20"/>
      <c r="AC38" s="43">
        <v>40551</v>
      </c>
      <c r="AD38" s="60"/>
      <c r="AE38" s="45"/>
      <c r="AF38" s="46"/>
      <c r="AG38" s="47">
        <v>11.43</v>
      </c>
      <c r="AH38" s="47">
        <f t="shared" ref="AH38:AH47" si="8">+AH37+AG38</f>
        <v>1000.3999999999999</v>
      </c>
      <c r="AJ38" s="48">
        <f>365-7</f>
        <v>358</v>
      </c>
      <c r="AK38" s="49" t="e">
        <f>+AG38*#REF!/365*AJ38</f>
        <v>#REF!</v>
      </c>
      <c r="AL38" s="75" t="e">
        <f>+AK38</f>
        <v>#REF!</v>
      </c>
    </row>
    <row r="39" spans="2:38" x14ac:dyDescent="0.25">
      <c r="B39" s="160"/>
      <c r="C39" s="161"/>
      <c r="D39" s="163"/>
      <c r="E39" s="159"/>
      <c r="F39" s="159"/>
      <c r="G39" s="165">
        <f t="shared" si="7"/>
        <v>2042.08</v>
      </c>
      <c r="H39" s="20"/>
      <c r="I39" s="167">
        <f>IF(B39&gt;0,(Parametros!$H$11-'Calculo Intereses PERS NAT'!B39),0)</f>
        <v>0</v>
      </c>
      <c r="J39" s="168">
        <f>(F39-E39)*Parametros!$H$37/365*'Calculo Intereses PERS NAT'!I39</f>
        <v>0</v>
      </c>
      <c r="K39" s="169">
        <f t="shared" si="6"/>
        <v>110.86662671232875</v>
      </c>
      <c r="L39" s="20"/>
      <c r="M39" s="20"/>
      <c r="AC39" s="85">
        <v>40565</v>
      </c>
      <c r="AD39" s="61"/>
      <c r="AE39" s="52"/>
      <c r="AF39" s="46"/>
      <c r="AG39" s="47">
        <v>10</v>
      </c>
      <c r="AH39" s="47">
        <f t="shared" si="8"/>
        <v>1010.3999999999999</v>
      </c>
      <c r="AJ39" s="48">
        <f>365-21</f>
        <v>344</v>
      </c>
      <c r="AK39" s="49" t="e">
        <f>+AG39*#REF!/365*AJ39</f>
        <v>#REF!</v>
      </c>
      <c r="AL39" s="78" t="e">
        <f>+AL38+AK39</f>
        <v>#REF!</v>
      </c>
    </row>
    <row r="40" spans="2:38" x14ac:dyDescent="0.25">
      <c r="B40" s="160"/>
      <c r="C40" s="161"/>
      <c r="D40" s="163"/>
      <c r="E40" s="159"/>
      <c r="F40" s="159"/>
      <c r="G40" s="165">
        <f t="shared" si="7"/>
        <v>2042.08</v>
      </c>
      <c r="H40" s="20"/>
      <c r="I40" s="167">
        <f>IF(B40&gt;0,(Parametros!$H$11-'Calculo Intereses PERS NAT'!B40),0)</f>
        <v>0</v>
      </c>
      <c r="J40" s="168">
        <f>(F40-E40)*Parametros!$H$37/365*'Calculo Intereses PERS NAT'!I40</f>
        <v>0</v>
      </c>
      <c r="K40" s="169">
        <f t="shared" si="6"/>
        <v>110.86662671232875</v>
      </c>
      <c r="L40" s="20"/>
      <c r="M40" s="20"/>
      <c r="AC40" s="85">
        <v>40614</v>
      </c>
      <c r="AD40" s="7"/>
      <c r="AE40" s="7"/>
      <c r="AF40" s="7"/>
      <c r="AG40" s="47">
        <v>11.43</v>
      </c>
      <c r="AH40" s="47">
        <f t="shared" si="8"/>
        <v>1021.8299999999998</v>
      </c>
      <c r="AJ40" s="48">
        <f>365-31-28-11</f>
        <v>295</v>
      </c>
      <c r="AK40" s="49" t="e">
        <f>+AG40*#REF!/365*AJ40</f>
        <v>#REF!</v>
      </c>
      <c r="AL40" s="78" t="e">
        <f t="shared" ref="AL40:AL49" si="9">+AL39+AK40</f>
        <v>#REF!</v>
      </c>
    </row>
    <row r="41" spans="2:38" x14ac:dyDescent="0.25">
      <c r="B41" s="160"/>
      <c r="C41" s="161"/>
      <c r="D41" s="163"/>
      <c r="E41" s="159"/>
      <c r="F41" s="159"/>
      <c r="G41" s="165">
        <f t="shared" si="7"/>
        <v>2042.08</v>
      </c>
      <c r="H41" s="20"/>
      <c r="I41" s="167">
        <f>IF(B41&gt;0,(Parametros!$H$11-'Calculo Intereses PERS NAT'!B41),0)</f>
        <v>0</v>
      </c>
      <c r="J41" s="168">
        <f>(F41-E41)*Parametros!$H$37/365*'Calculo Intereses PERS NAT'!I41</f>
        <v>0</v>
      </c>
      <c r="K41" s="169">
        <f t="shared" si="6"/>
        <v>110.86662671232875</v>
      </c>
      <c r="L41" s="20"/>
      <c r="M41" s="20"/>
      <c r="AC41" s="85">
        <v>40659</v>
      </c>
      <c r="AD41" s="7"/>
      <c r="AE41" s="7"/>
      <c r="AF41" s="7"/>
      <c r="AG41" s="47">
        <v>11</v>
      </c>
      <c r="AH41" s="47">
        <f t="shared" si="8"/>
        <v>1032.83</v>
      </c>
      <c r="AJ41" s="48">
        <f>365-31-28-31-25</f>
        <v>250</v>
      </c>
      <c r="AK41" s="49" t="e">
        <f>+AG41*#REF!/365*AJ41</f>
        <v>#REF!</v>
      </c>
      <c r="AL41" s="78" t="e">
        <f t="shared" si="9"/>
        <v>#REF!</v>
      </c>
    </row>
    <row r="42" spans="2:38" x14ac:dyDescent="0.25">
      <c r="B42" s="160"/>
      <c r="C42" s="161"/>
      <c r="D42" s="163"/>
      <c r="E42" s="159"/>
      <c r="F42" s="159"/>
      <c r="G42" s="165">
        <f t="shared" si="7"/>
        <v>2042.08</v>
      </c>
      <c r="H42" s="20"/>
      <c r="I42" s="167">
        <f>IF(B42&gt;0,(Parametros!$H$11-'Calculo Intereses PERS NAT'!B42),0)</f>
        <v>0</v>
      </c>
      <c r="J42" s="168">
        <f>(F42-E42)*Parametros!$H$37/365*'Calculo Intereses PERS NAT'!I42</f>
        <v>0</v>
      </c>
      <c r="K42" s="169">
        <f t="shared" si="6"/>
        <v>110.86662671232875</v>
      </c>
      <c r="L42" s="20"/>
      <c r="M42" s="20"/>
      <c r="AC42" s="85">
        <v>40684</v>
      </c>
      <c r="AD42" s="7"/>
      <c r="AE42" s="7"/>
      <c r="AF42" s="7"/>
      <c r="AG42" s="47">
        <v>11</v>
      </c>
      <c r="AH42" s="47">
        <f t="shared" si="8"/>
        <v>1043.83</v>
      </c>
      <c r="AJ42" s="48">
        <f>365-31-28-31-30-20</f>
        <v>225</v>
      </c>
      <c r="AK42" s="49" t="e">
        <f>+AG42*#REF!/365*AJ42</f>
        <v>#REF!</v>
      </c>
      <c r="AL42" s="78" t="e">
        <f t="shared" si="9"/>
        <v>#REF!</v>
      </c>
    </row>
    <row r="43" spans="2:38" x14ac:dyDescent="0.25">
      <c r="B43" s="160"/>
      <c r="C43" s="161"/>
      <c r="D43" s="163"/>
      <c r="E43" s="159"/>
      <c r="F43" s="159"/>
      <c r="G43" s="165">
        <f t="shared" si="7"/>
        <v>2042.08</v>
      </c>
      <c r="H43" s="20"/>
      <c r="I43" s="167">
        <f>IF(B43&gt;0,(Parametros!$H$11-'Calculo Intereses PERS NAT'!B43),0)</f>
        <v>0</v>
      </c>
      <c r="J43" s="168">
        <f>(F43-E43)*Parametros!$H$37/365*'Calculo Intereses PERS NAT'!I43</f>
        <v>0</v>
      </c>
      <c r="K43" s="169">
        <f t="shared" si="6"/>
        <v>110.86662671232875</v>
      </c>
      <c r="L43" s="20"/>
      <c r="M43" s="20"/>
      <c r="AC43" s="85">
        <v>40705</v>
      </c>
      <c r="AD43" s="7"/>
      <c r="AE43" s="7"/>
      <c r="AF43" s="7"/>
      <c r="AG43" s="47">
        <v>10</v>
      </c>
      <c r="AH43" s="47">
        <f t="shared" si="8"/>
        <v>1053.83</v>
      </c>
      <c r="AJ43" s="48">
        <f>365-31-28-31-30-31-10</f>
        <v>204</v>
      </c>
      <c r="AK43" s="49" t="e">
        <f>+AG43*#REF!/365*AJ43</f>
        <v>#REF!</v>
      </c>
      <c r="AL43" s="78" t="e">
        <f t="shared" si="9"/>
        <v>#REF!</v>
      </c>
    </row>
    <row r="44" spans="2:38" x14ac:dyDescent="0.25">
      <c r="B44" s="160"/>
      <c r="C44" s="161"/>
      <c r="D44" s="163"/>
      <c r="E44" s="159"/>
      <c r="F44" s="159"/>
      <c r="G44" s="165">
        <f>+G43+F44</f>
        <v>2042.08</v>
      </c>
      <c r="H44" s="20"/>
      <c r="I44" s="167">
        <f>IF(B44&gt;0,(Parametros!$H$11-'Calculo Intereses PERS NAT'!B44),0)</f>
        <v>0</v>
      </c>
      <c r="J44" s="168">
        <f>(F44-E44)*Parametros!$H$37/365*'Calculo Intereses PERS NAT'!I44</f>
        <v>0</v>
      </c>
      <c r="K44" s="169">
        <f t="shared" si="6"/>
        <v>110.86662671232875</v>
      </c>
      <c r="L44" s="20"/>
      <c r="M44" s="20"/>
      <c r="AC44" s="85">
        <v>40712</v>
      </c>
      <c r="AD44" s="7"/>
      <c r="AE44" s="7"/>
      <c r="AF44" s="7"/>
      <c r="AG44" s="47">
        <v>10</v>
      </c>
      <c r="AH44" s="47">
        <f t="shared" si="8"/>
        <v>1063.83</v>
      </c>
      <c r="AJ44" s="48">
        <f>30-17+31+31+30+31+30+31</f>
        <v>197</v>
      </c>
      <c r="AK44" s="49" t="e">
        <f>+AG44*#REF!/365*AJ44</f>
        <v>#REF!</v>
      </c>
      <c r="AL44" s="78" t="e">
        <f t="shared" si="9"/>
        <v>#REF!</v>
      </c>
    </row>
    <row r="45" spans="2:38" x14ac:dyDescent="0.25">
      <c r="B45" s="20"/>
      <c r="C45" s="20"/>
      <c r="D45" s="52" t="s">
        <v>21</v>
      </c>
      <c r="E45" s="166">
        <f>SUM(E29:E44)</f>
        <v>0</v>
      </c>
      <c r="F45" s="166">
        <f>SUM(F29:F44)</f>
        <v>2042.08</v>
      </c>
      <c r="G45" s="166">
        <f>+G44</f>
        <v>2042.08</v>
      </c>
      <c r="J45" s="170">
        <f>SUM(J29:J44)</f>
        <v>110.86662671232875</v>
      </c>
      <c r="L45" s="20"/>
      <c r="M45" s="20"/>
      <c r="AC45" s="85">
        <v>40745</v>
      </c>
      <c r="AD45" s="7"/>
      <c r="AE45" s="7"/>
      <c r="AF45" s="7"/>
      <c r="AG45" s="47">
        <v>10</v>
      </c>
      <c r="AH45" s="47">
        <f t="shared" si="8"/>
        <v>1073.83</v>
      </c>
      <c r="AJ45" s="48">
        <f>31-17+31+30+31+30+31</f>
        <v>167</v>
      </c>
      <c r="AK45" s="49" t="e">
        <f>+AG45*#REF!/365*AJ45</f>
        <v>#REF!</v>
      </c>
      <c r="AL45" s="78" t="e">
        <f t="shared" si="9"/>
        <v>#REF!</v>
      </c>
    </row>
    <row r="46" spans="2:38" x14ac:dyDescent="0.25"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AC46" s="85">
        <v>40754</v>
      </c>
      <c r="AD46" s="7"/>
      <c r="AE46" s="7"/>
      <c r="AF46" s="7"/>
      <c r="AG46" s="47">
        <v>10</v>
      </c>
      <c r="AH46" s="47">
        <f t="shared" si="8"/>
        <v>1083.83</v>
      </c>
      <c r="AJ46" s="48">
        <f>2+31+30+31+30+31</f>
        <v>155</v>
      </c>
      <c r="AK46" s="49" t="e">
        <f>+AG46*#REF!/365*AJ46</f>
        <v>#REF!</v>
      </c>
      <c r="AL46" s="78" t="e">
        <f t="shared" si="9"/>
        <v>#REF!</v>
      </c>
    </row>
    <row r="47" spans="2:38" x14ac:dyDescent="0.25">
      <c r="B47" s="172" t="str">
        <f>CONCATENATE("APORTACIONES Y CALCULO DE INTERESES CORRESPONDIENTES AL AÑO ",YEAR(Parametros!$H$11))</f>
        <v>APORTACIONES Y CALCULO DE INTERESES CORRESPONDIENTES AL AÑO 2015</v>
      </c>
      <c r="C47" s="53"/>
      <c r="D47" s="53"/>
      <c r="E47" s="54"/>
      <c r="G47" s="54"/>
      <c r="H47" s="20"/>
      <c r="I47" s="55"/>
      <c r="J47" s="56"/>
      <c r="K47" s="20"/>
      <c r="L47" s="20"/>
      <c r="M47" s="20"/>
      <c r="AC47" s="85">
        <v>40865</v>
      </c>
      <c r="AD47" s="7"/>
      <c r="AE47" s="7"/>
      <c r="AF47" s="7"/>
      <c r="AG47" s="47">
        <v>20</v>
      </c>
      <c r="AH47" s="47">
        <f t="shared" si="8"/>
        <v>1103.83</v>
      </c>
      <c r="AJ47" s="48">
        <f>30-17+31</f>
        <v>44</v>
      </c>
      <c r="AK47" s="49" t="e">
        <f>+AG47*#REF!/365*AJ47</f>
        <v>#REF!</v>
      </c>
      <c r="AL47" s="78" t="e">
        <f t="shared" si="9"/>
        <v>#REF!</v>
      </c>
    </row>
    <row r="48" spans="2:38" x14ac:dyDescent="0.25">
      <c r="B48" s="69" t="s">
        <v>186</v>
      </c>
      <c r="C48" s="173" t="str">
        <f>+'Calculo Excedentes'!A55</f>
        <v>PN-3</v>
      </c>
      <c r="D48" s="171" t="s">
        <v>187</v>
      </c>
      <c r="E48" s="176" t="str">
        <f>+'Calculo Excedentes'!B55</f>
        <v xml:space="preserve">Daysi  Rosales </v>
      </c>
      <c r="F48" s="174"/>
      <c r="G48" s="175"/>
      <c r="H48" s="20"/>
      <c r="I48" s="39" t="s">
        <v>73</v>
      </c>
      <c r="J48" s="39" t="s">
        <v>74</v>
      </c>
      <c r="K48" s="39" t="s">
        <v>75</v>
      </c>
      <c r="L48" s="20"/>
      <c r="M48" s="20"/>
      <c r="AC48" s="85"/>
      <c r="AD48" s="7"/>
      <c r="AE48" s="7"/>
      <c r="AF48" s="7"/>
      <c r="AG48" s="47">
        <v>92.92</v>
      </c>
      <c r="AH48" s="47"/>
      <c r="AJ48" s="48">
        <v>365</v>
      </c>
      <c r="AK48" s="49" t="e">
        <f>+AG48*#REF!/365*AJ48</f>
        <v>#REF!</v>
      </c>
      <c r="AL48" s="78" t="e">
        <f t="shared" si="9"/>
        <v>#REF!</v>
      </c>
    </row>
    <row r="49" spans="2:39" x14ac:dyDescent="0.25">
      <c r="B49" s="40" t="s">
        <v>76</v>
      </c>
      <c r="C49" s="40" t="s">
        <v>77</v>
      </c>
      <c r="D49" s="40" t="s">
        <v>78</v>
      </c>
      <c r="E49" s="40" t="s">
        <v>79</v>
      </c>
      <c r="F49" s="40" t="s">
        <v>80</v>
      </c>
      <c r="G49" s="40" t="s">
        <v>81</v>
      </c>
      <c r="H49" s="20"/>
      <c r="I49" s="42" t="s">
        <v>82</v>
      </c>
      <c r="J49" s="164" t="s">
        <v>185</v>
      </c>
      <c r="K49" s="42" t="s">
        <v>84</v>
      </c>
      <c r="L49" s="20"/>
      <c r="M49" s="20"/>
      <c r="AC49" s="85"/>
      <c r="AD49" s="7"/>
      <c r="AE49" s="7"/>
      <c r="AF49" s="7"/>
      <c r="AG49" s="47"/>
      <c r="AH49" s="47"/>
      <c r="AJ49" s="48"/>
      <c r="AK49" s="49" t="e">
        <f>+AG49*#REF!/365*AJ49</f>
        <v>#REF!</v>
      </c>
      <c r="AL49" s="78" t="e">
        <f t="shared" si="9"/>
        <v>#REF!</v>
      </c>
    </row>
    <row r="50" spans="2:39" x14ac:dyDescent="0.25">
      <c r="B50" s="158">
        <f>+Parametros!$H$11-365</f>
        <v>42004</v>
      </c>
      <c r="C50" s="161"/>
      <c r="D50" s="162"/>
      <c r="E50" s="159"/>
      <c r="F50" s="159">
        <v>2742.85</v>
      </c>
      <c r="G50" s="165">
        <f>+F50-E50</f>
        <v>2742.85</v>
      </c>
      <c r="H50" s="20"/>
      <c r="I50" s="167">
        <f>IF(B50&gt;0,(Parametros!$H$11-'Calculo Intereses PERS NAT'!B50),0)</f>
        <v>365</v>
      </c>
      <c r="J50" s="168">
        <f>(F50-E50)*Parametros!$H$37/365*'Calculo Intereses PERS NAT'!I50</f>
        <v>150.85675000000001</v>
      </c>
      <c r="K50" s="169">
        <f>+J50</f>
        <v>150.85675000000001</v>
      </c>
      <c r="L50" s="20"/>
      <c r="M50" s="20"/>
    </row>
    <row r="51" spans="2:39" x14ac:dyDescent="0.25">
      <c r="B51" s="160">
        <v>41989</v>
      </c>
      <c r="C51" s="221"/>
      <c r="D51" s="162" t="s">
        <v>88</v>
      </c>
      <c r="E51" s="159"/>
      <c r="F51" s="159">
        <f>457.16+114.29</f>
        <v>571.45000000000005</v>
      </c>
      <c r="G51" s="165">
        <f>+G50+F51-E51</f>
        <v>3314.3</v>
      </c>
      <c r="H51" s="20"/>
      <c r="I51" s="167">
        <f>IF(B51&gt;0,(Parametros!$H$11-'Calculo Intereses PERS NAT'!B51),0)</f>
        <v>380</v>
      </c>
      <c r="J51" s="168">
        <f>(F51-E51)*Parametros!$H$37/365*'Calculo Intereses PERS NAT'!I51</f>
        <v>32.72138356164384</v>
      </c>
      <c r="K51" s="169">
        <f>+J51+K50</f>
        <v>183.57813356164385</v>
      </c>
      <c r="L51" s="20"/>
      <c r="M51" s="20"/>
    </row>
    <row r="52" spans="2:39" x14ac:dyDescent="0.25">
      <c r="B52" s="160">
        <v>42049</v>
      </c>
      <c r="C52" s="221"/>
      <c r="D52" s="162" t="s">
        <v>240</v>
      </c>
      <c r="E52" s="159"/>
      <c r="F52" s="159">
        <v>343.29</v>
      </c>
      <c r="G52" s="165">
        <f t="shared" ref="G52:G69" si="10">+G51+F52-E52</f>
        <v>3657.59</v>
      </c>
      <c r="H52" s="20"/>
      <c r="I52" s="167">
        <f>IF(B52&gt;0,(Parametros!$H$11-'Calculo Intereses PERS NAT'!B52),0)</f>
        <v>320</v>
      </c>
      <c r="J52" s="168">
        <f>(F52-E52)*Parametros!$H$37/365*'Calculo Intereses PERS NAT'!I52</f>
        <v>16.553161643835619</v>
      </c>
      <c r="K52" s="169">
        <f t="shared" ref="K52:K60" si="11">+J52+K51</f>
        <v>200.13129520547946</v>
      </c>
      <c r="L52" s="20"/>
      <c r="M52" s="20"/>
    </row>
    <row r="53" spans="2:39" x14ac:dyDescent="0.25">
      <c r="B53" s="160">
        <v>42124</v>
      </c>
      <c r="C53" s="221"/>
      <c r="D53" s="162" t="s">
        <v>88</v>
      </c>
      <c r="E53" s="159"/>
      <c r="F53" s="159">
        <v>114.29</v>
      </c>
      <c r="G53" s="165">
        <f t="shared" si="10"/>
        <v>3771.88</v>
      </c>
      <c r="H53" s="20"/>
      <c r="I53" s="167">
        <f>IF(B53&gt;0,(Parametros!$H$11-'Calculo Intereses PERS NAT'!B53),0)</f>
        <v>245</v>
      </c>
      <c r="J53" s="168">
        <f>(F53-E53)*Parametros!$H$37/365*'Calculo Intereses PERS NAT'!I53</f>
        <v>4.2193363013698635</v>
      </c>
      <c r="K53" s="169">
        <f t="shared" si="11"/>
        <v>204.35063150684931</v>
      </c>
      <c r="L53" s="20"/>
      <c r="M53" s="20"/>
    </row>
    <row r="54" spans="2:39" x14ac:dyDescent="0.25">
      <c r="B54" s="160">
        <v>42152</v>
      </c>
      <c r="C54" s="161"/>
      <c r="D54" s="162" t="s">
        <v>246</v>
      </c>
      <c r="E54" s="159"/>
      <c r="F54" s="159">
        <v>50</v>
      </c>
      <c r="G54" s="165">
        <f t="shared" si="10"/>
        <v>3821.88</v>
      </c>
      <c r="H54" s="20"/>
      <c r="I54" s="167">
        <f>IF(B54&gt;0,(Parametros!$H$11-'Calculo Intereses PERS NAT'!B54),0)</f>
        <v>217</v>
      </c>
      <c r="J54" s="168">
        <f>(F54-E54)*Parametros!$H$37/365*'Calculo Intereses PERS NAT'!I54</f>
        <v>1.6349315068493151</v>
      </c>
      <c r="K54" s="169">
        <f t="shared" si="11"/>
        <v>205.98556301369862</v>
      </c>
      <c r="L54" s="20"/>
      <c r="M54" s="20"/>
    </row>
    <row r="55" spans="2:39" x14ac:dyDescent="0.25">
      <c r="B55" s="160">
        <v>42155</v>
      </c>
      <c r="C55" s="161"/>
      <c r="D55" s="162" t="s">
        <v>246</v>
      </c>
      <c r="E55" s="159"/>
      <c r="F55" s="159">
        <v>114.29</v>
      </c>
      <c r="G55" s="165">
        <f t="shared" si="10"/>
        <v>3936.17</v>
      </c>
      <c r="H55" s="20"/>
      <c r="I55" s="167">
        <f>IF(B55&gt;0,(Parametros!$H$11-'Calculo Intereses PERS NAT'!B55),0)</f>
        <v>214</v>
      </c>
      <c r="J55" s="168">
        <f>(F55-E55)*Parametros!$H$37/365*'Calculo Intereses PERS NAT'!I55</f>
        <v>3.6854610958904113</v>
      </c>
      <c r="K55" s="169">
        <f t="shared" si="11"/>
        <v>209.67102410958904</v>
      </c>
      <c r="L55" s="20"/>
      <c r="M55" s="20"/>
    </row>
    <row r="56" spans="2:39" x14ac:dyDescent="0.25">
      <c r="B56" s="160">
        <v>42178</v>
      </c>
      <c r="C56" s="161"/>
      <c r="D56" s="162" t="s">
        <v>246</v>
      </c>
      <c r="E56" s="159"/>
      <c r="F56" s="159">
        <v>250</v>
      </c>
      <c r="G56" s="165">
        <f t="shared" si="10"/>
        <v>4186.17</v>
      </c>
      <c r="H56" s="20"/>
      <c r="I56" s="167">
        <f>IF(B56&gt;0,(Parametros!$H$11-'Calculo Intereses PERS NAT'!B56),0)</f>
        <v>191</v>
      </c>
      <c r="J56" s="168">
        <f>(F56-E56)*Parametros!$H$37/365*'Calculo Intereses PERS NAT'!I56</f>
        <v>7.1952054794520546</v>
      </c>
      <c r="K56" s="169">
        <f t="shared" si="11"/>
        <v>216.8662295890411</v>
      </c>
      <c r="L56" s="20"/>
      <c r="M56" s="20"/>
    </row>
    <row r="57" spans="2:39" x14ac:dyDescent="0.25">
      <c r="B57" s="160">
        <v>42167</v>
      </c>
      <c r="C57" s="161"/>
      <c r="D57" s="162" t="s">
        <v>246</v>
      </c>
      <c r="E57" s="159"/>
      <c r="F57" s="159">
        <v>50</v>
      </c>
      <c r="G57" s="165">
        <f t="shared" si="10"/>
        <v>4236.17</v>
      </c>
      <c r="H57" s="20"/>
      <c r="I57" s="167">
        <f>IF(B57&gt;0,(Parametros!$H$11-'Calculo Intereses PERS NAT'!B57),0)</f>
        <v>202</v>
      </c>
      <c r="J57" s="168">
        <f>(F57-E57)*Parametros!$H$37/365*'Calculo Intereses PERS NAT'!I57</f>
        <v>1.5219178082191782</v>
      </c>
      <c r="K57" s="169">
        <f t="shared" si="11"/>
        <v>218.38814739726027</v>
      </c>
      <c r="L57" s="20"/>
      <c r="M57" s="20"/>
    </row>
    <row r="58" spans="2:39" x14ac:dyDescent="0.25">
      <c r="B58" s="160">
        <v>42184</v>
      </c>
      <c r="C58" s="161"/>
      <c r="D58" s="162" t="s">
        <v>246</v>
      </c>
      <c r="E58" s="159"/>
      <c r="F58" s="159">
        <v>50</v>
      </c>
      <c r="G58" s="165">
        <f t="shared" si="10"/>
        <v>4286.17</v>
      </c>
      <c r="H58" s="20"/>
      <c r="I58" s="167">
        <f>IF(B58&gt;0,(Parametros!$H$11-'Calculo Intereses PERS NAT'!B58),0)</f>
        <v>185</v>
      </c>
      <c r="J58" s="168">
        <f>(F58-E58)*Parametros!$H$37/365*'Calculo Intereses PERS NAT'!I58</f>
        <v>1.3938356164383563</v>
      </c>
      <c r="K58" s="169">
        <f t="shared" si="11"/>
        <v>219.78198301369864</v>
      </c>
      <c r="L58" s="20"/>
      <c r="M58" s="20"/>
    </row>
    <row r="59" spans="2:39" s="1" customFormat="1" x14ac:dyDescent="0.25">
      <c r="B59" s="160">
        <v>42200</v>
      </c>
      <c r="C59" s="161"/>
      <c r="D59" s="162" t="s">
        <v>246</v>
      </c>
      <c r="E59" s="159"/>
      <c r="F59" s="159">
        <v>50</v>
      </c>
      <c r="G59" s="165">
        <f t="shared" si="10"/>
        <v>4336.17</v>
      </c>
      <c r="H59" s="20"/>
      <c r="I59" s="167">
        <f>IF(B59&gt;0,(Parametros!$H$11-'Calculo Intereses PERS NAT'!B59),0)</f>
        <v>169</v>
      </c>
      <c r="J59" s="168">
        <f>(F59-E59)*Parametros!$H$37/365*'Calculo Intereses PERS NAT'!I59</f>
        <v>1.2732876712328767</v>
      </c>
      <c r="K59" s="169">
        <f t="shared" si="11"/>
        <v>221.05527068493151</v>
      </c>
      <c r="L59" s="20"/>
      <c r="M59" s="20"/>
      <c r="O59"/>
      <c r="P59"/>
      <c r="Q59"/>
      <c r="R59"/>
      <c r="S59"/>
      <c r="T59"/>
      <c r="U59"/>
      <c r="V59"/>
      <c r="W59"/>
      <c r="X59"/>
      <c r="Z59"/>
      <c r="AA59"/>
      <c r="AC59"/>
      <c r="AD59"/>
      <c r="AE59"/>
      <c r="AF59"/>
      <c r="AG59"/>
      <c r="AH59"/>
      <c r="AI59"/>
      <c r="AJ59"/>
      <c r="AK59"/>
      <c r="AL59"/>
      <c r="AM59"/>
    </row>
    <row r="60" spans="2:39" s="1" customFormat="1" x14ac:dyDescent="0.25">
      <c r="B60" s="160">
        <v>42215</v>
      </c>
      <c r="C60" s="161"/>
      <c r="D60" s="162" t="s">
        <v>246</v>
      </c>
      <c r="E60" s="159"/>
      <c r="F60" s="159">
        <v>50</v>
      </c>
      <c r="G60" s="165">
        <f t="shared" si="10"/>
        <v>4386.17</v>
      </c>
      <c r="H60" s="20"/>
      <c r="I60" s="167">
        <f>IF(B60&gt;0,(Parametros!$H$11-'Calculo Intereses PERS NAT'!B60),0)</f>
        <v>154</v>
      </c>
      <c r="J60" s="168">
        <f>(F60-E60)*Parametros!$H$37/365*'Calculo Intereses PERS NAT'!I60</f>
        <v>1.1602739726027398</v>
      </c>
      <c r="K60" s="169">
        <f t="shared" si="11"/>
        <v>222.21554465753425</v>
      </c>
      <c r="L60" s="20"/>
      <c r="M60" s="20"/>
      <c r="O60"/>
      <c r="P60"/>
      <c r="Q60"/>
      <c r="R60"/>
      <c r="S60"/>
      <c r="T60"/>
      <c r="U60"/>
      <c r="V60"/>
      <c r="W60"/>
      <c r="X60"/>
      <c r="Z60"/>
      <c r="AA60"/>
      <c r="AC60"/>
      <c r="AD60"/>
      <c r="AE60"/>
      <c r="AF60"/>
      <c r="AG60"/>
      <c r="AH60"/>
      <c r="AI60"/>
      <c r="AJ60"/>
      <c r="AK60"/>
      <c r="AL60"/>
      <c r="AM60"/>
    </row>
    <row r="61" spans="2:39" s="1" customFormat="1" x14ac:dyDescent="0.25">
      <c r="B61" s="160">
        <v>42231</v>
      </c>
      <c r="C61" s="161"/>
      <c r="D61" s="162" t="s">
        <v>246</v>
      </c>
      <c r="E61" s="159"/>
      <c r="F61" s="159">
        <v>50</v>
      </c>
      <c r="G61" s="165">
        <f t="shared" si="10"/>
        <v>4436.17</v>
      </c>
      <c r="H61" s="20"/>
      <c r="I61" s="167">
        <f>IF(B61&gt;0,(Parametros!$H$11-'Calculo Intereses PERS NAT'!B61),0)</f>
        <v>138</v>
      </c>
      <c r="J61" s="168">
        <f>(F61-E61)*Parametros!$H$37/365*'Calculo Intereses PERS NAT'!I61</f>
        <v>1.0397260273972604</v>
      </c>
      <c r="K61" s="169">
        <f t="shared" ref="K61" si="12">+J61+K60</f>
        <v>223.2552706849315</v>
      </c>
      <c r="L61" s="20"/>
      <c r="M61" s="20"/>
      <c r="O61"/>
      <c r="P61"/>
      <c r="Q61"/>
      <c r="R61"/>
      <c r="S61"/>
      <c r="T61"/>
      <c r="U61"/>
      <c r="V61"/>
      <c r="W61"/>
      <c r="X61"/>
      <c r="Z61"/>
      <c r="AA61"/>
      <c r="AC61"/>
      <c r="AD61"/>
      <c r="AE61"/>
      <c r="AF61"/>
      <c r="AG61"/>
      <c r="AH61"/>
      <c r="AI61"/>
      <c r="AJ61"/>
      <c r="AK61"/>
      <c r="AL61"/>
      <c r="AM61"/>
    </row>
    <row r="62" spans="2:39" s="1" customFormat="1" x14ac:dyDescent="0.25">
      <c r="B62" s="160">
        <v>42244</v>
      </c>
      <c r="C62" s="161"/>
      <c r="D62" s="162" t="s">
        <v>246</v>
      </c>
      <c r="E62" s="159"/>
      <c r="F62" s="159">
        <v>50</v>
      </c>
      <c r="G62" s="165">
        <f t="shared" si="10"/>
        <v>4486.17</v>
      </c>
      <c r="H62" s="20"/>
      <c r="I62" s="167">
        <f>IF(B62&gt;0,(Parametros!$H$11-'Calculo Intereses PERS NAT'!B62),0)</f>
        <v>125</v>
      </c>
      <c r="J62" s="168">
        <f>(F62-E62)*Parametros!$H$37/365*'Calculo Intereses PERS NAT'!I62</f>
        <v>0.94178082191780821</v>
      </c>
      <c r="K62" s="169">
        <f t="shared" ref="K62:K65" si="13">+J62+K61</f>
        <v>224.19705150684931</v>
      </c>
      <c r="L62" s="20"/>
      <c r="M62" s="20"/>
      <c r="O62"/>
      <c r="P62"/>
      <c r="Q62"/>
      <c r="R62"/>
      <c r="S62"/>
      <c r="T62"/>
      <c r="U62"/>
      <c r="V62"/>
      <c r="W62"/>
      <c r="X62"/>
      <c r="Z62"/>
      <c r="AA62"/>
      <c r="AC62"/>
      <c r="AD62"/>
      <c r="AE62"/>
      <c r="AF62"/>
      <c r="AG62"/>
      <c r="AH62"/>
      <c r="AI62"/>
      <c r="AJ62"/>
      <c r="AK62"/>
      <c r="AL62"/>
      <c r="AM62"/>
    </row>
    <row r="63" spans="2:39" s="1" customFormat="1" x14ac:dyDescent="0.25">
      <c r="B63" s="160">
        <v>42259</v>
      </c>
      <c r="C63" s="161"/>
      <c r="D63" s="162" t="s">
        <v>246</v>
      </c>
      <c r="E63" s="159"/>
      <c r="F63" s="159">
        <v>50</v>
      </c>
      <c r="G63" s="165">
        <f t="shared" si="10"/>
        <v>4536.17</v>
      </c>
      <c r="H63" s="20"/>
      <c r="I63" s="167">
        <f>IF(B63&gt;0,(Parametros!$H$11-'Calculo Intereses PERS NAT'!B63),0)</f>
        <v>110</v>
      </c>
      <c r="J63" s="168">
        <f>(F63-E63)*Parametros!$H$37/365*'Calculo Intereses PERS NAT'!I63</f>
        <v>0.82876712328767121</v>
      </c>
      <c r="K63" s="169">
        <f t="shared" si="13"/>
        <v>225.02581863013697</v>
      </c>
      <c r="L63" s="20"/>
      <c r="M63" s="20"/>
      <c r="O63"/>
      <c r="P63"/>
      <c r="Q63"/>
      <c r="R63"/>
      <c r="S63"/>
      <c r="T63"/>
      <c r="U63"/>
      <c r="V63"/>
      <c r="W63"/>
      <c r="X63"/>
      <c r="Z63"/>
      <c r="AA63"/>
      <c r="AC63"/>
      <c r="AD63"/>
      <c r="AE63"/>
      <c r="AF63"/>
      <c r="AG63"/>
      <c r="AH63"/>
      <c r="AI63"/>
      <c r="AJ63"/>
      <c r="AK63"/>
      <c r="AL63"/>
      <c r="AM63"/>
    </row>
    <row r="64" spans="2:39" s="1" customFormat="1" x14ac:dyDescent="0.25">
      <c r="B64" s="160">
        <v>42275</v>
      </c>
      <c r="C64" s="161"/>
      <c r="D64" s="162" t="s">
        <v>246</v>
      </c>
      <c r="E64" s="159"/>
      <c r="F64" s="159">
        <v>50</v>
      </c>
      <c r="G64" s="165">
        <f t="shared" si="10"/>
        <v>4586.17</v>
      </c>
      <c r="H64" s="20"/>
      <c r="I64" s="167">
        <f>IF(B64&gt;0,(Parametros!$H$11-'Calculo Intereses PERS NAT'!B64),0)</f>
        <v>94</v>
      </c>
      <c r="J64" s="168">
        <f>(F64-E64)*Parametros!$H$37/365*'Calculo Intereses PERS NAT'!I64</f>
        <v>0.70821917808219181</v>
      </c>
      <c r="K64" s="169">
        <f t="shared" si="13"/>
        <v>225.73403780821917</v>
      </c>
      <c r="L64" s="20"/>
      <c r="M64" s="20"/>
      <c r="O64"/>
      <c r="P64"/>
      <c r="Q64"/>
      <c r="R64"/>
      <c r="S64"/>
      <c r="T64"/>
      <c r="U64"/>
      <c r="V64"/>
      <c r="W64"/>
      <c r="X64"/>
      <c r="Z64"/>
      <c r="AA64"/>
      <c r="AC64"/>
      <c r="AD64"/>
      <c r="AE64"/>
      <c r="AF64"/>
      <c r="AG64"/>
      <c r="AH64"/>
      <c r="AI64"/>
      <c r="AJ64"/>
      <c r="AK64"/>
      <c r="AL64"/>
      <c r="AM64"/>
    </row>
    <row r="65" spans="2:39" s="1" customFormat="1" x14ac:dyDescent="0.25">
      <c r="B65" s="160">
        <v>42292</v>
      </c>
      <c r="C65" s="161"/>
      <c r="D65" s="162" t="s">
        <v>246</v>
      </c>
      <c r="E65" s="159"/>
      <c r="F65" s="159">
        <v>50</v>
      </c>
      <c r="G65" s="165">
        <f t="shared" si="10"/>
        <v>4636.17</v>
      </c>
      <c r="H65" s="20"/>
      <c r="I65" s="167">
        <f>IF(B65&gt;0,(Parametros!$H$11-'Calculo Intereses PERS NAT'!B65),0)</f>
        <v>77</v>
      </c>
      <c r="J65" s="168">
        <f>(F65-E65)*Parametros!$H$37/365*'Calculo Intereses PERS NAT'!I65</f>
        <v>0.58013698630136989</v>
      </c>
      <c r="K65" s="169">
        <f t="shared" si="13"/>
        <v>226.31417479452054</v>
      </c>
      <c r="L65" s="20"/>
      <c r="M65" s="20"/>
      <c r="O65"/>
      <c r="P65"/>
      <c r="Q65"/>
      <c r="R65"/>
      <c r="S65"/>
      <c r="T65"/>
      <c r="U65"/>
      <c r="V65"/>
      <c r="W65"/>
      <c r="X65"/>
      <c r="Z65"/>
      <c r="AA65"/>
      <c r="AC65"/>
      <c r="AD65"/>
      <c r="AE65"/>
      <c r="AF65"/>
      <c r="AG65"/>
      <c r="AH65"/>
      <c r="AI65"/>
      <c r="AJ65"/>
      <c r="AK65"/>
      <c r="AL65"/>
      <c r="AM65"/>
    </row>
    <row r="66" spans="2:39" s="1" customFormat="1" x14ac:dyDescent="0.25">
      <c r="B66" s="160">
        <v>42308</v>
      </c>
      <c r="C66" s="161"/>
      <c r="D66" s="162" t="s">
        <v>246</v>
      </c>
      <c r="E66" s="159"/>
      <c r="F66" s="159">
        <v>50</v>
      </c>
      <c r="G66" s="165">
        <f t="shared" si="10"/>
        <v>4686.17</v>
      </c>
      <c r="H66" s="20"/>
      <c r="I66" s="167">
        <f>IF(B66&gt;0,(Parametros!$H$11-'Calculo Intereses PERS NAT'!B66),0)</f>
        <v>61</v>
      </c>
      <c r="J66" s="168">
        <f>(F66-E66)*Parametros!$H$37/365*'Calculo Intereses PERS NAT'!I66</f>
        <v>0.45958904109589044</v>
      </c>
      <c r="K66" s="169">
        <f>+J66+K65</f>
        <v>226.77376383561642</v>
      </c>
      <c r="L66" s="20"/>
      <c r="M66" s="20"/>
      <c r="O66"/>
      <c r="P66"/>
      <c r="Q66"/>
      <c r="R66"/>
      <c r="S66"/>
      <c r="T66"/>
      <c r="U66"/>
      <c r="V66"/>
      <c r="W66"/>
      <c r="X66"/>
      <c r="Z66"/>
      <c r="AA66"/>
      <c r="AC66"/>
      <c r="AD66"/>
      <c r="AE66"/>
      <c r="AF66"/>
      <c r="AG66"/>
      <c r="AH66"/>
      <c r="AI66"/>
      <c r="AJ66"/>
      <c r="AK66"/>
      <c r="AL66"/>
      <c r="AM66"/>
    </row>
    <row r="67" spans="2:39" s="1" customFormat="1" x14ac:dyDescent="0.25">
      <c r="B67" s="160">
        <v>42321</v>
      </c>
      <c r="C67" s="161"/>
      <c r="D67" s="162" t="s">
        <v>246</v>
      </c>
      <c r="E67" s="159"/>
      <c r="F67" s="159">
        <v>50</v>
      </c>
      <c r="G67" s="165">
        <f t="shared" si="10"/>
        <v>4736.17</v>
      </c>
      <c r="H67" s="20"/>
      <c r="I67" s="167">
        <f>IF(B67&gt;0,(Parametros!$H$11-'Calculo Intereses PERS NAT'!B67),0)</f>
        <v>48</v>
      </c>
      <c r="J67" s="168">
        <f>(F67-E67)*Parametros!$H$37/365*'Calculo Intereses PERS NAT'!I67</f>
        <v>0.36164383561643837</v>
      </c>
      <c r="K67" s="169">
        <f t="shared" ref="K67:K69" si="14">+J67+K66</f>
        <v>227.13540767123285</v>
      </c>
      <c r="L67" s="20"/>
      <c r="M67" s="20"/>
      <c r="O67"/>
      <c r="P67"/>
      <c r="Q67"/>
      <c r="R67"/>
      <c r="S67"/>
      <c r="T67"/>
      <c r="U67"/>
      <c r="V67"/>
      <c r="W67"/>
      <c r="X67"/>
      <c r="Z67"/>
      <c r="AA67"/>
      <c r="AC67"/>
      <c r="AD67"/>
      <c r="AE67"/>
      <c r="AF67"/>
      <c r="AG67"/>
      <c r="AH67"/>
      <c r="AI67"/>
      <c r="AJ67"/>
      <c r="AK67"/>
      <c r="AL67"/>
      <c r="AM67"/>
    </row>
    <row r="68" spans="2:39" s="1" customFormat="1" x14ac:dyDescent="0.25">
      <c r="B68" s="160">
        <v>42335</v>
      </c>
      <c r="C68" s="161"/>
      <c r="D68" s="162" t="s">
        <v>246</v>
      </c>
      <c r="E68" s="159"/>
      <c r="F68" s="159">
        <v>50</v>
      </c>
      <c r="G68" s="165">
        <f t="shared" si="10"/>
        <v>4786.17</v>
      </c>
      <c r="H68" s="20"/>
      <c r="I68" s="167">
        <f>IF(B68&gt;0,(Parametros!$H$11-'Calculo Intereses PERS NAT'!B68),0)</f>
        <v>34</v>
      </c>
      <c r="J68" s="168">
        <f>(F68-E68)*Parametros!$H$37/365*'Calculo Intereses PERS NAT'!I68</f>
        <v>0.25616438356164384</v>
      </c>
      <c r="K68" s="169">
        <f t="shared" si="14"/>
        <v>227.39157205479449</v>
      </c>
      <c r="L68" s="20"/>
      <c r="M68" s="20"/>
      <c r="O68"/>
      <c r="P68"/>
      <c r="Q68"/>
      <c r="R68"/>
      <c r="S68"/>
      <c r="T68"/>
      <c r="U68"/>
      <c r="V68"/>
      <c r="W68"/>
      <c r="X68"/>
      <c r="Z68"/>
      <c r="AA68"/>
      <c r="AC68"/>
      <c r="AD68"/>
      <c r="AE68"/>
      <c r="AF68"/>
      <c r="AG68"/>
      <c r="AH68"/>
      <c r="AI68"/>
      <c r="AJ68"/>
      <c r="AK68"/>
      <c r="AL68"/>
      <c r="AM68"/>
    </row>
    <row r="69" spans="2:39" s="1" customFormat="1" x14ac:dyDescent="0.25">
      <c r="B69" s="160">
        <v>42369</v>
      </c>
      <c r="C69" s="161"/>
      <c r="D69" s="162" t="s">
        <v>246</v>
      </c>
      <c r="E69" s="159"/>
      <c r="F69" s="159">
        <v>50</v>
      </c>
      <c r="G69" s="165">
        <f t="shared" si="10"/>
        <v>4836.17</v>
      </c>
      <c r="H69" s="20"/>
      <c r="I69" s="167">
        <f>IF(B69&gt;0,(Parametros!$H$11-'Calculo Intereses PERS NAT'!B69),0)</f>
        <v>0</v>
      </c>
      <c r="J69" s="168">
        <f>(F69-E69)*Parametros!$H$37/365*'Calculo Intereses PERS NAT'!I69</f>
        <v>0</v>
      </c>
      <c r="K69" s="169">
        <f t="shared" si="14"/>
        <v>227.39157205479449</v>
      </c>
      <c r="L69" s="20"/>
      <c r="M69" s="20"/>
      <c r="O69"/>
      <c r="P69"/>
      <c r="Q69"/>
      <c r="R69"/>
      <c r="S69"/>
      <c r="T69"/>
      <c r="U69"/>
      <c r="V69"/>
      <c r="W69"/>
      <c r="X69"/>
      <c r="Z69"/>
      <c r="AA69"/>
      <c r="AC69"/>
      <c r="AD69"/>
      <c r="AE69"/>
      <c r="AF69"/>
      <c r="AG69"/>
      <c r="AH69"/>
      <c r="AI69"/>
      <c r="AJ69"/>
      <c r="AK69"/>
      <c r="AL69"/>
      <c r="AM69"/>
    </row>
    <row r="70" spans="2:39" s="1" customFormat="1" x14ac:dyDescent="0.25">
      <c r="B70" s="20"/>
      <c r="C70" s="20"/>
      <c r="D70" s="52" t="s">
        <v>21</v>
      </c>
      <c r="E70" s="166">
        <f>SUM(E50:E69)</f>
        <v>0</v>
      </c>
      <c r="F70" s="166">
        <f>SUM(F50:F69)</f>
        <v>4836.17</v>
      </c>
      <c r="G70" s="166">
        <f>+G69</f>
        <v>4836.17</v>
      </c>
      <c r="H70"/>
      <c r="I70"/>
      <c r="J70" s="170">
        <f>SUM(J50:J69)</f>
        <v>227.39157205479449</v>
      </c>
      <c r="K70"/>
      <c r="L70" s="20"/>
      <c r="M70" s="20"/>
      <c r="O70"/>
      <c r="P70"/>
      <c r="Q70"/>
      <c r="R70"/>
      <c r="S70"/>
      <c r="T70"/>
      <c r="U70"/>
      <c r="V70"/>
      <c r="W70"/>
      <c r="X70"/>
      <c r="Z70"/>
      <c r="AA70"/>
      <c r="AC70"/>
      <c r="AD70"/>
      <c r="AE70"/>
      <c r="AF70"/>
      <c r="AG70"/>
      <c r="AH70"/>
      <c r="AI70"/>
      <c r="AJ70"/>
      <c r="AK70"/>
      <c r="AL70"/>
      <c r="AM70"/>
    </row>
    <row r="71" spans="2:39" s="1" customFormat="1" x14ac:dyDescent="0.25"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O71"/>
      <c r="P71"/>
      <c r="Q71"/>
      <c r="R71"/>
      <c r="S71"/>
      <c r="T71"/>
      <c r="U71"/>
      <c r="V71"/>
      <c r="W71"/>
      <c r="X71"/>
      <c r="Z71"/>
      <c r="AA71"/>
      <c r="AC71"/>
      <c r="AD71"/>
      <c r="AE71"/>
      <c r="AF71"/>
      <c r="AG71"/>
      <c r="AH71"/>
      <c r="AI71"/>
      <c r="AJ71"/>
      <c r="AK71"/>
      <c r="AL71"/>
      <c r="AM71"/>
    </row>
    <row r="72" spans="2:39" s="1" customFormat="1" x14ac:dyDescent="0.25">
      <c r="B72" s="172" t="str">
        <f>CONCATENATE("APORTACIONES Y CALCULO DE INTERESES CORRESPONDIENTES AL AÑO ",YEAR(Parametros!$H$11))</f>
        <v>APORTACIONES Y CALCULO DE INTERESES CORRESPONDIENTES AL AÑO 2015</v>
      </c>
      <c r="C72" s="53"/>
      <c r="D72" s="53"/>
      <c r="E72" s="54"/>
      <c r="F72" s="54"/>
      <c r="G72" s="54"/>
      <c r="H72" s="20"/>
      <c r="I72" s="55"/>
      <c r="J72" s="56"/>
      <c r="K72" s="20"/>
      <c r="L72" s="20"/>
      <c r="M72" s="20"/>
      <c r="O72"/>
      <c r="P72"/>
      <c r="Q72"/>
      <c r="R72"/>
      <c r="S72"/>
      <c r="T72"/>
      <c r="U72"/>
      <c r="V72"/>
      <c r="W72"/>
      <c r="X72"/>
      <c r="Z72"/>
      <c r="AA72"/>
      <c r="AC72"/>
      <c r="AD72"/>
      <c r="AE72"/>
      <c r="AF72"/>
      <c r="AG72"/>
      <c r="AH72"/>
      <c r="AI72"/>
      <c r="AJ72"/>
      <c r="AK72"/>
      <c r="AL72"/>
      <c r="AM72"/>
    </row>
    <row r="73" spans="2:39" s="1" customFormat="1" x14ac:dyDescent="0.25">
      <c r="B73" s="69" t="s">
        <v>186</v>
      </c>
      <c r="C73" s="173" t="str">
        <f>+'Calculo Excedentes'!A56</f>
        <v>PN-4</v>
      </c>
      <c r="D73" s="171" t="s">
        <v>187</v>
      </c>
      <c r="E73" s="176" t="str">
        <f>+'Calculo Excedentes'!B56</f>
        <v>Rosa Nelys Parada</v>
      </c>
      <c r="F73" s="174"/>
      <c r="G73" s="175"/>
      <c r="H73" s="20"/>
      <c r="I73" s="39" t="s">
        <v>73</v>
      </c>
      <c r="J73" s="39" t="s">
        <v>74</v>
      </c>
      <c r="K73" s="39" t="s">
        <v>75</v>
      </c>
      <c r="L73" s="20"/>
      <c r="M73" s="20"/>
      <c r="O73"/>
      <c r="P73"/>
      <c r="Q73"/>
      <c r="R73"/>
      <c r="S73"/>
      <c r="T73"/>
      <c r="U73"/>
      <c r="V73"/>
      <c r="W73"/>
      <c r="X73"/>
      <c r="Z73"/>
      <c r="AA73"/>
      <c r="AC73"/>
      <c r="AD73"/>
      <c r="AE73"/>
      <c r="AF73"/>
      <c r="AG73"/>
      <c r="AH73"/>
      <c r="AI73"/>
      <c r="AJ73"/>
      <c r="AK73"/>
      <c r="AL73"/>
      <c r="AM73"/>
    </row>
    <row r="74" spans="2:39" s="1" customFormat="1" x14ac:dyDescent="0.25">
      <c r="B74" s="40" t="s">
        <v>76</v>
      </c>
      <c r="C74" s="40" t="s">
        <v>77</v>
      </c>
      <c r="D74" s="40" t="s">
        <v>78</v>
      </c>
      <c r="E74" s="40" t="s">
        <v>79</v>
      </c>
      <c r="F74" s="40" t="s">
        <v>80</v>
      </c>
      <c r="G74" s="40" t="s">
        <v>81</v>
      </c>
      <c r="H74" s="20"/>
      <c r="I74" s="42" t="s">
        <v>82</v>
      </c>
      <c r="J74" s="164" t="s">
        <v>185</v>
      </c>
      <c r="K74" s="42" t="s">
        <v>84</v>
      </c>
      <c r="L74" s="20"/>
      <c r="M74" s="20"/>
      <c r="O74"/>
      <c r="P74"/>
      <c r="Q74"/>
      <c r="R74"/>
      <c r="S74"/>
      <c r="T74"/>
      <c r="U74"/>
      <c r="V74"/>
      <c r="W74"/>
      <c r="X74"/>
      <c r="Z74"/>
      <c r="AA74"/>
      <c r="AC74"/>
      <c r="AD74"/>
      <c r="AE74"/>
      <c r="AF74"/>
      <c r="AG74"/>
      <c r="AH74"/>
      <c r="AI74"/>
      <c r="AJ74"/>
      <c r="AK74"/>
      <c r="AL74"/>
      <c r="AM74"/>
    </row>
    <row r="75" spans="2:39" s="1" customFormat="1" x14ac:dyDescent="0.25">
      <c r="B75" s="158">
        <f>+Parametros!$H$11-365</f>
        <v>42004</v>
      </c>
      <c r="C75" s="161"/>
      <c r="D75" s="162"/>
      <c r="E75" s="159"/>
      <c r="F75" s="159">
        <v>1942.86</v>
      </c>
      <c r="G75" s="165">
        <f>+F75-E75</f>
        <v>1942.86</v>
      </c>
      <c r="H75" s="20"/>
      <c r="I75" s="167">
        <f>IF(B75&gt;0,(Parametros!$H$11-'Calculo Intereses PERS NAT'!B75),0)</f>
        <v>365</v>
      </c>
      <c r="J75" s="168">
        <f>(F75-E75)*Parametros!$H$37/365*'Calculo Intereses PERS NAT'!I75</f>
        <v>106.8573</v>
      </c>
      <c r="K75" s="169">
        <f>+J75</f>
        <v>106.8573</v>
      </c>
      <c r="L75" s="20"/>
      <c r="M75" s="20"/>
      <c r="O75"/>
      <c r="P75"/>
      <c r="Q75"/>
      <c r="R75"/>
      <c r="S75"/>
      <c r="T75"/>
      <c r="U75"/>
      <c r="V75"/>
      <c r="W75"/>
      <c r="X75"/>
      <c r="Z75"/>
      <c r="AA75"/>
      <c r="AC75"/>
      <c r="AD75"/>
      <c r="AE75"/>
      <c r="AF75"/>
      <c r="AG75"/>
      <c r="AH75"/>
      <c r="AI75"/>
      <c r="AJ75"/>
      <c r="AK75"/>
      <c r="AL75"/>
      <c r="AM75"/>
    </row>
    <row r="76" spans="2:39" s="1" customFormat="1" x14ac:dyDescent="0.25">
      <c r="B76" s="160">
        <v>42049</v>
      </c>
      <c r="C76" s="221"/>
      <c r="D76" s="162" t="s">
        <v>248</v>
      </c>
      <c r="E76" s="159"/>
      <c r="F76" s="159">
        <v>150.66999999999999</v>
      </c>
      <c r="G76" s="165">
        <f>+G75+F76-E76</f>
        <v>2093.5299999999997</v>
      </c>
      <c r="H76" s="20"/>
      <c r="I76" s="167">
        <f>IF(B76&gt;0,(Parametros!$H$11-'Calculo Intereses PERS NAT'!B76),0)</f>
        <v>320</v>
      </c>
      <c r="J76" s="168">
        <f>(F76-E76)*Parametros!$H$37/365*'Calculo Intereses PERS NAT'!I76</f>
        <v>7.2651835616438358</v>
      </c>
      <c r="K76" s="169">
        <f>+J76+K75</f>
        <v>114.12248356164383</v>
      </c>
      <c r="L76" s="20"/>
      <c r="M76" s="20"/>
      <c r="O76"/>
      <c r="P76"/>
      <c r="Q76"/>
      <c r="R76"/>
      <c r="S76"/>
      <c r="T76"/>
      <c r="U76"/>
      <c r="V76"/>
      <c r="W76"/>
      <c r="X76"/>
      <c r="Z76"/>
      <c r="AA76"/>
      <c r="AC76"/>
      <c r="AD76"/>
      <c r="AE76"/>
      <c r="AF76"/>
      <c r="AG76"/>
      <c r="AH76"/>
      <c r="AI76"/>
      <c r="AJ76"/>
      <c r="AK76"/>
      <c r="AL76"/>
      <c r="AM76"/>
    </row>
    <row r="77" spans="2:39" s="1" customFormat="1" x14ac:dyDescent="0.25">
      <c r="B77" s="160"/>
      <c r="C77" s="221"/>
      <c r="D77" s="162"/>
      <c r="E77" s="159"/>
      <c r="F77" s="159"/>
      <c r="G77" s="165">
        <f>+G76+F77</f>
        <v>2093.5299999999997</v>
      </c>
      <c r="H77" s="20"/>
      <c r="I77" s="167">
        <f>IF(B77&gt;0,(Parametros!$H$11-'Calculo Intereses PERS NAT'!B77),0)</f>
        <v>0</v>
      </c>
      <c r="J77" s="168">
        <f>(F77-E77)*Parametros!$H$37/365*'Calculo Intereses PERS NAT'!I77</f>
        <v>0</v>
      </c>
      <c r="K77" s="169">
        <f t="shared" ref="K77:K90" si="15">+J77+K76</f>
        <v>114.12248356164383</v>
      </c>
      <c r="L77" s="20"/>
      <c r="M77" s="20"/>
      <c r="O77"/>
      <c r="P77"/>
      <c r="Q77"/>
      <c r="R77"/>
      <c r="S77"/>
      <c r="T77"/>
      <c r="U77"/>
      <c r="V77"/>
      <c r="W77"/>
      <c r="X77"/>
      <c r="Z77"/>
      <c r="AA77"/>
      <c r="AC77"/>
      <c r="AD77"/>
      <c r="AE77"/>
      <c r="AF77"/>
      <c r="AG77"/>
      <c r="AH77"/>
      <c r="AI77"/>
      <c r="AJ77"/>
      <c r="AK77"/>
      <c r="AL77"/>
      <c r="AM77"/>
    </row>
    <row r="78" spans="2:39" s="1" customFormat="1" x14ac:dyDescent="0.25">
      <c r="B78" s="160"/>
      <c r="C78" s="221"/>
      <c r="D78" s="162"/>
      <c r="E78" s="159"/>
      <c r="F78" s="159"/>
      <c r="G78" s="165">
        <f>+G77+F78</f>
        <v>2093.5299999999997</v>
      </c>
      <c r="H78" s="20"/>
      <c r="I78" s="167">
        <f>IF(B78&gt;0,(Parametros!$H$11-'Calculo Intereses PERS NAT'!B78),0)</f>
        <v>0</v>
      </c>
      <c r="J78" s="168">
        <f>(F78-E78)*Parametros!$H$37/365*'Calculo Intereses PERS NAT'!I78</f>
        <v>0</v>
      </c>
      <c r="K78" s="169">
        <f t="shared" si="15"/>
        <v>114.12248356164383</v>
      </c>
      <c r="L78" s="20"/>
      <c r="M78" s="20"/>
      <c r="O78"/>
      <c r="P78"/>
      <c r="Q78"/>
      <c r="R78"/>
      <c r="S78"/>
      <c r="T78"/>
      <c r="U78"/>
      <c r="V78"/>
      <c r="W78"/>
      <c r="X78"/>
      <c r="Z78"/>
      <c r="AA78"/>
      <c r="AC78"/>
      <c r="AD78"/>
      <c r="AE78"/>
      <c r="AF78"/>
      <c r="AG78"/>
      <c r="AH78"/>
      <c r="AI78"/>
      <c r="AJ78"/>
      <c r="AK78"/>
      <c r="AL78"/>
      <c r="AM78"/>
    </row>
    <row r="79" spans="2:39" s="1" customFormat="1" x14ac:dyDescent="0.25">
      <c r="B79" s="160"/>
      <c r="C79" s="161"/>
      <c r="D79" s="162"/>
      <c r="E79" s="159"/>
      <c r="F79" s="159"/>
      <c r="G79" s="165">
        <f>+G78+F79</f>
        <v>2093.5299999999997</v>
      </c>
      <c r="H79" s="20"/>
      <c r="I79" s="167">
        <f>IF(B79&gt;0,(Parametros!$H$11-'Calculo Intereses PERS NAT'!B79),0)</f>
        <v>0</v>
      </c>
      <c r="J79" s="168">
        <f>(F79-E79)*Parametros!$H$37/365*'Calculo Intereses PERS NAT'!I79</f>
        <v>0</v>
      </c>
      <c r="K79" s="169">
        <f t="shared" si="15"/>
        <v>114.12248356164383</v>
      </c>
      <c r="L79" s="20"/>
      <c r="M79" s="20"/>
      <c r="O79"/>
      <c r="P79"/>
      <c r="Q79"/>
      <c r="R79"/>
      <c r="S79"/>
      <c r="T79"/>
      <c r="U79"/>
      <c r="V79"/>
      <c r="W79"/>
      <c r="X79"/>
      <c r="Z79"/>
      <c r="AA79"/>
      <c r="AC79"/>
      <c r="AD79"/>
      <c r="AE79"/>
      <c r="AF79"/>
      <c r="AG79"/>
      <c r="AH79"/>
      <c r="AI79"/>
      <c r="AJ79"/>
      <c r="AK79"/>
      <c r="AL79"/>
      <c r="AM79"/>
    </row>
    <row r="80" spans="2:39" s="1" customFormat="1" x14ac:dyDescent="0.25">
      <c r="B80" s="160"/>
      <c r="C80" s="161"/>
      <c r="D80" s="162"/>
      <c r="E80" s="159"/>
      <c r="F80" s="159"/>
      <c r="G80" s="165">
        <f>+G79+F80</f>
        <v>2093.5299999999997</v>
      </c>
      <c r="H80" s="20"/>
      <c r="I80" s="167">
        <f>IF(B80&gt;0,(Parametros!$H$11-'Calculo Intereses PERS NAT'!B80),0)</f>
        <v>0</v>
      </c>
      <c r="J80" s="168">
        <f>(F80-E80)*Parametros!$H$37/365*'Calculo Intereses PERS NAT'!I80</f>
        <v>0</v>
      </c>
      <c r="K80" s="169">
        <f t="shared" si="15"/>
        <v>114.12248356164383</v>
      </c>
      <c r="L80" s="20"/>
      <c r="M80" s="20"/>
      <c r="O80"/>
      <c r="P80"/>
      <c r="Q80"/>
      <c r="R80"/>
      <c r="S80"/>
      <c r="T80"/>
      <c r="U80"/>
      <c r="V80"/>
      <c r="W80"/>
      <c r="X80"/>
      <c r="Z80"/>
      <c r="AA80"/>
      <c r="AC80"/>
      <c r="AD80"/>
      <c r="AE80"/>
      <c r="AF80"/>
      <c r="AG80"/>
      <c r="AH80"/>
      <c r="AI80"/>
      <c r="AJ80"/>
      <c r="AK80"/>
      <c r="AL80"/>
      <c r="AM80"/>
    </row>
    <row r="81" spans="2:39" s="1" customFormat="1" x14ac:dyDescent="0.25">
      <c r="B81" s="160"/>
      <c r="C81" s="161"/>
      <c r="D81" s="163"/>
      <c r="E81" s="159"/>
      <c r="F81" s="159"/>
      <c r="G81" s="165">
        <f t="shared" ref="G81:G89" si="16">+G80+F81</f>
        <v>2093.5299999999997</v>
      </c>
      <c r="H81" s="20"/>
      <c r="I81" s="167">
        <f>IF(B81&gt;0,(Parametros!$H$11-'Calculo Intereses PERS NAT'!B81),0)</f>
        <v>0</v>
      </c>
      <c r="J81" s="168">
        <f>(F81-E81)*Parametros!$H$37/365*'Calculo Intereses PERS NAT'!I81</f>
        <v>0</v>
      </c>
      <c r="K81" s="169">
        <f t="shared" si="15"/>
        <v>114.12248356164383</v>
      </c>
      <c r="L81" s="20"/>
      <c r="M81" s="20"/>
      <c r="O81"/>
      <c r="P81"/>
      <c r="Q81"/>
      <c r="R81"/>
      <c r="S81"/>
      <c r="T81"/>
      <c r="U81"/>
      <c r="V81"/>
      <c r="W81"/>
      <c r="X81"/>
      <c r="Z81"/>
      <c r="AA81"/>
      <c r="AC81"/>
      <c r="AD81"/>
      <c r="AE81"/>
      <c r="AF81"/>
      <c r="AG81"/>
      <c r="AH81"/>
      <c r="AI81"/>
      <c r="AJ81"/>
      <c r="AK81"/>
      <c r="AL81"/>
      <c r="AM81"/>
    </row>
    <row r="82" spans="2:39" s="1" customFormat="1" x14ac:dyDescent="0.25">
      <c r="B82" s="160"/>
      <c r="C82" s="161"/>
      <c r="D82" s="163"/>
      <c r="E82" s="159"/>
      <c r="F82" s="159"/>
      <c r="G82" s="165">
        <f t="shared" si="16"/>
        <v>2093.5299999999997</v>
      </c>
      <c r="H82" s="20"/>
      <c r="I82" s="167">
        <f>IF(B82&gt;0,(Parametros!$H$11-'Calculo Intereses PERS NAT'!B82),0)</f>
        <v>0</v>
      </c>
      <c r="J82" s="168">
        <f>(F82-E82)*Parametros!$H$37/365*'Calculo Intereses PERS NAT'!I82</f>
        <v>0</v>
      </c>
      <c r="K82" s="169">
        <f t="shared" si="15"/>
        <v>114.12248356164383</v>
      </c>
      <c r="L82" s="20"/>
      <c r="M82" s="20"/>
      <c r="O82"/>
      <c r="P82"/>
      <c r="Q82"/>
      <c r="R82"/>
      <c r="S82"/>
      <c r="T82"/>
      <c r="U82"/>
      <c r="V82"/>
      <c r="W82"/>
      <c r="X82"/>
      <c r="Z82"/>
      <c r="AA82"/>
      <c r="AC82"/>
      <c r="AD82"/>
      <c r="AE82"/>
      <c r="AF82"/>
      <c r="AG82"/>
      <c r="AH82"/>
      <c r="AI82"/>
      <c r="AJ82"/>
      <c r="AK82"/>
      <c r="AL82"/>
      <c r="AM82"/>
    </row>
    <row r="83" spans="2:39" s="1" customFormat="1" x14ac:dyDescent="0.25">
      <c r="B83" s="160"/>
      <c r="C83" s="161"/>
      <c r="D83" s="163"/>
      <c r="E83" s="159"/>
      <c r="F83" s="159"/>
      <c r="G83" s="165">
        <f t="shared" si="16"/>
        <v>2093.5299999999997</v>
      </c>
      <c r="H83" s="20"/>
      <c r="I83" s="167">
        <f>IF(B83&gt;0,(Parametros!$H$11-'Calculo Intereses PERS NAT'!B83),0)</f>
        <v>0</v>
      </c>
      <c r="J83" s="168">
        <f>(F83-E83)*Parametros!$H$37/365*'Calculo Intereses PERS NAT'!I83</f>
        <v>0</v>
      </c>
      <c r="K83" s="169">
        <f t="shared" si="15"/>
        <v>114.12248356164383</v>
      </c>
      <c r="L83" s="20"/>
      <c r="M83" s="20"/>
      <c r="O83"/>
      <c r="P83"/>
      <c r="Q83"/>
      <c r="R83"/>
      <c r="S83"/>
      <c r="T83"/>
      <c r="U83"/>
      <c r="V83"/>
      <c r="W83"/>
      <c r="X83"/>
      <c r="Z83"/>
      <c r="AA83"/>
      <c r="AC83"/>
      <c r="AD83"/>
      <c r="AE83"/>
      <c r="AF83"/>
      <c r="AG83"/>
      <c r="AH83"/>
      <c r="AI83"/>
      <c r="AJ83"/>
      <c r="AK83"/>
      <c r="AL83"/>
      <c r="AM83"/>
    </row>
    <row r="84" spans="2:39" s="1" customFormat="1" x14ac:dyDescent="0.25">
      <c r="B84" s="160"/>
      <c r="C84" s="161"/>
      <c r="D84" s="163"/>
      <c r="E84" s="159"/>
      <c r="F84" s="159"/>
      <c r="G84" s="165">
        <f t="shared" si="16"/>
        <v>2093.5299999999997</v>
      </c>
      <c r="H84" s="20"/>
      <c r="I84" s="167">
        <f>IF(B84&gt;0,(Parametros!$H$11-'Calculo Intereses PERS NAT'!B84),0)</f>
        <v>0</v>
      </c>
      <c r="J84" s="168">
        <f>(F84-E84)*Parametros!$H$37/365*'Calculo Intereses PERS NAT'!I84</f>
        <v>0</v>
      </c>
      <c r="K84" s="169">
        <f t="shared" si="15"/>
        <v>114.12248356164383</v>
      </c>
      <c r="L84" s="20"/>
      <c r="M84" s="20"/>
      <c r="O84"/>
      <c r="P84"/>
      <c r="Q84"/>
      <c r="R84"/>
      <c r="S84"/>
      <c r="T84"/>
      <c r="U84"/>
      <c r="V84"/>
      <c r="W84"/>
      <c r="X84"/>
      <c r="Z84"/>
      <c r="AA84"/>
      <c r="AC84"/>
      <c r="AD84"/>
      <c r="AE84"/>
      <c r="AF84"/>
      <c r="AG84"/>
      <c r="AH84"/>
      <c r="AI84"/>
      <c r="AJ84"/>
      <c r="AK84"/>
      <c r="AL84"/>
      <c r="AM84"/>
    </row>
    <row r="85" spans="2:39" s="1" customFormat="1" x14ac:dyDescent="0.25">
      <c r="B85" s="160"/>
      <c r="C85" s="161"/>
      <c r="D85" s="163"/>
      <c r="E85" s="159"/>
      <c r="F85" s="159"/>
      <c r="G85" s="165">
        <f t="shared" si="16"/>
        <v>2093.5299999999997</v>
      </c>
      <c r="H85" s="20"/>
      <c r="I85" s="167">
        <f>IF(B85&gt;0,(Parametros!$H$11-'Calculo Intereses PERS NAT'!B85),0)</f>
        <v>0</v>
      </c>
      <c r="J85" s="168">
        <f>(F85-E85)*Parametros!$H$37/365*'Calculo Intereses PERS NAT'!I85</f>
        <v>0</v>
      </c>
      <c r="K85" s="169">
        <f t="shared" si="15"/>
        <v>114.12248356164383</v>
      </c>
      <c r="L85" s="20"/>
      <c r="M85" s="20"/>
      <c r="O85"/>
      <c r="P85"/>
      <c r="Q85"/>
      <c r="R85"/>
      <c r="S85"/>
      <c r="T85"/>
      <c r="U85"/>
      <c r="V85"/>
      <c r="W85"/>
      <c r="X85"/>
      <c r="Z85"/>
      <c r="AA85"/>
      <c r="AC85"/>
      <c r="AD85"/>
      <c r="AE85"/>
      <c r="AF85"/>
      <c r="AG85"/>
      <c r="AH85"/>
      <c r="AI85"/>
      <c r="AJ85"/>
      <c r="AK85"/>
      <c r="AL85"/>
      <c r="AM85"/>
    </row>
    <row r="86" spans="2:39" s="1" customFormat="1" x14ac:dyDescent="0.25">
      <c r="B86" s="160"/>
      <c r="C86" s="161"/>
      <c r="D86" s="163"/>
      <c r="E86" s="159"/>
      <c r="F86" s="159"/>
      <c r="G86" s="165">
        <f t="shared" si="16"/>
        <v>2093.5299999999997</v>
      </c>
      <c r="H86" s="20"/>
      <c r="I86" s="167">
        <f>IF(B86&gt;0,(Parametros!$H$11-'Calculo Intereses PERS NAT'!B86),0)</f>
        <v>0</v>
      </c>
      <c r="J86" s="168">
        <f>(F86-E86)*Parametros!$H$37/365*'Calculo Intereses PERS NAT'!I86</f>
        <v>0</v>
      </c>
      <c r="K86" s="169">
        <f t="shared" si="15"/>
        <v>114.12248356164383</v>
      </c>
      <c r="L86" s="20"/>
      <c r="M86" s="20"/>
      <c r="O86"/>
      <c r="P86"/>
      <c r="Q86"/>
      <c r="R86"/>
      <c r="S86"/>
      <c r="T86"/>
      <c r="U86"/>
      <c r="V86"/>
      <c r="W86"/>
      <c r="X86"/>
      <c r="Z86"/>
      <c r="AA86"/>
      <c r="AC86"/>
      <c r="AD86"/>
      <c r="AE86"/>
      <c r="AF86"/>
      <c r="AG86"/>
      <c r="AH86"/>
      <c r="AI86"/>
      <c r="AJ86"/>
      <c r="AK86"/>
      <c r="AL86"/>
      <c r="AM86"/>
    </row>
    <row r="87" spans="2:39" s="1" customFormat="1" x14ac:dyDescent="0.25">
      <c r="B87" s="160"/>
      <c r="C87" s="161"/>
      <c r="D87" s="163"/>
      <c r="E87" s="159"/>
      <c r="F87" s="159"/>
      <c r="G87" s="165">
        <f t="shared" si="16"/>
        <v>2093.5299999999997</v>
      </c>
      <c r="H87" s="20"/>
      <c r="I87" s="167">
        <f>IF(B87&gt;0,(Parametros!$H$11-'Calculo Intereses PERS NAT'!B87),0)</f>
        <v>0</v>
      </c>
      <c r="J87" s="168">
        <f>(F87-E87)*Parametros!$H$37/365*'Calculo Intereses PERS NAT'!I87</f>
        <v>0</v>
      </c>
      <c r="K87" s="169">
        <f t="shared" si="15"/>
        <v>114.12248356164383</v>
      </c>
      <c r="L87" s="20"/>
      <c r="M87" s="20"/>
      <c r="O87"/>
      <c r="P87"/>
      <c r="Q87"/>
      <c r="R87"/>
      <c r="S87"/>
      <c r="T87"/>
      <c r="U87"/>
      <c r="V87"/>
      <c r="W87"/>
      <c r="X87"/>
      <c r="Z87"/>
      <c r="AA87"/>
      <c r="AC87"/>
      <c r="AD87"/>
      <c r="AE87"/>
      <c r="AF87"/>
      <c r="AG87"/>
      <c r="AH87"/>
      <c r="AI87"/>
      <c r="AJ87"/>
      <c r="AK87"/>
      <c r="AL87"/>
      <c r="AM87"/>
    </row>
    <row r="88" spans="2:39" s="1" customFormat="1" x14ac:dyDescent="0.25">
      <c r="B88" s="160"/>
      <c r="C88" s="161"/>
      <c r="D88" s="163"/>
      <c r="E88" s="159"/>
      <c r="F88" s="159"/>
      <c r="G88" s="165">
        <f t="shared" si="16"/>
        <v>2093.5299999999997</v>
      </c>
      <c r="H88" s="20"/>
      <c r="I88" s="167">
        <f>IF(B88&gt;0,(Parametros!$H$11-'Calculo Intereses PERS NAT'!B88),0)</f>
        <v>0</v>
      </c>
      <c r="J88" s="168">
        <f>(F88-E88)*Parametros!$H$37/365*'Calculo Intereses PERS NAT'!I88</f>
        <v>0</v>
      </c>
      <c r="K88" s="169">
        <f t="shared" si="15"/>
        <v>114.12248356164383</v>
      </c>
      <c r="L88" s="20"/>
      <c r="M88" s="20"/>
      <c r="O88"/>
      <c r="P88"/>
      <c r="Q88"/>
      <c r="R88"/>
      <c r="S88"/>
      <c r="T88"/>
      <c r="U88"/>
      <c r="V88"/>
      <c r="W88"/>
      <c r="X88"/>
      <c r="Z88"/>
      <c r="AA88"/>
      <c r="AC88"/>
      <c r="AD88"/>
      <c r="AE88"/>
      <c r="AF88"/>
      <c r="AG88"/>
      <c r="AH88"/>
      <c r="AI88"/>
      <c r="AJ88"/>
      <c r="AK88"/>
      <c r="AL88"/>
      <c r="AM88"/>
    </row>
    <row r="89" spans="2:39" s="1" customFormat="1" x14ac:dyDescent="0.25">
      <c r="B89" s="160"/>
      <c r="C89" s="161"/>
      <c r="D89" s="163"/>
      <c r="E89" s="159"/>
      <c r="F89" s="159"/>
      <c r="G89" s="165">
        <f t="shared" si="16"/>
        <v>2093.5299999999997</v>
      </c>
      <c r="H89" s="20"/>
      <c r="I89" s="167">
        <f>IF(B89&gt;0,(Parametros!$H$11-'Calculo Intereses PERS NAT'!B89),0)</f>
        <v>0</v>
      </c>
      <c r="J89" s="168">
        <f>(F89-E89)*Parametros!$H$37/365*'Calculo Intereses PERS NAT'!I89</f>
        <v>0</v>
      </c>
      <c r="K89" s="169">
        <f t="shared" si="15"/>
        <v>114.12248356164383</v>
      </c>
      <c r="L89" s="20"/>
      <c r="M89" s="20"/>
      <c r="O89"/>
      <c r="P89"/>
      <c r="Q89"/>
      <c r="R89"/>
      <c r="S89"/>
      <c r="T89"/>
      <c r="U89"/>
      <c r="V89"/>
      <c r="W89"/>
      <c r="X89"/>
      <c r="Z89"/>
      <c r="AA89"/>
      <c r="AC89"/>
      <c r="AD89"/>
      <c r="AE89"/>
      <c r="AF89"/>
      <c r="AG89"/>
      <c r="AH89"/>
      <c r="AI89"/>
      <c r="AJ89"/>
      <c r="AK89"/>
      <c r="AL89"/>
      <c r="AM89"/>
    </row>
    <row r="90" spans="2:39" s="1" customFormat="1" x14ac:dyDescent="0.25">
      <c r="B90" s="160"/>
      <c r="C90" s="161"/>
      <c r="D90" s="163"/>
      <c r="E90" s="159"/>
      <c r="F90" s="159"/>
      <c r="G90" s="165">
        <f>+G89+F90</f>
        <v>2093.5299999999997</v>
      </c>
      <c r="H90" s="20"/>
      <c r="I90" s="167">
        <f>IF(B90&gt;0,(Parametros!$H$11-'Calculo Intereses PERS NAT'!B90),0)</f>
        <v>0</v>
      </c>
      <c r="J90" s="168">
        <f>(F90-E90)*Parametros!$H$37/365*'Calculo Intereses PERS NAT'!I90</f>
        <v>0</v>
      </c>
      <c r="K90" s="169">
        <f t="shared" si="15"/>
        <v>114.12248356164383</v>
      </c>
      <c r="L90" s="20"/>
      <c r="M90" s="20"/>
      <c r="O90"/>
      <c r="P90"/>
      <c r="Q90"/>
      <c r="R90"/>
      <c r="S90"/>
      <c r="T90"/>
      <c r="U90"/>
      <c r="V90"/>
      <c r="W90"/>
      <c r="X90"/>
      <c r="Z90"/>
      <c r="AA90"/>
      <c r="AC90"/>
      <c r="AD90"/>
      <c r="AE90"/>
      <c r="AF90"/>
      <c r="AG90"/>
      <c r="AH90"/>
      <c r="AI90"/>
      <c r="AJ90"/>
      <c r="AK90"/>
      <c r="AL90"/>
      <c r="AM90"/>
    </row>
    <row r="91" spans="2:39" s="1" customFormat="1" x14ac:dyDescent="0.25">
      <c r="B91" s="20"/>
      <c r="C91" s="20"/>
      <c r="D91" s="52" t="s">
        <v>21</v>
      </c>
      <c r="E91" s="166">
        <f>SUM(E75:E90)</f>
        <v>0</v>
      </c>
      <c r="F91" s="166">
        <f>SUM(F75:F90)</f>
        <v>2093.5299999999997</v>
      </c>
      <c r="G91" s="166">
        <f>+G90</f>
        <v>2093.5299999999997</v>
      </c>
      <c r="H91"/>
      <c r="I91"/>
      <c r="J91" s="170">
        <f>SUM(J75:J90)</f>
        <v>114.12248356164383</v>
      </c>
      <c r="K91"/>
      <c r="L91" s="20"/>
      <c r="M91" s="20"/>
      <c r="O91"/>
      <c r="P91"/>
      <c r="Q91"/>
      <c r="R91"/>
      <c r="S91"/>
      <c r="T91"/>
      <c r="U91"/>
      <c r="V91"/>
      <c r="W91"/>
      <c r="X91"/>
      <c r="Z91"/>
      <c r="AA91"/>
      <c r="AC91"/>
      <c r="AD91"/>
      <c r="AE91"/>
      <c r="AF91"/>
      <c r="AG91"/>
      <c r="AH91"/>
      <c r="AI91"/>
      <c r="AJ91"/>
      <c r="AK91"/>
      <c r="AL91"/>
      <c r="AM91"/>
    </row>
    <row r="92" spans="2:39" s="1" customFormat="1" x14ac:dyDescent="0.25"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O92"/>
      <c r="P92"/>
      <c r="Q92"/>
      <c r="R92"/>
      <c r="S92"/>
      <c r="T92"/>
      <c r="U92"/>
      <c r="V92"/>
      <c r="W92"/>
      <c r="X92"/>
      <c r="Z92"/>
      <c r="AA92"/>
      <c r="AC92"/>
      <c r="AD92"/>
      <c r="AE92"/>
      <c r="AF92"/>
      <c r="AG92"/>
      <c r="AH92"/>
      <c r="AI92"/>
      <c r="AJ92"/>
      <c r="AK92"/>
      <c r="AL92"/>
      <c r="AM92"/>
    </row>
    <row r="93" spans="2:39" s="1" customFormat="1" x14ac:dyDescent="0.25">
      <c r="B93" s="172" t="str">
        <f>CONCATENATE("APORTACIONES Y CALCULO DE INTERESES CORRESPONDIENTES AL AÑO ",YEAR(Parametros!$H$11))</f>
        <v>APORTACIONES Y CALCULO DE INTERESES CORRESPONDIENTES AL AÑO 2015</v>
      </c>
      <c r="C93" s="53"/>
      <c r="D93" s="53"/>
      <c r="E93" s="54"/>
      <c r="F93" s="54"/>
      <c r="G93" s="54"/>
      <c r="H93" s="20"/>
      <c r="I93" s="55"/>
      <c r="J93" s="56"/>
      <c r="K93" s="20"/>
      <c r="L93" s="20"/>
      <c r="M93" s="20"/>
      <c r="O93"/>
      <c r="P93"/>
      <c r="Q93"/>
      <c r="R93"/>
      <c r="S93"/>
      <c r="T93"/>
      <c r="U93"/>
      <c r="V93"/>
      <c r="W93"/>
      <c r="X93"/>
      <c r="Z93"/>
      <c r="AA93"/>
      <c r="AC93"/>
      <c r="AD93"/>
      <c r="AE93"/>
      <c r="AF93"/>
      <c r="AG93"/>
      <c r="AH93"/>
      <c r="AI93"/>
      <c r="AJ93"/>
      <c r="AK93"/>
      <c r="AL93"/>
      <c r="AM93"/>
    </row>
    <row r="94" spans="2:39" s="1" customFormat="1" x14ac:dyDescent="0.25">
      <c r="B94" s="69" t="s">
        <v>186</v>
      </c>
      <c r="C94" s="173" t="str">
        <f>+'Calculo Excedentes'!A57</f>
        <v>PN-5</v>
      </c>
      <c r="D94" s="171" t="s">
        <v>187</v>
      </c>
      <c r="E94" s="176" t="str">
        <f>+'Calculo Excedentes'!B57</f>
        <v>José Alberto Magaña</v>
      </c>
      <c r="F94" s="174"/>
      <c r="G94" s="175"/>
      <c r="H94" s="20"/>
      <c r="I94" s="39" t="s">
        <v>73</v>
      </c>
      <c r="J94" s="39" t="s">
        <v>74</v>
      </c>
      <c r="K94" s="39" t="s">
        <v>75</v>
      </c>
      <c r="L94" s="20"/>
      <c r="M94" s="20"/>
      <c r="O94"/>
      <c r="P94"/>
      <c r="Q94"/>
      <c r="R94"/>
      <c r="S94"/>
      <c r="T94"/>
      <c r="U94"/>
      <c r="V94"/>
      <c r="W94"/>
      <c r="X94"/>
      <c r="Z94"/>
      <c r="AA94"/>
      <c r="AC94"/>
      <c r="AD94"/>
      <c r="AE94"/>
      <c r="AF94"/>
      <c r="AG94"/>
      <c r="AH94"/>
      <c r="AI94"/>
      <c r="AJ94"/>
      <c r="AK94"/>
      <c r="AL94"/>
      <c r="AM94"/>
    </row>
    <row r="95" spans="2:39" s="1" customFormat="1" x14ac:dyDescent="0.25">
      <c r="B95" s="40" t="s">
        <v>76</v>
      </c>
      <c r="C95" s="40" t="s">
        <v>77</v>
      </c>
      <c r="D95" s="40" t="s">
        <v>78</v>
      </c>
      <c r="E95" s="40" t="s">
        <v>79</v>
      </c>
      <c r="F95" s="40" t="s">
        <v>80</v>
      </c>
      <c r="G95" s="40" t="s">
        <v>81</v>
      </c>
      <c r="H95" s="20"/>
      <c r="I95" s="42" t="s">
        <v>82</v>
      </c>
      <c r="J95" s="164" t="s">
        <v>185</v>
      </c>
      <c r="K95" s="42" t="s">
        <v>84</v>
      </c>
      <c r="L95" s="20"/>
      <c r="M95" s="20"/>
      <c r="O95"/>
      <c r="P95"/>
      <c r="Q95"/>
      <c r="R95"/>
      <c r="S95"/>
      <c r="T95"/>
      <c r="U95"/>
      <c r="V95"/>
      <c r="W95"/>
      <c r="X95"/>
      <c r="Z95"/>
      <c r="AA95"/>
      <c r="AC95"/>
      <c r="AD95"/>
      <c r="AE95"/>
      <c r="AF95"/>
      <c r="AG95"/>
      <c r="AH95"/>
      <c r="AI95"/>
      <c r="AJ95"/>
      <c r="AK95"/>
      <c r="AL95"/>
      <c r="AM95"/>
    </row>
    <row r="96" spans="2:39" s="1" customFormat="1" x14ac:dyDescent="0.25">
      <c r="B96" s="158">
        <f>+Parametros!$H$11-365</f>
        <v>42004</v>
      </c>
      <c r="C96" s="161"/>
      <c r="D96" s="162"/>
      <c r="E96" s="159"/>
      <c r="F96" s="159">
        <f>342.87-44.17</f>
        <v>298.7</v>
      </c>
      <c r="G96" s="165">
        <f>+F96-E96</f>
        <v>298.7</v>
      </c>
      <c r="H96" s="20"/>
      <c r="I96" s="167">
        <f>IF(B96&gt;0,(Parametros!$H$11-'Calculo Intereses PERS NAT'!B96),0)</f>
        <v>365</v>
      </c>
      <c r="J96" s="168">
        <f>(F96-E96)*Parametros!$H$37/365*'Calculo Intereses PERS NAT'!I96</f>
        <v>16.4285</v>
      </c>
      <c r="K96" s="169">
        <f>+J96</f>
        <v>16.4285</v>
      </c>
      <c r="L96" s="20"/>
      <c r="M96" s="20"/>
      <c r="O96"/>
      <c r="P96"/>
      <c r="Q96"/>
      <c r="R96"/>
      <c r="S96"/>
      <c r="T96"/>
      <c r="U96"/>
      <c r="V96"/>
      <c r="W96"/>
      <c r="X96"/>
      <c r="Z96"/>
      <c r="AA96"/>
      <c r="AC96"/>
      <c r="AD96"/>
      <c r="AE96"/>
      <c r="AF96"/>
      <c r="AG96"/>
      <c r="AH96"/>
      <c r="AI96"/>
      <c r="AJ96"/>
      <c r="AK96"/>
      <c r="AL96"/>
      <c r="AM96"/>
    </row>
    <row r="97" spans="2:39" s="1" customFormat="1" x14ac:dyDescent="0.25">
      <c r="B97" s="160">
        <v>42049</v>
      </c>
      <c r="C97" s="161"/>
      <c r="D97" s="162" t="s">
        <v>236</v>
      </c>
      <c r="E97" s="159"/>
      <c r="F97" s="159">
        <v>20.55</v>
      </c>
      <c r="G97" s="165">
        <f>+G96+F97-E97</f>
        <v>319.25</v>
      </c>
      <c r="H97" s="20"/>
      <c r="I97" s="167">
        <f>IF(B97&gt;0,(Parametros!$H$11-'Calculo Intereses PERS NAT'!B97),0)</f>
        <v>320</v>
      </c>
      <c r="J97" s="168">
        <f>(F97-E97)*Parametros!$H$37/365*'Calculo Intereses PERS NAT'!I97</f>
        <v>0.99090410958904118</v>
      </c>
      <c r="K97" s="169">
        <f>+J97+K96</f>
        <v>17.419404109589042</v>
      </c>
      <c r="L97" s="20"/>
      <c r="M97" s="20"/>
      <c r="O97"/>
      <c r="P97"/>
      <c r="Q97"/>
      <c r="R97"/>
      <c r="S97"/>
      <c r="T97"/>
      <c r="U97"/>
      <c r="V97"/>
      <c r="W97"/>
      <c r="X97"/>
      <c r="Z97"/>
      <c r="AA97"/>
      <c r="AC97"/>
      <c r="AD97"/>
      <c r="AE97"/>
      <c r="AF97"/>
      <c r="AG97"/>
      <c r="AH97"/>
      <c r="AI97"/>
      <c r="AJ97"/>
      <c r="AK97"/>
      <c r="AL97"/>
      <c r="AM97"/>
    </row>
    <row r="98" spans="2:39" s="1" customFormat="1" x14ac:dyDescent="0.25">
      <c r="B98" s="160"/>
      <c r="C98" s="161"/>
      <c r="D98" s="162"/>
      <c r="E98" s="159"/>
      <c r="F98" s="159"/>
      <c r="G98" s="165">
        <f>+G97+F98</f>
        <v>319.25</v>
      </c>
      <c r="H98" s="20"/>
      <c r="I98" s="167">
        <f>IF(B98&gt;0,(Parametros!$H$11-'Calculo Intereses PERS NAT'!B98),0)</f>
        <v>0</v>
      </c>
      <c r="J98" s="168">
        <f>(F98-E98)*Parametros!$H$37/365*'Calculo Intereses PERS NAT'!I98</f>
        <v>0</v>
      </c>
      <c r="K98" s="169">
        <f t="shared" ref="K98:K111" si="17">+J98+K97</f>
        <v>17.419404109589042</v>
      </c>
      <c r="L98" s="20"/>
      <c r="M98" s="20"/>
      <c r="O98"/>
      <c r="P98"/>
      <c r="Q98"/>
      <c r="R98"/>
      <c r="S98"/>
      <c r="T98"/>
      <c r="U98"/>
      <c r="V98"/>
      <c r="W98"/>
      <c r="X98"/>
      <c r="Z98"/>
      <c r="AA98"/>
      <c r="AC98"/>
      <c r="AD98"/>
      <c r="AE98"/>
      <c r="AF98"/>
      <c r="AG98"/>
      <c r="AH98"/>
      <c r="AI98"/>
      <c r="AJ98"/>
      <c r="AK98"/>
      <c r="AL98"/>
      <c r="AM98"/>
    </row>
    <row r="99" spans="2:39" s="1" customFormat="1" x14ac:dyDescent="0.25">
      <c r="B99" s="160"/>
      <c r="C99" s="161"/>
      <c r="D99" s="162"/>
      <c r="E99" s="159"/>
      <c r="F99" s="159"/>
      <c r="G99" s="165">
        <f>+G98+F99</f>
        <v>319.25</v>
      </c>
      <c r="H99" s="20"/>
      <c r="I99" s="167">
        <f>IF(B99&gt;0,(Parametros!$H$11-'Calculo Intereses PERS NAT'!B99),0)</f>
        <v>0</v>
      </c>
      <c r="J99" s="168">
        <f>(F99-E99)*Parametros!$H$37/365*'Calculo Intereses PERS NAT'!I99</f>
        <v>0</v>
      </c>
      <c r="K99" s="169">
        <f t="shared" si="17"/>
        <v>17.419404109589042</v>
      </c>
      <c r="L99" s="20"/>
      <c r="M99" s="20"/>
      <c r="O99"/>
      <c r="P99"/>
      <c r="Q99"/>
      <c r="R99"/>
      <c r="S99"/>
      <c r="T99"/>
      <c r="U99"/>
      <c r="V99"/>
      <c r="W99"/>
      <c r="X99"/>
      <c r="Z99"/>
      <c r="AA99"/>
      <c r="AC99"/>
      <c r="AD99"/>
      <c r="AE99"/>
      <c r="AF99"/>
      <c r="AG99"/>
      <c r="AH99"/>
      <c r="AI99"/>
      <c r="AJ99"/>
      <c r="AK99"/>
      <c r="AL99"/>
      <c r="AM99"/>
    </row>
    <row r="100" spans="2:39" s="1" customFormat="1" x14ac:dyDescent="0.25">
      <c r="B100" s="160"/>
      <c r="C100" s="161"/>
      <c r="D100" s="162"/>
      <c r="E100" s="159"/>
      <c r="F100" s="159"/>
      <c r="G100" s="165">
        <f>+G99+F100</f>
        <v>319.25</v>
      </c>
      <c r="H100" s="20"/>
      <c r="I100" s="167">
        <f>IF(B100&gt;0,(Parametros!$H$11-'Calculo Intereses PERS NAT'!B100),0)</f>
        <v>0</v>
      </c>
      <c r="J100" s="168">
        <f>(F100-E100)*Parametros!$H$37/365*'Calculo Intereses PERS NAT'!I100</f>
        <v>0</v>
      </c>
      <c r="K100" s="169">
        <f t="shared" si="17"/>
        <v>17.419404109589042</v>
      </c>
      <c r="L100" s="20"/>
      <c r="M100" s="20"/>
      <c r="O100"/>
      <c r="P100"/>
      <c r="Q100"/>
      <c r="R100"/>
      <c r="S100"/>
      <c r="T100"/>
      <c r="U100"/>
      <c r="V100"/>
      <c r="W100"/>
      <c r="X100"/>
      <c r="Z100"/>
      <c r="AA100"/>
      <c r="AC100"/>
      <c r="AD100"/>
      <c r="AE100"/>
      <c r="AF100"/>
      <c r="AG100"/>
      <c r="AH100"/>
      <c r="AI100"/>
      <c r="AJ100"/>
      <c r="AK100"/>
      <c r="AL100"/>
      <c r="AM100"/>
    </row>
    <row r="101" spans="2:39" s="1" customFormat="1" x14ac:dyDescent="0.25">
      <c r="B101" s="160"/>
      <c r="C101" s="161"/>
      <c r="D101" s="162"/>
      <c r="E101" s="159"/>
      <c r="F101" s="159"/>
      <c r="G101" s="165">
        <f>+G100+F101</f>
        <v>319.25</v>
      </c>
      <c r="H101" s="20"/>
      <c r="I101" s="167">
        <f>IF(B101&gt;0,(Parametros!$H$11-'Calculo Intereses PERS NAT'!B101),0)</f>
        <v>0</v>
      </c>
      <c r="J101" s="168">
        <f>(F101-E101)*Parametros!$H$37/365*'Calculo Intereses PERS NAT'!I101</f>
        <v>0</v>
      </c>
      <c r="K101" s="169">
        <f t="shared" si="17"/>
        <v>17.419404109589042</v>
      </c>
      <c r="L101" s="20"/>
      <c r="M101" s="20"/>
      <c r="O101"/>
      <c r="P101"/>
      <c r="Q101"/>
      <c r="R101"/>
      <c r="S101"/>
      <c r="T101"/>
      <c r="U101"/>
      <c r="V101"/>
      <c r="W101"/>
      <c r="X101"/>
      <c r="Z101"/>
      <c r="AA101"/>
      <c r="AC101"/>
      <c r="AD101"/>
      <c r="AE101"/>
      <c r="AF101"/>
      <c r="AG101"/>
      <c r="AH101"/>
      <c r="AI101"/>
      <c r="AJ101"/>
      <c r="AK101"/>
      <c r="AL101"/>
      <c r="AM101"/>
    </row>
    <row r="102" spans="2:39" s="1" customFormat="1" x14ac:dyDescent="0.25">
      <c r="B102" s="160"/>
      <c r="C102" s="161"/>
      <c r="D102" s="163"/>
      <c r="E102" s="159"/>
      <c r="F102" s="159"/>
      <c r="G102" s="165">
        <f t="shared" ref="G102:G110" si="18">+G101+F102</f>
        <v>319.25</v>
      </c>
      <c r="H102" s="20"/>
      <c r="I102" s="167">
        <f>IF(B102&gt;0,(Parametros!$H$11-'Calculo Intereses PERS NAT'!B102),0)</f>
        <v>0</v>
      </c>
      <c r="J102" s="168">
        <f>(F102-E102)*Parametros!$H$37/365*'Calculo Intereses PERS NAT'!I102</f>
        <v>0</v>
      </c>
      <c r="K102" s="169">
        <f t="shared" si="17"/>
        <v>17.419404109589042</v>
      </c>
      <c r="L102" s="20"/>
      <c r="M102" s="20"/>
      <c r="O102"/>
      <c r="P102"/>
      <c r="Q102"/>
      <c r="R102"/>
      <c r="S102"/>
      <c r="T102"/>
      <c r="U102"/>
      <c r="V102"/>
      <c r="W102"/>
      <c r="X102"/>
      <c r="Z102"/>
      <c r="AA102"/>
      <c r="AC102"/>
      <c r="AD102"/>
      <c r="AE102"/>
      <c r="AF102"/>
      <c r="AG102"/>
      <c r="AH102"/>
      <c r="AI102"/>
      <c r="AJ102"/>
      <c r="AK102"/>
      <c r="AL102"/>
      <c r="AM102"/>
    </row>
    <row r="103" spans="2:39" s="1" customFormat="1" x14ac:dyDescent="0.25">
      <c r="B103" s="160"/>
      <c r="C103" s="161"/>
      <c r="D103" s="163"/>
      <c r="E103" s="159"/>
      <c r="F103" s="159"/>
      <c r="G103" s="165">
        <f t="shared" si="18"/>
        <v>319.25</v>
      </c>
      <c r="H103" s="20"/>
      <c r="I103" s="167">
        <f>IF(B103&gt;0,(Parametros!$H$11-'Calculo Intereses PERS NAT'!B103),0)</f>
        <v>0</v>
      </c>
      <c r="J103" s="168">
        <f>(F103-E103)*Parametros!$H$37/365*'Calculo Intereses PERS NAT'!I103</f>
        <v>0</v>
      </c>
      <c r="K103" s="169">
        <f t="shared" si="17"/>
        <v>17.419404109589042</v>
      </c>
      <c r="L103" s="20"/>
      <c r="M103" s="20"/>
      <c r="O103"/>
      <c r="P103"/>
      <c r="Q103"/>
      <c r="R103"/>
      <c r="S103"/>
      <c r="T103"/>
      <c r="U103"/>
      <c r="V103"/>
      <c r="W103"/>
      <c r="X103"/>
      <c r="Z103"/>
      <c r="AA103"/>
      <c r="AC103"/>
      <c r="AD103"/>
      <c r="AE103"/>
      <c r="AF103"/>
      <c r="AG103"/>
      <c r="AH103"/>
      <c r="AI103"/>
      <c r="AJ103"/>
      <c r="AK103"/>
      <c r="AL103"/>
      <c r="AM103"/>
    </row>
    <row r="104" spans="2:39" s="1" customFormat="1" x14ac:dyDescent="0.25">
      <c r="B104" s="160"/>
      <c r="C104" s="161"/>
      <c r="D104" s="163"/>
      <c r="E104" s="159"/>
      <c r="F104" s="159"/>
      <c r="G104" s="165">
        <f t="shared" si="18"/>
        <v>319.25</v>
      </c>
      <c r="H104" s="20"/>
      <c r="I104" s="167">
        <f>IF(B104&gt;0,(Parametros!$H$11-'Calculo Intereses PERS NAT'!B104),0)</f>
        <v>0</v>
      </c>
      <c r="J104" s="168">
        <f>(F104-E104)*Parametros!$H$37/365*'Calculo Intereses PERS NAT'!I104</f>
        <v>0</v>
      </c>
      <c r="K104" s="169">
        <f t="shared" si="17"/>
        <v>17.419404109589042</v>
      </c>
      <c r="L104" s="20"/>
      <c r="M104" s="20"/>
      <c r="O104"/>
      <c r="P104"/>
      <c r="Q104"/>
      <c r="R104"/>
      <c r="S104"/>
      <c r="T104"/>
      <c r="U104"/>
      <c r="V104"/>
      <c r="W104"/>
      <c r="X104"/>
      <c r="Z104"/>
      <c r="AA104"/>
      <c r="AC104"/>
      <c r="AD104"/>
      <c r="AE104"/>
      <c r="AF104"/>
      <c r="AG104"/>
      <c r="AH104"/>
      <c r="AI104"/>
      <c r="AJ104"/>
      <c r="AK104"/>
      <c r="AL104"/>
      <c r="AM104"/>
    </row>
    <row r="105" spans="2:39" s="1" customFormat="1" x14ac:dyDescent="0.25">
      <c r="B105" s="160"/>
      <c r="C105" s="161"/>
      <c r="D105" s="163"/>
      <c r="E105" s="159"/>
      <c r="F105" s="159"/>
      <c r="G105" s="165">
        <f t="shared" si="18"/>
        <v>319.25</v>
      </c>
      <c r="H105" s="20"/>
      <c r="I105" s="167">
        <f>IF(B105&gt;0,(Parametros!$H$11-'Calculo Intereses PERS NAT'!B105),0)</f>
        <v>0</v>
      </c>
      <c r="J105" s="168">
        <f>(F105-E105)*Parametros!$H$37/365*'Calculo Intereses PERS NAT'!I105</f>
        <v>0</v>
      </c>
      <c r="K105" s="169">
        <f t="shared" si="17"/>
        <v>17.419404109589042</v>
      </c>
      <c r="L105" s="20"/>
      <c r="M105" s="20"/>
      <c r="O105"/>
      <c r="P105"/>
      <c r="Q105"/>
      <c r="R105"/>
      <c r="S105"/>
      <c r="T105"/>
      <c r="U105"/>
      <c r="V105"/>
      <c r="W105"/>
      <c r="X105"/>
      <c r="Z105"/>
      <c r="AA105"/>
      <c r="AC105"/>
      <c r="AD105"/>
      <c r="AE105"/>
      <c r="AF105"/>
      <c r="AG105"/>
      <c r="AH105"/>
      <c r="AI105"/>
      <c r="AJ105"/>
      <c r="AK105"/>
      <c r="AL105"/>
      <c r="AM105"/>
    </row>
    <row r="106" spans="2:39" s="1" customFormat="1" x14ac:dyDescent="0.25">
      <c r="B106" s="160"/>
      <c r="C106" s="161"/>
      <c r="D106" s="163"/>
      <c r="E106" s="159"/>
      <c r="F106" s="159"/>
      <c r="G106" s="165">
        <f t="shared" si="18"/>
        <v>319.25</v>
      </c>
      <c r="H106" s="20"/>
      <c r="I106" s="167">
        <f>IF(B106&gt;0,(Parametros!$H$11-'Calculo Intereses PERS NAT'!B106),0)</f>
        <v>0</v>
      </c>
      <c r="J106" s="168">
        <f>(F106-E106)*Parametros!$H$37/365*'Calculo Intereses PERS NAT'!I106</f>
        <v>0</v>
      </c>
      <c r="K106" s="169">
        <f t="shared" si="17"/>
        <v>17.419404109589042</v>
      </c>
      <c r="L106" s="20"/>
      <c r="M106" s="20"/>
      <c r="O106"/>
      <c r="P106"/>
      <c r="Q106"/>
      <c r="R106"/>
      <c r="S106"/>
      <c r="T106"/>
      <c r="U106"/>
      <c r="V106"/>
      <c r="W106"/>
      <c r="X106"/>
      <c r="Z106"/>
      <c r="AA106"/>
      <c r="AC106"/>
      <c r="AD106"/>
      <c r="AE106"/>
      <c r="AF106"/>
      <c r="AG106"/>
      <c r="AH106"/>
      <c r="AI106"/>
      <c r="AJ106"/>
      <c r="AK106"/>
      <c r="AL106"/>
      <c r="AM106"/>
    </row>
    <row r="107" spans="2:39" s="1" customFormat="1" x14ac:dyDescent="0.25">
      <c r="B107" s="160"/>
      <c r="C107" s="161"/>
      <c r="D107" s="163"/>
      <c r="E107" s="159"/>
      <c r="F107" s="159"/>
      <c r="G107" s="165">
        <f t="shared" si="18"/>
        <v>319.25</v>
      </c>
      <c r="H107" s="20"/>
      <c r="I107" s="167">
        <f>IF(B107&gt;0,(Parametros!$H$11-'Calculo Intereses PERS NAT'!B107),0)</f>
        <v>0</v>
      </c>
      <c r="J107" s="168">
        <f>(F107-E107)*Parametros!$H$37/365*'Calculo Intereses PERS NAT'!I107</f>
        <v>0</v>
      </c>
      <c r="K107" s="169">
        <f t="shared" si="17"/>
        <v>17.419404109589042</v>
      </c>
      <c r="L107" s="20"/>
      <c r="M107" s="20"/>
      <c r="O107"/>
      <c r="P107"/>
      <c r="Q107"/>
      <c r="R107"/>
      <c r="S107"/>
      <c r="T107"/>
      <c r="U107"/>
      <c r="V107"/>
      <c r="W107"/>
      <c r="X107"/>
      <c r="Z107"/>
      <c r="AA107"/>
      <c r="AC107"/>
      <c r="AD107"/>
      <c r="AE107"/>
      <c r="AF107"/>
      <c r="AG107"/>
      <c r="AH107"/>
      <c r="AI107"/>
      <c r="AJ107"/>
      <c r="AK107"/>
      <c r="AL107"/>
      <c r="AM107"/>
    </row>
    <row r="108" spans="2:39" s="1" customFormat="1" x14ac:dyDescent="0.25">
      <c r="B108" s="160"/>
      <c r="C108" s="161"/>
      <c r="D108" s="163"/>
      <c r="E108" s="159"/>
      <c r="F108" s="159"/>
      <c r="G108" s="165">
        <f t="shared" si="18"/>
        <v>319.25</v>
      </c>
      <c r="H108" s="20"/>
      <c r="I108" s="167">
        <f>IF(B108&gt;0,(Parametros!$H$11-'Calculo Intereses PERS NAT'!B108),0)</f>
        <v>0</v>
      </c>
      <c r="J108" s="168">
        <f>(F108-E108)*Parametros!$H$37/365*'Calculo Intereses PERS NAT'!I108</f>
        <v>0</v>
      </c>
      <c r="K108" s="169">
        <f t="shared" si="17"/>
        <v>17.419404109589042</v>
      </c>
      <c r="L108" s="20"/>
      <c r="M108" s="20"/>
      <c r="O108"/>
      <c r="P108"/>
      <c r="Q108"/>
      <c r="R108"/>
      <c r="S108"/>
      <c r="T108"/>
      <c r="U108"/>
      <c r="V108"/>
      <c r="W108"/>
      <c r="X108"/>
      <c r="Z108"/>
      <c r="AA108"/>
      <c r="AC108"/>
      <c r="AD108"/>
      <c r="AE108"/>
      <c r="AF108"/>
      <c r="AG108"/>
      <c r="AH108"/>
      <c r="AI108"/>
      <c r="AJ108"/>
      <c r="AK108"/>
      <c r="AL108"/>
      <c r="AM108"/>
    </row>
    <row r="109" spans="2:39" s="1" customFormat="1" x14ac:dyDescent="0.25">
      <c r="B109" s="160"/>
      <c r="C109" s="161"/>
      <c r="D109" s="163"/>
      <c r="E109" s="159"/>
      <c r="F109" s="159"/>
      <c r="G109" s="165">
        <f t="shared" si="18"/>
        <v>319.25</v>
      </c>
      <c r="H109" s="20"/>
      <c r="I109" s="167">
        <f>IF(B109&gt;0,(Parametros!$H$11-'Calculo Intereses PERS NAT'!B109),0)</f>
        <v>0</v>
      </c>
      <c r="J109" s="168">
        <f>(F109-E109)*Parametros!$H$37/365*'Calculo Intereses PERS NAT'!I109</f>
        <v>0</v>
      </c>
      <c r="K109" s="169">
        <f t="shared" si="17"/>
        <v>17.419404109589042</v>
      </c>
      <c r="L109"/>
      <c r="M109"/>
      <c r="O109"/>
      <c r="P109"/>
      <c r="Q109"/>
      <c r="R109"/>
      <c r="S109"/>
      <c r="T109"/>
      <c r="U109"/>
      <c r="V109"/>
      <c r="W109"/>
      <c r="X109"/>
      <c r="Z109"/>
      <c r="AA109"/>
      <c r="AC109"/>
      <c r="AD109"/>
      <c r="AE109"/>
      <c r="AF109"/>
      <c r="AG109"/>
      <c r="AH109"/>
      <c r="AI109"/>
      <c r="AJ109"/>
      <c r="AK109"/>
      <c r="AL109"/>
      <c r="AM109"/>
    </row>
    <row r="110" spans="2:39" s="1" customFormat="1" x14ac:dyDescent="0.25">
      <c r="B110" s="160"/>
      <c r="C110" s="161"/>
      <c r="D110" s="163"/>
      <c r="E110" s="159"/>
      <c r="F110" s="159"/>
      <c r="G110" s="165">
        <f t="shared" si="18"/>
        <v>319.25</v>
      </c>
      <c r="H110" s="20"/>
      <c r="I110" s="167">
        <f>IF(B110&gt;0,(Parametros!$H$11-'Calculo Intereses PERS NAT'!B110),0)</f>
        <v>0</v>
      </c>
      <c r="J110" s="168">
        <f>(F110-E110)*Parametros!$H$37/365*'Calculo Intereses PERS NAT'!I110</f>
        <v>0</v>
      </c>
      <c r="K110" s="169">
        <f t="shared" si="17"/>
        <v>17.419404109589042</v>
      </c>
      <c r="L110"/>
      <c r="M110"/>
      <c r="O110"/>
      <c r="P110"/>
      <c r="Q110"/>
      <c r="R110"/>
      <c r="S110"/>
      <c r="T110"/>
      <c r="U110"/>
      <c r="V110"/>
      <c r="W110"/>
      <c r="X110"/>
      <c r="Z110"/>
      <c r="AA110"/>
      <c r="AC110"/>
      <c r="AD110"/>
      <c r="AE110"/>
      <c r="AF110"/>
      <c r="AG110"/>
      <c r="AH110"/>
      <c r="AI110"/>
      <c r="AJ110"/>
      <c r="AK110"/>
      <c r="AL110"/>
      <c r="AM110"/>
    </row>
    <row r="111" spans="2:39" x14ac:dyDescent="0.25">
      <c r="B111" s="160"/>
      <c r="C111" s="161"/>
      <c r="D111" s="163"/>
      <c r="E111" s="159"/>
      <c r="F111" s="159"/>
      <c r="G111" s="165">
        <f>+G110+F111</f>
        <v>319.25</v>
      </c>
      <c r="H111" s="20"/>
      <c r="I111" s="167">
        <f>IF(B111&gt;0,(Parametros!$H$11-'Calculo Intereses PERS NAT'!B111),0)</f>
        <v>0</v>
      </c>
      <c r="J111" s="168">
        <f>(F111-E111)*Parametros!$H$37/365*'Calculo Intereses PERS NAT'!I111</f>
        <v>0</v>
      </c>
      <c r="K111" s="169">
        <f t="shared" si="17"/>
        <v>17.419404109589042</v>
      </c>
    </row>
    <row r="112" spans="2:39" x14ac:dyDescent="0.25">
      <c r="B112" s="20"/>
      <c r="C112" s="20"/>
      <c r="D112" s="52" t="s">
        <v>21</v>
      </c>
      <c r="E112" s="166">
        <f>SUM(E96:E111)</f>
        <v>0</v>
      </c>
      <c r="F112" s="166">
        <f>SUM(F96:F111)</f>
        <v>319.25</v>
      </c>
      <c r="G112" s="166">
        <f>+G111</f>
        <v>319.25</v>
      </c>
      <c r="J112" s="170">
        <f>SUM(J96:J111)</f>
        <v>17.419404109589042</v>
      </c>
    </row>
    <row r="114" spans="2:11" x14ac:dyDescent="0.25">
      <c r="B114" s="172" t="str">
        <f>CONCATENATE("APORTACIONES Y CALCULO DE INTERESES CORRESPONDIENTES AL AÑO ",YEAR(Parametros!$H$11))</f>
        <v>APORTACIONES Y CALCULO DE INTERESES CORRESPONDIENTES AL AÑO 2015</v>
      </c>
      <c r="C114" s="53"/>
      <c r="D114" s="53"/>
      <c r="E114" s="54"/>
      <c r="F114" s="54"/>
      <c r="G114" s="54"/>
      <c r="H114" s="20"/>
      <c r="I114" s="55"/>
      <c r="J114" s="56"/>
      <c r="K114" s="20"/>
    </row>
    <row r="115" spans="2:11" x14ac:dyDescent="0.25">
      <c r="B115" s="69" t="s">
        <v>186</v>
      </c>
      <c r="C115" s="173" t="str">
        <f>+'Calculo Excedentes'!A58</f>
        <v>PN-6</v>
      </c>
      <c r="D115" s="171" t="s">
        <v>187</v>
      </c>
      <c r="E115" s="176" t="str">
        <f>+'Calculo Excedentes'!B58</f>
        <v>Jorge Alberto Heredia</v>
      </c>
      <c r="F115" s="174"/>
      <c r="G115" s="175"/>
      <c r="H115" s="20"/>
      <c r="I115" s="39" t="s">
        <v>73</v>
      </c>
      <c r="J115" s="39" t="s">
        <v>74</v>
      </c>
      <c r="K115" s="39" t="s">
        <v>75</v>
      </c>
    </row>
    <row r="116" spans="2:11" x14ac:dyDescent="0.25">
      <c r="B116" s="40" t="s">
        <v>76</v>
      </c>
      <c r="C116" s="40" t="s">
        <v>77</v>
      </c>
      <c r="D116" s="40" t="s">
        <v>78</v>
      </c>
      <c r="E116" s="40" t="s">
        <v>79</v>
      </c>
      <c r="F116" s="40" t="s">
        <v>80</v>
      </c>
      <c r="G116" s="40" t="s">
        <v>81</v>
      </c>
      <c r="H116" s="20"/>
      <c r="I116" s="42" t="s">
        <v>82</v>
      </c>
      <c r="J116" s="164" t="s">
        <v>185</v>
      </c>
      <c r="K116" s="42" t="s">
        <v>84</v>
      </c>
    </row>
    <row r="117" spans="2:11" x14ac:dyDescent="0.25">
      <c r="B117" s="158">
        <f>+Parametros!$H$11-365</f>
        <v>42004</v>
      </c>
      <c r="C117" s="161"/>
      <c r="D117" s="162"/>
      <c r="E117" s="159"/>
      <c r="F117" s="159">
        <v>1526.08</v>
      </c>
      <c r="G117" s="165">
        <f>+F117-E117</f>
        <v>1526.08</v>
      </c>
      <c r="H117" s="20"/>
      <c r="I117" s="167">
        <f>IF(B117&gt;0,(Parametros!$H$11-'Calculo Intereses PERS NAT'!B117),0)</f>
        <v>365</v>
      </c>
      <c r="J117" s="168">
        <f>(F117-E117)*Parametros!$H$37/365*'Calculo Intereses PERS NAT'!I117</f>
        <v>83.934399999999997</v>
      </c>
      <c r="K117" s="169">
        <f>+J117</f>
        <v>83.934399999999997</v>
      </c>
    </row>
    <row r="118" spans="2:11" x14ac:dyDescent="0.25">
      <c r="B118" s="160">
        <v>42049</v>
      </c>
      <c r="C118" s="221"/>
      <c r="D118" s="162" t="s">
        <v>236</v>
      </c>
      <c r="E118" s="159"/>
      <c r="F118" s="159">
        <v>71.8</v>
      </c>
      <c r="G118" s="165">
        <f>+G117+F118-E118</f>
        <v>1597.8799999999999</v>
      </c>
      <c r="H118" s="20"/>
      <c r="I118" s="167">
        <f>IF(B118&gt;0,(Parametros!$H$11-'Calculo Intereses PERS NAT'!B118),0)</f>
        <v>320</v>
      </c>
      <c r="J118" s="168">
        <f>(F118-E118)*Parametros!$H$37/365*'Calculo Intereses PERS NAT'!I118</f>
        <v>3.4621369863013696</v>
      </c>
      <c r="K118" s="169">
        <f>+J118+K117</f>
        <v>87.396536986301371</v>
      </c>
    </row>
    <row r="119" spans="2:11" x14ac:dyDescent="0.25">
      <c r="B119" s="160"/>
      <c r="C119" s="221"/>
      <c r="D119" s="162"/>
      <c r="E119" s="159"/>
      <c r="F119" s="159"/>
      <c r="G119" s="165">
        <f>+G118+F119</f>
        <v>1597.8799999999999</v>
      </c>
      <c r="H119" s="20"/>
      <c r="I119" s="167">
        <f>IF(B119&gt;0,(Parametros!$H$11-'Calculo Intereses PERS NAT'!B119),0)</f>
        <v>0</v>
      </c>
      <c r="J119" s="168">
        <f>(F119-E119)*Parametros!$H$37/365*'Calculo Intereses PERS NAT'!I119</f>
        <v>0</v>
      </c>
      <c r="K119" s="169">
        <f t="shared" ref="K119:K132" si="19">+J119+K118</f>
        <v>87.396536986301371</v>
      </c>
    </row>
    <row r="120" spans="2:11" x14ac:dyDescent="0.25">
      <c r="B120" s="160"/>
      <c r="C120" s="161"/>
      <c r="D120" s="162"/>
      <c r="E120" s="159"/>
      <c r="F120" s="159"/>
      <c r="G120" s="165">
        <f>+G119+F120</f>
        <v>1597.8799999999999</v>
      </c>
      <c r="H120" s="20"/>
      <c r="I120" s="167">
        <f>IF(B120&gt;0,(Parametros!$H$11-'Calculo Intereses PERS NAT'!B120),0)</f>
        <v>0</v>
      </c>
      <c r="J120" s="168">
        <f>(F120-E120)*Parametros!$H$37/365*'Calculo Intereses PERS NAT'!I120</f>
        <v>0</v>
      </c>
      <c r="K120" s="169">
        <f t="shared" si="19"/>
        <v>87.396536986301371</v>
      </c>
    </row>
    <row r="121" spans="2:11" x14ac:dyDescent="0.25">
      <c r="B121" s="160"/>
      <c r="C121" s="161"/>
      <c r="D121" s="162"/>
      <c r="E121" s="159"/>
      <c r="F121" s="159"/>
      <c r="G121" s="165">
        <f>+G120+F121</f>
        <v>1597.8799999999999</v>
      </c>
      <c r="H121" s="20"/>
      <c r="I121" s="167">
        <f>IF(B121&gt;0,(Parametros!$H$11-'Calculo Intereses PERS NAT'!B121),0)</f>
        <v>0</v>
      </c>
      <c r="J121" s="168">
        <f>(F121-E121)*Parametros!$H$37/365*'Calculo Intereses PERS NAT'!I121</f>
        <v>0</v>
      </c>
      <c r="K121" s="169">
        <f t="shared" si="19"/>
        <v>87.396536986301371</v>
      </c>
    </row>
    <row r="122" spans="2:11" x14ac:dyDescent="0.25">
      <c r="B122" s="160"/>
      <c r="C122" s="161"/>
      <c r="D122" s="162"/>
      <c r="E122" s="159"/>
      <c r="F122" s="159"/>
      <c r="G122" s="165">
        <f>+G121+F122</f>
        <v>1597.8799999999999</v>
      </c>
      <c r="H122" s="20"/>
      <c r="I122" s="167">
        <f>IF(B122&gt;0,(Parametros!$H$11-'Calculo Intereses PERS NAT'!B122),0)</f>
        <v>0</v>
      </c>
      <c r="J122" s="168">
        <f>(F122-E122)*Parametros!$H$37/365*'Calculo Intereses PERS NAT'!I122</f>
        <v>0</v>
      </c>
      <c r="K122" s="169">
        <f t="shared" si="19"/>
        <v>87.396536986301371</v>
      </c>
    </row>
    <row r="123" spans="2:11" x14ac:dyDescent="0.25">
      <c r="B123" s="160"/>
      <c r="C123" s="161"/>
      <c r="D123" s="163"/>
      <c r="E123" s="159"/>
      <c r="F123" s="159"/>
      <c r="G123" s="165">
        <f t="shared" ref="G123:G131" si="20">+G122+F123</f>
        <v>1597.8799999999999</v>
      </c>
      <c r="H123" s="20"/>
      <c r="I123" s="167">
        <f>IF(B123&gt;0,(Parametros!$H$11-'Calculo Intereses PERS NAT'!B123),0)</f>
        <v>0</v>
      </c>
      <c r="J123" s="168">
        <f>(F123-E123)*Parametros!$H$37/365*'Calculo Intereses PERS NAT'!I123</f>
        <v>0</v>
      </c>
      <c r="K123" s="169">
        <f t="shared" si="19"/>
        <v>87.396536986301371</v>
      </c>
    </row>
    <row r="124" spans="2:11" x14ac:dyDescent="0.25">
      <c r="B124" s="160"/>
      <c r="C124" s="161"/>
      <c r="D124" s="163"/>
      <c r="E124" s="159"/>
      <c r="F124" s="159"/>
      <c r="G124" s="165">
        <f t="shared" si="20"/>
        <v>1597.8799999999999</v>
      </c>
      <c r="H124" s="20"/>
      <c r="I124" s="167">
        <f>IF(B124&gt;0,(Parametros!$H$11-'Calculo Intereses PERS NAT'!B124),0)</f>
        <v>0</v>
      </c>
      <c r="J124" s="168">
        <f>(F124-E124)*Parametros!$H$37/365*'Calculo Intereses PERS NAT'!I124</f>
        <v>0</v>
      </c>
      <c r="K124" s="169">
        <f t="shared" si="19"/>
        <v>87.396536986301371</v>
      </c>
    </row>
    <row r="125" spans="2:11" x14ac:dyDescent="0.25">
      <c r="B125" s="160"/>
      <c r="C125" s="161"/>
      <c r="D125" s="163"/>
      <c r="E125" s="159"/>
      <c r="F125" s="159"/>
      <c r="G125" s="165">
        <f t="shared" si="20"/>
        <v>1597.8799999999999</v>
      </c>
      <c r="H125" s="20"/>
      <c r="I125" s="167">
        <f>IF(B125&gt;0,(Parametros!$H$11-'Calculo Intereses PERS NAT'!B125),0)</f>
        <v>0</v>
      </c>
      <c r="J125" s="168">
        <f>(F125-E125)*Parametros!$H$37/365*'Calculo Intereses PERS NAT'!I125</f>
        <v>0</v>
      </c>
      <c r="K125" s="169">
        <f t="shared" si="19"/>
        <v>87.396536986301371</v>
      </c>
    </row>
    <row r="126" spans="2:11" x14ac:dyDescent="0.25">
      <c r="B126" s="160"/>
      <c r="C126" s="161"/>
      <c r="D126" s="163"/>
      <c r="E126" s="159"/>
      <c r="F126" s="159"/>
      <c r="G126" s="165">
        <f t="shared" si="20"/>
        <v>1597.8799999999999</v>
      </c>
      <c r="H126" s="20"/>
      <c r="I126" s="167">
        <f>IF(B126&gt;0,(Parametros!$H$11-'Calculo Intereses PERS NAT'!B126),0)</f>
        <v>0</v>
      </c>
      <c r="J126" s="168">
        <f>(F126-E126)*Parametros!$H$37/365*'Calculo Intereses PERS NAT'!I126</f>
        <v>0</v>
      </c>
      <c r="K126" s="169">
        <f t="shared" si="19"/>
        <v>87.396536986301371</v>
      </c>
    </row>
    <row r="127" spans="2:11" x14ac:dyDescent="0.25">
      <c r="B127" s="160"/>
      <c r="C127" s="161"/>
      <c r="D127" s="163"/>
      <c r="E127" s="159"/>
      <c r="F127" s="159"/>
      <c r="G127" s="165">
        <f t="shared" si="20"/>
        <v>1597.8799999999999</v>
      </c>
      <c r="H127" s="20"/>
      <c r="I127" s="167">
        <f>IF(B127&gt;0,(Parametros!$H$11-'Calculo Intereses PERS NAT'!B127),0)</f>
        <v>0</v>
      </c>
      <c r="J127" s="168">
        <f>(F127-E127)*Parametros!$H$37/365*'Calculo Intereses PERS NAT'!I127</f>
        <v>0</v>
      </c>
      <c r="K127" s="169">
        <f t="shared" si="19"/>
        <v>87.396536986301371</v>
      </c>
    </row>
    <row r="128" spans="2:11" x14ac:dyDescent="0.25">
      <c r="B128" s="160"/>
      <c r="C128" s="161"/>
      <c r="D128" s="163"/>
      <c r="E128" s="159"/>
      <c r="F128" s="159"/>
      <c r="G128" s="165">
        <f t="shared" si="20"/>
        <v>1597.8799999999999</v>
      </c>
      <c r="H128" s="20"/>
      <c r="I128" s="167">
        <f>IF(B128&gt;0,(Parametros!$H$11-'Calculo Intereses PERS NAT'!B128),0)</f>
        <v>0</v>
      </c>
      <c r="J128" s="168">
        <f>(F128-E128)*Parametros!$H$37/365*'Calculo Intereses PERS NAT'!I128</f>
        <v>0</v>
      </c>
      <c r="K128" s="169">
        <f t="shared" si="19"/>
        <v>87.396536986301371</v>
      </c>
    </row>
    <row r="129" spans="2:11" x14ac:dyDescent="0.25">
      <c r="B129" s="160"/>
      <c r="C129" s="161"/>
      <c r="D129" s="163"/>
      <c r="E129" s="159"/>
      <c r="F129" s="159"/>
      <c r="G129" s="165">
        <f t="shared" si="20"/>
        <v>1597.8799999999999</v>
      </c>
      <c r="H129" s="20"/>
      <c r="I129" s="167">
        <f>IF(B129&gt;0,(Parametros!$H$11-'Calculo Intereses PERS NAT'!B129),0)</f>
        <v>0</v>
      </c>
      <c r="J129" s="168">
        <f>(F129-E129)*Parametros!$H$37/365*'Calculo Intereses PERS NAT'!I129</f>
        <v>0</v>
      </c>
      <c r="K129" s="169">
        <f t="shared" si="19"/>
        <v>87.396536986301371</v>
      </c>
    </row>
    <row r="130" spans="2:11" x14ac:dyDescent="0.25">
      <c r="B130" s="160"/>
      <c r="C130" s="161"/>
      <c r="D130" s="163"/>
      <c r="E130" s="159"/>
      <c r="F130" s="159"/>
      <c r="G130" s="165">
        <f t="shared" si="20"/>
        <v>1597.8799999999999</v>
      </c>
      <c r="H130" s="20"/>
      <c r="I130" s="167">
        <f>IF(B130&gt;0,(Parametros!$H$11-'Calculo Intereses PERS NAT'!B130),0)</f>
        <v>0</v>
      </c>
      <c r="J130" s="168">
        <f>(F130-E130)*Parametros!$H$37/365*'Calculo Intereses PERS NAT'!I130</f>
        <v>0</v>
      </c>
      <c r="K130" s="169">
        <f t="shared" si="19"/>
        <v>87.396536986301371</v>
      </c>
    </row>
    <row r="131" spans="2:11" x14ac:dyDescent="0.25">
      <c r="B131" s="160"/>
      <c r="C131" s="161"/>
      <c r="D131" s="163"/>
      <c r="E131" s="159"/>
      <c r="F131" s="159"/>
      <c r="G131" s="165">
        <f t="shared" si="20"/>
        <v>1597.8799999999999</v>
      </c>
      <c r="H131" s="20"/>
      <c r="I131" s="167">
        <f>IF(B131&gt;0,(Parametros!$H$11-'Calculo Intereses PERS NAT'!B131),0)</f>
        <v>0</v>
      </c>
      <c r="J131" s="168">
        <f>(F131-E131)*Parametros!$H$37/365*'Calculo Intereses PERS NAT'!I131</f>
        <v>0</v>
      </c>
      <c r="K131" s="169">
        <f t="shared" si="19"/>
        <v>87.396536986301371</v>
      </c>
    </row>
    <row r="132" spans="2:11" x14ac:dyDescent="0.25">
      <c r="B132" s="160"/>
      <c r="C132" s="161"/>
      <c r="D132" s="163"/>
      <c r="E132" s="159"/>
      <c r="F132" s="159"/>
      <c r="G132" s="165">
        <f>+G131+F132</f>
        <v>1597.8799999999999</v>
      </c>
      <c r="H132" s="20"/>
      <c r="I132" s="167">
        <f>IF(B132&gt;0,(Parametros!$H$11-'Calculo Intereses PERS NAT'!B132),0)</f>
        <v>0</v>
      </c>
      <c r="J132" s="168">
        <f>(F132-E132)*Parametros!$H$37/365*'Calculo Intereses PERS NAT'!I132</f>
        <v>0</v>
      </c>
      <c r="K132" s="169">
        <f t="shared" si="19"/>
        <v>87.396536986301371</v>
      </c>
    </row>
    <row r="133" spans="2:11" x14ac:dyDescent="0.25">
      <c r="B133" s="20"/>
      <c r="C133" s="20"/>
      <c r="D133" s="52" t="s">
        <v>21</v>
      </c>
      <c r="E133" s="166">
        <f>SUM(E117:E132)</f>
        <v>0</v>
      </c>
      <c r="F133" s="166">
        <f>SUM(F117:F132)</f>
        <v>1597.8799999999999</v>
      </c>
      <c r="G133" s="166">
        <f>+G132</f>
        <v>1597.8799999999999</v>
      </c>
      <c r="J133" s="170">
        <f>SUM(J117:J132)</f>
        <v>87.396536986301371</v>
      </c>
    </row>
    <row r="135" spans="2:11" x14ac:dyDescent="0.25">
      <c r="B135" s="172" t="str">
        <f>CONCATENATE("APORTACIONES Y CALCULO DE INTERESES CORRESPONDIENTES AL AÑO ",YEAR(Parametros!$H$11))</f>
        <v>APORTACIONES Y CALCULO DE INTERESES CORRESPONDIENTES AL AÑO 2015</v>
      </c>
      <c r="C135" s="53"/>
      <c r="D135" s="53"/>
      <c r="E135" s="54"/>
      <c r="F135" s="54"/>
      <c r="G135" s="54"/>
      <c r="H135" s="20"/>
      <c r="I135" s="55"/>
      <c r="J135" s="56"/>
      <c r="K135" s="20"/>
    </row>
    <row r="136" spans="2:11" x14ac:dyDescent="0.25">
      <c r="B136" s="69" t="s">
        <v>186</v>
      </c>
      <c r="C136" s="173" t="str">
        <f>+'Calculo Excedentes'!A59</f>
        <v>PN-7</v>
      </c>
      <c r="D136" s="171" t="s">
        <v>187</v>
      </c>
      <c r="E136" s="176" t="str">
        <f>+'Calculo Excedentes'!B59</f>
        <v>Lucila Guadalupe Vásquez</v>
      </c>
      <c r="F136" s="174"/>
      <c r="G136" s="175"/>
      <c r="H136" s="20"/>
      <c r="I136" s="39" t="s">
        <v>73</v>
      </c>
      <c r="J136" s="39" t="s">
        <v>74</v>
      </c>
      <c r="K136" s="39" t="s">
        <v>75</v>
      </c>
    </row>
    <row r="137" spans="2:11" x14ac:dyDescent="0.25">
      <c r="B137" s="40" t="s">
        <v>76</v>
      </c>
      <c r="C137" s="40" t="s">
        <v>77</v>
      </c>
      <c r="D137" s="40" t="s">
        <v>78</v>
      </c>
      <c r="E137" s="40" t="s">
        <v>79</v>
      </c>
      <c r="F137" s="40" t="s">
        <v>80</v>
      </c>
      <c r="G137" s="40" t="s">
        <v>81</v>
      </c>
      <c r="H137" s="20"/>
      <c r="I137" s="42" t="s">
        <v>82</v>
      </c>
      <c r="J137" s="164" t="s">
        <v>185</v>
      </c>
      <c r="K137" s="42" t="s">
        <v>84</v>
      </c>
    </row>
    <row r="138" spans="2:11" x14ac:dyDescent="0.25">
      <c r="B138" s="158">
        <f>+Parametros!$H$11-365</f>
        <v>42004</v>
      </c>
      <c r="C138" s="161"/>
      <c r="D138" s="162"/>
      <c r="E138" s="159"/>
      <c r="F138" s="159">
        <v>1046.0899999999999</v>
      </c>
      <c r="G138" s="165">
        <f>+F138-E138</f>
        <v>1046.0899999999999</v>
      </c>
      <c r="H138" s="20"/>
      <c r="I138" s="167">
        <f>IF(B138&gt;0,(Parametros!$H$11-'Calculo Intereses PERS NAT'!B138),0)</f>
        <v>365</v>
      </c>
      <c r="J138" s="168">
        <f>(F138-E138)*Parametros!$H$37/365*'Calculo Intereses PERS NAT'!I138</f>
        <v>57.534949999999995</v>
      </c>
      <c r="K138" s="169">
        <f>+J138</f>
        <v>57.534949999999995</v>
      </c>
    </row>
    <row r="139" spans="2:11" x14ac:dyDescent="0.25">
      <c r="B139" s="160">
        <v>42049</v>
      </c>
      <c r="C139" s="161"/>
      <c r="D139" s="162" t="s">
        <v>249</v>
      </c>
      <c r="E139" s="159"/>
      <c r="F139" s="159">
        <v>71.489999999999995</v>
      </c>
      <c r="G139" s="165">
        <f>+G138+F139-E139</f>
        <v>1117.58</v>
      </c>
      <c r="H139" s="20"/>
      <c r="I139" s="167">
        <f>IF(B139&gt;0,(Parametros!$H$11-'Calculo Intereses PERS NAT'!B139),0)</f>
        <v>320</v>
      </c>
      <c r="J139" s="168">
        <f>(F139-E139)*Parametros!$H$37/365*'Calculo Intereses PERS NAT'!I139</f>
        <v>3.4471890410958901</v>
      </c>
      <c r="K139" s="169">
        <f>+J139+K138</f>
        <v>60.982139041095884</v>
      </c>
    </row>
    <row r="140" spans="2:11" x14ac:dyDescent="0.25">
      <c r="B140" s="160"/>
      <c r="C140" s="221"/>
      <c r="D140" s="162"/>
      <c r="E140" s="159"/>
      <c r="F140" s="159"/>
      <c r="G140" s="165">
        <f>+G139+F140</f>
        <v>1117.58</v>
      </c>
      <c r="H140" s="20"/>
      <c r="I140" s="167">
        <f>IF(B140&gt;0,(Parametros!$H$11-'Calculo Intereses PERS NAT'!B140),0)</f>
        <v>0</v>
      </c>
      <c r="J140" s="168">
        <f>(F140-E140)*Parametros!$H$37/365*'Calculo Intereses PERS NAT'!I140</f>
        <v>0</v>
      </c>
      <c r="K140" s="169">
        <f t="shared" ref="K140:K153" si="21">+J140+K139</f>
        <v>60.982139041095884</v>
      </c>
    </row>
    <row r="141" spans="2:11" x14ac:dyDescent="0.25">
      <c r="B141" s="160"/>
      <c r="C141" s="161"/>
      <c r="D141" s="162"/>
      <c r="E141" s="159"/>
      <c r="F141" s="159"/>
      <c r="G141" s="165">
        <f>+G140+F141</f>
        <v>1117.58</v>
      </c>
      <c r="H141" s="20"/>
      <c r="I141" s="167">
        <f>IF(B141&gt;0,(Parametros!$H$11-'Calculo Intereses PERS NAT'!B141),0)</f>
        <v>0</v>
      </c>
      <c r="J141" s="168">
        <f>(F141-E141)*Parametros!$H$37/365*'Calculo Intereses PERS NAT'!I141</f>
        <v>0</v>
      </c>
      <c r="K141" s="169">
        <f t="shared" si="21"/>
        <v>60.982139041095884</v>
      </c>
    </row>
    <row r="142" spans="2:11" x14ac:dyDescent="0.25">
      <c r="B142" s="160"/>
      <c r="C142" s="221"/>
      <c r="D142" s="162"/>
      <c r="E142" s="159"/>
      <c r="F142" s="159"/>
      <c r="G142" s="165">
        <f>+G141+F142</f>
        <v>1117.58</v>
      </c>
      <c r="H142" s="20"/>
      <c r="I142" s="167">
        <f>IF(B142&gt;0,(Parametros!$H$11-'Calculo Intereses PERS NAT'!B142),0)</f>
        <v>0</v>
      </c>
      <c r="J142" s="168">
        <f>(F142-E142)*Parametros!$H$37/365*'Calculo Intereses PERS NAT'!I142</f>
        <v>0</v>
      </c>
      <c r="K142" s="169">
        <f t="shared" si="21"/>
        <v>60.982139041095884</v>
      </c>
    </row>
    <row r="143" spans="2:11" x14ac:dyDescent="0.25">
      <c r="B143" s="160"/>
      <c r="C143" s="221"/>
      <c r="D143" s="162"/>
      <c r="E143" s="159"/>
      <c r="F143" s="159"/>
      <c r="G143" s="165">
        <f>+G142+F143</f>
        <v>1117.58</v>
      </c>
      <c r="H143" s="20"/>
      <c r="I143" s="167">
        <f>IF(B143&gt;0,(Parametros!$H$11-'Calculo Intereses PERS NAT'!B143),0)</f>
        <v>0</v>
      </c>
      <c r="J143" s="168">
        <f>(F143-E143)*Parametros!$H$37/365*'Calculo Intereses PERS NAT'!I143</f>
        <v>0</v>
      </c>
      <c r="K143" s="169">
        <f t="shared" si="21"/>
        <v>60.982139041095884</v>
      </c>
    </row>
    <row r="144" spans="2:11" x14ac:dyDescent="0.25">
      <c r="B144" s="160"/>
      <c r="C144" s="161"/>
      <c r="D144" s="162"/>
      <c r="E144" s="159"/>
      <c r="F144" s="159"/>
      <c r="G144" s="165">
        <f>+G143+F144</f>
        <v>1117.58</v>
      </c>
      <c r="H144" s="20"/>
      <c r="I144" s="167">
        <f>IF(B144&gt;0,(Parametros!$H$11-'Calculo Intereses PERS NAT'!B144),0)</f>
        <v>0</v>
      </c>
      <c r="J144" s="168">
        <f>(F144-E144)*Parametros!$H$37/365*'Calculo Intereses PERS NAT'!I144</f>
        <v>0</v>
      </c>
      <c r="K144" s="169">
        <f t="shared" si="21"/>
        <v>60.982139041095884</v>
      </c>
    </row>
    <row r="145" spans="2:14" x14ac:dyDescent="0.25">
      <c r="B145" s="160"/>
      <c r="C145" s="161"/>
      <c r="D145" s="162"/>
      <c r="E145" s="159"/>
      <c r="F145" s="159"/>
      <c r="G145" s="165">
        <f t="shared" ref="G145:G152" si="22">+G144+F145</f>
        <v>1117.58</v>
      </c>
      <c r="H145" s="20"/>
      <c r="I145" s="167">
        <f>IF(B145&gt;0,(Parametros!$H$11-'Calculo Intereses PERS NAT'!B145),0)</f>
        <v>0</v>
      </c>
      <c r="J145" s="168">
        <f>(F145-E145)*Parametros!$H$37/365*'Calculo Intereses PERS NAT'!I145</f>
        <v>0</v>
      </c>
      <c r="K145" s="169">
        <f t="shared" si="21"/>
        <v>60.982139041095884</v>
      </c>
    </row>
    <row r="146" spans="2:14" x14ac:dyDescent="0.25">
      <c r="B146" s="160"/>
      <c r="C146" s="161"/>
      <c r="D146" s="162"/>
      <c r="E146" s="159"/>
      <c r="F146" s="159"/>
      <c r="G146" s="165">
        <f t="shared" si="22"/>
        <v>1117.58</v>
      </c>
      <c r="H146" s="20"/>
      <c r="I146" s="167">
        <f>IF(B146&gt;0,(Parametros!$H$11-'Calculo Intereses PERS NAT'!B146),0)</f>
        <v>0</v>
      </c>
      <c r="J146" s="168">
        <f>(F146-E146)*Parametros!$H$37/365*'Calculo Intereses PERS NAT'!I146</f>
        <v>0</v>
      </c>
      <c r="K146" s="169">
        <f t="shared" si="21"/>
        <v>60.982139041095884</v>
      </c>
      <c r="M146">
        <f>931.8</f>
        <v>931.8</v>
      </c>
    </row>
    <row r="147" spans="2:14" x14ac:dyDescent="0.25">
      <c r="B147" s="160"/>
      <c r="C147" s="161"/>
      <c r="D147" s="163"/>
      <c r="E147" s="159"/>
      <c r="F147" s="159"/>
      <c r="G147" s="165">
        <f t="shared" si="22"/>
        <v>1117.58</v>
      </c>
      <c r="H147" s="20"/>
      <c r="I147" s="167">
        <f>IF(B147&gt;0,(Parametros!$H$11-'Calculo Intereses PERS NAT'!B147),0)</f>
        <v>0</v>
      </c>
      <c r="J147" s="168">
        <f>(F147-E147)*Parametros!$H$37/365*'Calculo Intereses PERS NAT'!I147</f>
        <v>0</v>
      </c>
      <c r="K147" s="169">
        <f t="shared" si="21"/>
        <v>60.982139041095884</v>
      </c>
      <c r="M147">
        <f>-8.58</f>
        <v>-8.58</v>
      </c>
    </row>
    <row r="148" spans="2:14" x14ac:dyDescent="0.25">
      <c r="B148" s="160"/>
      <c r="C148" s="161"/>
      <c r="D148" s="163"/>
      <c r="E148" s="159"/>
      <c r="F148" s="159"/>
      <c r="G148" s="165">
        <f t="shared" si="22"/>
        <v>1117.58</v>
      </c>
      <c r="H148" s="20"/>
      <c r="I148" s="167">
        <f>IF(B148&gt;0,(Parametros!$H$11-'Calculo Intereses PERS NAT'!B148),0)</f>
        <v>0</v>
      </c>
      <c r="J148" s="168">
        <f>(F148-E148)*Parametros!$H$37/365*'Calculo Intereses PERS NAT'!I148</f>
        <v>0</v>
      </c>
      <c r="K148" s="169">
        <f t="shared" si="21"/>
        <v>60.982139041095884</v>
      </c>
      <c r="M148">
        <f>SUM(M146:M147)</f>
        <v>923.21999999999991</v>
      </c>
      <c r="N148" s="222">
        <f>+M148-G146</f>
        <v>-194.36</v>
      </c>
    </row>
    <row r="149" spans="2:14" x14ac:dyDescent="0.25">
      <c r="B149" s="160"/>
      <c r="C149" s="161"/>
      <c r="D149" s="163"/>
      <c r="E149" s="159"/>
      <c r="F149" s="159"/>
      <c r="G149" s="165">
        <f t="shared" si="22"/>
        <v>1117.58</v>
      </c>
      <c r="H149" s="20"/>
      <c r="I149" s="167">
        <f>IF(B149&gt;0,(Parametros!$H$11-'Calculo Intereses PERS NAT'!B149),0)</f>
        <v>0</v>
      </c>
      <c r="J149" s="168">
        <f>(F149-E149)*Parametros!$H$37/365*'Calculo Intereses PERS NAT'!I149</f>
        <v>0</v>
      </c>
      <c r="K149" s="169">
        <f t="shared" si="21"/>
        <v>60.982139041095884</v>
      </c>
    </row>
    <row r="150" spans="2:14" x14ac:dyDescent="0.25">
      <c r="B150" s="160"/>
      <c r="C150" s="161"/>
      <c r="D150" s="163"/>
      <c r="E150" s="159"/>
      <c r="F150" s="159"/>
      <c r="G150" s="165">
        <f t="shared" si="22"/>
        <v>1117.58</v>
      </c>
      <c r="H150" s="20"/>
      <c r="I150" s="167">
        <f>IF(B150&gt;0,(Parametros!$H$11-'Calculo Intereses PERS NAT'!B150),0)</f>
        <v>0</v>
      </c>
      <c r="J150" s="168">
        <f>(F150-E150)*Parametros!$H$37/365*'Calculo Intereses PERS NAT'!I150</f>
        <v>0</v>
      </c>
      <c r="K150" s="169">
        <f t="shared" si="21"/>
        <v>60.982139041095884</v>
      </c>
    </row>
    <row r="151" spans="2:14" x14ac:dyDescent="0.25">
      <c r="B151" s="160"/>
      <c r="C151" s="161"/>
      <c r="D151" s="163"/>
      <c r="E151" s="159"/>
      <c r="F151" s="159"/>
      <c r="G151" s="165">
        <f t="shared" si="22"/>
        <v>1117.58</v>
      </c>
      <c r="H151" s="20"/>
      <c r="I151" s="167">
        <f>IF(B151&gt;0,(Parametros!$H$11-'Calculo Intereses PERS NAT'!B151),0)</f>
        <v>0</v>
      </c>
      <c r="J151" s="168">
        <f>(F151-E151)*Parametros!$H$37/365*'Calculo Intereses PERS NAT'!I151</f>
        <v>0</v>
      </c>
      <c r="K151" s="169">
        <f t="shared" si="21"/>
        <v>60.982139041095884</v>
      </c>
    </row>
    <row r="152" spans="2:14" x14ac:dyDescent="0.25">
      <c r="B152" s="160"/>
      <c r="C152" s="161"/>
      <c r="D152" s="163"/>
      <c r="E152" s="159"/>
      <c r="F152" s="159"/>
      <c r="G152" s="165">
        <f t="shared" si="22"/>
        <v>1117.58</v>
      </c>
      <c r="H152" s="20"/>
      <c r="I152" s="167">
        <f>IF(B152&gt;0,(Parametros!$H$11-'Calculo Intereses PERS NAT'!B152),0)</f>
        <v>0</v>
      </c>
      <c r="J152" s="168">
        <f>(F152-E152)*Parametros!$H$37/365*'Calculo Intereses PERS NAT'!I152</f>
        <v>0</v>
      </c>
      <c r="K152" s="169">
        <f t="shared" si="21"/>
        <v>60.982139041095884</v>
      </c>
    </row>
    <row r="153" spans="2:14" x14ac:dyDescent="0.25">
      <c r="B153" s="160"/>
      <c r="C153" s="161"/>
      <c r="D153" s="163"/>
      <c r="E153" s="159"/>
      <c r="F153" s="159"/>
      <c r="G153" s="165">
        <f>+G152+F153</f>
        <v>1117.58</v>
      </c>
      <c r="H153" s="20"/>
      <c r="I153" s="167">
        <f>IF(B153&gt;0,(Parametros!$H$11-'Calculo Intereses PERS NAT'!B153),0)</f>
        <v>0</v>
      </c>
      <c r="J153" s="168">
        <f>(F153-E153)*Parametros!$H$37/365*'Calculo Intereses PERS NAT'!I153</f>
        <v>0</v>
      </c>
      <c r="K153" s="169">
        <f t="shared" si="21"/>
        <v>60.982139041095884</v>
      </c>
    </row>
    <row r="154" spans="2:14" x14ac:dyDescent="0.25">
      <c r="B154" s="20"/>
      <c r="C154" s="20"/>
      <c r="D154" s="52" t="s">
        <v>21</v>
      </c>
      <c r="E154" s="166">
        <f>SUM(E138:E153)</f>
        <v>0</v>
      </c>
      <c r="F154" s="166">
        <f>SUM(F138:F153)</f>
        <v>1117.58</v>
      </c>
      <c r="G154" s="166">
        <f>+G153</f>
        <v>1117.58</v>
      </c>
      <c r="J154" s="170">
        <f>SUM(J138:J153)</f>
        <v>60.982139041095884</v>
      </c>
    </row>
    <row r="156" spans="2:14" x14ac:dyDescent="0.25">
      <c r="B156" s="172" t="str">
        <f>CONCATENATE("APORTACIONES Y CALCULO DE INTERESES CORRESPONDIENTES AL AÑO ",YEAR(Parametros!$H$11))</f>
        <v>APORTACIONES Y CALCULO DE INTERESES CORRESPONDIENTES AL AÑO 2015</v>
      </c>
      <c r="C156" s="53"/>
      <c r="D156" s="53"/>
      <c r="E156" s="54"/>
      <c r="F156" s="54"/>
      <c r="G156" s="54"/>
      <c r="H156" s="20"/>
      <c r="I156" s="55"/>
      <c r="J156" s="56"/>
      <c r="K156" s="20"/>
    </row>
    <row r="157" spans="2:14" x14ac:dyDescent="0.25">
      <c r="B157" s="69" t="s">
        <v>186</v>
      </c>
      <c r="C157" s="173" t="str">
        <f>+'Calculo Excedentes'!A60</f>
        <v>PN-8</v>
      </c>
      <c r="D157" s="171" t="s">
        <v>187</v>
      </c>
      <c r="E157" s="176" t="str">
        <f>+'Calculo Excedentes'!B60</f>
        <v>José Rigoberto Alegría</v>
      </c>
      <c r="F157" s="174"/>
      <c r="G157" s="175"/>
      <c r="H157" s="20"/>
      <c r="I157" s="39" t="s">
        <v>73</v>
      </c>
      <c r="J157" s="39" t="s">
        <v>74</v>
      </c>
      <c r="K157" s="39" t="s">
        <v>75</v>
      </c>
    </row>
    <row r="158" spans="2:14" x14ac:dyDescent="0.25">
      <c r="B158" s="40" t="s">
        <v>76</v>
      </c>
      <c r="C158" s="40" t="s">
        <v>77</v>
      </c>
      <c r="D158" s="40" t="s">
        <v>78</v>
      </c>
      <c r="E158" s="40" t="s">
        <v>79</v>
      </c>
      <c r="F158" s="40" t="s">
        <v>80</v>
      </c>
      <c r="G158" s="40" t="s">
        <v>81</v>
      </c>
      <c r="H158" s="20"/>
      <c r="I158" s="42" t="s">
        <v>82</v>
      </c>
      <c r="J158" s="164" t="s">
        <v>185</v>
      </c>
      <c r="K158" s="42" t="s">
        <v>84</v>
      </c>
    </row>
    <row r="159" spans="2:14" x14ac:dyDescent="0.25">
      <c r="B159" s="158">
        <f>+Parametros!$H$11-365</f>
        <v>42004</v>
      </c>
      <c r="C159" s="161"/>
      <c r="D159" s="162"/>
      <c r="E159" s="159"/>
      <c r="F159" s="159">
        <f>2057.14-47.34</f>
        <v>2009.8</v>
      </c>
      <c r="G159" s="165">
        <f>+F159-E159</f>
        <v>2009.8</v>
      </c>
      <c r="H159" s="20"/>
      <c r="I159" s="167">
        <f>IF(B159&gt;0,(Parametros!$H$11-'Calculo Intereses PERS NAT'!B159),0)</f>
        <v>365</v>
      </c>
      <c r="J159" s="168">
        <f>(F159-E159)*Parametros!$H$37/365*'Calculo Intereses PERS NAT'!I159</f>
        <v>110.53900000000002</v>
      </c>
      <c r="K159" s="169">
        <f>+J159</f>
        <v>110.53900000000002</v>
      </c>
    </row>
    <row r="160" spans="2:14" x14ac:dyDescent="0.25">
      <c r="B160" s="160">
        <v>42049</v>
      </c>
      <c r="C160" s="161"/>
      <c r="D160" s="162" t="s">
        <v>236</v>
      </c>
      <c r="E160" s="159"/>
      <c r="F160" s="159">
        <v>142.6</v>
      </c>
      <c r="G160" s="165">
        <f>+G159+F160-E160</f>
        <v>2152.4</v>
      </c>
      <c r="H160" s="20"/>
      <c r="I160" s="167">
        <f>IF(B160&gt;0,(Parametros!$H$11-'Calculo Intereses PERS NAT'!B160),0)</f>
        <v>320</v>
      </c>
      <c r="J160" s="168">
        <f>(F160-E160)*Parametros!$H$37/365*'Calculo Intereses PERS NAT'!I160</f>
        <v>6.876054794520547</v>
      </c>
      <c r="K160" s="169">
        <f>+J160+K159</f>
        <v>117.41505479452056</v>
      </c>
    </row>
    <row r="161" spans="2:11" x14ac:dyDescent="0.25">
      <c r="B161" s="160"/>
      <c r="C161" s="161"/>
      <c r="D161" s="162"/>
      <c r="E161" s="159"/>
      <c r="F161" s="159"/>
      <c r="G161" s="165">
        <f>+G160+F161</f>
        <v>2152.4</v>
      </c>
      <c r="H161" s="20"/>
      <c r="I161" s="167">
        <f>IF(B161&gt;0,(Parametros!$H$11-'Calculo Intereses PERS NAT'!B161),0)</f>
        <v>0</v>
      </c>
      <c r="J161" s="168">
        <f>(F161-E161)*Parametros!$H$37/365*'Calculo Intereses PERS NAT'!I161</f>
        <v>0</v>
      </c>
      <c r="K161" s="169">
        <f t="shared" ref="K161:K174" si="23">+J161+K160</f>
        <v>117.41505479452056</v>
      </c>
    </row>
    <row r="162" spans="2:11" x14ac:dyDescent="0.25">
      <c r="B162" s="160"/>
      <c r="C162" s="161"/>
      <c r="D162" s="162"/>
      <c r="E162" s="159"/>
      <c r="F162" s="159"/>
      <c r="G162" s="165">
        <f>+G161+F162</f>
        <v>2152.4</v>
      </c>
      <c r="H162" s="20"/>
      <c r="I162" s="167">
        <f>IF(B162&gt;0,(Parametros!$H$11-'Calculo Intereses PERS NAT'!B162),0)</f>
        <v>0</v>
      </c>
      <c r="J162" s="168">
        <f>(F162-E162)*Parametros!$H$37/365*'Calculo Intereses PERS NAT'!I162</f>
        <v>0</v>
      </c>
      <c r="K162" s="169">
        <f t="shared" si="23"/>
        <v>117.41505479452056</v>
      </c>
    </row>
    <row r="163" spans="2:11" x14ac:dyDescent="0.25">
      <c r="B163" s="160"/>
      <c r="C163" s="161"/>
      <c r="D163" s="162"/>
      <c r="E163" s="159"/>
      <c r="F163" s="159"/>
      <c r="G163" s="165">
        <f>+G162+F163</f>
        <v>2152.4</v>
      </c>
      <c r="H163" s="20"/>
      <c r="I163" s="167">
        <f>IF(B163&gt;0,(Parametros!$H$11-'Calculo Intereses PERS NAT'!B163),0)</f>
        <v>0</v>
      </c>
      <c r="J163" s="168">
        <f>(F163-E163)*Parametros!$H$37/365*'Calculo Intereses PERS NAT'!I163</f>
        <v>0</v>
      </c>
      <c r="K163" s="169">
        <f t="shared" si="23"/>
        <v>117.41505479452056</v>
      </c>
    </row>
    <row r="164" spans="2:11" x14ac:dyDescent="0.25">
      <c r="B164" s="160"/>
      <c r="C164" s="161"/>
      <c r="D164" s="162"/>
      <c r="E164" s="159"/>
      <c r="F164" s="159"/>
      <c r="G164" s="165">
        <f>+G163+F164</f>
        <v>2152.4</v>
      </c>
      <c r="H164" s="20"/>
      <c r="I164" s="167">
        <f>IF(B164&gt;0,(Parametros!$H$11-'Calculo Intereses PERS NAT'!B164),0)</f>
        <v>0</v>
      </c>
      <c r="J164" s="168">
        <f>(F164-E164)*Parametros!$H$37/365*'Calculo Intereses PERS NAT'!I164</f>
        <v>0</v>
      </c>
      <c r="K164" s="169">
        <f t="shared" si="23"/>
        <v>117.41505479452056</v>
      </c>
    </row>
    <row r="165" spans="2:11" x14ac:dyDescent="0.25">
      <c r="B165" s="160"/>
      <c r="C165" s="161"/>
      <c r="D165" s="163"/>
      <c r="E165" s="159"/>
      <c r="F165" s="159"/>
      <c r="G165" s="165">
        <f t="shared" ref="G165:G173" si="24">+G164+F165</f>
        <v>2152.4</v>
      </c>
      <c r="H165" s="20"/>
      <c r="I165" s="167">
        <f>IF(B165&gt;0,(Parametros!$H$11-'Calculo Intereses PERS NAT'!B165),0)</f>
        <v>0</v>
      </c>
      <c r="J165" s="168">
        <f>(F165-E165)*Parametros!$H$37/365*'Calculo Intereses PERS NAT'!I165</f>
        <v>0</v>
      </c>
      <c r="K165" s="169">
        <f t="shared" si="23"/>
        <v>117.41505479452056</v>
      </c>
    </row>
    <row r="166" spans="2:11" x14ac:dyDescent="0.25">
      <c r="B166" s="160"/>
      <c r="C166" s="161"/>
      <c r="D166" s="163"/>
      <c r="E166" s="159"/>
      <c r="F166" s="159"/>
      <c r="G166" s="165">
        <f t="shared" si="24"/>
        <v>2152.4</v>
      </c>
      <c r="H166" s="20"/>
      <c r="I166" s="167">
        <f>IF(B166&gt;0,(Parametros!$H$11-'Calculo Intereses PERS NAT'!B166),0)</f>
        <v>0</v>
      </c>
      <c r="J166" s="168">
        <f>(F166-E166)*Parametros!$H$37/365*'Calculo Intereses PERS NAT'!I166</f>
        <v>0</v>
      </c>
      <c r="K166" s="169">
        <f t="shared" si="23"/>
        <v>117.41505479452056</v>
      </c>
    </row>
    <row r="167" spans="2:11" x14ac:dyDescent="0.25">
      <c r="B167" s="160"/>
      <c r="C167" s="161"/>
      <c r="D167" s="163"/>
      <c r="E167" s="159"/>
      <c r="F167" s="159"/>
      <c r="G167" s="165">
        <f t="shared" si="24"/>
        <v>2152.4</v>
      </c>
      <c r="H167" s="20"/>
      <c r="I167" s="167">
        <f>IF(B167&gt;0,(Parametros!$H$11-'Calculo Intereses PERS NAT'!B167),0)</f>
        <v>0</v>
      </c>
      <c r="J167" s="168">
        <f>(F167-E167)*Parametros!$H$37/365*'Calculo Intereses PERS NAT'!I167</f>
        <v>0</v>
      </c>
      <c r="K167" s="169">
        <f t="shared" si="23"/>
        <v>117.41505479452056</v>
      </c>
    </row>
    <row r="168" spans="2:11" x14ac:dyDescent="0.25">
      <c r="B168" s="160"/>
      <c r="C168" s="161"/>
      <c r="D168" s="163"/>
      <c r="E168" s="159"/>
      <c r="F168" s="159"/>
      <c r="G168" s="165">
        <f t="shared" si="24"/>
        <v>2152.4</v>
      </c>
      <c r="H168" s="20"/>
      <c r="I168" s="167">
        <f>IF(B168&gt;0,(Parametros!$H$11-'Calculo Intereses PERS NAT'!B168),0)</f>
        <v>0</v>
      </c>
      <c r="J168" s="168">
        <f>(F168-E168)*Parametros!$H$37/365*'Calculo Intereses PERS NAT'!I168</f>
        <v>0</v>
      </c>
      <c r="K168" s="169">
        <f t="shared" si="23"/>
        <v>117.41505479452056</v>
      </c>
    </row>
    <row r="169" spans="2:11" x14ac:dyDescent="0.25">
      <c r="B169" s="160"/>
      <c r="C169" s="161"/>
      <c r="D169" s="163"/>
      <c r="E169" s="159"/>
      <c r="F169" s="159"/>
      <c r="G169" s="165">
        <f t="shared" si="24"/>
        <v>2152.4</v>
      </c>
      <c r="H169" s="20"/>
      <c r="I169" s="167">
        <f>IF(B169&gt;0,(Parametros!$H$11-'Calculo Intereses PERS NAT'!B169),0)</f>
        <v>0</v>
      </c>
      <c r="J169" s="168">
        <f>(F169-E169)*Parametros!$H$37/365*'Calculo Intereses PERS NAT'!I169</f>
        <v>0</v>
      </c>
      <c r="K169" s="169">
        <f t="shared" si="23"/>
        <v>117.41505479452056</v>
      </c>
    </row>
    <row r="170" spans="2:11" x14ac:dyDescent="0.25">
      <c r="B170" s="160"/>
      <c r="C170" s="161"/>
      <c r="D170" s="163"/>
      <c r="E170" s="159"/>
      <c r="F170" s="159"/>
      <c r="G170" s="165">
        <f t="shared" si="24"/>
        <v>2152.4</v>
      </c>
      <c r="H170" s="20"/>
      <c r="I170" s="167">
        <f>IF(B170&gt;0,(Parametros!$H$11-'Calculo Intereses PERS NAT'!B170),0)</f>
        <v>0</v>
      </c>
      <c r="J170" s="168">
        <f>(F170-E170)*Parametros!$H$37/365*'Calculo Intereses PERS NAT'!I170</f>
        <v>0</v>
      </c>
      <c r="K170" s="169">
        <f t="shared" si="23"/>
        <v>117.41505479452056</v>
      </c>
    </row>
    <row r="171" spans="2:11" x14ac:dyDescent="0.25">
      <c r="B171" s="160"/>
      <c r="C171" s="161"/>
      <c r="D171" s="163"/>
      <c r="E171" s="159"/>
      <c r="F171" s="159"/>
      <c r="G171" s="165">
        <f t="shared" si="24"/>
        <v>2152.4</v>
      </c>
      <c r="H171" s="20"/>
      <c r="I171" s="167">
        <f>IF(B171&gt;0,(Parametros!$H$11-'Calculo Intereses PERS NAT'!B171),0)</f>
        <v>0</v>
      </c>
      <c r="J171" s="168">
        <f>(F171-E171)*Parametros!$H$37/365*'Calculo Intereses PERS NAT'!I171</f>
        <v>0</v>
      </c>
      <c r="K171" s="169">
        <f t="shared" si="23"/>
        <v>117.41505479452056</v>
      </c>
    </row>
    <row r="172" spans="2:11" x14ac:dyDescent="0.25">
      <c r="B172" s="160"/>
      <c r="C172" s="161"/>
      <c r="D172" s="163"/>
      <c r="E172" s="159"/>
      <c r="F172" s="159"/>
      <c r="G172" s="165">
        <f t="shared" si="24"/>
        <v>2152.4</v>
      </c>
      <c r="H172" s="20"/>
      <c r="I172" s="167">
        <f>IF(B172&gt;0,(Parametros!$H$11-'Calculo Intereses PERS NAT'!B172),0)</f>
        <v>0</v>
      </c>
      <c r="J172" s="168">
        <f>(F172-E172)*Parametros!$H$37/365*'Calculo Intereses PERS NAT'!I172</f>
        <v>0</v>
      </c>
      <c r="K172" s="169">
        <f t="shared" si="23"/>
        <v>117.41505479452056</v>
      </c>
    </row>
    <row r="173" spans="2:11" x14ac:dyDescent="0.25">
      <c r="B173" s="160"/>
      <c r="C173" s="161"/>
      <c r="D173" s="163"/>
      <c r="E173" s="159"/>
      <c r="F173" s="159"/>
      <c r="G173" s="165">
        <f t="shared" si="24"/>
        <v>2152.4</v>
      </c>
      <c r="H173" s="20"/>
      <c r="I173" s="167">
        <f>IF(B173&gt;0,(Parametros!$H$11-'Calculo Intereses PERS NAT'!B173),0)</f>
        <v>0</v>
      </c>
      <c r="J173" s="168">
        <f>(F173-E173)*Parametros!$H$37/365*'Calculo Intereses PERS NAT'!I173</f>
        <v>0</v>
      </c>
      <c r="K173" s="169">
        <f t="shared" si="23"/>
        <v>117.41505479452056</v>
      </c>
    </row>
    <row r="174" spans="2:11" x14ac:dyDescent="0.25">
      <c r="B174" s="160"/>
      <c r="C174" s="161"/>
      <c r="D174" s="163"/>
      <c r="E174" s="159"/>
      <c r="F174" s="159"/>
      <c r="G174" s="165">
        <f>+G173+F174</f>
        <v>2152.4</v>
      </c>
      <c r="H174" s="20"/>
      <c r="I174" s="167">
        <f>IF(B174&gt;0,(Parametros!$H$11-'Calculo Intereses PERS NAT'!B174),0)</f>
        <v>0</v>
      </c>
      <c r="J174" s="168">
        <f>(F174-E174)*Parametros!$H$37/365*'Calculo Intereses PERS NAT'!I174</f>
        <v>0</v>
      </c>
      <c r="K174" s="169">
        <f t="shared" si="23"/>
        <v>117.41505479452056</v>
      </c>
    </row>
    <row r="175" spans="2:11" x14ac:dyDescent="0.25">
      <c r="B175" s="20"/>
      <c r="C175" s="20"/>
      <c r="D175" s="52" t="s">
        <v>21</v>
      </c>
      <c r="E175" s="166">
        <f>SUM(E159:E174)</f>
        <v>0</v>
      </c>
      <c r="F175" s="166">
        <f>SUM(F159:F174)</f>
        <v>2152.4</v>
      </c>
      <c r="G175" s="166">
        <f>+G174</f>
        <v>2152.4</v>
      </c>
      <c r="J175" s="170">
        <f>SUM(J159:J174)</f>
        <v>117.41505479452056</v>
      </c>
    </row>
    <row r="177" spans="2:14" x14ac:dyDescent="0.25">
      <c r="B177" s="172" t="str">
        <f>CONCATENATE("APORTACIONES Y CALCULO DE INTERESES CORRESPONDIENTES AL AÑO ",YEAR(Parametros!$H$11))</f>
        <v>APORTACIONES Y CALCULO DE INTERESES CORRESPONDIENTES AL AÑO 2015</v>
      </c>
      <c r="C177" s="53"/>
      <c r="D177" s="53"/>
      <c r="E177" s="54"/>
      <c r="F177" s="54"/>
      <c r="G177" s="54"/>
      <c r="H177" s="20"/>
      <c r="I177" s="55"/>
      <c r="J177" s="56"/>
      <c r="K177" s="20"/>
      <c r="M177" s="94"/>
    </row>
    <row r="178" spans="2:14" x14ac:dyDescent="0.25">
      <c r="B178" s="69" t="s">
        <v>186</v>
      </c>
      <c r="C178" s="173" t="str">
        <f>+'Calculo Excedentes'!A61</f>
        <v>PN-9</v>
      </c>
      <c r="D178" s="171" t="s">
        <v>187</v>
      </c>
      <c r="E178" s="176" t="str">
        <f>+'Calculo Excedentes'!B61</f>
        <v>Marcos Antonio González</v>
      </c>
      <c r="F178" s="174"/>
      <c r="G178" s="175"/>
      <c r="H178" s="20"/>
      <c r="I178" s="39" t="s">
        <v>73</v>
      </c>
      <c r="J178" s="39" t="s">
        <v>74</v>
      </c>
      <c r="K178" s="39" t="s">
        <v>75</v>
      </c>
      <c r="M178" s="94"/>
    </row>
    <row r="179" spans="2:14" x14ac:dyDescent="0.25">
      <c r="B179" s="40" t="s">
        <v>76</v>
      </c>
      <c r="C179" s="40" t="s">
        <v>77</v>
      </c>
      <c r="D179" s="40" t="s">
        <v>78</v>
      </c>
      <c r="E179" s="40" t="s">
        <v>79</v>
      </c>
      <c r="F179" s="40" t="s">
        <v>80</v>
      </c>
      <c r="G179" s="40" t="s">
        <v>81</v>
      </c>
      <c r="H179" s="20"/>
      <c r="I179" s="42" t="s">
        <v>82</v>
      </c>
      <c r="J179" s="164" t="s">
        <v>185</v>
      </c>
      <c r="K179" s="42" t="s">
        <v>84</v>
      </c>
      <c r="M179" s="94"/>
    </row>
    <row r="180" spans="2:14" x14ac:dyDescent="0.25">
      <c r="B180" s="158">
        <f>+Parametros!$H$11-365</f>
        <v>42004</v>
      </c>
      <c r="C180" s="161"/>
      <c r="D180" s="162"/>
      <c r="E180" s="159"/>
      <c r="F180" s="159">
        <f>1257.17-22.24</f>
        <v>1234.93</v>
      </c>
      <c r="G180" s="165">
        <f>+F180-E180</f>
        <v>1234.93</v>
      </c>
      <c r="H180" s="20"/>
      <c r="I180" s="167">
        <f>IF(B180&gt;0,(Parametros!$H$11-'Calculo Intereses PERS NAT'!B180),0)</f>
        <v>365</v>
      </c>
      <c r="J180" s="168">
        <f>(F180-E180)*Parametros!$H$37/365*'Calculo Intereses PERS NAT'!I180</f>
        <v>67.921149999999997</v>
      </c>
      <c r="K180" s="169">
        <f>+J180</f>
        <v>67.921149999999997</v>
      </c>
    </row>
    <row r="181" spans="2:14" x14ac:dyDescent="0.25">
      <c r="B181" s="160">
        <v>42049</v>
      </c>
      <c r="C181" s="161"/>
      <c r="D181" s="162" t="s">
        <v>236</v>
      </c>
      <c r="E181" s="159"/>
      <c r="F181" s="159">
        <v>60.87</v>
      </c>
      <c r="G181" s="165">
        <f>+G180+F181-E181</f>
        <v>1295.8</v>
      </c>
      <c r="H181" s="20"/>
      <c r="I181" s="167">
        <f>IF(B181&gt;0,(Parametros!$H$11-'Calculo Intereses PERS NAT'!B181),0)</f>
        <v>320</v>
      </c>
      <c r="J181" s="168">
        <f>(F181-E181)*Parametros!$H$37/365*'Calculo Intereses PERS NAT'!I181</f>
        <v>2.9351013698630135</v>
      </c>
      <c r="K181" s="169">
        <f>+J181+K180</f>
        <v>70.856251369863017</v>
      </c>
      <c r="M181">
        <v>1158.4100000000001</v>
      </c>
      <c r="N181" s="222">
        <f>+G188-M181</f>
        <v>137.38999999999987</v>
      </c>
    </row>
    <row r="182" spans="2:14" x14ac:dyDescent="0.25">
      <c r="B182" s="160"/>
      <c r="C182" s="161"/>
      <c r="D182" s="162"/>
      <c r="E182" s="159"/>
      <c r="F182" s="159"/>
      <c r="G182" s="165">
        <f>+G181+F182</f>
        <v>1295.8</v>
      </c>
      <c r="H182" s="20"/>
      <c r="I182" s="167">
        <f>IF(B182&gt;0,(Parametros!$H$11-'Calculo Intereses PERS NAT'!B182),0)</f>
        <v>0</v>
      </c>
      <c r="J182" s="168">
        <f>(F182-E182)*Parametros!$H$37/365*'Calculo Intereses PERS NAT'!I182</f>
        <v>0</v>
      </c>
      <c r="K182" s="169">
        <f t="shared" ref="K182:K195" si="25">+J182+K181</f>
        <v>70.856251369863017</v>
      </c>
    </row>
    <row r="183" spans="2:14" x14ac:dyDescent="0.25">
      <c r="B183" s="160"/>
      <c r="C183" s="161"/>
      <c r="D183" s="162"/>
      <c r="E183" s="159"/>
      <c r="F183" s="159"/>
      <c r="G183" s="165">
        <f>+G182+F183</f>
        <v>1295.8</v>
      </c>
      <c r="H183" s="20"/>
      <c r="I183" s="167">
        <f>IF(B183&gt;0,(Parametros!$H$11-'Calculo Intereses PERS NAT'!B183),0)</f>
        <v>0</v>
      </c>
      <c r="J183" s="168">
        <f>(F183-E183)*Parametros!$H$37/365*'Calculo Intereses PERS NAT'!I183</f>
        <v>0</v>
      </c>
      <c r="K183" s="169">
        <f t="shared" si="25"/>
        <v>70.856251369863017</v>
      </c>
    </row>
    <row r="184" spans="2:14" x14ac:dyDescent="0.25">
      <c r="B184" s="160"/>
      <c r="C184" s="161"/>
      <c r="D184" s="162"/>
      <c r="E184" s="159"/>
      <c r="F184" s="159"/>
      <c r="G184" s="165">
        <f>+G183+F184</f>
        <v>1295.8</v>
      </c>
      <c r="H184" s="20"/>
      <c r="I184" s="167">
        <f>IF(B184&gt;0,(Parametros!$H$11-'Calculo Intereses PERS NAT'!B184),0)</f>
        <v>0</v>
      </c>
      <c r="J184" s="168">
        <f>(F184-E184)*Parametros!$H$37/365*'Calculo Intereses PERS NAT'!I184</f>
        <v>0</v>
      </c>
      <c r="K184" s="169">
        <f t="shared" si="25"/>
        <v>70.856251369863017</v>
      </c>
    </row>
    <row r="185" spans="2:14" x14ac:dyDescent="0.25">
      <c r="B185" s="160"/>
      <c r="C185" s="161"/>
      <c r="D185" s="162"/>
      <c r="E185" s="159"/>
      <c r="F185" s="159"/>
      <c r="G185" s="165">
        <f>+G184+F185</f>
        <v>1295.8</v>
      </c>
      <c r="H185" s="20"/>
      <c r="I185" s="167">
        <f>IF(B185&gt;0,(Parametros!$H$11-'Calculo Intereses PERS NAT'!B185),0)</f>
        <v>0</v>
      </c>
      <c r="J185" s="168">
        <f>(F185-E185)*Parametros!$H$37/365*'Calculo Intereses PERS NAT'!I185</f>
        <v>0</v>
      </c>
      <c r="K185" s="169">
        <f t="shared" si="25"/>
        <v>70.856251369863017</v>
      </c>
    </row>
    <row r="186" spans="2:14" x14ac:dyDescent="0.25">
      <c r="B186" s="160"/>
      <c r="C186" s="161"/>
      <c r="D186" s="162"/>
      <c r="E186" s="159"/>
      <c r="F186" s="159"/>
      <c r="G186" s="165">
        <f t="shared" ref="G186:G194" si="26">+G185+F186</f>
        <v>1295.8</v>
      </c>
      <c r="H186" s="20"/>
      <c r="I186" s="167">
        <f>IF(B186&gt;0,(Parametros!$H$11-'Calculo Intereses PERS NAT'!B186),0)</f>
        <v>0</v>
      </c>
      <c r="J186" s="168">
        <f>(F186-E186)*Parametros!$H$37/365*'Calculo Intereses PERS NAT'!I186</f>
        <v>0</v>
      </c>
      <c r="K186" s="169">
        <f t="shared" si="25"/>
        <v>70.856251369863017</v>
      </c>
    </row>
    <row r="187" spans="2:14" x14ac:dyDescent="0.25">
      <c r="B187" s="160"/>
      <c r="C187" s="221"/>
      <c r="D187" s="163"/>
      <c r="E187" s="159"/>
      <c r="F187" s="159"/>
      <c r="G187" s="165">
        <f t="shared" si="26"/>
        <v>1295.8</v>
      </c>
      <c r="H187" s="20"/>
      <c r="I187" s="167">
        <f>IF(B187&gt;0,(Parametros!$H$11-'Calculo Intereses PERS NAT'!B187),0)</f>
        <v>0</v>
      </c>
      <c r="J187" s="168">
        <f>(F187-E187)*Parametros!$H$37/365*'Calculo Intereses PERS NAT'!I187</f>
        <v>0</v>
      </c>
      <c r="K187" s="169">
        <f t="shared" si="25"/>
        <v>70.856251369863017</v>
      </c>
    </row>
    <row r="188" spans="2:14" x14ac:dyDescent="0.25">
      <c r="B188" s="160"/>
      <c r="C188" s="161"/>
      <c r="D188" s="162"/>
      <c r="E188" s="159"/>
      <c r="F188" s="159"/>
      <c r="G188" s="165">
        <f t="shared" si="26"/>
        <v>1295.8</v>
      </c>
      <c r="H188" s="20"/>
      <c r="I188" s="167">
        <f>IF(B188&gt;0,(Parametros!$H$11-'Calculo Intereses PERS NAT'!B188),0)</f>
        <v>0</v>
      </c>
      <c r="J188" s="168">
        <f>(F188-E188)*Parametros!$H$37/365*'Calculo Intereses PERS NAT'!I188</f>
        <v>0</v>
      </c>
      <c r="K188" s="169">
        <f t="shared" si="25"/>
        <v>70.856251369863017</v>
      </c>
    </row>
    <row r="189" spans="2:14" x14ac:dyDescent="0.25">
      <c r="B189" s="160"/>
      <c r="C189" s="161"/>
      <c r="D189" s="162"/>
      <c r="E189" s="159"/>
      <c r="F189" s="159"/>
      <c r="G189" s="165">
        <f t="shared" si="26"/>
        <v>1295.8</v>
      </c>
      <c r="H189" s="20"/>
      <c r="I189" s="167">
        <f>IF(B189&gt;0,(Parametros!$H$11-'Calculo Intereses PERS NAT'!B189),0)</f>
        <v>0</v>
      </c>
      <c r="J189" s="168">
        <f>(F189-E189)*Parametros!$H$37/365*'Calculo Intereses PERS NAT'!I189</f>
        <v>0</v>
      </c>
      <c r="K189" s="169">
        <f t="shared" si="25"/>
        <v>70.856251369863017</v>
      </c>
    </row>
    <row r="190" spans="2:14" x14ac:dyDescent="0.25">
      <c r="B190" s="160"/>
      <c r="C190" s="161"/>
      <c r="D190" s="163"/>
      <c r="E190" s="159"/>
      <c r="F190" s="159"/>
      <c r="G190" s="165">
        <f t="shared" si="26"/>
        <v>1295.8</v>
      </c>
      <c r="H190" s="20"/>
      <c r="I190" s="167">
        <f>IF(B190&gt;0,(Parametros!$H$11-'Calculo Intereses PERS NAT'!B190),0)</f>
        <v>0</v>
      </c>
      <c r="J190" s="168">
        <f>(F190-E190)*Parametros!$H$37/365*'Calculo Intereses PERS NAT'!I190</f>
        <v>0</v>
      </c>
      <c r="K190" s="169">
        <f t="shared" si="25"/>
        <v>70.856251369863017</v>
      </c>
    </row>
    <row r="191" spans="2:14" x14ac:dyDescent="0.25">
      <c r="B191" s="160"/>
      <c r="C191" s="161"/>
      <c r="D191" s="163"/>
      <c r="E191" s="159"/>
      <c r="F191" s="159"/>
      <c r="G191" s="165">
        <f t="shared" si="26"/>
        <v>1295.8</v>
      </c>
      <c r="H191" s="20"/>
      <c r="I191" s="167">
        <f>IF(B191&gt;0,(Parametros!$H$11-'Calculo Intereses PERS NAT'!B191),0)</f>
        <v>0</v>
      </c>
      <c r="J191" s="168">
        <f>(F191-E191)*Parametros!$H$37/365*'Calculo Intereses PERS NAT'!I191</f>
        <v>0</v>
      </c>
      <c r="K191" s="169">
        <f t="shared" si="25"/>
        <v>70.856251369863017</v>
      </c>
      <c r="N191" s="222"/>
    </row>
    <row r="192" spans="2:14" x14ac:dyDescent="0.25">
      <c r="B192" s="160"/>
      <c r="C192" s="161"/>
      <c r="D192" s="163"/>
      <c r="E192" s="159"/>
      <c r="F192" s="159"/>
      <c r="G192" s="165">
        <f t="shared" si="26"/>
        <v>1295.8</v>
      </c>
      <c r="H192" s="20"/>
      <c r="I192" s="167">
        <f>IF(B192&gt;0,(Parametros!$H$11-'Calculo Intereses PERS NAT'!B192),0)</f>
        <v>0</v>
      </c>
      <c r="J192" s="168">
        <f>(F192-E192)*Parametros!$H$37/365*'Calculo Intereses PERS NAT'!I192</f>
        <v>0</v>
      </c>
      <c r="K192" s="169">
        <f t="shared" si="25"/>
        <v>70.856251369863017</v>
      </c>
    </row>
    <row r="193" spans="2:13" x14ac:dyDescent="0.25">
      <c r="B193" s="160"/>
      <c r="C193" s="161"/>
      <c r="D193" s="163"/>
      <c r="E193" s="159"/>
      <c r="F193" s="159"/>
      <c r="G193" s="165">
        <f t="shared" si="26"/>
        <v>1295.8</v>
      </c>
      <c r="H193" s="20"/>
      <c r="I193" s="167">
        <f>IF(B193&gt;0,(Parametros!$H$11-'Calculo Intereses PERS NAT'!B193),0)</f>
        <v>0</v>
      </c>
      <c r="J193" s="168">
        <f>(F193-E193)*Parametros!$H$37/365*'Calculo Intereses PERS NAT'!I193</f>
        <v>0</v>
      </c>
      <c r="K193" s="169">
        <f t="shared" si="25"/>
        <v>70.856251369863017</v>
      </c>
    </row>
    <row r="194" spans="2:13" x14ac:dyDescent="0.25">
      <c r="B194" s="160"/>
      <c r="C194" s="161"/>
      <c r="D194" s="163"/>
      <c r="E194" s="159"/>
      <c r="F194" s="159"/>
      <c r="G194" s="165">
        <f t="shared" si="26"/>
        <v>1295.8</v>
      </c>
      <c r="H194" s="20"/>
      <c r="I194" s="167">
        <f>IF(B194&gt;0,(Parametros!$H$11-'Calculo Intereses PERS NAT'!B194),0)</f>
        <v>0</v>
      </c>
      <c r="J194" s="168">
        <f>(F194-E194)*Parametros!$H$37/365*'Calculo Intereses PERS NAT'!I194</f>
        <v>0</v>
      </c>
      <c r="K194" s="169">
        <f t="shared" si="25"/>
        <v>70.856251369863017</v>
      </c>
    </row>
    <row r="195" spans="2:13" x14ac:dyDescent="0.25">
      <c r="B195" s="160"/>
      <c r="C195" s="161"/>
      <c r="D195" s="163"/>
      <c r="E195" s="159"/>
      <c r="F195" s="159"/>
      <c r="G195" s="165">
        <f>+G194+F195</f>
        <v>1295.8</v>
      </c>
      <c r="H195" s="20"/>
      <c r="I195" s="167">
        <f>IF(B195&gt;0,(Parametros!$H$11-'Calculo Intereses PERS NAT'!B195),0)</f>
        <v>0</v>
      </c>
      <c r="J195" s="168">
        <f>(F195-E195)*Parametros!$H$37/365*'Calculo Intereses PERS NAT'!I195</f>
        <v>0</v>
      </c>
      <c r="K195" s="169">
        <f t="shared" si="25"/>
        <v>70.856251369863017</v>
      </c>
    </row>
    <row r="196" spans="2:13" x14ac:dyDescent="0.25">
      <c r="B196" s="20"/>
      <c r="C196" s="20"/>
      <c r="D196" s="52" t="s">
        <v>21</v>
      </c>
      <c r="E196" s="166">
        <f>SUM(E180:E195)</f>
        <v>0</v>
      </c>
      <c r="F196" s="166">
        <f>SUM(F180:F195)</f>
        <v>1295.8</v>
      </c>
      <c r="G196" s="166">
        <f>+G195</f>
        <v>1295.8</v>
      </c>
      <c r="J196" s="170">
        <f>SUM(J180:J195)</f>
        <v>70.856251369863017</v>
      </c>
    </row>
    <row r="198" spans="2:13" x14ac:dyDescent="0.25">
      <c r="B198" s="172" t="str">
        <f>CONCATENATE("APORTACIONES Y CALCULO DE INTERESES CORRESPONDIENTES AL AÑO ",YEAR(Parametros!$H$11))</f>
        <v>APORTACIONES Y CALCULO DE INTERESES CORRESPONDIENTES AL AÑO 2015</v>
      </c>
      <c r="C198" s="53"/>
      <c r="D198" s="53"/>
      <c r="E198" s="54"/>
      <c r="F198" s="54"/>
      <c r="G198" s="54"/>
      <c r="H198" s="20"/>
      <c r="I198" s="55"/>
      <c r="J198" s="56"/>
      <c r="K198" s="20"/>
    </row>
    <row r="199" spans="2:13" x14ac:dyDescent="0.25">
      <c r="B199" s="69" t="s">
        <v>186</v>
      </c>
      <c r="C199" s="173" t="str">
        <f>+'Calculo Excedentes'!A62</f>
        <v>PN-10</v>
      </c>
      <c r="D199" s="171" t="s">
        <v>187</v>
      </c>
      <c r="E199" s="176" t="str">
        <f>+'Calculo Excedentes'!B62</f>
        <v>Elizabeth  de Meléndez</v>
      </c>
      <c r="F199" s="174"/>
      <c r="G199" s="175"/>
      <c r="H199" s="20"/>
      <c r="I199" s="39" t="s">
        <v>73</v>
      </c>
      <c r="J199" s="39" t="s">
        <v>74</v>
      </c>
      <c r="K199" s="39" t="s">
        <v>75</v>
      </c>
    </row>
    <row r="200" spans="2:13" x14ac:dyDescent="0.25">
      <c r="B200" s="40" t="s">
        <v>76</v>
      </c>
      <c r="C200" s="40" t="s">
        <v>77</v>
      </c>
      <c r="D200" s="40" t="s">
        <v>78</v>
      </c>
      <c r="E200" s="40" t="s">
        <v>79</v>
      </c>
      <c r="F200" s="40" t="s">
        <v>80</v>
      </c>
      <c r="G200" s="40" t="s">
        <v>81</v>
      </c>
      <c r="H200" s="20"/>
      <c r="I200" s="42" t="s">
        <v>82</v>
      </c>
      <c r="J200" s="164" t="s">
        <v>185</v>
      </c>
      <c r="K200" s="42" t="s">
        <v>84</v>
      </c>
    </row>
    <row r="201" spans="2:13" x14ac:dyDescent="0.25">
      <c r="B201" s="158">
        <f>+Parametros!$H$11-365</f>
        <v>42004</v>
      </c>
      <c r="C201" s="161"/>
      <c r="D201" s="162"/>
      <c r="E201" s="159"/>
      <c r="F201" s="159">
        <v>228.58</v>
      </c>
      <c r="G201" s="165">
        <f>+F201-E201</f>
        <v>228.58</v>
      </c>
      <c r="H201" s="20"/>
      <c r="I201" s="167">
        <f>IF(B201&gt;0,(Parametros!$H$11-'Calculo Intereses PERS NAT'!B201),0)</f>
        <v>365</v>
      </c>
      <c r="J201" s="168">
        <f>(F201-E201)*Parametros!$H$37/365*'Calculo Intereses PERS NAT'!I201</f>
        <v>12.571900000000001</v>
      </c>
      <c r="K201" s="169">
        <f>+J201</f>
        <v>12.571900000000001</v>
      </c>
    </row>
    <row r="202" spans="2:13" x14ac:dyDescent="0.25">
      <c r="B202" s="160">
        <v>42049</v>
      </c>
      <c r="C202" s="161"/>
      <c r="D202" s="162" t="s">
        <v>236</v>
      </c>
      <c r="E202" s="159"/>
      <c r="F202" s="159">
        <v>28.33</v>
      </c>
      <c r="G202" s="165">
        <f>+G201+F202-E202</f>
        <v>256.91000000000003</v>
      </c>
      <c r="H202" s="20"/>
      <c r="I202" s="167">
        <f>IF(B202&gt;0,(Parametros!$H$11-'Calculo Intereses PERS NAT'!B202),0)</f>
        <v>320</v>
      </c>
      <c r="J202" s="168">
        <f>(F202-E202)*Parametros!$H$37/365*'Calculo Intereses PERS NAT'!I202</f>
        <v>1.3660493150684929</v>
      </c>
      <c r="K202" s="169">
        <f>+J202+K201</f>
        <v>13.937949315068494</v>
      </c>
    </row>
    <row r="203" spans="2:13" x14ac:dyDescent="0.25">
      <c r="B203" s="160"/>
      <c r="C203" s="161"/>
      <c r="D203" s="162"/>
      <c r="E203" s="159"/>
      <c r="F203" s="159"/>
      <c r="G203" s="165">
        <f>+G202+F203</f>
        <v>256.91000000000003</v>
      </c>
      <c r="H203" s="20"/>
      <c r="I203" s="167">
        <f>IF(B203&gt;0,(Parametros!$H$11-'Calculo Intereses PERS NAT'!B203),0)</f>
        <v>0</v>
      </c>
      <c r="J203" s="168">
        <f>(F203-E203)*Parametros!$H$37/365*'Calculo Intereses PERS NAT'!I203</f>
        <v>0</v>
      </c>
      <c r="K203" s="169">
        <f t="shared" ref="K203:K216" si="27">+J203+K202</f>
        <v>13.937949315068494</v>
      </c>
      <c r="M203">
        <v>228.58</v>
      </c>
    </row>
    <row r="204" spans="2:13" x14ac:dyDescent="0.25">
      <c r="B204" s="160"/>
      <c r="C204" s="161"/>
      <c r="D204" s="162"/>
      <c r="E204" s="159"/>
      <c r="F204" s="159"/>
      <c r="G204" s="165">
        <f>+G203+F204</f>
        <v>256.91000000000003</v>
      </c>
      <c r="H204" s="20"/>
      <c r="I204" s="167">
        <f>IF(B204&gt;0,(Parametros!$H$11-'Calculo Intereses PERS NAT'!B204),0)</f>
        <v>0</v>
      </c>
      <c r="J204" s="168">
        <f>(F204-E204)*Parametros!$H$37/365*'Calculo Intereses PERS NAT'!I204</f>
        <v>0</v>
      </c>
      <c r="K204" s="169">
        <f t="shared" si="27"/>
        <v>13.937949315068494</v>
      </c>
      <c r="M204">
        <v>-50.97</v>
      </c>
    </row>
    <row r="205" spans="2:13" x14ac:dyDescent="0.25">
      <c r="B205" s="160"/>
      <c r="C205" s="161"/>
      <c r="D205" s="162"/>
      <c r="E205" s="159"/>
      <c r="F205" s="159"/>
      <c r="G205" s="165">
        <f>+G204+F205</f>
        <v>256.91000000000003</v>
      </c>
      <c r="H205" s="20"/>
      <c r="I205" s="167">
        <f>IF(B205&gt;0,(Parametros!$H$11-'Calculo Intereses PERS NAT'!B205),0)</f>
        <v>0</v>
      </c>
      <c r="J205" s="168">
        <f>(F205-E205)*Parametros!$H$37/365*'Calculo Intereses PERS NAT'!I205</f>
        <v>0</v>
      </c>
      <c r="K205" s="169">
        <f t="shared" si="27"/>
        <v>13.937949315068494</v>
      </c>
      <c r="M205">
        <f>SUM(M203:M204)</f>
        <v>177.61</v>
      </c>
    </row>
    <row r="206" spans="2:13" x14ac:dyDescent="0.25">
      <c r="B206" s="160"/>
      <c r="C206" s="161"/>
      <c r="D206" s="162"/>
      <c r="E206" s="159"/>
      <c r="F206" s="159"/>
      <c r="G206" s="165">
        <f>+G205+F206</f>
        <v>256.91000000000003</v>
      </c>
      <c r="H206" s="20"/>
      <c r="I206" s="167">
        <f>IF(B206&gt;0,(Parametros!$H$11-'Calculo Intereses PERS NAT'!B206),0)</f>
        <v>0</v>
      </c>
      <c r="J206" s="168">
        <f>(F206-E206)*Parametros!$H$37/365*'Calculo Intereses PERS NAT'!I206</f>
        <v>0</v>
      </c>
      <c r="K206" s="169">
        <f t="shared" si="27"/>
        <v>13.937949315068494</v>
      </c>
    </row>
    <row r="207" spans="2:13" x14ac:dyDescent="0.25">
      <c r="B207" s="160"/>
      <c r="C207" s="161"/>
      <c r="D207" s="163"/>
      <c r="E207" s="159"/>
      <c r="F207" s="159"/>
      <c r="G207" s="165">
        <f t="shared" ref="G207:G215" si="28">+G206+F207</f>
        <v>256.91000000000003</v>
      </c>
      <c r="H207" s="20"/>
      <c r="I207" s="167">
        <f>IF(B207&gt;0,(Parametros!$H$11-'Calculo Intereses PERS NAT'!B207),0)</f>
        <v>0</v>
      </c>
      <c r="J207" s="168">
        <f>(F207-E207)*Parametros!$H$37/365*'Calculo Intereses PERS NAT'!I207</f>
        <v>0</v>
      </c>
      <c r="K207" s="169">
        <f t="shared" si="27"/>
        <v>13.937949315068494</v>
      </c>
    </row>
    <row r="208" spans="2:13" x14ac:dyDescent="0.25">
      <c r="B208" s="160"/>
      <c r="C208" s="161"/>
      <c r="D208" s="163"/>
      <c r="E208" s="159"/>
      <c r="F208" s="159"/>
      <c r="G208" s="165">
        <f t="shared" si="28"/>
        <v>256.91000000000003</v>
      </c>
      <c r="H208" s="20"/>
      <c r="I208" s="167">
        <f>IF(B208&gt;0,(Parametros!$H$11-'Calculo Intereses PERS NAT'!B208),0)</f>
        <v>0</v>
      </c>
      <c r="J208" s="168">
        <f>(F208-E208)*Parametros!$H$37/365*'Calculo Intereses PERS NAT'!I208</f>
        <v>0</v>
      </c>
      <c r="K208" s="169">
        <f t="shared" si="27"/>
        <v>13.937949315068494</v>
      </c>
    </row>
    <row r="209" spans="2:11" x14ac:dyDescent="0.25">
      <c r="B209" s="160"/>
      <c r="C209" s="161"/>
      <c r="D209" s="163"/>
      <c r="E209" s="159"/>
      <c r="F209" s="159"/>
      <c r="G209" s="165">
        <f t="shared" si="28"/>
        <v>256.91000000000003</v>
      </c>
      <c r="H209" s="20"/>
      <c r="I209" s="167">
        <f>IF(B209&gt;0,(Parametros!$H$11-'Calculo Intereses PERS NAT'!B209),0)</f>
        <v>0</v>
      </c>
      <c r="J209" s="168">
        <f>(F209-E209)*Parametros!$H$37/365*'Calculo Intereses PERS NAT'!I209</f>
        <v>0</v>
      </c>
      <c r="K209" s="169">
        <f t="shared" si="27"/>
        <v>13.937949315068494</v>
      </c>
    </row>
    <row r="210" spans="2:11" x14ac:dyDescent="0.25">
      <c r="B210" s="160"/>
      <c r="C210" s="161"/>
      <c r="D210" s="163"/>
      <c r="E210" s="159"/>
      <c r="F210" s="159"/>
      <c r="G210" s="165">
        <f t="shared" si="28"/>
        <v>256.91000000000003</v>
      </c>
      <c r="H210" s="20"/>
      <c r="I210" s="167">
        <f>IF(B210&gt;0,(Parametros!$H$11-'Calculo Intereses PERS NAT'!B210),0)</f>
        <v>0</v>
      </c>
      <c r="J210" s="168">
        <f>(F210-E210)*Parametros!$H$37/365*'Calculo Intereses PERS NAT'!I210</f>
        <v>0</v>
      </c>
      <c r="K210" s="169">
        <f t="shared" si="27"/>
        <v>13.937949315068494</v>
      </c>
    </row>
    <row r="211" spans="2:11" x14ac:dyDescent="0.25">
      <c r="B211" s="160"/>
      <c r="C211" s="161"/>
      <c r="D211" s="163"/>
      <c r="E211" s="159"/>
      <c r="F211" s="159"/>
      <c r="G211" s="165">
        <f t="shared" si="28"/>
        <v>256.91000000000003</v>
      </c>
      <c r="H211" s="20"/>
      <c r="I211" s="167">
        <f>IF(B211&gt;0,(Parametros!$H$11-'Calculo Intereses PERS NAT'!B211),0)</f>
        <v>0</v>
      </c>
      <c r="J211" s="168">
        <f>(F211-E211)*Parametros!$H$37/365*'Calculo Intereses PERS NAT'!I211</f>
        <v>0</v>
      </c>
      <c r="K211" s="169">
        <f t="shared" si="27"/>
        <v>13.937949315068494</v>
      </c>
    </row>
    <row r="212" spans="2:11" x14ac:dyDescent="0.25">
      <c r="B212" s="160"/>
      <c r="C212" s="161"/>
      <c r="D212" s="163"/>
      <c r="E212" s="159"/>
      <c r="F212" s="159"/>
      <c r="G212" s="165">
        <f t="shared" si="28"/>
        <v>256.91000000000003</v>
      </c>
      <c r="H212" s="20"/>
      <c r="I212" s="167">
        <f>IF(B212&gt;0,(Parametros!$H$11-'Calculo Intereses PERS NAT'!B212),0)</f>
        <v>0</v>
      </c>
      <c r="J212" s="168">
        <f>(F212-E212)*Parametros!$H$37/365*'Calculo Intereses PERS NAT'!I212</f>
        <v>0</v>
      </c>
      <c r="K212" s="169">
        <f t="shared" si="27"/>
        <v>13.937949315068494</v>
      </c>
    </row>
    <row r="213" spans="2:11" x14ac:dyDescent="0.25">
      <c r="B213" s="160"/>
      <c r="C213" s="161"/>
      <c r="D213" s="163"/>
      <c r="E213" s="159"/>
      <c r="F213" s="159"/>
      <c r="G213" s="165">
        <f t="shared" si="28"/>
        <v>256.91000000000003</v>
      </c>
      <c r="H213" s="20"/>
      <c r="I213" s="167">
        <f>IF(B213&gt;0,(Parametros!$H$11-'Calculo Intereses PERS NAT'!B213),0)</f>
        <v>0</v>
      </c>
      <c r="J213" s="168">
        <f>(F213-E213)*Parametros!$H$37/365*'Calculo Intereses PERS NAT'!I213</f>
        <v>0</v>
      </c>
      <c r="K213" s="169">
        <f t="shared" si="27"/>
        <v>13.937949315068494</v>
      </c>
    </row>
    <row r="214" spans="2:11" x14ac:dyDescent="0.25">
      <c r="B214" s="160"/>
      <c r="C214" s="161"/>
      <c r="D214" s="163"/>
      <c r="E214" s="159"/>
      <c r="F214" s="159"/>
      <c r="G214" s="165">
        <f t="shared" si="28"/>
        <v>256.91000000000003</v>
      </c>
      <c r="H214" s="20"/>
      <c r="I214" s="167">
        <f>IF(B214&gt;0,(Parametros!$H$11-'Calculo Intereses PERS NAT'!B214),0)</f>
        <v>0</v>
      </c>
      <c r="J214" s="168">
        <f>(F214-E214)*Parametros!$H$37/365*'Calculo Intereses PERS NAT'!I214</f>
        <v>0</v>
      </c>
      <c r="K214" s="169">
        <f t="shared" si="27"/>
        <v>13.937949315068494</v>
      </c>
    </row>
    <row r="215" spans="2:11" x14ac:dyDescent="0.25">
      <c r="B215" s="160"/>
      <c r="C215" s="161"/>
      <c r="D215" s="163"/>
      <c r="E215" s="159"/>
      <c r="F215" s="159"/>
      <c r="G215" s="165">
        <f t="shared" si="28"/>
        <v>256.91000000000003</v>
      </c>
      <c r="H215" s="20"/>
      <c r="I215" s="167">
        <f>IF(B215&gt;0,(Parametros!$H$11-'Calculo Intereses PERS NAT'!B215),0)</f>
        <v>0</v>
      </c>
      <c r="J215" s="168">
        <f>(F215-E215)*Parametros!$H$37/365*'Calculo Intereses PERS NAT'!I215</f>
        <v>0</v>
      </c>
      <c r="K215" s="169">
        <f t="shared" si="27"/>
        <v>13.937949315068494</v>
      </c>
    </row>
    <row r="216" spans="2:11" x14ac:dyDescent="0.25">
      <c r="B216" s="160"/>
      <c r="C216" s="161"/>
      <c r="D216" s="163"/>
      <c r="E216" s="159"/>
      <c r="F216" s="159"/>
      <c r="G216" s="165">
        <f>+G215+F216</f>
        <v>256.91000000000003</v>
      </c>
      <c r="H216" s="20"/>
      <c r="I216" s="167">
        <f>IF(B216&gt;0,(Parametros!$H$11-'Calculo Intereses PERS NAT'!B216),0)</f>
        <v>0</v>
      </c>
      <c r="J216" s="168">
        <f>(F216-E216)*Parametros!$H$37/365*'Calculo Intereses PERS NAT'!I216</f>
        <v>0</v>
      </c>
      <c r="K216" s="169">
        <f t="shared" si="27"/>
        <v>13.937949315068494</v>
      </c>
    </row>
    <row r="217" spans="2:11" x14ac:dyDescent="0.25">
      <c r="B217" s="20"/>
      <c r="C217" s="20"/>
      <c r="D217" s="52" t="s">
        <v>21</v>
      </c>
      <c r="E217" s="166">
        <f>SUM(E201:E216)</f>
        <v>0</v>
      </c>
      <c r="F217" s="166">
        <f>SUM(F201:F216)</f>
        <v>256.91000000000003</v>
      </c>
      <c r="G217" s="166">
        <f>+G216</f>
        <v>256.91000000000003</v>
      </c>
      <c r="J217" s="170">
        <f>SUM(J201:J216)</f>
        <v>13.937949315068494</v>
      </c>
    </row>
    <row r="219" spans="2:11" x14ac:dyDescent="0.25">
      <c r="B219" s="172" t="str">
        <f>CONCATENATE("APORTACIONES Y CALCULO DE INTERESES CORRESPONDIENTES AL AÑO ",YEAR(Parametros!$H$11))</f>
        <v>APORTACIONES Y CALCULO DE INTERESES CORRESPONDIENTES AL AÑO 2015</v>
      </c>
      <c r="C219" s="53"/>
      <c r="D219" s="53"/>
      <c r="E219" s="54"/>
      <c r="F219" s="54"/>
      <c r="G219" s="54"/>
      <c r="H219" s="20"/>
      <c r="I219" s="55"/>
      <c r="J219" s="56"/>
      <c r="K219" s="20"/>
    </row>
    <row r="220" spans="2:11" x14ac:dyDescent="0.25">
      <c r="B220" s="69" t="s">
        <v>186</v>
      </c>
      <c r="C220" s="173" t="str">
        <f>+'Calculo Excedentes'!A63</f>
        <v>PN-11</v>
      </c>
      <c r="D220" s="171" t="s">
        <v>187</v>
      </c>
      <c r="E220" s="176" t="str">
        <f>+'Calculo Excedentes'!B63</f>
        <v>Jorge Alberto Argueta</v>
      </c>
      <c r="F220" s="174"/>
      <c r="G220" s="175"/>
      <c r="H220" s="20"/>
      <c r="I220" s="39" t="s">
        <v>73</v>
      </c>
      <c r="J220" s="39" t="s">
        <v>74</v>
      </c>
      <c r="K220" s="39" t="s">
        <v>75</v>
      </c>
    </row>
    <row r="221" spans="2:11" x14ac:dyDescent="0.25">
      <c r="B221" s="40" t="s">
        <v>76</v>
      </c>
      <c r="C221" s="40" t="s">
        <v>77</v>
      </c>
      <c r="D221" s="40" t="s">
        <v>78</v>
      </c>
      <c r="E221" s="40" t="s">
        <v>79</v>
      </c>
      <c r="F221" s="40" t="s">
        <v>80</v>
      </c>
      <c r="G221" s="40" t="s">
        <v>81</v>
      </c>
      <c r="H221" s="20"/>
      <c r="I221" s="42" t="s">
        <v>82</v>
      </c>
      <c r="J221" s="164" t="s">
        <v>185</v>
      </c>
      <c r="K221" s="42" t="s">
        <v>84</v>
      </c>
    </row>
    <row r="222" spans="2:11" x14ac:dyDescent="0.25">
      <c r="B222" s="158">
        <f>+Parametros!$H$11-365</f>
        <v>42004</v>
      </c>
      <c r="C222" s="161"/>
      <c r="D222" s="162"/>
      <c r="E222" s="159"/>
      <c r="F222" s="159">
        <v>457.15</v>
      </c>
      <c r="G222" s="165">
        <f>+F222-E222</f>
        <v>457.15</v>
      </c>
      <c r="H222" s="20"/>
      <c r="I222" s="167">
        <f>IF(B222&gt;0,(Parametros!$H$11-'Calculo Intereses PERS NAT'!B222),0)</f>
        <v>365</v>
      </c>
      <c r="J222" s="168">
        <f>(F222-E222)*Parametros!$H$37/365*'Calculo Intereses PERS NAT'!I222</f>
        <v>25.143249999999995</v>
      </c>
      <c r="K222" s="169">
        <f>+J222</f>
        <v>25.143249999999995</v>
      </c>
    </row>
    <row r="223" spans="2:11" x14ac:dyDescent="0.25">
      <c r="B223" s="160">
        <v>42049</v>
      </c>
      <c r="C223" s="161"/>
      <c r="D223" s="162" t="s">
        <v>236</v>
      </c>
      <c r="E223" s="159"/>
      <c r="F223" s="159">
        <v>37.11</v>
      </c>
      <c r="G223" s="165">
        <f>+G222+F223-E223</f>
        <v>494.26</v>
      </c>
      <c r="H223" s="20"/>
      <c r="I223" s="167">
        <f>IF(B223&gt;0,(Parametros!$H$11-'Calculo Intereses PERS NAT'!B223),0)</f>
        <v>320</v>
      </c>
      <c r="J223" s="168">
        <f>(F223-E223)*Parametros!$H$37/365*'Calculo Intereses PERS NAT'!I223</f>
        <v>1.7894136986301368</v>
      </c>
      <c r="K223" s="169">
        <f>+J223+K222</f>
        <v>26.932663698630133</v>
      </c>
    </row>
    <row r="224" spans="2:11" x14ac:dyDescent="0.25">
      <c r="B224" s="160"/>
      <c r="C224" s="161"/>
      <c r="D224" s="162"/>
      <c r="E224" s="159"/>
      <c r="F224" s="159"/>
      <c r="G224" s="165">
        <f>+G223+F224</f>
        <v>494.26</v>
      </c>
      <c r="H224" s="20"/>
      <c r="I224" s="167">
        <f>IF(B224&gt;0,(Parametros!$H$11-'Calculo Intereses PERS NAT'!B224),0)</f>
        <v>0</v>
      </c>
      <c r="J224" s="168">
        <f>(F224-E224)*Parametros!$H$37/365*'Calculo Intereses PERS NAT'!I224</f>
        <v>0</v>
      </c>
      <c r="K224" s="169">
        <f t="shared" ref="K224:K237" si="29">+J224+K223</f>
        <v>26.932663698630133</v>
      </c>
    </row>
    <row r="225" spans="2:11" x14ac:dyDescent="0.25">
      <c r="B225" s="160"/>
      <c r="C225" s="161"/>
      <c r="D225" s="162"/>
      <c r="E225" s="159"/>
      <c r="F225" s="159"/>
      <c r="G225" s="165">
        <f>+G224+F225</f>
        <v>494.26</v>
      </c>
      <c r="H225" s="20"/>
      <c r="I225" s="167">
        <f>IF(B225&gt;0,(Parametros!$H$11-'Calculo Intereses PERS NAT'!B225),0)</f>
        <v>0</v>
      </c>
      <c r="J225" s="168">
        <f>(F225-E225)*Parametros!$H$37/365*'Calculo Intereses PERS NAT'!I225</f>
        <v>0</v>
      </c>
      <c r="K225" s="169">
        <f t="shared" si="29"/>
        <v>26.932663698630133</v>
      </c>
    </row>
    <row r="226" spans="2:11" x14ac:dyDescent="0.25">
      <c r="B226" s="160"/>
      <c r="C226" s="161"/>
      <c r="D226" s="162"/>
      <c r="E226" s="159"/>
      <c r="F226" s="159"/>
      <c r="G226" s="165">
        <f>+G225+F226</f>
        <v>494.26</v>
      </c>
      <c r="H226" s="20"/>
      <c r="I226" s="167">
        <f>IF(B226&gt;0,(Parametros!$H$11-'Calculo Intereses PERS NAT'!B226),0)</f>
        <v>0</v>
      </c>
      <c r="J226" s="168">
        <f>(F226-E226)*Parametros!$H$37/365*'Calculo Intereses PERS NAT'!I226</f>
        <v>0</v>
      </c>
      <c r="K226" s="169">
        <f t="shared" si="29"/>
        <v>26.932663698630133</v>
      </c>
    </row>
    <row r="227" spans="2:11" x14ac:dyDescent="0.25">
      <c r="B227" s="160"/>
      <c r="C227" s="161"/>
      <c r="D227" s="162"/>
      <c r="E227" s="159"/>
      <c r="F227" s="159"/>
      <c r="G227" s="165">
        <f>+G226+F227</f>
        <v>494.26</v>
      </c>
      <c r="H227" s="20"/>
      <c r="I227" s="167">
        <f>IF(B227&gt;0,(Parametros!$H$11-'Calculo Intereses PERS NAT'!B227),0)</f>
        <v>0</v>
      </c>
      <c r="J227" s="168">
        <f>(F227-E227)*Parametros!$H$37/365*'Calculo Intereses PERS NAT'!I227</f>
        <v>0</v>
      </c>
      <c r="K227" s="169">
        <f t="shared" si="29"/>
        <v>26.932663698630133</v>
      </c>
    </row>
    <row r="228" spans="2:11" x14ac:dyDescent="0.25">
      <c r="B228" s="160"/>
      <c r="C228" s="161"/>
      <c r="D228" s="163"/>
      <c r="E228" s="159"/>
      <c r="F228" s="159"/>
      <c r="G228" s="165">
        <f t="shared" ref="G228:G236" si="30">+G227+F228</f>
        <v>494.26</v>
      </c>
      <c r="H228" s="20"/>
      <c r="I228" s="167">
        <f>IF(B228&gt;0,(Parametros!$H$11-'Calculo Intereses PERS NAT'!B228),0)</f>
        <v>0</v>
      </c>
      <c r="J228" s="168">
        <f>(F228-E228)*Parametros!$H$37/365*'Calculo Intereses PERS NAT'!I228</f>
        <v>0</v>
      </c>
      <c r="K228" s="169">
        <f t="shared" si="29"/>
        <v>26.932663698630133</v>
      </c>
    </row>
    <row r="229" spans="2:11" x14ac:dyDescent="0.25">
      <c r="B229" s="160"/>
      <c r="C229" s="161"/>
      <c r="D229" s="163"/>
      <c r="E229" s="159"/>
      <c r="F229" s="159"/>
      <c r="G229" s="165">
        <f t="shared" si="30"/>
        <v>494.26</v>
      </c>
      <c r="H229" s="20"/>
      <c r="I229" s="167">
        <f>IF(B229&gt;0,(Parametros!$H$11-'Calculo Intereses PERS NAT'!B229),0)</f>
        <v>0</v>
      </c>
      <c r="J229" s="168">
        <f>(F229-E229)*Parametros!$H$37/365*'Calculo Intereses PERS NAT'!I229</f>
        <v>0</v>
      </c>
      <c r="K229" s="169">
        <f t="shared" si="29"/>
        <v>26.932663698630133</v>
      </c>
    </row>
    <row r="230" spans="2:11" x14ac:dyDescent="0.25">
      <c r="B230" s="160"/>
      <c r="C230" s="161"/>
      <c r="D230" s="163"/>
      <c r="E230" s="159"/>
      <c r="F230" s="159"/>
      <c r="G230" s="165">
        <f t="shared" si="30"/>
        <v>494.26</v>
      </c>
      <c r="H230" s="20"/>
      <c r="I230" s="167">
        <f>IF(B230&gt;0,(Parametros!$H$11-'Calculo Intereses PERS NAT'!B230),0)</f>
        <v>0</v>
      </c>
      <c r="J230" s="168">
        <f>(F230-E230)*Parametros!$H$37/365*'Calculo Intereses PERS NAT'!I230</f>
        <v>0</v>
      </c>
      <c r="K230" s="169">
        <f t="shared" si="29"/>
        <v>26.932663698630133</v>
      </c>
    </row>
    <row r="231" spans="2:11" x14ac:dyDescent="0.25">
      <c r="B231" s="160"/>
      <c r="C231" s="161"/>
      <c r="D231" s="163"/>
      <c r="E231" s="159"/>
      <c r="F231" s="159"/>
      <c r="G231" s="165">
        <f t="shared" si="30"/>
        <v>494.26</v>
      </c>
      <c r="H231" s="20"/>
      <c r="I231" s="167">
        <f>IF(B231&gt;0,(Parametros!$H$11-'Calculo Intereses PERS NAT'!B231),0)</f>
        <v>0</v>
      </c>
      <c r="J231" s="168">
        <f>(F231-E231)*Parametros!$H$37/365*'Calculo Intereses PERS NAT'!I231</f>
        <v>0</v>
      </c>
      <c r="K231" s="169">
        <f t="shared" si="29"/>
        <v>26.932663698630133</v>
      </c>
    </row>
    <row r="232" spans="2:11" x14ac:dyDescent="0.25">
      <c r="B232" s="160"/>
      <c r="C232" s="161"/>
      <c r="D232" s="163"/>
      <c r="E232" s="159"/>
      <c r="F232" s="159"/>
      <c r="G232" s="165">
        <f t="shared" si="30"/>
        <v>494.26</v>
      </c>
      <c r="H232" s="20"/>
      <c r="I232" s="167">
        <f>IF(B232&gt;0,(Parametros!$H$11-'Calculo Intereses PERS NAT'!B232),0)</f>
        <v>0</v>
      </c>
      <c r="J232" s="168">
        <f>(F232-E232)*Parametros!$H$37/365*'Calculo Intereses PERS NAT'!I232</f>
        <v>0</v>
      </c>
      <c r="K232" s="169">
        <f t="shared" si="29"/>
        <v>26.932663698630133</v>
      </c>
    </row>
    <row r="233" spans="2:11" x14ac:dyDescent="0.25">
      <c r="B233" s="160"/>
      <c r="C233" s="161"/>
      <c r="D233" s="163"/>
      <c r="E233" s="159"/>
      <c r="F233" s="159"/>
      <c r="G233" s="165">
        <f t="shared" si="30"/>
        <v>494.26</v>
      </c>
      <c r="H233" s="20"/>
      <c r="I233" s="167">
        <f>IF(B233&gt;0,(Parametros!$H$11-'Calculo Intereses PERS NAT'!B233),0)</f>
        <v>0</v>
      </c>
      <c r="J233" s="168">
        <f>(F233-E233)*Parametros!$H$37/365*'Calculo Intereses PERS NAT'!I233</f>
        <v>0</v>
      </c>
      <c r="K233" s="169">
        <f t="shared" si="29"/>
        <v>26.932663698630133</v>
      </c>
    </row>
    <row r="234" spans="2:11" x14ac:dyDescent="0.25">
      <c r="B234" s="160"/>
      <c r="C234" s="161"/>
      <c r="D234" s="163"/>
      <c r="E234" s="159"/>
      <c r="F234" s="159"/>
      <c r="G234" s="165">
        <f t="shared" si="30"/>
        <v>494.26</v>
      </c>
      <c r="H234" s="20"/>
      <c r="I234" s="167">
        <f>IF(B234&gt;0,(Parametros!$H$11-'Calculo Intereses PERS NAT'!B234),0)</f>
        <v>0</v>
      </c>
      <c r="J234" s="168">
        <f>(F234-E234)*Parametros!$H$37/365*'Calculo Intereses PERS NAT'!I234</f>
        <v>0</v>
      </c>
      <c r="K234" s="169">
        <f t="shared" si="29"/>
        <v>26.932663698630133</v>
      </c>
    </row>
    <row r="235" spans="2:11" x14ac:dyDescent="0.25">
      <c r="B235" s="160"/>
      <c r="C235" s="161"/>
      <c r="D235" s="163"/>
      <c r="E235" s="159"/>
      <c r="F235" s="159"/>
      <c r="G235" s="165">
        <f t="shared" si="30"/>
        <v>494.26</v>
      </c>
      <c r="H235" s="20"/>
      <c r="I235" s="167">
        <f>IF(B235&gt;0,(Parametros!$H$11-'Calculo Intereses PERS NAT'!B235),0)</f>
        <v>0</v>
      </c>
      <c r="J235" s="168">
        <f>(F235-E235)*Parametros!$H$37/365*'Calculo Intereses PERS NAT'!I235</f>
        <v>0</v>
      </c>
      <c r="K235" s="169">
        <f t="shared" si="29"/>
        <v>26.932663698630133</v>
      </c>
    </row>
    <row r="236" spans="2:11" x14ac:dyDescent="0.25">
      <c r="B236" s="160"/>
      <c r="C236" s="161"/>
      <c r="D236" s="163"/>
      <c r="E236" s="159"/>
      <c r="F236" s="159"/>
      <c r="G236" s="165">
        <f t="shared" si="30"/>
        <v>494.26</v>
      </c>
      <c r="H236" s="20"/>
      <c r="I236" s="167">
        <f>IF(B236&gt;0,(Parametros!$H$11-'Calculo Intereses PERS NAT'!B236),0)</f>
        <v>0</v>
      </c>
      <c r="J236" s="168">
        <f>(F236-E236)*Parametros!$H$37/365*'Calculo Intereses PERS NAT'!I236</f>
        <v>0</v>
      </c>
      <c r="K236" s="169">
        <f t="shared" si="29"/>
        <v>26.932663698630133</v>
      </c>
    </row>
    <row r="237" spans="2:11" x14ac:dyDescent="0.25">
      <c r="B237" s="160"/>
      <c r="C237" s="161"/>
      <c r="D237" s="163"/>
      <c r="E237" s="159"/>
      <c r="F237" s="159"/>
      <c r="G237" s="165">
        <f>+G236+F237</f>
        <v>494.26</v>
      </c>
      <c r="H237" s="20"/>
      <c r="I237" s="167">
        <f>IF(B237&gt;0,(Parametros!$H$11-'Calculo Intereses PERS NAT'!B237),0)</f>
        <v>0</v>
      </c>
      <c r="J237" s="168">
        <f>(F237-E237)*Parametros!$H$37/365*'Calculo Intereses PERS NAT'!I237</f>
        <v>0</v>
      </c>
      <c r="K237" s="169">
        <f t="shared" si="29"/>
        <v>26.932663698630133</v>
      </c>
    </row>
    <row r="238" spans="2:11" x14ac:dyDescent="0.25">
      <c r="B238" s="20"/>
      <c r="C238" s="20"/>
      <c r="D238" s="52" t="s">
        <v>21</v>
      </c>
      <c r="E238" s="166">
        <f>SUM(E222:E237)</f>
        <v>0</v>
      </c>
      <c r="F238" s="166">
        <f>SUM(F222:F237)</f>
        <v>494.26</v>
      </c>
      <c r="G238" s="166">
        <f>+G237</f>
        <v>494.26</v>
      </c>
      <c r="J238" s="170">
        <f>SUM(J222:J237)</f>
        <v>26.932663698630133</v>
      </c>
    </row>
    <row r="240" spans="2:11" x14ac:dyDescent="0.25">
      <c r="B240" s="172" t="str">
        <f>CONCATENATE("APORTACIONES Y CALCULO DE INTERESES CORRESPONDIENTES AL AÑO ",YEAR(Parametros!$H$11))</f>
        <v>APORTACIONES Y CALCULO DE INTERESES CORRESPONDIENTES AL AÑO 2015</v>
      </c>
      <c r="C240" s="53"/>
      <c r="D240" s="53"/>
      <c r="E240" s="54"/>
      <c r="F240" s="54"/>
      <c r="G240" s="54"/>
      <c r="H240" s="20"/>
      <c r="I240" s="55"/>
      <c r="J240" s="56"/>
      <c r="K240" s="20"/>
    </row>
    <row r="241" spans="2:11" x14ac:dyDescent="0.25">
      <c r="B241" s="69" t="s">
        <v>186</v>
      </c>
      <c r="C241" s="173" t="str">
        <f>+'Calculo Excedentes'!A64</f>
        <v>PN-12</v>
      </c>
      <c r="D241" s="171" t="s">
        <v>187</v>
      </c>
      <c r="E241" s="176" t="str">
        <f>+'Calculo Excedentes'!B64</f>
        <v xml:space="preserve">Ana Ester Galindo </v>
      </c>
      <c r="F241" s="174"/>
      <c r="G241" s="175"/>
      <c r="H241" s="20"/>
      <c r="I241" s="39" t="s">
        <v>73</v>
      </c>
      <c r="J241" s="39" t="s">
        <v>74</v>
      </c>
      <c r="K241" s="39" t="s">
        <v>75</v>
      </c>
    </row>
    <row r="242" spans="2:11" x14ac:dyDescent="0.25">
      <c r="B242" s="40" t="s">
        <v>76</v>
      </c>
      <c r="C242" s="40" t="s">
        <v>77</v>
      </c>
      <c r="D242" s="40" t="s">
        <v>78</v>
      </c>
      <c r="E242" s="40" t="s">
        <v>79</v>
      </c>
      <c r="F242" s="40" t="s">
        <v>80</v>
      </c>
      <c r="G242" s="40" t="s">
        <v>81</v>
      </c>
      <c r="H242" s="20"/>
      <c r="I242" s="42" t="s">
        <v>82</v>
      </c>
      <c r="J242" s="164" t="s">
        <v>185</v>
      </c>
      <c r="K242" s="42" t="s">
        <v>84</v>
      </c>
    </row>
    <row r="243" spans="2:11" x14ac:dyDescent="0.25">
      <c r="B243" s="158">
        <f>+Parametros!$H$11-365</f>
        <v>42004</v>
      </c>
      <c r="C243" s="161"/>
      <c r="D243" s="162"/>
      <c r="E243" s="159"/>
      <c r="F243" s="159">
        <v>114.28</v>
      </c>
      <c r="G243" s="165">
        <f>+F243-E243</f>
        <v>114.28</v>
      </c>
      <c r="H243" s="20"/>
      <c r="I243" s="167">
        <f>IF(B243&gt;0,(Parametros!$H$11-'Calculo Intereses PERS NAT'!B243),0)</f>
        <v>365</v>
      </c>
      <c r="J243" s="168">
        <f>(F243-E243)*Parametros!$H$37/365*'Calculo Intereses PERS NAT'!I243</f>
        <v>6.2854000000000001</v>
      </c>
      <c r="K243" s="169">
        <f>+J243</f>
        <v>6.2854000000000001</v>
      </c>
    </row>
    <row r="244" spans="2:11" x14ac:dyDescent="0.25">
      <c r="B244" s="160">
        <v>42049</v>
      </c>
      <c r="C244" s="161"/>
      <c r="D244" s="162" t="s">
        <v>236</v>
      </c>
      <c r="E244" s="159"/>
      <c r="F244" s="159">
        <v>56.04</v>
      </c>
      <c r="G244" s="165">
        <f>+G243+F244-E244</f>
        <v>170.32</v>
      </c>
      <c r="H244" s="20"/>
      <c r="I244" s="167">
        <f>IF(B244&gt;0,(Parametros!$H$11-'Calculo Intereses PERS NAT'!B244),0)</f>
        <v>320</v>
      </c>
      <c r="J244" s="168">
        <f>(F244-E244)*Parametros!$H$37/365*'Calculo Intereses PERS NAT'!I244</f>
        <v>2.7022027397260273</v>
      </c>
      <c r="K244" s="169">
        <f>+J244+K243</f>
        <v>8.987602739726027</v>
      </c>
    </row>
    <row r="245" spans="2:11" x14ac:dyDescent="0.25">
      <c r="B245" s="160"/>
      <c r="C245" s="161"/>
      <c r="D245" s="162"/>
      <c r="E245" s="159"/>
      <c r="F245" s="159"/>
      <c r="G245" s="165">
        <f>+G244+F245</f>
        <v>170.32</v>
      </c>
      <c r="H245" s="20"/>
      <c r="I245" s="167">
        <f>IF(B245&gt;0,(Parametros!$H$11-'Calculo Intereses PERS NAT'!B245),0)</f>
        <v>0</v>
      </c>
      <c r="J245" s="168">
        <f>(F245-E245)*Parametros!$H$37/365*'Calculo Intereses PERS NAT'!I245</f>
        <v>0</v>
      </c>
      <c r="K245" s="169">
        <f t="shared" ref="K245:K258" si="31">+J245+K244</f>
        <v>8.987602739726027</v>
      </c>
    </row>
    <row r="246" spans="2:11" x14ac:dyDescent="0.25">
      <c r="B246" s="160"/>
      <c r="C246" s="161"/>
      <c r="D246" s="162"/>
      <c r="E246" s="159"/>
      <c r="F246" s="159"/>
      <c r="G246" s="165">
        <f>+G245+F246</f>
        <v>170.32</v>
      </c>
      <c r="H246" s="20"/>
      <c r="I246" s="167">
        <f>IF(B246&gt;0,(Parametros!$H$11-'Calculo Intereses PERS NAT'!B246),0)</f>
        <v>0</v>
      </c>
      <c r="J246" s="168">
        <f>(F246-E246)*Parametros!$H$37/365*'Calculo Intereses PERS NAT'!I246</f>
        <v>0</v>
      </c>
      <c r="K246" s="169">
        <f t="shared" si="31"/>
        <v>8.987602739726027</v>
      </c>
    </row>
    <row r="247" spans="2:11" x14ac:dyDescent="0.25">
      <c r="B247" s="160"/>
      <c r="C247" s="161"/>
      <c r="D247" s="162"/>
      <c r="E247" s="159"/>
      <c r="F247" s="159"/>
      <c r="G247" s="165">
        <f>+G246+F247</f>
        <v>170.32</v>
      </c>
      <c r="H247" s="20"/>
      <c r="I247" s="167">
        <f>IF(B247&gt;0,(Parametros!$H$11-'Calculo Intereses PERS NAT'!B247),0)</f>
        <v>0</v>
      </c>
      <c r="J247" s="168">
        <f>(F247-E247)*Parametros!$H$37/365*'Calculo Intereses PERS NAT'!I247</f>
        <v>0</v>
      </c>
      <c r="K247" s="169">
        <f t="shared" si="31"/>
        <v>8.987602739726027</v>
      </c>
    </row>
    <row r="248" spans="2:11" x14ac:dyDescent="0.25">
      <c r="B248" s="160"/>
      <c r="C248" s="161"/>
      <c r="D248" s="162"/>
      <c r="E248" s="159"/>
      <c r="F248" s="159"/>
      <c r="G248" s="165">
        <f>+G247+F248</f>
        <v>170.32</v>
      </c>
      <c r="H248" s="20"/>
      <c r="I248" s="167">
        <f>IF(B248&gt;0,(Parametros!$H$11-'Calculo Intereses PERS NAT'!B248),0)</f>
        <v>0</v>
      </c>
      <c r="J248" s="168">
        <f>(F248-E248)*Parametros!$H$37/365*'Calculo Intereses PERS NAT'!I248</f>
        <v>0</v>
      </c>
      <c r="K248" s="169">
        <f t="shared" si="31"/>
        <v>8.987602739726027</v>
      </c>
    </row>
    <row r="249" spans="2:11" x14ac:dyDescent="0.25">
      <c r="B249" s="160"/>
      <c r="C249" s="161"/>
      <c r="D249" s="163"/>
      <c r="E249" s="159"/>
      <c r="F249" s="159"/>
      <c r="G249" s="165">
        <f t="shared" ref="G249:G257" si="32">+G248+F249</f>
        <v>170.32</v>
      </c>
      <c r="H249" s="20"/>
      <c r="I249" s="167">
        <f>IF(B249&gt;0,(Parametros!$H$11-'Calculo Intereses PERS NAT'!B249),0)</f>
        <v>0</v>
      </c>
      <c r="J249" s="168">
        <f>(F249-E249)*Parametros!$H$37/365*'Calculo Intereses PERS NAT'!I249</f>
        <v>0</v>
      </c>
      <c r="K249" s="169">
        <f t="shared" si="31"/>
        <v>8.987602739726027</v>
      </c>
    </row>
    <row r="250" spans="2:11" x14ac:dyDescent="0.25">
      <c r="B250" s="160"/>
      <c r="C250" s="161"/>
      <c r="D250" s="163"/>
      <c r="E250" s="159"/>
      <c r="F250" s="159"/>
      <c r="G250" s="165">
        <f t="shared" si="32"/>
        <v>170.32</v>
      </c>
      <c r="H250" s="20"/>
      <c r="I250" s="167">
        <f>IF(B250&gt;0,(Parametros!$H$11-'Calculo Intereses PERS NAT'!B250),0)</f>
        <v>0</v>
      </c>
      <c r="J250" s="168">
        <f>(F250-E250)*Parametros!$H$37/365*'Calculo Intereses PERS NAT'!I250</f>
        <v>0</v>
      </c>
      <c r="K250" s="169">
        <f t="shared" si="31"/>
        <v>8.987602739726027</v>
      </c>
    </row>
    <row r="251" spans="2:11" x14ac:dyDescent="0.25">
      <c r="B251" s="160"/>
      <c r="C251" s="161"/>
      <c r="D251" s="163"/>
      <c r="E251" s="159"/>
      <c r="F251" s="159"/>
      <c r="G251" s="165">
        <f t="shared" si="32"/>
        <v>170.32</v>
      </c>
      <c r="H251" s="20"/>
      <c r="I251" s="167">
        <f>IF(B251&gt;0,(Parametros!$H$11-'Calculo Intereses PERS NAT'!B251),0)</f>
        <v>0</v>
      </c>
      <c r="J251" s="168">
        <f>(F251-E251)*Parametros!$H$37/365*'Calculo Intereses PERS NAT'!I251</f>
        <v>0</v>
      </c>
      <c r="K251" s="169">
        <f t="shared" si="31"/>
        <v>8.987602739726027</v>
      </c>
    </row>
    <row r="252" spans="2:11" x14ac:dyDescent="0.25">
      <c r="B252" s="160"/>
      <c r="C252" s="161"/>
      <c r="D252" s="163"/>
      <c r="E252" s="159"/>
      <c r="F252" s="159"/>
      <c r="G252" s="165">
        <f t="shared" si="32"/>
        <v>170.32</v>
      </c>
      <c r="H252" s="20"/>
      <c r="I252" s="167">
        <f>IF(B252&gt;0,(Parametros!$H$11-'Calculo Intereses PERS NAT'!B252),0)</f>
        <v>0</v>
      </c>
      <c r="J252" s="168">
        <f>(F252-E252)*Parametros!$H$37/365*'Calculo Intereses PERS NAT'!I252</f>
        <v>0</v>
      </c>
      <c r="K252" s="169">
        <f t="shared" si="31"/>
        <v>8.987602739726027</v>
      </c>
    </row>
    <row r="253" spans="2:11" x14ac:dyDescent="0.25">
      <c r="B253" s="160"/>
      <c r="C253" s="161"/>
      <c r="D253" s="163"/>
      <c r="E253" s="159"/>
      <c r="F253" s="159"/>
      <c r="G253" s="165">
        <f t="shared" si="32"/>
        <v>170.32</v>
      </c>
      <c r="H253" s="20"/>
      <c r="I253" s="167">
        <f>IF(B253&gt;0,(Parametros!$H$11-'Calculo Intereses PERS NAT'!B253),0)</f>
        <v>0</v>
      </c>
      <c r="J253" s="168">
        <f>(F253-E253)*Parametros!$H$37/365*'Calculo Intereses PERS NAT'!I253</f>
        <v>0</v>
      </c>
      <c r="K253" s="169">
        <f t="shared" si="31"/>
        <v>8.987602739726027</v>
      </c>
    </row>
    <row r="254" spans="2:11" x14ac:dyDescent="0.25">
      <c r="B254" s="160"/>
      <c r="C254" s="161"/>
      <c r="D254" s="163"/>
      <c r="E254" s="159"/>
      <c r="F254" s="159"/>
      <c r="G254" s="165">
        <f t="shared" si="32"/>
        <v>170.32</v>
      </c>
      <c r="H254" s="20"/>
      <c r="I254" s="167">
        <f>IF(B254&gt;0,(Parametros!$H$11-'Calculo Intereses PERS NAT'!B254),0)</f>
        <v>0</v>
      </c>
      <c r="J254" s="168">
        <f>(F254-E254)*Parametros!$H$37/365*'Calculo Intereses PERS NAT'!I254</f>
        <v>0</v>
      </c>
      <c r="K254" s="169">
        <f t="shared" si="31"/>
        <v>8.987602739726027</v>
      </c>
    </row>
    <row r="255" spans="2:11" x14ac:dyDescent="0.25">
      <c r="B255" s="160"/>
      <c r="C255" s="161"/>
      <c r="D255" s="163"/>
      <c r="E255" s="159"/>
      <c r="F255" s="159"/>
      <c r="G255" s="165">
        <f t="shared" si="32"/>
        <v>170.32</v>
      </c>
      <c r="H255" s="20"/>
      <c r="I255" s="167">
        <f>IF(B255&gt;0,(Parametros!$H$11-'Calculo Intereses PERS NAT'!B255),0)</f>
        <v>0</v>
      </c>
      <c r="J255" s="168">
        <f>(F255-E255)*Parametros!$H$37/365*'Calculo Intereses PERS NAT'!I255</f>
        <v>0</v>
      </c>
      <c r="K255" s="169">
        <f t="shared" si="31"/>
        <v>8.987602739726027</v>
      </c>
    </row>
    <row r="256" spans="2:11" x14ac:dyDescent="0.25">
      <c r="B256" s="160"/>
      <c r="C256" s="161"/>
      <c r="D256" s="163"/>
      <c r="E256" s="159"/>
      <c r="F256" s="159"/>
      <c r="G256" s="165">
        <f t="shared" si="32"/>
        <v>170.32</v>
      </c>
      <c r="H256" s="20"/>
      <c r="I256" s="167">
        <f>IF(B256&gt;0,(Parametros!$H$11-'Calculo Intereses PERS NAT'!B256),0)</f>
        <v>0</v>
      </c>
      <c r="J256" s="168">
        <f>(F256-E256)*Parametros!$H$37/365*'Calculo Intereses PERS NAT'!I256</f>
        <v>0</v>
      </c>
      <c r="K256" s="169">
        <f t="shared" si="31"/>
        <v>8.987602739726027</v>
      </c>
    </row>
    <row r="257" spans="2:11" x14ac:dyDescent="0.25">
      <c r="B257" s="160"/>
      <c r="C257" s="161"/>
      <c r="D257" s="163"/>
      <c r="E257" s="159"/>
      <c r="F257" s="159"/>
      <c r="G257" s="165">
        <f t="shared" si="32"/>
        <v>170.32</v>
      </c>
      <c r="H257" s="20"/>
      <c r="I257" s="167">
        <f>IF(B257&gt;0,(Parametros!$H$11-'Calculo Intereses PERS NAT'!B257),0)</f>
        <v>0</v>
      </c>
      <c r="J257" s="168">
        <f>(F257-E257)*Parametros!$H$37/365*'Calculo Intereses PERS NAT'!I257</f>
        <v>0</v>
      </c>
      <c r="K257" s="169">
        <f t="shared" si="31"/>
        <v>8.987602739726027</v>
      </c>
    </row>
    <row r="258" spans="2:11" x14ac:dyDescent="0.25">
      <c r="B258" s="160"/>
      <c r="C258" s="161"/>
      <c r="D258" s="163"/>
      <c r="E258" s="159"/>
      <c r="F258" s="159"/>
      <c r="G258" s="165">
        <f>+G257+F258</f>
        <v>170.32</v>
      </c>
      <c r="H258" s="20"/>
      <c r="I258" s="167">
        <f>IF(B258&gt;0,(Parametros!$H$11-'Calculo Intereses PERS NAT'!B258),0)</f>
        <v>0</v>
      </c>
      <c r="J258" s="168">
        <f>(F258-E258)*Parametros!$H$37/365*'Calculo Intereses PERS NAT'!I258</f>
        <v>0</v>
      </c>
      <c r="K258" s="169">
        <f t="shared" si="31"/>
        <v>8.987602739726027</v>
      </c>
    </row>
    <row r="259" spans="2:11" x14ac:dyDescent="0.25">
      <c r="B259" s="20"/>
      <c r="C259" s="20"/>
      <c r="D259" s="52" t="s">
        <v>21</v>
      </c>
      <c r="E259" s="166">
        <f>SUM(E243:E258)</f>
        <v>0</v>
      </c>
      <c r="F259" s="166">
        <f>SUM(F243:F258)</f>
        <v>170.32</v>
      </c>
      <c r="G259" s="166">
        <f>+G258</f>
        <v>170.32</v>
      </c>
      <c r="J259" s="170">
        <f>SUM(J243:J258)</f>
        <v>8.987602739726027</v>
      </c>
    </row>
    <row r="261" spans="2:11" x14ac:dyDescent="0.25">
      <c r="B261" s="172" t="str">
        <f>CONCATENATE("APORTACIONES Y CALCULO DE INTERESES CORRESPONDIENTES AL AÑO ",YEAR(Parametros!$H$11))</f>
        <v>APORTACIONES Y CALCULO DE INTERESES CORRESPONDIENTES AL AÑO 2015</v>
      </c>
      <c r="C261" s="53"/>
      <c r="D261" s="53"/>
      <c r="E261" s="54"/>
      <c r="F261" s="54"/>
      <c r="G261" s="54"/>
      <c r="H261" s="20"/>
      <c r="I261" s="55"/>
      <c r="J261" s="56"/>
      <c r="K261" s="20"/>
    </row>
    <row r="262" spans="2:11" x14ac:dyDescent="0.25">
      <c r="B262" s="69" t="s">
        <v>186</v>
      </c>
      <c r="C262" s="173" t="str">
        <f>+'Calculo Excedentes'!A65</f>
        <v>PN-13</v>
      </c>
      <c r="D262" s="171" t="s">
        <v>187</v>
      </c>
      <c r="E262" s="176" t="str">
        <f>+'Calculo Excedentes'!B65</f>
        <v>Salvador González</v>
      </c>
      <c r="F262" s="174"/>
      <c r="G262" s="175"/>
      <c r="H262" s="20"/>
      <c r="I262" s="39" t="s">
        <v>73</v>
      </c>
      <c r="J262" s="39" t="s">
        <v>74</v>
      </c>
      <c r="K262" s="39" t="s">
        <v>75</v>
      </c>
    </row>
    <row r="263" spans="2:11" x14ac:dyDescent="0.25">
      <c r="B263" s="40" t="s">
        <v>76</v>
      </c>
      <c r="C263" s="40" t="s">
        <v>77</v>
      </c>
      <c r="D263" s="40" t="s">
        <v>78</v>
      </c>
      <c r="E263" s="40" t="s">
        <v>79</v>
      </c>
      <c r="F263" s="40" t="s">
        <v>80</v>
      </c>
      <c r="G263" s="40" t="s">
        <v>81</v>
      </c>
      <c r="H263" s="20"/>
      <c r="I263" s="42" t="s">
        <v>82</v>
      </c>
      <c r="J263" s="164" t="s">
        <v>185</v>
      </c>
      <c r="K263" s="42" t="s">
        <v>84</v>
      </c>
    </row>
    <row r="264" spans="2:11" x14ac:dyDescent="0.25">
      <c r="B264" s="158">
        <f>+Parametros!$H$11-365</f>
        <v>42004</v>
      </c>
      <c r="C264" s="161"/>
      <c r="D264" s="162"/>
      <c r="E264" s="159"/>
      <c r="F264" s="159">
        <f>114.3-80.16</f>
        <v>34.14</v>
      </c>
      <c r="G264" s="165">
        <f>+F264-E264</f>
        <v>34.14</v>
      </c>
      <c r="H264" s="20"/>
      <c r="I264" s="167">
        <f>IF(B264&gt;0,(Parametros!$H$11-'Calculo Intereses PERS NAT'!B264),0)</f>
        <v>365</v>
      </c>
      <c r="J264" s="168">
        <f>(F264-E264)*Parametros!$H$37/365*'Calculo Intereses PERS NAT'!I264</f>
        <v>1.8777000000000001</v>
      </c>
      <c r="K264" s="169">
        <f>+J264</f>
        <v>1.8777000000000001</v>
      </c>
    </row>
    <row r="265" spans="2:11" x14ac:dyDescent="0.25">
      <c r="B265" s="160">
        <v>42049</v>
      </c>
      <c r="C265" s="161"/>
      <c r="D265" s="162" t="s">
        <v>236</v>
      </c>
      <c r="E265" s="159"/>
      <c r="F265" s="159">
        <v>1.91</v>
      </c>
      <c r="G265" s="165">
        <f>+G264+F265-E265</f>
        <v>36.049999999999997</v>
      </c>
      <c r="H265" s="20"/>
      <c r="I265" s="167">
        <f>IF(B265&gt;0,(Parametros!$H$11-'Calculo Intereses PERS NAT'!B265),0)</f>
        <v>320</v>
      </c>
      <c r="J265" s="168">
        <f>(F265-E265)*Parametros!$H$37/365*'Calculo Intereses PERS NAT'!I265</f>
        <v>9.2098630136986298E-2</v>
      </c>
      <c r="K265" s="169">
        <f>+J265+K264</f>
        <v>1.9697986301369865</v>
      </c>
    </row>
    <row r="266" spans="2:11" x14ac:dyDescent="0.25">
      <c r="B266" s="160"/>
      <c r="C266" s="161"/>
      <c r="D266" s="162"/>
      <c r="E266" s="159"/>
      <c r="F266" s="159"/>
      <c r="G266" s="165">
        <f>+G265+F266</f>
        <v>36.049999999999997</v>
      </c>
      <c r="H266" s="20"/>
      <c r="I266" s="167">
        <f>IF(B266&gt;0,(Parametros!$H$11-'Calculo Intereses PERS NAT'!B266),0)</f>
        <v>0</v>
      </c>
      <c r="J266" s="168">
        <f>(F266-E266)*Parametros!$H$37/365*'Calculo Intereses PERS NAT'!I266</f>
        <v>0</v>
      </c>
      <c r="K266" s="169">
        <f t="shared" ref="K266:K279" si="33">+J266+K265</f>
        <v>1.9697986301369865</v>
      </c>
    </row>
    <row r="267" spans="2:11" x14ac:dyDescent="0.25">
      <c r="B267" s="160"/>
      <c r="C267" s="161"/>
      <c r="D267" s="162"/>
      <c r="E267" s="159"/>
      <c r="F267" s="159"/>
      <c r="G267" s="165">
        <f>+G266+F267</f>
        <v>36.049999999999997</v>
      </c>
      <c r="H267" s="20"/>
      <c r="I267" s="167">
        <f>IF(B267&gt;0,(Parametros!$H$11-'Calculo Intereses PERS NAT'!B267),0)</f>
        <v>0</v>
      </c>
      <c r="J267" s="168">
        <f>(F267-E267)*Parametros!$H$37/365*'Calculo Intereses PERS NAT'!I267</f>
        <v>0</v>
      </c>
      <c r="K267" s="169">
        <f t="shared" si="33"/>
        <v>1.9697986301369865</v>
      </c>
    </row>
    <row r="268" spans="2:11" x14ac:dyDescent="0.25">
      <c r="B268" s="160"/>
      <c r="C268" s="161"/>
      <c r="D268" s="162"/>
      <c r="E268" s="159"/>
      <c r="F268" s="159"/>
      <c r="G268" s="165">
        <f>+G267+F268</f>
        <v>36.049999999999997</v>
      </c>
      <c r="H268" s="20"/>
      <c r="I268" s="167">
        <f>IF(B268&gt;0,(Parametros!$H$11-'Calculo Intereses PERS NAT'!B268),0)</f>
        <v>0</v>
      </c>
      <c r="J268" s="168">
        <f>(F268-E268)*Parametros!$H$37/365*'Calculo Intereses PERS NAT'!I268</f>
        <v>0</v>
      </c>
      <c r="K268" s="169">
        <f t="shared" si="33"/>
        <v>1.9697986301369865</v>
      </c>
    </row>
    <row r="269" spans="2:11" x14ac:dyDescent="0.25">
      <c r="B269" s="160"/>
      <c r="C269" s="161"/>
      <c r="D269" s="162"/>
      <c r="E269" s="159"/>
      <c r="F269" s="159"/>
      <c r="G269" s="165">
        <f>+G268+F269</f>
        <v>36.049999999999997</v>
      </c>
      <c r="H269" s="20"/>
      <c r="I269" s="167">
        <f>IF(B269&gt;0,(Parametros!$H$11-'Calculo Intereses PERS NAT'!B269),0)</f>
        <v>0</v>
      </c>
      <c r="J269" s="168">
        <f>(F269-E269)*Parametros!$H$37/365*'Calculo Intereses PERS NAT'!I269</f>
        <v>0</v>
      </c>
      <c r="K269" s="169">
        <f t="shared" si="33"/>
        <v>1.9697986301369865</v>
      </c>
    </row>
    <row r="270" spans="2:11" x14ac:dyDescent="0.25">
      <c r="B270" s="160"/>
      <c r="C270" s="161"/>
      <c r="D270" s="163"/>
      <c r="E270" s="159"/>
      <c r="F270" s="159"/>
      <c r="G270" s="165">
        <f t="shared" ref="G270:G278" si="34">+G269+F270</f>
        <v>36.049999999999997</v>
      </c>
      <c r="H270" s="20"/>
      <c r="I270" s="167">
        <f>IF(B270&gt;0,(Parametros!$H$11-'Calculo Intereses PERS NAT'!B270),0)</f>
        <v>0</v>
      </c>
      <c r="J270" s="168">
        <f>(F270-E270)*Parametros!$H$37/365*'Calculo Intereses PERS NAT'!I270</f>
        <v>0</v>
      </c>
      <c r="K270" s="169">
        <f t="shared" si="33"/>
        <v>1.9697986301369865</v>
      </c>
    </row>
    <row r="271" spans="2:11" x14ac:dyDescent="0.25">
      <c r="B271" s="160"/>
      <c r="C271" s="161"/>
      <c r="D271" s="163"/>
      <c r="E271" s="159"/>
      <c r="F271" s="159"/>
      <c r="G271" s="165">
        <f t="shared" si="34"/>
        <v>36.049999999999997</v>
      </c>
      <c r="H271" s="20"/>
      <c r="I271" s="167">
        <f>IF(B271&gt;0,(Parametros!$H$11-'Calculo Intereses PERS NAT'!B271),0)</f>
        <v>0</v>
      </c>
      <c r="J271" s="168">
        <f>(F271-E271)*Parametros!$H$37/365*'Calculo Intereses PERS NAT'!I271</f>
        <v>0</v>
      </c>
      <c r="K271" s="169">
        <f t="shared" si="33"/>
        <v>1.9697986301369865</v>
      </c>
    </row>
    <row r="272" spans="2:11" x14ac:dyDescent="0.25">
      <c r="B272" s="160"/>
      <c r="C272" s="161"/>
      <c r="D272" s="163"/>
      <c r="E272" s="159"/>
      <c r="F272" s="159"/>
      <c r="G272" s="165">
        <f t="shared" si="34"/>
        <v>36.049999999999997</v>
      </c>
      <c r="H272" s="20"/>
      <c r="I272" s="167">
        <f>IF(B272&gt;0,(Parametros!$H$11-'Calculo Intereses PERS NAT'!B272),0)</f>
        <v>0</v>
      </c>
      <c r="J272" s="168">
        <f>(F272-E272)*Parametros!$H$37/365*'Calculo Intereses PERS NAT'!I272</f>
        <v>0</v>
      </c>
      <c r="K272" s="169">
        <f t="shared" si="33"/>
        <v>1.9697986301369865</v>
      </c>
    </row>
    <row r="273" spans="2:11" x14ac:dyDescent="0.25">
      <c r="B273" s="160"/>
      <c r="C273" s="161"/>
      <c r="D273" s="163"/>
      <c r="E273" s="159"/>
      <c r="F273" s="159"/>
      <c r="G273" s="165">
        <f t="shared" si="34"/>
        <v>36.049999999999997</v>
      </c>
      <c r="H273" s="20"/>
      <c r="I273" s="167">
        <f>IF(B273&gt;0,(Parametros!$H$11-'Calculo Intereses PERS NAT'!B273),0)</f>
        <v>0</v>
      </c>
      <c r="J273" s="168">
        <f>(F273-E273)*Parametros!$H$37/365*'Calculo Intereses PERS NAT'!I273</f>
        <v>0</v>
      </c>
      <c r="K273" s="169">
        <f t="shared" si="33"/>
        <v>1.9697986301369865</v>
      </c>
    </row>
    <row r="274" spans="2:11" x14ac:dyDescent="0.25">
      <c r="B274" s="160"/>
      <c r="C274" s="161"/>
      <c r="D274" s="163"/>
      <c r="E274" s="159"/>
      <c r="F274" s="159"/>
      <c r="G274" s="165">
        <f t="shared" si="34"/>
        <v>36.049999999999997</v>
      </c>
      <c r="H274" s="20"/>
      <c r="I274" s="167">
        <f>IF(B274&gt;0,(Parametros!$H$11-'Calculo Intereses PERS NAT'!B274),0)</f>
        <v>0</v>
      </c>
      <c r="J274" s="168">
        <f>(F274-E274)*Parametros!$H$37/365*'Calculo Intereses PERS NAT'!I274</f>
        <v>0</v>
      </c>
      <c r="K274" s="169">
        <f t="shared" si="33"/>
        <v>1.9697986301369865</v>
      </c>
    </row>
    <row r="275" spans="2:11" x14ac:dyDescent="0.25">
      <c r="B275" s="160"/>
      <c r="C275" s="161"/>
      <c r="D275" s="163"/>
      <c r="E275" s="159"/>
      <c r="F275" s="159"/>
      <c r="G275" s="165">
        <f t="shared" si="34"/>
        <v>36.049999999999997</v>
      </c>
      <c r="H275" s="20"/>
      <c r="I275" s="167">
        <f>IF(B275&gt;0,(Parametros!$H$11-'Calculo Intereses PERS NAT'!B275),0)</f>
        <v>0</v>
      </c>
      <c r="J275" s="168">
        <f>(F275-E275)*Parametros!$H$37/365*'Calculo Intereses PERS NAT'!I275</f>
        <v>0</v>
      </c>
      <c r="K275" s="169">
        <f t="shared" si="33"/>
        <v>1.9697986301369865</v>
      </c>
    </row>
    <row r="276" spans="2:11" x14ac:dyDescent="0.25">
      <c r="B276" s="160"/>
      <c r="C276" s="161"/>
      <c r="D276" s="163"/>
      <c r="E276" s="159"/>
      <c r="F276" s="159"/>
      <c r="G276" s="165">
        <f t="shared" si="34"/>
        <v>36.049999999999997</v>
      </c>
      <c r="H276" s="20"/>
      <c r="I276" s="167">
        <f>IF(B276&gt;0,(Parametros!$H$11-'Calculo Intereses PERS NAT'!B276),0)</f>
        <v>0</v>
      </c>
      <c r="J276" s="168">
        <f>(F276-E276)*Parametros!$H$37/365*'Calculo Intereses PERS NAT'!I276</f>
        <v>0</v>
      </c>
      <c r="K276" s="169">
        <f t="shared" si="33"/>
        <v>1.9697986301369865</v>
      </c>
    </row>
    <row r="277" spans="2:11" x14ac:dyDescent="0.25">
      <c r="B277" s="160"/>
      <c r="C277" s="161"/>
      <c r="D277" s="163"/>
      <c r="E277" s="159"/>
      <c r="F277" s="159"/>
      <c r="G277" s="165">
        <f t="shared" si="34"/>
        <v>36.049999999999997</v>
      </c>
      <c r="H277" s="20"/>
      <c r="I277" s="167">
        <f>IF(B277&gt;0,(Parametros!$H$11-'Calculo Intereses PERS NAT'!B277),0)</f>
        <v>0</v>
      </c>
      <c r="J277" s="168">
        <f>(F277-E277)*Parametros!$H$37/365*'Calculo Intereses PERS NAT'!I277</f>
        <v>0</v>
      </c>
      <c r="K277" s="169">
        <f t="shared" si="33"/>
        <v>1.9697986301369865</v>
      </c>
    </row>
    <row r="278" spans="2:11" x14ac:dyDescent="0.25">
      <c r="B278" s="160"/>
      <c r="C278" s="161"/>
      <c r="D278" s="163"/>
      <c r="E278" s="159"/>
      <c r="F278" s="159"/>
      <c r="G278" s="165">
        <f t="shared" si="34"/>
        <v>36.049999999999997</v>
      </c>
      <c r="H278" s="20"/>
      <c r="I278" s="167">
        <f>IF(B278&gt;0,(Parametros!$H$11-'Calculo Intereses PERS NAT'!B278),0)</f>
        <v>0</v>
      </c>
      <c r="J278" s="168">
        <f>(F278-E278)*Parametros!$H$37/365*'Calculo Intereses PERS NAT'!I278</f>
        <v>0</v>
      </c>
      <c r="K278" s="169">
        <f t="shared" si="33"/>
        <v>1.9697986301369865</v>
      </c>
    </row>
    <row r="279" spans="2:11" x14ac:dyDescent="0.25">
      <c r="B279" s="160"/>
      <c r="C279" s="161"/>
      <c r="D279" s="163"/>
      <c r="E279" s="159"/>
      <c r="F279" s="159"/>
      <c r="G279" s="165">
        <f>+G278+F279</f>
        <v>36.049999999999997</v>
      </c>
      <c r="H279" s="20"/>
      <c r="I279" s="167">
        <f>IF(B279&gt;0,(Parametros!$H$11-'Calculo Intereses PERS NAT'!B279),0)</f>
        <v>0</v>
      </c>
      <c r="J279" s="168">
        <f>(F279-E279)*Parametros!$H$37/365*'Calculo Intereses PERS NAT'!I279</f>
        <v>0</v>
      </c>
      <c r="K279" s="169">
        <f t="shared" si="33"/>
        <v>1.9697986301369865</v>
      </c>
    </row>
    <row r="280" spans="2:11" x14ac:dyDescent="0.25">
      <c r="B280" s="20"/>
      <c r="C280" s="20"/>
      <c r="D280" s="52" t="s">
        <v>21</v>
      </c>
      <c r="E280" s="166">
        <f>SUM(E264:E279)</f>
        <v>0</v>
      </c>
      <c r="F280" s="166">
        <f>SUM(F264:F279)</f>
        <v>36.049999999999997</v>
      </c>
      <c r="G280" s="166">
        <f>+G279</f>
        <v>36.049999999999997</v>
      </c>
      <c r="J280" s="170">
        <f>SUM(J264:J279)</f>
        <v>1.9697986301369865</v>
      </c>
    </row>
    <row r="282" spans="2:11" x14ac:dyDescent="0.25">
      <c r="B282" s="172" t="str">
        <f>CONCATENATE("APORTACIONES Y CALCULO DE INTERESES CORRESPONDIENTES AL AÑO ",YEAR(Parametros!$H$11))</f>
        <v>APORTACIONES Y CALCULO DE INTERESES CORRESPONDIENTES AL AÑO 2015</v>
      </c>
      <c r="C282" s="53"/>
      <c r="D282" s="53"/>
      <c r="E282" s="54"/>
      <c r="F282" s="54"/>
      <c r="G282" s="54"/>
      <c r="H282" s="20"/>
      <c r="I282" s="55"/>
      <c r="J282" s="56"/>
      <c r="K282" s="20"/>
    </row>
    <row r="283" spans="2:11" x14ac:dyDescent="0.25">
      <c r="B283" s="69" t="s">
        <v>186</v>
      </c>
      <c r="C283" s="173" t="str">
        <f>+'Calculo Excedentes'!A66</f>
        <v>PN-14</v>
      </c>
      <c r="D283" s="171" t="s">
        <v>187</v>
      </c>
      <c r="E283" s="176" t="str">
        <f>+'Calculo Excedentes'!B66</f>
        <v>José Hedilberto Martínez</v>
      </c>
      <c r="F283" s="174"/>
      <c r="G283" s="175"/>
      <c r="H283" s="20"/>
      <c r="I283" s="39" t="s">
        <v>73</v>
      </c>
      <c r="J283" s="39" t="s">
        <v>74</v>
      </c>
      <c r="K283" s="39" t="s">
        <v>75</v>
      </c>
    </row>
    <row r="284" spans="2:11" x14ac:dyDescent="0.25">
      <c r="B284" s="40" t="s">
        <v>76</v>
      </c>
      <c r="C284" s="40" t="s">
        <v>77</v>
      </c>
      <c r="D284" s="40" t="s">
        <v>78</v>
      </c>
      <c r="E284" s="40" t="s">
        <v>79</v>
      </c>
      <c r="F284" s="40" t="s">
        <v>80</v>
      </c>
      <c r="G284" s="40" t="s">
        <v>81</v>
      </c>
      <c r="H284" s="20"/>
      <c r="I284" s="42" t="s">
        <v>82</v>
      </c>
      <c r="J284" s="164" t="s">
        <v>185</v>
      </c>
      <c r="K284" s="42" t="s">
        <v>84</v>
      </c>
    </row>
    <row r="285" spans="2:11" x14ac:dyDescent="0.25">
      <c r="B285" s="158">
        <f>+Parametros!$H$11-365</f>
        <v>42004</v>
      </c>
      <c r="C285" s="161"/>
      <c r="D285" s="162"/>
      <c r="E285" s="159"/>
      <c r="F285" s="159">
        <v>2628.57</v>
      </c>
      <c r="G285" s="165">
        <f>+F285-E285</f>
        <v>2628.57</v>
      </c>
      <c r="H285" s="20"/>
      <c r="I285" s="167">
        <f>IF(B285&gt;0,(Parametros!$H$11-'Calculo Intereses PERS NAT'!B285),0)</f>
        <v>365</v>
      </c>
      <c r="J285" s="168">
        <f>(F285-E285)*Parametros!$H$37/365*'Calculo Intereses PERS NAT'!I285</f>
        <v>144.57135000000002</v>
      </c>
      <c r="K285" s="169">
        <f>+J285</f>
        <v>144.57135000000002</v>
      </c>
    </row>
    <row r="286" spans="2:11" x14ac:dyDescent="0.25">
      <c r="B286" s="160">
        <v>42049</v>
      </c>
      <c r="C286" s="161"/>
      <c r="D286" s="162" t="s">
        <v>236</v>
      </c>
      <c r="E286" s="159"/>
      <c r="F286" s="159">
        <v>209.51</v>
      </c>
      <c r="G286" s="165">
        <f>+G285+F286-E286</f>
        <v>2838.08</v>
      </c>
      <c r="H286" s="20"/>
      <c r="I286" s="167">
        <f>IF(B286&gt;0,(Parametros!$H$11-'Calculo Intereses PERS NAT'!B286),0)</f>
        <v>320</v>
      </c>
      <c r="J286" s="168">
        <f>(F286-E286)*Parametros!$H$37/365*'Calculo Intereses PERS NAT'!I286</f>
        <v>10.102399999999999</v>
      </c>
      <c r="K286" s="169">
        <f>+J286+K285</f>
        <v>154.67375000000001</v>
      </c>
    </row>
    <row r="287" spans="2:11" x14ac:dyDescent="0.25">
      <c r="B287" s="160"/>
      <c r="C287" s="161"/>
      <c r="D287" s="162"/>
      <c r="E287" s="159"/>
      <c r="F287" s="159"/>
      <c r="G287" s="165">
        <f>+G286+F287</f>
        <v>2838.08</v>
      </c>
      <c r="H287" s="20"/>
      <c r="I287" s="167">
        <f>IF(B287&gt;0,(Parametros!$H$11-'Calculo Intereses PERS NAT'!B287),0)</f>
        <v>0</v>
      </c>
      <c r="J287" s="168">
        <f>(F287-E287)*Parametros!$H$37/365*'Calculo Intereses PERS NAT'!I287</f>
        <v>0</v>
      </c>
      <c r="K287" s="169">
        <f t="shared" ref="K287:K300" si="35">+J287+K286</f>
        <v>154.67375000000001</v>
      </c>
    </row>
    <row r="288" spans="2:11" x14ac:dyDescent="0.25">
      <c r="B288" s="160"/>
      <c r="C288" s="161"/>
      <c r="D288" s="162"/>
      <c r="E288" s="159"/>
      <c r="F288" s="159"/>
      <c r="G288" s="165">
        <f>+G287+F288</f>
        <v>2838.08</v>
      </c>
      <c r="H288" s="20"/>
      <c r="I288" s="167">
        <f>IF(B288&gt;0,(Parametros!$H$11-'Calculo Intereses PERS NAT'!B288),0)</f>
        <v>0</v>
      </c>
      <c r="J288" s="168">
        <f>(F288-E288)*Parametros!$H$37/365*'Calculo Intereses PERS NAT'!I288</f>
        <v>0</v>
      </c>
      <c r="K288" s="169">
        <f t="shared" si="35"/>
        <v>154.67375000000001</v>
      </c>
    </row>
    <row r="289" spans="2:14" x14ac:dyDescent="0.25">
      <c r="B289" s="160"/>
      <c r="C289" s="161"/>
      <c r="D289" s="162"/>
      <c r="E289" s="159"/>
      <c r="F289" s="159"/>
      <c r="G289" s="165">
        <f>+G288+F289</f>
        <v>2838.08</v>
      </c>
      <c r="H289" s="20"/>
      <c r="I289" s="167">
        <f>IF(B289&gt;0,(Parametros!$H$11-'Calculo Intereses PERS NAT'!B289),0)</f>
        <v>0</v>
      </c>
      <c r="J289" s="168">
        <f>(F289-E289)*Parametros!$H$37/365*'Calculo Intereses PERS NAT'!I289</f>
        <v>0</v>
      </c>
      <c r="K289" s="169">
        <f t="shared" si="35"/>
        <v>154.67375000000001</v>
      </c>
    </row>
    <row r="290" spans="2:14" x14ac:dyDescent="0.25">
      <c r="B290" s="160"/>
      <c r="C290" s="221"/>
      <c r="D290" s="162"/>
      <c r="E290" s="159"/>
      <c r="F290" s="159"/>
      <c r="G290" s="165">
        <f>+G289+F290</f>
        <v>2838.08</v>
      </c>
      <c r="H290" s="20"/>
      <c r="I290" s="167">
        <f>IF(B290&gt;0,(Parametros!$H$11-'Calculo Intereses PERS NAT'!B290),0)</f>
        <v>0</v>
      </c>
      <c r="J290" s="168">
        <f>(F290-E290)*Parametros!$H$37/365*'Calculo Intereses PERS NAT'!I290</f>
        <v>0</v>
      </c>
      <c r="K290" s="169">
        <f t="shared" si="35"/>
        <v>154.67375000000001</v>
      </c>
      <c r="L290" s="94"/>
    </row>
    <row r="291" spans="2:14" x14ac:dyDescent="0.25">
      <c r="B291" s="160"/>
      <c r="C291" s="221"/>
      <c r="D291" s="162"/>
      <c r="E291" s="159"/>
      <c r="F291" s="159"/>
      <c r="G291" s="165">
        <f t="shared" ref="G291:G299" si="36">+G290+F291</f>
        <v>2838.08</v>
      </c>
      <c r="H291" s="20"/>
      <c r="I291" s="167">
        <f>IF(B291&gt;0,(Parametros!$H$11-'Calculo Intereses PERS NAT'!B291),0)</f>
        <v>0</v>
      </c>
      <c r="J291" s="168">
        <f>(F291-E291)*Parametros!$H$37/365*'Calculo Intereses PERS NAT'!I291</f>
        <v>0</v>
      </c>
      <c r="K291" s="169">
        <f t="shared" si="35"/>
        <v>154.67375000000001</v>
      </c>
      <c r="M291" s="94"/>
    </row>
    <row r="292" spans="2:14" x14ac:dyDescent="0.25">
      <c r="B292" s="160"/>
      <c r="C292" s="221"/>
      <c r="D292" s="162"/>
      <c r="E292" s="159"/>
      <c r="F292" s="159"/>
      <c r="G292" s="165">
        <f t="shared" si="36"/>
        <v>2838.08</v>
      </c>
      <c r="H292" s="20"/>
      <c r="I292" s="167">
        <f>IF(B292&gt;0,(Parametros!$H$11-'Calculo Intereses PERS NAT'!B292),0)</f>
        <v>0</v>
      </c>
      <c r="J292" s="168">
        <f>(F292-E292)*Parametros!$H$37/365*'Calculo Intereses PERS NAT'!I292</f>
        <v>0</v>
      </c>
      <c r="K292" s="169">
        <f t="shared" si="35"/>
        <v>154.67375000000001</v>
      </c>
      <c r="M292">
        <v>2458.21</v>
      </c>
      <c r="N292" s="222">
        <f>+M292-G295</f>
        <v>-379.86999999999989</v>
      </c>
    </row>
    <row r="293" spans="2:14" x14ac:dyDescent="0.25">
      <c r="B293" s="160"/>
      <c r="C293" s="161"/>
      <c r="D293" s="162"/>
      <c r="E293" s="159"/>
      <c r="F293" s="159"/>
      <c r="G293" s="165">
        <f t="shared" si="36"/>
        <v>2838.08</v>
      </c>
      <c r="H293" s="20"/>
      <c r="I293" s="167">
        <f>IF(B293&gt;0,(Parametros!$H$11-'Calculo Intereses PERS NAT'!B293),0)</f>
        <v>0</v>
      </c>
      <c r="J293" s="168">
        <f>(F293-E293)*Parametros!$H$37/365*'Calculo Intereses PERS NAT'!I293</f>
        <v>0</v>
      </c>
      <c r="K293" s="169">
        <f t="shared" si="35"/>
        <v>154.67375000000001</v>
      </c>
    </row>
    <row r="294" spans="2:14" x14ac:dyDescent="0.25">
      <c r="B294" s="160"/>
      <c r="C294" s="161"/>
      <c r="D294" s="162"/>
      <c r="E294" s="159"/>
      <c r="F294" s="159"/>
      <c r="G294" s="165">
        <f t="shared" si="36"/>
        <v>2838.08</v>
      </c>
      <c r="H294" s="20"/>
      <c r="I294" s="167">
        <f>IF(B294&gt;0,(Parametros!$H$11-'Calculo Intereses PERS NAT'!B294),0)</f>
        <v>0</v>
      </c>
      <c r="J294" s="168">
        <f>(F294-E294)*Parametros!$H$37/365*'Calculo Intereses PERS NAT'!I294</f>
        <v>0</v>
      </c>
      <c r="K294" s="169">
        <f t="shared" si="35"/>
        <v>154.67375000000001</v>
      </c>
    </row>
    <row r="295" spans="2:14" x14ac:dyDescent="0.25">
      <c r="B295" s="160"/>
      <c r="C295" s="161"/>
      <c r="D295" s="163"/>
      <c r="E295" s="159"/>
      <c r="F295" s="159"/>
      <c r="G295" s="165">
        <f t="shared" si="36"/>
        <v>2838.08</v>
      </c>
      <c r="H295" s="20"/>
      <c r="I295" s="167">
        <f>IF(B295&gt;0,(Parametros!$H$11-'Calculo Intereses PERS NAT'!B295),0)</f>
        <v>0</v>
      </c>
      <c r="J295" s="168">
        <f>(F295-E295)*Parametros!$H$37/365*'Calculo Intereses PERS NAT'!I295</f>
        <v>0</v>
      </c>
      <c r="K295" s="169">
        <f t="shared" si="35"/>
        <v>154.67375000000001</v>
      </c>
    </row>
    <row r="296" spans="2:14" x14ac:dyDescent="0.25">
      <c r="B296" s="160"/>
      <c r="C296" s="161"/>
      <c r="D296" s="163"/>
      <c r="E296" s="159"/>
      <c r="F296" s="159"/>
      <c r="G296" s="165">
        <f t="shared" si="36"/>
        <v>2838.08</v>
      </c>
      <c r="H296" s="20"/>
      <c r="I296" s="167">
        <f>IF(B296&gt;0,(Parametros!$H$11-'Calculo Intereses PERS NAT'!B296),0)</f>
        <v>0</v>
      </c>
      <c r="J296" s="168">
        <f>(F296-E296)*Parametros!$H$37/365*'Calculo Intereses PERS NAT'!I296</f>
        <v>0</v>
      </c>
      <c r="K296" s="169">
        <f t="shared" si="35"/>
        <v>154.67375000000001</v>
      </c>
    </row>
    <row r="297" spans="2:14" x14ac:dyDescent="0.25">
      <c r="B297" s="160"/>
      <c r="C297" s="161"/>
      <c r="D297" s="163"/>
      <c r="E297" s="159"/>
      <c r="F297" s="159"/>
      <c r="G297" s="165">
        <f t="shared" si="36"/>
        <v>2838.08</v>
      </c>
      <c r="H297" s="20"/>
      <c r="I297" s="167">
        <f>IF(B297&gt;0,(Parametros!$H$11-'Calculo Intereses PERS NAT'!B297),0)</f>
        <v>0</v>
      </c>
      <c r="J297" s="168">
        <f>(F297-E297)*Parametros!$H$37/365*'Calculo Intereses PERS NAT'!I297</f>
        <v>0</v>
      </c>
      <c r="K297" s="169">
        <f t="shared" si="35"/>
        <v>154.67375000000001</v>
      </c>
    </row>
    <row r="298" spans="2:14" x14ac:dyDescent="0.25">
      <c r="B298" s="160"/>
      <c r="C298" s="161"/>
      <c r="D298" s="163"/>
      <c r="E298" s="159"/>
      <c r="F298" s="159"/>
      <c r="G298" s="165">
        <f t="shared" si="36"/>
        <v>2838.08</v>
      </c>
      <c r="H298" s="20"/>
      <c r="I298" s="167">
        <f>IF(B298&gt;0,(Parametros!$H$11-'Calculo Intereses PERS NAT'!B298),0)</f>
        <v>0</v>
      </c>
      <c r="J298" s="168">
        <f>(F298-E298)*Parametros!$H$37/365*'Calculo Intereses PERS NAT'!I298</f>
        <v>0</v>
      </c>
      <c r="K298" s="169">
        <f t="shared" si="35"/>
        <v>154.67375000000001</v>
      </c>
    </row>
    <row r="299" spans="2:14" x14ac:dyDescent="0.25">
      <c r="B299" s="160"/>
      <c r="C299" s="161"/>
      <c r="D299" s="163"/>
      <c r="E299" s="159"/>
      <c r="F299" s="159"/>
      <c r="G299" s="165">
        <f t="shared" si="36"/>
        <v>2838.08</v>
      </c>
      <c r="H299" s="20"/>
      <c r="I299" s="167">
        <f>IF(B299&gt;0,(Parametros!$H$11-'Calculo Intereses PERS NAT'!B299),0)</f>
        <v>0</v>
      </c>
      <c r="J299" s="168">
        <f>(F299-E299)*Parametros!$H$37/365*'Calculo Intereses PERS NAT'!I299</f>
        <v>0</v>
      </c>
      <c r="K299" s="169">
        <f t="shared" si="35"/>
        <v>154.67375000000001</v>
      </c>
    </row>
    <row r="300" spans="2:14" x14ac:dyDescent="0.25">
      <c r="B300" s="160"/>
      <c r="C300" s="161"/>
      <c r="D300" s="163"/>
      <c r="E300" s="159"/>
      <c r="F300" s="159"/>
      <c r="G300" s="165">
        <f>+G299+F300</f>
        <v>2838.08</v>
      </c>
      <c r="H300" s="20"/>
      <c r="I300" s="167">
        <f>IF(B300&gt;0,(Parametros!$H$11-'Calculo Intereses PERS NAT'!B300),0)</f>
        <v>0</v>
      </c>
      <c r="J300" s="168">
        <f>(F300-E300)*Parametros!$H$37/365*'Calculo Intereses PERS NAT'!I300</f>
        <v>0</v>
      </c>
      <c r="K300" s="169">
        <f t="shared" si="35"/>
        <v>154.67375000000001</v>
      </c>
    </row>
    <row r="301" spans="2:14" x14ac:dyDescent="0.25">
      <c r="B301" s="20"/>
      <c r="C301" s="20"/>
      <c r="D301" s="52" t="s">
        <v>21</v>
      </c>
      <c r="E301" s="166">
        <f>SUM(E285:E300)</f>
        <v>0</v>
      </c>
      <c r="F301" s="166">
        <f>SUM(F285:F300)</f>
        <v>2838.08</v>
      </c>
      <c r="G301" s="166">
        <f>+G300</f>
        <v>2838.08</v>
      </c>
      <c r="J301" s="170">
        <f>SUM(J285:J300)</f>
        <v>154.67375000000001</v>
      </c>
    </row>
    <row r="303" spans="2:14" x14ac:dyDescent="0.25">
      <c r="B303" s="172" t="str">
        <f>CONCATENATE("APORTACIONES Y CALCULO DE INTERESES CORRESPONDIENTES AL AÑO ",YEAR(Parametros!$H$11))</f>
        <v>APORTACIONES Y CALCULO DE INTERESES CORRESPONDIENTES AL AÑO 2015</v>
      </c>
      <c r="C303" s="53"/>
      <c r="D303" s="53"/>
      <c r="E303" s="54"/>
      <c r="F303" s="54"/>
      <c r="G303" s="54"/>
      <c r="H303" s="20"/>
      <c r="I303" s="55"/>
      <c r="J303" s="56"/>
      <c r="K303" s="20"/>
    </row>
    <row r="304" spans="2:14" x14ac:dyDescent="0.25">
      <c r="B304" s="69" t="s">
        <v>186</v>
      </c>
      <c r="C304" s="173" t="str">
        <f>+'Calculo Excedentes'!A67</f>
        <v>PN-15</v>
      </c>
      <c r="D304" s="171" t="s">
        <v>187</v>
      </c>
      <c r="E304" s="176" t="str">
        <f>+'Calculo Excedentes'!B67</f>
        <v>María Luisa Girón</v>
      </c>
      <c r="F304" s="174"/>
      <c r="G304" s="175"/>
      <c r="H304" s="20"/>
      <c r="I304" s="39" t="s">
        <v>73</v>
      </c>
      <c r="J304" s="39" t="s">
        <v>74</v>
      </c>
      <c r="K304" s="39" t="s">
        <v>75</v>
      </c>
    </row>
    <row r="305" spans="2:14" x14ac:dyDescent="0.25">
      <c r="B305" s="40" t="s">
        <v>76</v>
      </c>
      <c r="C305" s="40" t="s">
        <v>77</v>
      </c>
      <c r="D305" s="40" t="s">
        <v>78</v>
      </c>
      <c r="E305" s="40" t="s">
        <v>79</v>
      </c>
      <c r="F305" s="40" t="s">
        <v>80</v>
      </c>
      <c r="G305" s="40" t="s">
        <v>81</v>
      </c>
      <c r="H305" s="20"/>
      <c r="I305" s="42" t="s">
        <v>82</v>
      </c>
      <c r="J305" s="164" t="s">
        <v>185</v>
      </c>
      <c r="K305" s="42" t="s">
        <v>84</v>
      </c>
    </row>
    <row r="306" spans="2:14" x14ac:dyDescent="0.25">
      <c r="B306" s="158">
        <f>+Parametros!$H$11-365</f>
        <v>42004</v>
      </c>
      <c r="C306" s="161"/>
      <c r="D306" s="162"/>
      <c r="E306" s="159"/>
      <c r="F306" s="159">
        <f>1600-9.62</f>
        <v>1590.38</v>
      </c>
      <c r="G306" s="165">
        <f>+F306-E306</f>
        <v>1590.38</v>
      </c>
      <c r="H306" s="20"/>
      <c r="I306" s="167">
        <f>IF(B306&gt;0,(Parametros!$H$11-'Calculo Intereses PERS NAT'!B306),0)</f>
        <v>365</v>
      </c>
      <c r="J306" s="168">
        <f>(F306-E306)*Parametros!$H$37/365*'Calculo Intereses PERS NAT'!I306</f>
        <v>87.4709</v>
      </c>
      <c r="K306" s="169">
        <f>+J306</f>
        <v>87.4709</v>
      </c>
    </row>
    <row r="307" spans="2:14" x14ac:dyDescent="0.25">
      <c r="B307" s="160">
        <v>42049</v>
      </c>
      <c r="C307" s="161"/>
      <c r="D307" s="162" t="s">
        <v>236</v>
      </c>
      <c r="E307" s="159"/>
      <c r="F307" s="159">
        <v>79.319999999999993</v>
      </c>
      <c r="G307" s="165">
        <f>+G306+F307-E307</f>
        <v>1669.7</v>
      </c>
      <c r="H307" s="20"/>
      <c r="I307" s="167">
        <f>IF(B307&gt;0,(Parametros!$H$11-'Calculo Intereses PERS NAT'!B307),0)</f>
        <v>320</v>
      </c>
      <c r="J307" s="168">
        <f>(F307-E307)*Parametros!$H$37/365*'Calculo Intereses PERS NAT'!I307</f>
        <v>3.8247452054794517</v>
      </c>
      <c r="K307" s="169">
        <f>+J307+K306</f>
        <v>91.295645205479445</v>
      </c>
    </row>
    <row r="308" spans="2:14" x14ac:dyDescent="0.25">
      <c r="B308" s="160"/>
      <c r="C308" s="161"/>
      <c r="D308" s="162"/>
      <c r="E308" s="159"/>
      <c r="F308" s="159"/>
      <c r="G308" s="165">
        <f>+G307+F308</f>
        <v>1669.7</v>
      </c>
      <c r="H308" s="20"/>
      <c r="I308" s="167">
        <f>IF(B308&gt;0,(Parametros!$H$11-'Calculo Intereses PERS NAT'!B308),0)</f>
        <v>0</v>
      </c>
      <c r="J308" s="168">
        <f>(F308-E308)*Parametros!$H$37/365*'Calculo Intereses PERS NAT'!I308</f>
        <v>0</v>
      </c>
      <c r="K308" s="169">
        <f t="shared" ref="K308:K321" si="37">+J308+K307</f>
        <v>91.295645205479445</v>
      </c>
    </row>
    <row r="309" spans="2:14" x14ac:dyDescent="0.25">
      <c r="B309" s="160"/>
      <c r="C309" s="221"/>
      <c r="D309" s="162"/>
      <c r="E309" s="159"/>
      <c r="F309" s="159"/>
      <c r="G309" s="165">
        <f>+G308+F309</f>
        <v>1669.7</v>
      </c>
      <c r="H309" s="20"/>
      <c r="I309" s="167">
        <f>IF(B309&gt;0,(Parametros!$H$11-'Calculo Intereses PERS NAT'!B309),0)</f>
        <v>0</v>
      </c>
      <c r="J309" s="168">
        <f>(F309-E309)*Parametros!$H$37/365*'Calculo Intereses PERS NAT'!I309</f>
        <v>0</v>
      </c>
      <c r="K309" s="169">
        <f t="shared" si="37"/>
        <v>91.295645205479445</v>
      </c>
    </row>
    <row r="310" spans="2:14" x14ac:dyDescent="0.25">
      <c r="B310" s="160"/>
      <c r="C310" s="161"/>
      <c r="D310" s="162"/>
      <c r="E310" s="159"/>
      <c r="F310" s="159"/>
      <c r="G310" s="165">
        <f>+G309+F310</f>
        <v>1669.7</v>
      </c>
      <c r="H310" s="20"/>
      <c r="I310" s="167">
        <f>IF(B310&gt;0,(Parametros!$H$11-'Calculo Intereses PERS NAT'!B310),0)</f>
        <v>0</v>
      </c>
      <c r="J310" s="168">
        <f>(F310-E310)*Parametros!$H$37/365*'Calculo Intereses PERS NAT'!I310</f>
        <v>0</v>
      </c>
      <c r="K310" s="169">
        <f t="shared" si="37"/>
        <v>91.295645205479445</v>
      </c>
    </row>
    <row r="311" spans="2:14" x14ac:dyDescent="0.25">
      <c r="B311" s="160"/>
      <c r="C311" s="221"/>
      <c r="D311" s="162"/>
      <c r="E311" s="159"/>
      <c r="F311" s="159"/>
      <c r="G311" s="165">
        <f>+G310+F311</f>
        <v>1669.7</v>
      </c>
      <c r="H311" s="20"/>
      <c r="I311" s="167">
        <f>IF(B311&gt;0,(Parametros!$H$11-'Calculo Intereses PERS NAT'!B311),0)</f>
        <v>0</v>
      </c>
      <c r="J311" s="168">
        <f>(F311-E311)*Parametros!$H$37/365*'Calculo Intereses PERS NAT'!I311</f>
        <v>0</v>
      </c>
      <c r="K311" s="169">
        <f t="shared" si="37"/>
        <v>91.295645205479445</v>
      </c>
    </row>
    <row r="312" spans="2:14" x14ac:dyDescent="0.25">
      <c r="B312" s="160"/>
      <c r="C312" s="161"/>
      <c r="D312" s="162"/>
      <c r="E312" s="159"/>
      <c r="F312" s="159"/>
      <c r="G312" s="165">
        <f t="shared" ref="G312:G320" si="38">+G311+F312</f>
        <v>1669.7</v>
      </c>
      <c r="H312" s="20"/>
      <c r="I312" s="167">
        <f>IF(B312&gt;0,(Parametros!$H$11-'Calculo Intereses PERS NAT'!B312),0)</f>
        <v>0</v>
      </c>
      <c r="J312" s="168">
        <f>(F312-E312)*Parametros!$H$37/365*'Calculo Intereses PERS NAT'!I312</f>
        <v>0</v>
      </c>
      <c r="K312" s="169">
        <f t="shared" si="37"/>
        <v>91.295645205479445</v>
      </c>
    </row>
    <row r="313" spans="2:14" x14ac:dyDescent="0.25">
      <c r="B313" s="160"/>
      <c r="C313" s="161"/>
      <c r="D313" s="163"/>
      <c r="E313" s="159"/>
      <c r="F313" s="159"/>
      <c r="G313" s="165">
        <f t="shared" si="38"/>
        <v>1669.7</v>
      </c>
      <c r="H313" s="20"/>
      <c r="I313" s="167">
        <f>IF(B313&gt;0,(Parametros!$H$11-'Calculo Intereses PERS NAT'!B313),0)</f>
        <v>0</v>
      </c>
      <c r="J313" s="168">
        <f>(F313-E313)*Parametros!$H$37/365*'Calculo Intereses PERS NAT'!I313</f>
        <v>0</v>
      </c>
      <c r="K313" s="169">
        <f t="shared" si="37"/>
        <v>91.295645205479445</v>
      </c>
    </row>
    <row r="314" spans="2:14" x14ac:dyDescent="0.25">
      <c r="B314" s="160"/>
      <c r="C314" s="161"/>
      <c r="D314" s="163"/>
      <c r="E314" s="159"/>
      <c r="F314" s="159"/>
      <c r="G314" s="165">
        <f t="shared" si="38"/>
        <v>1669.7</v>
      </c>
      <c r="H314" s="20"/>
      <c r="I314" s="167">
        <f>IF(B314&gt;0,(Parametros!$H$11-'Calculo Intereses PERS NAT'!B314),0)</f>
        <v>0</v>
      </c>
      <c r="J314" s="168">
        <f>(F314-E314)*Parametros!$H$37/365*'Calculo Intereses PERS NAT'!I314</f>
        <v>0</v>
      </c>
      <c r="K314" s="169">
        <f t="shared" si="37"/>
        <v>91.295645205479445</v>
      </c>
      <c r="N314" s="222"/>
    </row>
    <row r="315" spans="2:14" x14ac:dyDescent="0.25">
      <c r="B315" s="160"/>
      <c r="C315" s="161"/>
      <c r="D315" s="163"/>
      <c r="E315" s="159"/>
      <c r="F315" s="159"/>
      <c r="G315" s="165">
        <f t="shared" si="38"/>
        <v>1669.7</v>
      </c>
      <c r="H315" s="20"/>
      <c r="I315" s="167">
        <f>IF(B315&gt;0,(Parametros!$H$11-'Calculo Intereses PERS NAT'!B315),0)</f>
        <v>0</v>
      </c>
      <c r="J315" s="168">
        <f>(F315-E315)*Parametros!$H$37/365*'Calculo Intereses PERS NAT'!I315</f>
        <v>0</v>
      </c>
      <c r="K315" s="169">
        <f t="shared" si="37"/>
        <v>91.295645205479445</v>
      </c>
    </row>
    <row r="316" spans="2:14" x14ac:dyDescent="0.25">
      <c r="B316" s="160"/>
      <c r="C316" s="161"/>
      <c r="D316" s="163"/>
      <c r="E316" s="159"/>
      <c r="F316" s="159"/>
      <c r="G316" s="165">
        <f t="shared" si="38"/>
        <v>1669.7</v>
      </c>
      <c r="H316" s="20"/>
      <c r="I316" s="167">
        <f>IF(B316&gt;0,(Parametros!$H$11-'Calculo Intereses PERS NAT'!B316),0)</f>
        <v>0</v>
      </c>
      <c r="J316" s="168">
        <f>(F316-E316)*Parametros!$H$37/365*'Calculo Intereses PERS NAT'!I316</f>
        <v>0</v>
      </c>
      <c r="K316" s="169">
        <f t="shared" si="37"/>
        <v>91.295645205479445</v>
      </c>
    </row>
    <row r="317" spans="2:14" x14ac:dyDescent="0.25">
      <c r="B317" s="160"/>
      <c r="C317" s="161"/>
      <c r="D317" s="163"/>
      <c r="E317" s="159"/>
      <c r="F317" s="159"/>
      <c r="G317" s="165">
        <f t="shared" si="38"/>
        <v>1669.7</v>
      </c>
      <c r="H317" s="20"/>
      <c r="I317" s="167">
        <f>IF(B317&gt;0,(Parametros!$H$11-'Calculo Intereses PERS NAT'!B317),0)</f>
        <v>0</v>
      </c>
      <c r="J317" s="168">
        <f>(F317-E317)*Parametros!$H$37/365*'Calculo Intereses PERS NAT'!I317</f>
        <v>0</v>
      </c>
      <c r="K317" s="169">
        <f t="shared" si="37"/>
        <v>91.295645205479445</v>
      </c>
    </row>
    <row r="318" spans="2:14" x14ac:dyDescent="0.25">
      <c r="B318" s="160"/>
      <c r="C318" s="161"/>
      <c r="D318" s="163"/>
      <c r="E318" s="159"/>
      <c r="F318" s="159"/>
      <c r="G318" s="165">
        <f t="shared" si="38"/>
        <v>1669.7</v>
      </c>
      <c r="H318" s="20"/>
      <c r="I318" s="167">
        <f>IF(B318&gt;0,(Parametros!$H$11-'Calculo Intereses PERS NAT'!B318),0)</f>
        <v>0</v>
      </c>
      <c r="J318" s="168">
        <f>(F318-E318)*Parametros!$H$37/365*'Calculo Intereses PERS NAT'!I318</f>
        <v>0</v>
      </c>
      <c r="K318" s="169">
        <f t="shared" si="37"/>
        <v>91.295645205479445</v>
      </c>
    </row>
    <row r="319" spans="2:14" x14ac:dyDescent="0.25">
      <c r="B319" s="160"/>
      <c r="C319" s="161"/>
      <c r="D319" s="163"/>
      <c r="E319" s="159"/>
      <c r="F319" s="159"/>
      <c r="G319" s="165">
        <f t="shared" si="38"/>
        <v>1669.7</v>
      </c>
      <c r="H319" s="20"/>
      <c r="I319" s="167">
        <f>IF(B319&gt;0,(Parametros!$H$11-'Calculo Intereses PERS NAT'!B319),0)</f>
        <v>0</v>
      </c>
      <c r="J319" s="168">
        <f>(F319-E319)*Parametros!$H$37/365*'Calculo Intereses PERS NAT'!I319</f>
        <v>0</v>
      </c>
      <c r="K319" s="169">
        <f t="shared" si="37"/>
        <v>91.295645205479445</v>
      </c>
    </row>
    <row r="320" spans="2:14" x14ac:dyDescent="0.25">
      <c r="B320" s="160"/>
      <c r="C320" s="161"/>
      <c r="D320" s="163"/>
      <c r="E320" s="159"/>
      <c r="F320" s="159"/>
      <c r="G320" s="165">
        <f t="shared" si="38"/>
        <v>1669.7</v>
      </c>
      <c r="H320" s="20"/>
      <c r="I320" s="167">
        <f>IF(B320&gt;0,(Parametros!$H$11-'Calculo Intereses PERS NAT'!B320),0)</f>
        <v>0</v>
      </c>
      <c r="J320" s="168">
        <f>(F320-E320)*Parametros!$H$37/365*'Calculo Intereses PERS NAT'!I320</f>
        <v>0</v>
      </c>
      <c r="K320" s="169">
        <f t="shared" si="37"/>
        <v>91.295645205479445</v>
      </c>
    </row>
    <row r="321" spans="2:11" x14ac:dyDescent="0.25">
      <c r="B321" s="160"/>
      <c r="C321" s="161"/>
      <c r="D321" s="163"/>
      <c r="E321" s="159"/>
      <c r="F321" s="159"/>
      <c r="G321" s="165">
        <f>+G320+F321</f>
        <v>1669.7</v>
      </c>
      <c r="H321" s="20"/>
      <c r="I321" s="167">
        <f>IF(B321&gt;0,(Parametros!$H$11-'Calculo Intereses PERS NAT'!B321),0)</f>
        <v>0</v>
      </c>
      <c r="J321" s="168">
        <f>(F321-E321)*Parametros!$H$37/365*'Calculo Intereses PERS NAT'!I321</f>
        <v>0</v>
      </c>
      <c r="K321" s="169">
        <f t="shared" si="37"/>
        <v>91.295645205479445</v>
      </c>
    </row>
    <row r="322" spans="2:11" x14ac:dyDescent="0.25">
      <c r="B322" s="20"/>
      <c r="C322" s="20"/>
      <c r="D322" s="52"/>
      <c r="E322" s="166"/>
      <c r="F322" s="166">
        <f>SUM(F306:F321)</f>
        <v>1669.7</v>
      </c>
      <c r="G322" s="166">
        <f>+G321</f>
        <v>1669.7</v>
      </c>
      <c r="J322" s="170">
        <f>SUM(J306:J321)</f>
        <v>91.295645205479445</v>
      </c>
    </row>
    <row r="324" spans="2:11" x14ac:dyDescent="0.25">
      <c r="B324" s="172" t="str">
        <f>CONCATENATE("APORTACIONES Y CALCULO DE INTERESES CORRESPONDIENTES AL AÑO ",YEAR(Parametros!$H$11))</f>
        <v>APORTACIONES Y CALCULO DE INTERESES CORRESPONDIENTES AL AÑO 2015</v>
      </c>
      <c r="C324" s="53"/>
      <c r="D324" s="53"/>
      <c r="E324" s="54"/>
      <c r="F324" s="54"/>
      <c r="G324" s="54"/>
      <c r="H324" s="20"/>
      <c r="I324" s="55"/>
      <c r="J324" s="56"/>
      <c r="K324" s="20"/>
    </row>
    <row r="325" spans="2:11" x14ac:dyDescent="0.25">
      <c r="B325" s="69" t="s">
        <v>186</v>
      </c>
      <c r="C325" s="173" t="str">
        <f>+'Calculo Excedentes'!A68</f>
        <v>PN-16</v>
      </c>
      <c r="D325" s="171" t="s">
        <v>187</v>
      </c>
      <c r="E325" s="176" t="str">
        <f>+'Calculo Excedentes'!B68</f>
        <v>Oscar Eduardo Lima</v>
      </c>
      <c r="F325" s="174"/>
      <c r="G325" s="175"/>
      <c r="H325" s="20"/>
      <c r="I325" s="39" t="s">
        <v>73</v>
      </c>
      <c r="J325" s="39" t="s">
        <v>74</v>
      </c>
      <c r="K325" s="39" t="s">
        <v>75</v>
      </c>
    </row>
    <row r="326" spans="2:11" x14ac:dyDescent="0.25">
      <c r="B326" s="40" t="s">
        <v>76</v>
      </c>
      <c r="C326" s="40" t="s">
        <v>77</v>
      </c>
      <c r="D326" s="40" t="s">
        <v>78</v>
      </c>
      <c r="E326" s="40" t="s">
        <v>79</v>
      </c>
      <c r="F326" s="40" t="s">
        <v>80</v>
      </c>
      <c r="G326" s="40" t="s">
        <v>81</v>
      </c>
      <c r="H326" s="20"/>
      <c r="I326" s="42" t="s">
        <v>82</v>
      </c>
      <c r="J326" s="164" t="s">
        <v>185</v>
      </c>
      <c r="K326" s="42" t="s">
        <v>84</v>
      </c>
    </row>
    <row r="327" spans="2:11" x14ac:dyDescent="0.25">
      <c r="B327" s="158">
        <v>40543</v>
      </c>
      <c r="C327" s="161"/>
      <c r="D327" s="162"/>
      <c r="E327" s="159"/>
      <c r="F327" s="159">
        <v>799.99</v>
      </c>
      <c r="G327" s="165">
        <f>+F327-E327</f>
        <v>799.99</v>
      </c>
      <c r="H327" s="20"/>
      <c r="I327" s="167">
        <f>IF(B327&gt;0,(Parametros!$H$11-'Calculo Intereses PERS NAT'!B327),0)</f>
        <v>1826</v>
      </c>
      <c r="J327" s="168">
        <f>(F327-E327)*Parametros!$H$37/365*'Calculo Intereses PERS NAT'!I327</f>
        <v>220.11779643835618</v>
      </c>
      <c r="K327" s="169">
        <f>+J327</f>
        <v>220.11779643835618</v>
      </c>
    </row>
    <row r="328" spans="2:11" x14ac:dyDescent="0.25">
      <c r="B328" s="160">
        <v>42049</v>
      </c>
      <c r="C328" s="161"/>
      <c r="D328" s="162" t="s">
        <v>236</v>
      </c>
      <c r="E328" s="159"/>
      <c r="F328" s="159">
        <v>147.47</v>
      </c>
      <c r="G328" s="165">
        <f>+G327+F328-E328</f>
        <v>947.46</v>
      </c>
      <c r="H328" s="20"/>
      <c r="I328" s="167">
        <f>IF(B328&gt;0,(Parametros!$H$11-'Calculo Intereses PERS NAT'!B328),0)</f>
        <v>320</v>
      </c>
      <c r="J328" s="168">
        <f>(F328-E328)*Parametros!$H$37/365*'Calculo Intereses PERS NAT'!I328</f>
        <v>7.1108821917808207</v>
      </c>
      <c r="K328" s="169">
        <f>+J328+K327</f>
        <v>227.22867863013701</v>
      </c>
    </row>
    <row r="329" spans="2:11" x14ac:dyDescent="0.25">
      <c r="B329" s="160">
        <v>42369</v>
      </c>
      <c r="C329" s="161"/>
      <c r="D329" s="162" t="s">
        <v>88</v>
      </c>
      <c r="E329" s="159"/>
      <c r="F329" s="159">
        <v>112.43</v>
      </c>
      <c r="G329" s="165">
        <f>+G328+F329</f>
        <v>1059.8900000000001</v>
      </c>
      <c r="H329" s="20"/>
      <c r="I329" s="167">
        <f>IF(B329&gt;0,(Parametros!$H$11-'Calculo Intereses PERS NAT'!B329),0)</f>
        <v>0</v>
      </c>
      <c r="J329" s="168">
        <f>(F329-E329)*Parametros!$H$37/365*'Calculo Intereses PERS NAT'!I329</f>
        <v>0</v>
      </c>
      <c r="K329" s="169">
        <f t="shared" ref="K329:K342" si="39">+J329+K328</f>
        <v>227.22867863013701</v>
      </c>
    </row>
    <row r="330" spans="2:11" x14ac:dyDescent="0.25">
      <c r="B330" s="160"/>
      <c r="C330" s="161"/>
      <c r="D330" s="162"/>
      <c r="E330" s="159"/>
      <c r="F330" s="159"/>
      <c r="G330" s="165">
        <f>+G329+F330</f>
        <v>1059.8900000000001</v>
      </c>
      <c r="H330" s="20"/>
      <c r="I330" s="167">
        <f>IF(B330&gt;0,(Parametros!$H$11-'Calculo Intereses PERS NAT'!B330),0)</f>
        <v>0</v>
      </c>
      <c r="J330" s="168">
        <f>(F330-E330)*Parametros!$H$37/365*'Calculo Intereses PERS NAT'!I330</f>
        <v>0</v>
      </c>
      <c r="K330" s="169">
        <f t="shared" si="39"/>
        <v>227.22867863013701</v>
      </c>
    </row>
    <row r="331" spans="2:11" x14ac:dyDescent="0.25">
      <c r="B331" s="160"/>
      <c r="C331" s="161"/>
      <c r="D331" s="162"/>
      <c r="E331" s="159"/>
      <c r="F331" s="159"/>
      <c r="G331" s="165">
        <f>+G330+F331</f>
        <v>1059.8900000000001</v>
      </c>
      <c r="H331" s="20"/>
      <c r="I331" s="167">
        <f>IF(B331&gt;0,(Parametros!$H$11-'Calculo Intereses PERS NAT'!B331),0)</f>
        <v>0</v>
      </c>
      <c r="J331" s="168">
        <f>(F331-E331)*Parametros!$H$37/365*'Calculo Intereses PERS NAT'!I331</f>
        <v>0</v>
      </c>
      <c r="K331" s="169">
        <f t="shared" si="39"/>
        <v>227.22867863013701</v>
      </c>
    </row>
    <row r="332" spans="2:11" x14ac:dyDescent="0.25">
      <c r="B332" s="160"/>
      <c r="C332" s="161"/>
      <c r="D332" s="162"/>
      <c r="E332" s="159"/>
      <c r="F332" s="159"/>
      <c r="G332" s="165">
        <f>+G331+F332</f>
        <v>1059.8900000000001</v>
      </c>
      <c r="H332" s="20"/>
      <c r="I332" s="167">
        <f>IF(B332&gt;0,(Parametros!$H$11-'Calculo Intereses PERS NAT'!B332),0)</f>
        <v>0</v>
      </c>
      <c r="J332" s="168">
        <f>(F332-E332)*Parametros!$H$37/365*'Calculo Intereses PERS NAT'!I332</f>
        <v>0</v>
      </c>
      <c r="K332" s="169">
        <f t="shared" si="39"/>
        <v>227.22867863013701</v>
      </c>
    </row>
    <row r="333" spans="2:11" x14ac:dyDescent="0.25">
      <c r="B333" s="160"/>
      <c r="C333" s="161"/>
      <c r="D333" s="163"/>
      <c r="E333" s="159"/>
      <c r="F333" s="159"/>
      <c r="G333" s="165">
        <f t="shared" ref="G333:G341" si="40">+G332+F333</f>
        <v>1059.8900000000001</v>
      </c>
      <c r="H333" s="20"/>
      <c r="I333" s="167">
        <f>IF(B333&gt;0,(Parametros!$H$11-'Calculo Intereses PERS NAT'!B333),0)</f>
        <v>0</v>
      </c>
      <c r="J333" s="168">
        <f>(F333-E333)*Parametros!$H$37/365*'Calculo Intereses PERS NAT'!I333</f>
        <v>0</v>
      </c>
      <c r="K333" s="169">
        <f t="shared" si="39"/>
        <v>227.22867863013701</v>
      </c>
    </row>
    <row r="334" spans="2:11" x14ac:dyDescent="0.25">
      <c r="B334" s="160"/>
      <c r="C334" s="161"/>
      <c r="D334" s="163"/>
      <c r="E334" s="159"/>
      <c r="F334" s="159"/>
      <c r="G334" s="165">
        <f t="shared" si="40"/>
        <v>1059.8900000000001</v>
      </c>
      <c r="H334" s="20"/>
      <c r="I334" s="167">
        <f>IF(B334&gt;0,(Parametros!$H$11-'Calculo Intereses PERS NAT'!B334),0)</f>
        <v>0</v>
      </c>
      <c r="J334" s="168">
        <f>(F334-E334)*Parametros!$H$37/365*'Calculo Intereses PERS NAT'!I334</f>
        <v>0</v>
      </c>
      <c r="K334" s="169">
        <f t="shared" si="39"/>
        <v>227.22867863013701</v>
      </c>
    </row>
    <row r="335" spans="2:11" x14ac:dyDescent="0.25">
      <c r="B335" s="160"/>
      <c r="C335" s="161"/>
      <c r="D335" s="163"/>
      <c r="E335" s="159"/>
      <c r="F335" s="159"/>
      <c r="G335" s="165">
        <f t="shared" si="40"/>
        <v>1059.8900000000001</v>
      </c>
      <c r="H335" s="20"/>
      <c r="I335" s="167">
        <f>IF(B335&gt;0,(Parametros!$H$11-'Calculo Intereses PERS NAT'!B335),0)</f>
        <v>0</v>
      </c>
      <c r="J335" s="168">
        <f>(F335-E335)*Parametros!$H$37/365*'Calculo Intereses PERS NAT'!I335</f>
        <v>0</v>
      </c>
      <c r="K335" s="169">
        <f t="shared" si="39"/>
        <v>227.22867863013701</v>
      </c>
    </row>
    <row r="336" spans="2:11" x14ac:dyDescent="0.25">
      <c r="B336" s="160"/>
      <c r="C336" s="161"/>
      <c r="D336" s="163"/>
      <c r="E336" s="159"/>
      <c r="F336" s="159"/>
      <c r="G336" s="165">
        <f t="shared" si="40"/>
        <v>1059.8900000000001</v>
      </c>
      <c r="H336" s="20"/>
      <c r="I336" s="167">
        <f>IF(B336&gt;0,(Parametros!$H$11-'Calculo Intereses PERS NAT'!B336),0)</f>
        <v>0</v>
      </c>
      <c r="J336" s="168">
        <f>(F336-E336)*Parametros!$H$37/365*'Calculo Intereses PERS NAT'!I336</f>
        <v>0</v>
      </c>
      <c r="K336" s="169">
        <f t="shared" si="39"/>
        <v>227.22867863013701</v>
      </c>
    </row>
    <row r="337" spans="2:11" x14ac:dyDescent="0.25">
      <c r="B337" s="160"/>
      <c r="C337" s="161"/>
      <c r="D337" s="163"/>
      <c r="E337" s="159"/>
      <c r="F337" s="159"/>
      <c r="G337" s="165">
        <f t="shared" si="40"/>
        <v>1059.8900000000001</v>
      </c>
      <c r="H337" s="20"/>
      <c r="I337" s="167">
        <f>IF(B337&gt;0,(Parametros!$H$11-'Calculo Intereses PERS NAT'!B337),0)</f>
        <v>0</v>
      </c>
      <c r="J337" s="168">
        <f>(F337-E337)*Parametros!$H$37/365*'Calculo Intereses PERS NAT'!I337</f>
        <v>0</v>
      </c>
      <c r="K337" s="169">
        <f t="shared" si="39"/>
        <v>227.22867863013701</v>
      </c>
    </row>
    <row r="338" spans="2:11" x14ac:dyDescent="0.25">
      <c r="B338" s="160"/>
      <c r="C338" s="161"/>
      <c r="D338" s="163"/>
      <c r="E338" s="159"/>
      <c r="F338" s="159"/>
      <c r="G338" s="165">
        <f t="shared" si="40"/>
        <v>1059.8900000000001</v>
      </c>
      <c r="H338" s="20"/>
      <c r="I338" s="167">
        <f>IF(B338&gt;0,(Parametros!$H$11-'Calculo Intereses PERS NAT'!B338),0)</f>
        <v>0</v>
      </c>
      <c r="J338" s="168">
        <f>(F338-E338)*Parametros!$H$37/365*'Calculo Intereses PERS NAT'!I338</f>
        <v>0</v>
      </c>
      <c r="K338" s="169">
        <f t="shared" si="39"/>
        <v>227.22867863013701</v>
      </c>
    </row>
    <row r="339" spans="2:11" x14ac:dyDescent="0.25">
      <c r="B339" s="160"/>
      <c r="C339" s="161"/>
      <c r="D339" s="163"/>
      <c r="E339" s="159"/>
      <c r="F339" s="159"/>
      <c r="G339" s="165">
        <f t="shared" si="40"/>
        <v>1059.8900000000001</v>
      </c>
      <c r="H339" s="20"/>
      <c r="I339" s="167">
        <f>IF(B339&gt;0,(Parametros!$H$11-'Calculo Intereses PERS NAT'!B339),0)</f>
        <v>0</v>
      </c>
      <c r="J339" s="168">
        <f>(F339-E339)*Parametros!$H$37/365*'Calculo Intereses PERS NAT'!I339</f>
        <v>0</v>
      </c>
      <c r="K339" s="169">
        <f t="shared" si="39"/>
        <v>227.22867863013701</v>
      </c>
    </row>
    <row r="340" spans="2:11" x14ac:dyDescent="0.25">
      <c r="B340" s="160"/>
      <c r="C340" s="161"/>
      <c r="D340" s="163"/>
      <c r="E340" s="159"/>
      <c r="F340" s="159"/>
      <c r="G340" s="165">
        <f t="shared" si="40"/>
        <v>1059.8900000000001</v>
      </c>
      <c r="H340" s="20"/>
      <c r="I340" s="167">
        <f>IF(B340&gt;0,(Parametros!$H$11-'Calculo Intereses PERS NAT'!B340),0)</f>
        <v>0</v>
      </c>
      <c r="J340" s="168">
        <f>(F340-E340)*Parametros!$H$37/365*'Calculo Intereses PERS NAT'!I340</f>
        <v>0</v>
      </c>
      <c r="K340" s="169">
        <f t="shared" si="39"/>
        <v>227.22867863013701</v>
      </c>
    </row>
    <row r="341" spans="2:11" x14ac:dyDescent="0.25">
      <c r="B341" s="160"/>
      <c r="C341" s="161"/>
      <c r="D341" s="163"/>
      <c r="E341" s="159"/>
      <c r="F341" s="159"/>
      <c r="G341" s="165">
        <f t="shared" si="40"/>
        <v>1059.8900000000001</v>
      </c>
      <c r="H341" s="20"/>
      <c r="I341" s="167">
        <f>IF(B341&gt;0,(Parametros!$H$11-'Calculo Intereses PERS NAT'!B341),0)</f>
        <v>0</v>
      </c>
      <c r="J341" s="168">
        <f>(F341-E341)*Parametros!$H$37/365*'Calculo Intereses PERS NAT'!I341</f>
        <v>0</v>
      </c>
      <c r="K341" s="169">
        <f t="shared" si="39"/>
        <v>227.22867863013701</v>
      </c>
    </row>
    <row r="342" spans="2:11" x14ac:dyDescent="0.25">
      <c r="B342" s="160"/>
      <c r="C342" s="161"/>
      <c r="D342" s="163"/>
      <c r="E342" s="159"/>
      <c r="F342" s="159"/>
      <c r="G342" s="165">
        <f>+G341+F342</f>
        <v>1059.8900000000001</v>
      </c>
      <c r="H342" s="20"/>
      <c r="I342" s="167">
        <f>IF(B342&gt;0,(Parametros!$H$11-'Calculo Intereses PERS NAT'!B342),0)</f>
        <v>0</v>
      </c>
      <c r="J342" s="168">
        <f>(F342-E342)*Parametros!$H$37/365*'Calculo Intereses PERS NAT'!I342</f>
        <v>0</v>
      </c>
      <c r="K342" s="169">
        <f t="shared" si="39"/>
        <v>227.22867863013701</v>
      </c>
    </row>
    <row r="343" spans="2:11" x14ac:dyDescent="0.25">
      <c r="B343" s="20"/>
      <c r="C343" s="20"/>
      <c r="D343" s="52" t="s">
        <v>21</v>
      </c>
      <c r="E343" s="166">
        <f>SUM(E327:E342)</f>
        <v>0</v>
      </c>
      <c r="F343" s="166">
        <f>SUM(F327:F342)</f>
        <v>1059.8900000000001</v>
      </c>
      <c r="G343" s="166">
        <f>+G342</f>
        <v>1059.8900000000001</v>
      </c>
      <c r="J343" s="170">
        <f>SUM(J327:J342)</f>
        <v>227.22867863013701</v>
      </c>
    </row>
    <row r="345" spans="2:11" x14ac:dyDescent="0.25">
      <c r="B345" s="172" t="str">
        <f>CONCATENATE("APORTACIONES Y CALCULO DE INTERESES CORRESPONDIENTES AL AÑO ",YEAR(Parametros!$H$11))</f>
        <v>APORTACIONES Y CALCULO DE INTERESES CORRESPONDIENTES AL AÑO 2015</v>
      </c>
      <c r="C345" s="53"/>
      <c r="D345" s="53"/>
      <c r="E345" s="54"/>
      <c r="F345" s="54"/>
      <c r="G345" s="54"/>
      <c r="H345" s="20"/>
      <c r="I345" s="55"/>
      <c r="J345" s="56"/>
      <c r="K345" s="20"/>
    </row>
    <row r="346" spans="2:11" x14ac:dyDescent="0.25">
      <c r="B346" s="69" t="s">
        <v>186</v>
      </c>
      <c r="C346" s="173" t="str">
        <f>+'Calculo Excedentes'!A69</f>
        <v>PN-17</v>
      </c>
      <c r="D346" s="171" t="s">
        <v>187</v>
      </c>
      <c r="E346" s="176" t="str">
        <f>+'Calculo Excedentes'!B69</f>
        <v>Hermann Montalvo</v>
      </c>
      <c r="F346" s="174"/>
      <c r="G346" s="175"/>
      <c r="H346" s="20"/>
      <c r="I346" s="39" t="s">
        <v>73</v>
      </c>
      <c r="J346" s="39" t="s">
        <v>74</v>
      </c>
      <c r="K346" s="39" t="s">
        <v>75</v>
      </c>
    </row>
    <row r="347" spans="2:11" x14ac:dyDescent="0.25">
      <c r="B347" s="40" t="s">
        <v>76</v>
      </c>
      <c r="C347" s="40" t="s">
        <v>77</v>
      </c>
      <c r="D347" s="40" t="s">
        <v>78</v>
      </c>
      <c r="E347" s="40" t="s">
        <v>79</v>
      </c>
      <c r="F347" s="40" t="s">
        <v>80</v>
      </c>
      <c r="G347" s="40" t="s">
        <v>81</v>
      </c>
      <c r="H347" s="20"/>
      <c r="I347" s="42" t="s">
        <v>82</v>
      </c>
      <c r="J347" s="164" t="s">
        <v>185</v>
      </c>
      <c r="K347" s="42" t="s">
        <v>84</v>
      </c>
    </row>
    <row r="348" spans="2:11" x14ac:dyDescent="0.25">
      <c r="B348" s="158">
        <f>+Parametros!$H$11-365</f>
        <v>42004</v>
      </c>
      <c r="C348" s="161"/>
      <c r="D348" s="162"/>
      <c r="E348" s="159"/>
      <c r="F348" s="159">
        <v>114.29</v>
      </c>
      <c r="G348" s="165">
        <f>+F348-E348</f>
        <v>114.29</v>
      </c>
      <c r="H348" s="20"/>
      <c r="I348" s="167">
        <f>IF(B348&gt;0,(Parametros!$H$11-'Calculo Intereses PERS NAT'!B348),0)</f>
        <v>365</v>
      </c>
      <c r="J348" s="168">
        <f>(F348-E348)*Parametros!$H$37/365*'Calculo Intereses PERS NAT'!I348</f>
        <v>6.2859500000000006</v>
      </c>
      <c r="K348" s="169">
        <f>+J348</f>
        <v>6.2859500000000006</v>
      </c>
    </row>
    <row r="349" spans="2:11" x14ac:dyDescent="0.25">
      <c r="B349" s="160"/>
      <c r="C349" s="161"/>
      <c r="D349" s="162"/>
      <c r="E349" s="159"/>
      <c r="F349" s="159"/>
      <c r="G349" s="165">
        <f>+G348+F349-E349</f>
        <v>114.29</v>
      </c>
      <c r="H349" s="20"/>
      <c r="I349" s="167">
        <f>IF(B349&gt;0,(Parametros!$H$11-'Calculo Intereses PERS NAT'!B349),0)</f>
        <v>0</v>
      </c>
      <c r="J349" s="168">
        <f>(F349-E349)*Parametros!$H$37/365*'Calculo Intereses PERS NAT'!I349</f>
        <v>0</v>
      </c>
      <c r="K349" s="169">
        <f>+J349+K348</f>
        <v>6.2859500000000006</v>
      </c>
    </row>
    <row r="350" spans="2:11" x14ac:dyDescent="0.25">
      <c r="B350" s="160"/>
      <c r="C350" s="161"/>
      <c r="D350" s="162"/>
      <c r="E350" s="159"/>
      <c r="F350" s="159"/>
      <c r="G350" s="165">
        <f>+G349+F350</f>
        <v>114.29</v>
      </c>
      <c r="H350" s="20"/>
      <c r="I350" s="167">
        <f>IF(B350&gt;0,(Parametros!$H$11-'Calculo Intereses PERS NAT'!B350),0)</f>
        <v>0</v>
      </c>
      <c r="J350" s="168">
        <f>(F350-E350)*Parametros!$H$37/365*'Calculo Intereses PERS NAT'!I350</f>
        <v>0</v>
      </c>
      <c r="K350" s="169">
        <f t="shared" ref="K350:K363" si="41">+J350+K349</f>
        <v>6.2859500000000006</v>
      </c>
    </row>
    <row r="351" spans="2:11" x14ac:dyDescent="0.25">
      <c r="B351" s="160"/>
      <c r="C351" s="161"/>
      <c r="D351" s="162"/>
      <c r="E351" s="159"/>
      <c r="F351" s="159"/>
      <c r="G351" s="165">
        <f>+G350+F351</f>
        <v>114.29</v>
      </c>
      <c r="H351" s="20"/>
      <c r="I351" s="167">
        <f>IF(B351&gt;0,(Parametros!$H$11-'Calculo Intereses PERS NAT'!B351),0)</f>
        <v>0</v>
      </c>
      <c r="J351" s="168">
        <f>(F351-E351)*Parametros!$H$37/365*'Calculo Intereses PERS NAT'!I351</f>
        <v>0</v>
      </c>
      <c r="K351" s="169">
        <f t="shared" si="41"/>
        <v>6.2859500000000006</v>
      </c>
    </row>
    <row r="352" spans="2:11" x14ac:dyDescent="0.25">
      <c r="B352" s="160"/>
      <c r="C352" s="161"/>
      <c r="D352" s="162"/>
      <c r="E352" s="159"/>
      <c r="F352" s="159"/>
      <c r="G352" s="165">
        <f>+G351+F352</f>
        <v>114.29</v>
      </c>
      <c r="H352" s="20"/>
      <c r="I352" s="167">
        <f>IF(B352&gt;0,(Parametros!$H$11-'Calculo Intereses PERS NAT'!B352),0)</f>
        <v>0</v>
      </c>
      <c r="J352" s="168">
        <f>(F352-E352)*Parametros!$H$37/365*'Calculo Intereses PERS NAT'!I352</f>
        <v>0</v>
      </c>
      <c r="K352" s="169">
        <f t="shared" si="41"/>
        <v>6.2859500000000006</v>
      </c>
    </row>
    <row r="353" spans="2:11" x14ac:dyDescent="0.25">
      <c r="B353" s="160"/>
      <c r="C353" s="161"/>
      <c r="D353" s="162"/>
      <c r="E353" s="159"/>
      <c r="F353" s="159"/>
      <c r="G353" s="165">
        <f>+G352+F353</f>
        <v>114.29</v>
      </c>
      <c r="H353" s="20"/>
      <c r="I353" s="167">
        <f>IF(B353&gt;0,(Parametros!$H$11-'Calculo Intereses PERS NAT'!B353),0)</f>
        <v>0</v>
      </c>
      <c r="J353" s="168">
        <f>(F353-E353)*Parametros!$H$37/365*'Calculo Intereses PERS NAT'!I353</f>
        <v>0</v>
      </c>
      <c r="K353" s="169">
        <f t="shared" si="41"/>
        <v>6.2859500000000006</v>
      </c>
    </row>
    <row r="354" spans="2:11" x14ac:dyDescent="0.25">
      <c r="B354" s="160"/>
      <c r="C354" s="161"/>
      <c r="D354" s="163"/>
      <c r="E354" s="159"/>
      <c r="F354" s="159"/>
      <c r="G354" s="165">
        <f t="shared" ref="G354:G362" si="42">+G353+F354</f>
        <v>114.29</v>
      </c>
      <c r="H354" s="20"/>
      <c r="I354" s="167">
        <f>IF(B354&gt;0,(Parametros!$H$11-'Calculo Intereses PERS NAT'!B354),0)</f>
        <v>0</v>
      </c>
      <c r="J354" s="168">
        <f>(F354-E354)*Parametros!$H$37/365*'Calculo Intereses PERS NAT'!I354</f>
        <v>0</v>
      </c>
      <c r="K354" s="169">
        <f t="shared" si="41"/>
        <v>6.2859500000000006</v>
      </c>
    </row>
    <row r="355" spans="2:11" x14ac:dyDescent="0.25">
      <c r="B355" s="160"/>
      <c r="C355" s="161"/>
      <c r="D355" s="163"/>
      <c r="E355" s="159"/>
      <c r="F355" s="159"/>
      <c r="G355" s="165">
        <f t="shared" si="42"/>
        <v>114.29</v>
      </c>
      <c r="H355" s="20"/>
      <c r="I355" s="167">
        <f>IF(B355&gt;0,(Parametros!$H$11-'Calculo Intereses PERS NAT'!B355),0)</f>
        <v>0</v>
      </c>
      <c r="J355" s="168">
        <f>(F355-E355)*Parametros!$H$37/365*'Calculo Intereses PERS NAT'!I355</f>
        <v>0</v>
      </c>
      <c r="K355" s="169">
        <f t="shared" si="41"/>
        <v>6.2859500000000006</v>
      </c>
    </row>
    <row r="356" spans="2:11" x14ac:dyDescent="0.25">
      <c r="B356" s="160"/>
      <c r="C356" s="161"/>
      <c r="D356" s="163"/>
      <c r="E356" s="159"/>
      <c r="F356" s="159"/>
      <c r="G356" s="165">
        <f t="shared" si="42"/>
        <v>114.29</v>
      </c>
      <c r="H356" s="20"/>
      <c r="I356" s="167">
        <f>IF(B356&gt;0,(Parametros!$H$11-'Calculo Intereses PERS NAT'!B356),0)</f>
        <v>0</v>
      </c>
      <c r="J356" s="168">
        <f>(F356-E356)*Parametros!$H$37/365*'Calculo Intereses PERS NAT'!I356</f>
        <v>0</v>
      </c>
      <c r="K356" s="169">
        <f t="shared" si="41"/>
        <v>6.2859500000000006</v>
      </c>
    </row>
    <row r="357" spans="2:11" x14ac:dyDescent="0.25">
      <c r="B357" s="160"/>
      <c r="C357" s="161"/>
      <c r="D357" s="163"/>
      <c r="E357" s="159"/>
      <c r="F357" s="159"/>
      <c r="G357" s="165">
        <f t="shared" si="42"/>
        <v>114.29</v>
      </c>
      <c r="H357" s="20"/>
      <c r="I357" s="167">
        <f>IF(B357&gt;0,(Parametros!$H$11-'Calculo Intereses PERS NAT'!B357),0)</f>
        <v>0</v>
      </c>
      <c r="J357" s="168">
        <f>(F357-E357)*Parametros!$H$37/365*'Calculo Intereses PERS NAT'!I357</f>
        <v>0</v>
      </c>
      <c r="K357" s="169">
        <f t="shared" si="41"/>
        <v>6.2859500000000006</v>
      </c>
    </row>
    <row r="358" spans="2:11" x14ac:dyDescent="0.25">
      <c r="B358" s="160"/>
      <c r="C358" s="161"/>
      <c r="D358" s="163"/>
      <c r="E358" s="159"/>
      <c r="F358" s="159"/>
      <c r="G358" s="165">
        <f t="shared" si="42"/>
        <v>114.29</v>
      </c>
      <c r="H358" s="20"/>
      <c r="I358" s="167">
        <f>IF(B358&gt;0,(Parametros!$H$11-'Calculo Intereses PERS NAT'!B358),0)</f>
        <v>0</v>
      </c>
      <c r="J358" s="168">
        <f>(F358-E358)*Parametros!$H$37/365*'Calculo Intereses PERS NAT'!I358</f>
        <v>0</v>
      </c>
      <c r="K358" s="169">
        <f t="shared" si="41"/>
        <v>6.2859500000000006</v>
      </c>
    </row>
    <row r="359" spans="2:11" x14ac:dyDescent="0.25">
      <c r="B359" s="160"/>
      <c r="C359" s="161"/>
      <c r="D359" s="163"/>
      <c r="E359" s="159"/>
      <c r="F359" s="159"/>
      <c r="G359" s="165">
        <f t="shared" si="42"/>
        <v>114.29</v>
      </c>
      <c r="H359" s="20"/>
      <c r="I359" s="167">
        <f>IF(B359&gt;0,(Parametros!$H$11-'Calculo Intereses PERS NAT'!B359),0)</f>
        <v>0</v>
      </c>
      <c r="J359" s="168">
        <f>(F359-E359)*Parametros!$H$37/365*'Calculo Intereses PERS NAT'!I359</f>
        <v>0</v>
      </c>
      <c r="K359" s="169">
        <f t="shared" si="41"/>
        <v>6.2859500000000006</v>
      </c>
    </row>
    <row r="360" spans="2:11" x14ac:dyDescent="0.25">
      <c r="B360" s="160"/>
      <c r="C360" s="161"/>
      <c r="D360" s="163"/>
      <c r="E360" s="159"/>
      <c r="F360" s="159"/>
      <c r="G360" s="165">
        <f t="shared" si="42"/>
        <v>114.29</v>
      </c>
      <c r="H360" s="20"/>
      <c r="I360" s="167">
        <f>IF(B360&gt;0,(Parametros!$H$11-'Calculo Intereses PERS NAT'!B360),0)</f>
        <v>0</v>
      </c>
      <c r="J360" s="168">
        <f>(F360-E360)*Parametros!$H$37/365*'Calculo Intereses PERS NAT'!I360</f>
        <v>0</v>
      </c>
      <c r="K360" s="169">
        <f t="shared" si="41"/>
        <v>6.2859500000000006</v>
      </c>
    </row>
    <row r="361" spans="2:11" x14ac:dyDescent="0.25">
      <c r="B361" s="160"/>
      <c r="C361" s="161"/>
      <c r="D361" s="163"/>
      <c r="E361" s="159"/>
      <c r="F361" s="159"/>
      <c r="G361" s="165">
        <f t="shared" si="42"/>
        <v>114.29</v>
      </c>
      <c r="H361" s="20"/>
      <c r="I361" s="167">
        <f>IF(B361&gt;0,(Parametros!$H$11-'Calculo Intereses PERS NAT'!B361),0)</f>
        <v>0</v>
      </c>
      <c r="J361" s="168">
        <f>(F361-E361)*Parametros!$H$37/365*'Calculo Intereses PERS NAT'!I361</f>
        <v>0</v>
      </c>
      <c r="K361" s="169">
        <f t="shared" si="41"/>
        <v>6.2859500000000006</v>
      </c>
    </row>
    <row r="362" spans="2:11" x14ac:dyDescent="0.25">
      <c r="B362" s="160"/>
      <c r="C362" s="161"/>
      <c r="D362" s="163"/>
      <c r="E362" s="159"/>
      <c r="F362" s="159"/>
      <c r="G362" s="165">
        <f t="shared" si="42"/>
        <v>114.29</v>
      </c>
      <c r="H362" s="20"/>
      <c r="I362" s="167">
        <f>IF(B362&gt;0,(Parametros!$H$11-'Calculo Intereses PERS NAT'!B362),0)</f>
        <v>0</v>
      </c>
      <c r="J362" s="168">
        <f>(F362-E362)*Parametros!$H$37/365*'Calculo Intereses PERS NAT'!I362</f>
        <v>0</v>
      </c>
      <c r="K362" s="169">
        <f t="shared" si="41"/>
        <v>6.2859500000000006</v>
      </c>
    </row>
    <row r="363" spans="2:11" x14ac:dyDescent="0.25">
      <c r="B363" s="160"/>
      <c r="C363" s="161"/>
      <c r="D363" s="163"/>
      <c r="E363" s="159"/>
      <c r="F363" s="159"/>
      <c r="G363" s="165">
        <f>+G362+F363</f>
        <v>114.29</v>
      </c>
      <c r="H363" s="20"/>
      <c r="I363" s="167">
        <f>IF(B363&gt;0,(Parametros!$H$11-'Calculo Intereses PERS NAT'!B363),0)</f>
        <v>0</v>
      </c>
      <c r="J363" s="168">
        <f>(F363-E363)*Parametros!$H$37/365*'Calculo Intereses PERS NAT'!I363</f>
        <v>0</v>
      </c>
      <c r="K363" s="169">
        <f t="shared" si="41"/>
        <v>6.2859500000000006</v>
      </c>
    </row>
    <row r="364" spans="2:11" x14ac:dyDescent="0.25">
      <c r="B364" s="20"/>
      <c r="C364" s="20"/>
      <c r="D364" s="52" t="s">
        <v>21</v>
      </c>
      <c r="E364" s="166">
        <f>SUM(E348:E363)</f>
        <v>0</v>
      </c>
      <c r="F364" s="166">
        <f>SUM(F348:F363)</f>
        <v>114.29</v>
      </c>
      <c r="G364" s="166">
        <f>+G363</f>
        <v>114.29</v>
      </c>
      <c r="J364" s="170">
        <f>SUM(J348:J363)</f>
        <v>6.2859500000000006</v>
      </c>
    </row>
    <row r="366" spans="2:11" x14ac:dyDescent="0.25">
      <c r="B366" s="172" t="str">
        <f>CONCATENATE("APORTACIONES Y CALCULO DE INTERESES CORRESPONDIENTES AL AÑO ",YEAR(Parametros!$H$11))</f>
        <v>APORTACIONES Y CALCULO DE INTERESES CORRESPONDIENTES AL AÑO 2015</v>
      </c>
      <c r="C366" s="53"/>
      <c r="D366" s="53"/>
      <c r="E366" s="54"/>
      <c r="F366" s="54"/>
      <c r="G366" s="54"/>
      <c r="H366" s="20"/>
      <c r="I366" s="55"/>
      <c r="J366" s="56"/>
      <c r="K366" s="20"/>
    </row>
    <row r="367" spans="2:11" x14ac:dyDescent="0.25">
      <c r="B367" s="69" t="s">
        <v>186</v>
      </c>
      <c r="C367" s="173" t="str">
        <f>+'Calculo Excedentes'!A70</f>
        <v>PN-18</v>
      </c>
      <c r="D367" s="171" t="s">
        <v>187</v>
      </c>
      <c r="E367" s="176" t="str">
        <f>+'Calculo Excedentes'!B70</f>
        <v>Ana Mercedes Vásquez</v>
      </c>
      <c r="F367" s="174"/>
      <c r="G367" s="175"/>
      <c r="H367" s="20"/>
      <c r="I367" s="39" t="s">
        <v>73</v>
      </c>
      <c r="J367" s="39" t="s">
        <v>74</v>
      </c>
      <c r="K367" s="39" t="s">
        <v>75</v>
      </c>
    </row>
    <row r="368" spans="2:11" x14ac:dyDescent="0.25">
      <c r="B368" s="40" t="s">
        <v>76</v>
      </c>
      <c r="C368" s="40" t="s">
        <v>77</v>
      </c>
      <c r="D368" s="40" t="s">
        <v>78</v>
      </c>
      <c r="E368" s="40" t="s">
        <v>79</v>
      </c>
      <c r="F368" s="40" t="s">
        <v>80</v>
      </c>
      <c r="G368" s="40" t="s">
        <v>81</v>
      </c>
      <c r="H368" s="20"/>
      <c r="I368" s="42" t="s">
        <v>82</v>
      </c>
      <c r="J368" s="164" t="s">
        <v>185</v>
      </c>
      <c r="K368" s="42" t="s">
        <v>84</v>
      </c>
    </row>
    <row r="369" spans="2:11" x14ac:dyDescent="0.25">
      <c r="B369" s="158">
        <f>+Parametros!$H$11-365</f>
        <v>42004</v>
      </c>
      <c r="C369" s="161"/>
      <c r="D369" s="162"/>
      <c r="E369" s="159"/>
      <c r="F369" s="159">
        <v>0</v>
      </c>
      <c r="G369" s="165">
        <f>+F369-E369</f>
        <v>0</v>
      </c>
      <c r="H369" s="20"/>
      <c r="I369" s="167">
        <f>IF(B369&gt;0,(Parametros!$H$11-'Calculo Intereses PERS NAT'!B369),0)</f>
        <v>365</v>
      </c>
      <c r="J369" s="168">
        <f>(F369-E369)*Parametros!$H$37/365*'Calculo Intereses PERS NAT'!I369</f>
        <v>0</v>
      </c>
      <c r="K369" s="169">
        <f>+J369</f>
        <v>0</v>
      </c>
    </row>
    <row r="370" spans="2:11" x14ac:dyDescent="0.25">
      <c r="B370" s="160">
        <v>41692</v>
      </c>
      <c r="C370" s="161"/>
      <c r="D370" s="162" t="s">
        <v>236</v>
      </c>
      <c r="E370" s="159"/>
      <c r="F370" s="159">
        <v>0</v>
      </c>
      <c r="G370" s="165">
        <f>+G369+F370-E370</f>
        <v>0</v>
      </c>
      <c r="H370" s="20"/>
      <c r="I370" s="167">
        <f>IF(B370&gt;0,(Parametros!$H$11-'Calculo Intereses PERS NAT'!B370),0)</f>
        <v>677</v>
      </c>
      <c r="J370" s="168">
        <f>(F370-E370)*Parametros!$H$37/365*'Calculo Intereses PERS NAT'!I370</f>
        <v>0</v>
      </c>
      <c r="K370" s="169">
        <f>+J370+K369</f>
        <v>0</v>
      </c>
    </row>
    <row r="371" spans="2:11" x14ac:dyDescent="0.25">
      <c r="B371" s="160"/>
      <c r="C371" s="161"/>
      <c r="D371" s="162"/>
      <c r="E371" s="159"/>
      <c r="F371" s="159"/>
      <c r="G371" s="165">
        <f>+G370+F371</f>
        <v>0</v>
      </c>
      <c r="H371" s="20"/>
      <c r="I371" s="167">
        <f>IF(B371&gt;0,(Parametros!$H$11-'Calculo Intereses PERS NAT'!B371),0)</f>
        <v>0</v>
      </c>
      <c r="J371" s="168">
        <f>(F371-E371)*Parametros!$H$37/365*'Calculo Intereses PERS NAT'!I371</f>
        <v>0</v>
      </c>
      <c r="K371" s="169">
        <f t="shared" ref="K371:K384" si="43">+J371+K370</f>
        <v>0</v>
      </c>
    </row>
    <row r="372" spans="2:11" x14ac:dyDescent="0.25">
      <c r="B372" s="160"/>
      <c r="C372" s="161"/>
      <c r="D372" s="162"/>
      <c r="E372" s="159"/>
      <c r="F372" s="159"/>
      <c r="G372" s="165">
        <f>+G371+F372</f>
        <v>0</v>
      </c>
      <c r="H372" s="20"/>
      <c r="I372" s="167">
        <f>IF(B372&gt;0,(Parametros!$H$11-'Calculo Intereses PERS NAT'!B372),0)</f>
        <v>0</v>
      </c>
      <c r="J372" s="168">
        <f>(F372-E372)*Parametros!$H$37/365*'Calculo Intereses PERS NAT'!I372</f>
        <v>0</v>
      </c>
      <c r="K372" s="169">
        <f t="shared" si="43"/>
        <v>0</v>
      </c>
    </row>
    <row r="373" spans="2:11" x14ac:dyDescent="0.25">
      <c r="B373" s="160"/>
      <c r="C373" s="161"/>
      <c r="D373" s="162"/>
      <c r="E373" s="159"/>
      <c r="F373" s="159"/>
      <c r="G373" s="165">
        <f>+G372+F373</f>
        <v>0</v>
      </c>
      <c r="H373" s="20"/>
      <c r="I373" s="167">
        <f>IF(B373&gt;0,(Parametros!$H$11-'Calculo Intereses PERS NAT'!B373),0)</f>
        <v>0</v>
      </c>
      <c r="J373" s="168">
        <f>(F373-E373)*Parametros!$H$37/365*'Calculo Intereses PERS NAT'!I373</f>
        <v>0</v>
      </c>
      <c r="K373" s="169">
        <f t="shared" si="43"/>
        <v>0</v>
      </c>
    </row>
    <row r="374" spans="2:11" x14ac:dyDescent="0.25">
      <c r="B374" s="160"/>
      <c r="C374" s="161"/>
      <c r="D374" s="162"/>
      <c r="E374" s="159"/>
      <c r="F374" s="159"/>
      <c r="G374" s="165">
        <f>+G373+F374</f>
        <v>0</v>
      </c>
      <c r="H374" s="20"/>
      <c r="I374" s="167">
        <f>IF(B374&gt;0,(Parametros!$H$11-'Calculo Intereses PERS NAT'!B374),0)</f>
        <v>0</v>
      </c>
      <c r="J374" s="168">
        <f>(F374-E374)*Parametros!$H$37/365*'Calculo Intereses PERS NAT'!I374</f>
        <v>0</v>
      </c>
      <c r="K374" s="169">
        <f t="shared" si="43"/>
        <v>0</v>
      </c>
    </row>
    <row r="375" spans="2:11" x14ac:dyDescent="0.25">
      <c r="B375" s="160"/>
      <c r="C375" s="161"/>
      <c r="D375" s="163"/>
      <c r="E375" s="159"/>
      <c r="F375" s="159"/>
      <c r="G375" s="165">
        <f t="shared" ref="G375:G383" si="44">+G374+F375</f>
        <v>0</v>
      </c>
      <c r="H375" s="20"/>
      <c r="I375" s="167">
        <f>IF(B375&gt;0,(Parametros!$H$11-'Calculo Intereses PERS NAT'!B375),0)</f>
        <v>0</v>
      </c>
      <c r="J375" s="168">
        <f>(F375-E375)*Parametros!$H$37/365*'Calculo Intereses PERS NAT'!I375</f>
        <v>0</v>
      </c>
      <c r="K375" s="169">
        <f t="shared" si="43"/>
        <v>0</v>
      </c>
    </row>
    <row r="376" spans="2:11" x14ac:dyDescent="0.25">
      <c r="B376" s="160"/>
      <c r="C376" s="161"/>
      <c r="D376" s="163"/>
      <c r="E376" s="159"/>
      <c r="F376" s="159"/>
      <c r="G376" s="165">
        <f t="shared" si="44"/>
        <v>0</v>
      </c>
      <c r="H376" s="20"/>
      <c r="I376" s="167">
        <f>IF(B376&gt;0,(Parametros!$H$11-'Calculo Intereses PERS NAT'!B376),0)</f>
        <v>0</v>
      </c>
      <c r="J376" s="168">
        <f>(F376-E376)*Parametros!$H$37/365*'Calculo Intereses PERS NAT'!I376</f>
        <v>0</v>
      </c>
      <c r="K376" s="169">
        <f t="shared" si="43"/>
        <v>0</v>
      </c>
    </row>
    <row r="377" spans="2:11" x14ac:dyDescent="0.25">
      <c r="B377" s="160"/>
      <c r="C377" s="161"/>
      <c r="D377" s="163"/>
      <c r="E377" s="159"/>
      <c r="F377" s="159"/>
      <c r="G377" s="165">
        <f t="shared" si="44"/>
        <v>0</v>
      </c>
      <c r="H377" s="20"/>
      <c r="I377" s="167">
        <f>IF(B377&gt;0,(Parametros!$H$11-'Calculo Intereses PERS NAT'!B377),0)</f>
        <v>0</v>
      </c>
      <c r="J377" s="168">
        <f>(F377-E377)*Parametros!$H$37/365*'Calculo Intereses PERS NAT'!I377</f>
        <v>0</v>
      </c>
      <c r="K377" s="169">
        <f t="shared" si="43"/>
        <v>0</v>
      </c>
    </row>
    <row r="378" spans="2:11" x14ac:dyDescent="0.25">
      <c r="B378" s="160"/>
      <c r="C378" s="161"/>
      <c r="D378" s="163"/>
      <c r="E378" s="159"/>
      <c r="F378" s="159"/>
      <c r="G378" s="165">
        <f t="shared" si="44"/>
        <v>0</v>
      </c>
      <c r="H378" s="20"/>
      <c r="I378" s="167">
        <f>IF(B378&gt;0,(Parametros!$H$11-'Calculo Intereses PERS NAT'!B378),0)</f>
        <v>0</v>
      </c>
      <c r="J378" s="168">
        <f>(F378-E378)*Parametros!$H$37/365*'Calculo Intereses PERS NAT'!I378</f>
        <v>0</v>
      </c>
      <c r="K378" s="169">
        <f t="shared" si="43"/>
        <v>0</v>
      </c>
    </row>
    <row r="379" spans="2:11" x14ac:dyDescent="0.25">
      <c r="B379" s="160"/>
      <c r="C379" s="161"/>
      <c r="D379" s="163"/>
      <c r="E379" s="159"/>
      <c r="F379" s="159"/>
      <c r="G379" s="165">
        <f t="shared" si="44"/>
        <v>0</v>
      </c>
      <c r="H379" s="20"/>
      <c r="I379" s="167">
        <f>IF(B379&gt;0,(Parametros!$H$11-'Calculo Intereses PERS NAT'!B379),0)</f>
        <v>0</v>
      </c>
      <c r="J379" s="168">
        <f>(F379-E379)*Parametros!$H$37/365*'Calculo Intereses PERS NAT'!I379</f>
        <v>0</v>
      </c>
      <c r="K379" s="169">
        <f t="shared" si="43"/>
        <v>0</v>
      </c>
    </row>
    <row r="380" spans="2:11" x14ac:dyDescent="0.25">
      <c r="B380" s="160"/>
      <c r="C380" s="161"/>
      <c r="D380" s="163"/>
      <c r="E380" s="159"/>
      <c r="F380" s="159"/>
      <c r="G380" s="165">
        <f t="shared" si="44"/>
        <v>0</v>
      </c>
      <c r="H380" s="20"/>
      <c r="I380" s="167">
        <f>IF(B380&gt;0,(Parametros!$H$11-'Calculo Intereses PERS NAT'!B380),0)</f>
        <v>0</v>
      </c>
      <c r="J380" s="168">
        <f>(F380-E380)*Parametros!$H$37/365*'Calculo Intereses PERS NAT'!I380</f>
        <v>0</v>
      </c>
      <c r="K380" s="169">
        <f t="shared" si="43"/>
        <v>0</v>
      </c>
    </row>
    <row r="381" spans="2:11" x14ac:dyDescent="0.25">
      <c r="B381" s="160"/>
      <c r="C381" s="161"/>
      <c r="D381" s="163"/>
      <c r="E381" s="159"/>
      <c r="F381" s="159"/>
      <c r="G381" s="165">
        <f t="shared" si="44"/>
        <v>0</v>
      </c>
      <c r="H381" s="20"/>
      <c r="I381" s="167">
        <f>IF(B381&gt;0,(Parametros!$H$11-'Calculo Intereses PERS NAT'!B381),0)</f>
        <v>0</v>
      </c>
      <c r="J381" s="168">
        <f>(F381-E381)*Parametros!$H$37/365*'Calculo Intereses PERS NAT'!I381</f>
        <v>0</v>
      </c>
      <c r="K381" s="169">
        <f t="shared" si="43"/>
        <v>0</v>
      </c>
    </row>
    <row r="382" spans="2:11" x14ac:dyDescent="0.25">
      <c r="B382" s="160"/>
      <c r="C382" s="161"/>
      <c r="D382" s="163"/>
      <c r="E382" s="159"/>
      <c r="F382" s="159"/>
      <c r="G382" s="165">
        <f t="shared" si="44"/>
        <v>0</v>
      </c>
      <c r="H382" s="20"/>
      <c r="I382" s="167">
        <f>IF(B382&gt;0,(Parametros!$H$11-'Calculo Intereses PERS NAT'!B382),0)</f>
        <v>0</v>
      </c>
      <c r="J382" s="168">
        <f>(F382-E382)*Parametros!$H$37/365*'Calculo Intereses PERS NAT'!I382</f>
        <v>0</v>
      </c>
      <c r="K382" s="169">
        <f t="shared" si="43"/>
        <v>0</v>
      </c>
    </row>
    <row r="383" spans="2:11" x14ac:dyDescent="0.25">
      <c r="B383" s="160"/>
      <c r="C383" s="161"/>
      <c r="D383" s="163"/>
      <c r="E383" s="159"/>
      <c r="F383" s="159"/>
      <c r="G383" s="165">
        <f t="shared" si="44"/>
        <v>0</v>
      </c>
      <c r="H383" s="20"/>
      <c r="I383" s="167">
        <f>IF(B383&gt;0,(Parametros!$H$11-'Calculo Intereses PERS NAT'!B383),0)</f>
        <v>0</v>
      </c>
      <c r="J383" s="168">
        <f>(F383-E383)*Parametros!$H$37/365*'Calculo Intereses PERS NAT'!I383</f>
        <v>0</v>
      </c>
      <c r="K383" s="169">
        <f t="shared" si="43"/>
        <v>0</v>
      </c>
    </row>
    <row r="384" spans="2:11" x14ac:dyDescent="0.25">
      <c r="B384" s="160"/>
      <c r="C384" s="161"/>
      <c r="D384" s="163"/>
      <c r="E384" s="159"/>
      <c r="F384" s="159"/>
      <c r="G384" s="165">
        <f>+G383+F384</f>
        <v>0</v>
      </c>
      <c r="H384" s="20"/>
      <c r="I384" s="167">
        <f>IF(B384&gt;0,(Parametros!$H$11-'Calculo Intereses PERS NAT'!B384),0)</f>
        <v>0</v>
      </c>
      <c r="J384" s="168">
        <f>(F384-E384)*Parametros!$H$37/365*'Calculo Intereses PERS NAT'!I384</f>
        <v>0</v>
      </c>
      <c r="K384" s="169">
        <f t="shared" si="43"/>
        <v>0</v>
      </c>
    </row>
    <row r="385" spans="2:12" x14ac:dyDescent="0.25">
      <c r="B385" s="20"/>
      <c r="C385" s="20"/>
      <c r="D385" s="52" t="s">
        <v>21</v>
      </c>
      <c r="E385" s="166">
        <f>SUM(E369:E384)</f>
        <v>0</v>
      </c>
      <c r="F385" s="166">
        <f>SUM(F369:F384)</f>
        <v>0</v>
      </c>
      <c r="G385" s="166">
        <f>+G384</f>
        <v>0</v>
      </c>
      <c r="J385" s="170">
        <f>SUM(J369:J384)</f>
        <v>0</v>
      </c>
    </row>
    <row r="387" spans="2:12" x14ac:dyDescent="0.25">
      <c r="B387" s="172" t="str">
        <f>CONCATENATE("APORTACIONES Y CALCULO DE INTERESES CORRESPONDIENTES AL AÑO ",YEAR(Parametros!$H$11))</f>
        <v>APORTACIONES Y CALCULO DE INTERESES CORRESPONDIENTES AL AÑO 2015</v>
      </c>
      <c r="C387" s="53"/>
      <c r="D387" s="53"/>
      <c r="E387" s="54"/>
      <c r="F387" s="54"/>
      <c r="G387" s="54"/>
      <c r="H387" s="20"/>
      <c r="I387" s="55"/>
      <c r="J387" s="56"/>
      <c r="K387" s="20"/>
    </row>
    <row r="388" spans="2:12" x14ac:dyDescent="0.25">
      <c r="B388" s="69" t="s">
        <v>186</v>
      </c>
      <c r="C388" s="173" t="str">
        <f>+'Calculo Excedentes'!A71</f>
        <v>PN-19</v>
      </c>
      <c r="D388" s="171" t="s">
        <v>187</v>
      </c>
      <c r="E388" s="176" t="str">
        <f>+'Calculo Excedentes'!B71</f>
        <v>María Gertrudis Molina</v>
      </c>
      <c r="F388" s="174"/>
      <c r="G388" s="175"/>
      <c r="H388" s="20"/>
      <c r="I388" s="39" t="s">
        <v>73</v>
      </c>
      <c r="J388" s="39" t="s">
        <v>74</v>
      </c>
      <c r="K388" s="39" t="s">
        <v>75</v>
      </c>
    </row>
    <row r="389" spans="2:12" x14ac:dyDescent="0.25">
      <c r="B389" s="40" t="s">
        <v>76</v>
      </c>
      <c r="C389" s="40" t="s">
        <v>77</v>
      </c>
      <c r="D389" s="40" t="s">
        <v>78</v>
      </c>
      <c r="E389" s="40" t="s">
        <v>79</v>
      </c>
      <c r="F389" s="40" t="s">
        <v>80</v>
      </c>
      <c r="G389" s="40" t="s">
        <v>81</v>
      </c>
      <c r="H389" s="20"/>
      <c r="I389" s="42" t="s">
        <v>82</v>
      </c>
      <c r="J389" s="164" t="s">
        <v>185</v>
      </c>
      <c r="K389" s="42" t="s">
        <v>84</v>
      </c>
    </row>
    <row r="390" spans="2:12" x14ac:dyDescent="0.25">
      <c r="B390" s="158">
        <f>+Parametros!$H$11-365</f>
        <v>42004</v>
      </c>
      <c r="C390" s="161"/>
      <c r="D390" s="162"/>
      <c r="E390" s="159"/>
      <c r="F390" s="159">
        <f>1028.57-39.6</f>
        <v>988.96999999999991</v>
      </c>
      <c r="G390" s="165">
        <f>+F390-E390</f>
        <v>988.96999999999991</v>
      </c>
      <c r="H390" s="20"/>
      <c r="I390" s="167">
        <f>IF(B390&gt;0,(Parametros!$H$11-'Calculo Intereses PERS NAT'!B390),0)</f>
        <v>365</v>
      </c>
      <c r="J390" s="168">
        <f>(F390-E390)*Parametros!$H$37/365*'Calculo Intereses PERS NAT'!I390</f>
        <v>54.393349999999991</v>
      </c>
      <c r="K390" s="169">
        <f>+J390</f>
        <v>54.393349999999991</v>
      </c>
    </row>
    <row r="391" spans="2:12" x14ac:dyDescent="0.25">
      <c r="B391" s="160">
        <v>42049</v>
      </c>
      <c r="C391" s="221"/>
      <c r="D391" s="162" t="s">
        <v>236</v>
      </c>
      <c r="E391" s="159"/>
      <c r="F391" s="159">
        <v>67.73</v>
      </c>
      <c r="G391" s="165">
        <f>+G390+F391-E391</f>
        <v>1056.6999999999998</v>
      </c>
      <c r="H391" s="20"/>
      <c r="I391" s="167">
        <f>IF(B391&gt;0,(Parametros!$H$11-'Calculo Intereses PERS NAT'!B391),0)</f>
        <v>320</v>
      </c>
      <c r="J391" s="168">
        <f>(F391-E391)*Parametros!$H$37/365*'Calculo Intereses PERS NAT'!I391</f>
        <v>3.2658849315068492</v>
      </c>
      <c r="K391" s="169">
        <f>+J391+K390</f>
        <v>57.659234931506838</v>
      </c>
      <c r="L391">
        <v>911.96</v>
      </c>
    </row>
    <row r="392" spans="2:12" x14ac:dyDescent="0.25">
      <c r="B392" s="160"/>
      <c r="C392" s="221"/>
      <c r="D392" s="162"/>
      <c r="E392" s="159"/>
      <c r="F392" s="159"/>
      <c r="G392" s="165">
        <f>+G391+F392</f>
        <v>1056.6999999999998</v>
      </c>
      <c r="H392" s="20"/>
      <c r="I392" s="167">
        <f>IF(B392&gt;0,(Parametros!$H$11-'Calculo Intereses PERS NAT'!B392),0)</f>
        <v>0</v>
      </c>
      <c r="J392" s="168">
        <f>(F392-E392)*Parametros!$H$37/365*'Calculo Intereses PERS NAT'!I392</f>
        <v>0</v>
      </c>
      <c r="K392" s="169">
        <f t="shared" ref="K392:K405" si="45">+J392+K391</f>
        <v>57.659234931506838</v>
      </c>
      <c r="L392">
        <v>-48.86</v>
      </c>
    </row>
    <row r="393" spans="2:12" x14ac:dyDescent="0.25">
      <c r="B393" s="160"/>
      <c r="C393" s="221"/>
      <c r="D393" s="162"/>
      <c r="E393" s="159"/>
      <c r="F393" s="159"/>
      <c r="G393" s="165">
        <f>+G392+F393</f>
        <v>1056.6999999999998</v>
      </c>
      <c r="H393" s="20"/>
      <c r="I393" s="167">
        <f>IF(B393&gt;0,(Parametros!$H$11-'Calculo Intereses PERS NAT'!B393),0)</f>
        <v>0</v>
      </c>
      <c r="J393" s="168">
        <f>(F393-E393)*Parametros!$H$37/365*'Calculo Intereses PERS NAT'!I393</f>
        <v>0</v>
      </c>
      <c r="K393" s="169">
        <f t="shared" si="45"/>
        <v>57.659234931506838</v>
      </c>
      <c r="L393">
        <f>SUM(L391:L392)</f>
        <v>863.1</v>
      </c>
    </row>
    <row r="394" spans="2:12" x14ac:dyDescent="0.25">
      <c r="B394" s="160"/>
      <c r="C394" s="161"/>
      <c r="D394" s="162"/>
      <c r="E394" s="159"/>
      <c r="F394" s="159"/>
      <c r="G394" s="165">
        <f>+G393+F394</f>
        <v>1056.6999999999998</v>
      </c>
      <c r="H394" s="20"/>
      <c r="I394" s="167">
        <f>IF(B394&gt;0,(Parametros!$H$11-'Calculo Intereses PERS NAT'!B394),0)</f>
        <v>0</v>
      </c>
      <c r="J394" s="168">
        <f>(F394-E394)*Parametros!$H$37/365*'Calculo Intereses PERS NAT'!I394</f>
        <v>0</v>
      </c>
      <c r="K394" s="169">
        <f t="shared" si="45"/>
        <v>57.659234931506838</v>
      </c>
    </row>
    <row r="395" spans="2:12" x14ac:dyDescent="0.25">
      <c r="B395" s="160"/>
      <c r="C395" s="161"/>
      <c r="D395" s="162"/>
      <c r="E395" s="159"/>
      <c r="F395" s="159"/>
      <c r="G395" s="165">
        <f>+G394+F395</f>
        <v>1056.6999999999998</v>
      </c>
      <c r="H395" s="20"/>
      <c r="I395" s="167">
        <f>IF(B395&gt;0,(Parametros!$H$11-'Calculo Intereses PERS NAT'!B395),0)</f>
        <v>0</v>
      </c>
      <c r="J395" s="168">
        <f>(F395-E395)*Parametros!$H$37/365*'Calculo Intereses PERS NAT'!I395</f>
        <v>0</v>
      </c>
      <c r="K395" s="169">
        <f t="shared" si="45"/>
        <v>57.659234931506838</v>
      </c>
    </row>
    <row r="396" spans="2:12" x14ac:dyDescent="0.25">
      <c r="B396" s="160"/>
      <c r="C396" s="161"/>
      <c r="D396" s="163"/>
      <c r="E396" s="159"/>
      <c r="F396" s="159"/>
      <c r="G396" s="165">
        <f t="shared" ref="G396:G404" si="46">+G395+F396</f>
        <v>1056.6999999999998</v>
      </c>
      <c r="H396" s="20"/>
      <c r="I396" s="167">
        <f>IF(B396&gt;0,(Parametros!$H$11-'Calculo Intereses PERS NAT'!B396),0)</f>
        <v>0</v>
      </c>
      <c r="J396" s="168">
        <f>(F396-E396)*Parametros!$H$37/365*'Calculo Intereses PERS NAT'!I396</f>
        <v>0</v>
      </c>
      <c r="K396" s="169">
        <f t="shared" si="45"/>
        <v>57.659234931506838</v>
      </c>
    </row>
    <row r="397" spans="2:12" x14ac:dyDescent="0.25">
      <c r="B397" s="160"/>
      <c r="C397" s="161"/>
      <c r="D397" s="163"/>
      <c r="E397" s="159"/>
      <c r="F397" s="159"/>
      <c r="G397" s="165">
        <f t="shared" si="46"/>
        <v>1056.6999999999998</v>
      </c>
      <c r="H397" s="20"/>
      <c r="I397" s="167">
        <f>IF(B397&gt;0,(Parametros!$H$11-'Calculo Intereses PERS NAT'!B397),0)</f>
        <v>0</v>
      </c>
      <c r="J397" s="168">
        <f>(F397-E397)*Parametros!$H$37/365*'Calculo Intereses PERS NAT'!I397</f>
        <v>0</v>
      </c>
      <c r="K397" s="169">
        <f t="shared" si="45"/>
        <v>57.659234931506838</v>
      </c>
    </row>
    <row r="398" spans="2:12" x14ac:dyDescent="0.25">
      <c r="B398" s="160"/>
      <c r="C398" s="161"/>
      <c r="D398" s="163"/>
      <c r="E398" s="159"/>
      <c r="F398" s="159"/>
      <c r="G398" s="165">
        <f t="shared" si="46"/>
        <v>1056.6999999999998</v>
      </c>
      <c r="H398" s="20"/>
      <c r="I398" s="167">
        <f>IF(B398&gt;0,(Parametros!$H$11-'Calculo Intereses PERS NAT'!B398),0)</f>
        <v>0</v>
      </c>
      <c r="J398" s="168">
        <f>(F398-E398)*Parametros!$H$37/365*'Calculo Intereses PERS NAT'!I398</f>
        <v>0</v>
      </c>
      <c r="K398" s="169">
        <f t="shared" si="45"/>
        <v>57.659234931506838</v>
      </c>
    </row>
    <row r="399" spans="2:12" x14ac:dyDescent="0.25">
      <c r="B399" s="160"/>
      <c r="C399" s="161"/>
      <c r="D399" s="163"/>
      <c r="E399" s="159"/>
      <c r="F399" s="159"/>
      <c r="G399" s="165">
        <f t="shared" si="46"/>
        <v>1056.6999999999998</v>
      </c>
      <c r="H399" s="20"/>
      <c r="I399" s="167">
        <f>IF(B399&gt;0,(Parametros!$H$11-'Calculo Intereses PERS NAT'!B399),0)</f>
        <v>0</v>
      </c>
      <c r="J399" s="168">
        <f>(F399-E399)*Parametros!$H$37/365*'Calculo Intereses PERS NAT'!I399</f>
        <v>0</v>
      </c>
      <c r="K399" s="169">
        <f t="shared" si="45"/>
        <v>57.659234931506838</v>
      </c>
    </row>
    <row r="400" spans="2:12" x14ac:dyDescent="0.25">
      <c r="B400" s="160"/>
      <c r="C400" s="161"/>
      <c r="D400" s="163"/>
      <c r="E400" s="159"/>
      <c r="F400" s="159"/>
      <c r="G400" s="165">
        <f t="shared" si="46"/>
        <v>1056.6999999999998</v>
      </c>
      <c r="H400" s="20"/>
      <c r="I400" s="167">
        <f>IF(B400&gt;0,(Parametros!$H$11-'Calculo Intereses PERS NAT'!B400),0)</f>
        <v>0</v>
      </c>
      <c r="J400" s="168">
        <f>(F400-E400)*Parametros!$H$37/365*'Calculo Intereses PERS NAT'!I400</f>
        <v>0</v>
      </c>
      <c r="K400" s="169">
        <f t="shared" si="45"/>
        <v>57.659234931506838</v>
      </c>
    </row>
    <row r="401" spans="2:13" x14ac:dyDescent="0.25">
      <c r="B401" s="160"/>
      <c r="C401" s="161"/>
      <c r="D401" s="163"/>
      <c r="E401" s="159"/>
      <c r="F401" s="159"/>
      <c r="G401" s="165">
        <f t="shared" si="46"/>
        <v>1056.6999999999998</v>
      </c>
      <c r="H401" s="20"/>
      <c r="I401" s="167">
        <f>IF(B401&gt;0,(Parametros!$H$11-'Calculo Intereses PERS NAT'!B401),0)</f>
        <v>0</v>
      </c>
      <c r="J401" s="168">
        <f>(F401-E401)*Parametros!$H$37/365*'Calculo Intereses PERS NAT'!I401</f>
        <v>0</v>
      </c>
      <c r="K401" s="169">
        <f t="shared" si="45"/>
        <v>57.659234931506838</v>
      </c>
    </row>
    <row r="402" spans="2:13" x14ac:dyDescent="0.25">
      <c r="B402" s="160"/>
      <c r="C402" s="161"/>
      <c r="D402" s="163"/>
      <c r="E402" s="159"/>
      <c r="F402" s="159"/>
      <c r="G402" s="165">
        <f t="shared" si="46"/>
        <v>1056.6999999999998</v>
      </c>
      <c r="H402" s="20"/>
      <c r="I402" s="167">
        <f>IF(B402&gt;0,(Parametros!$H$11-'Calculo Intereses PERS NAT'!B402),0)</f>
        <v>0</v>
      </c>
      <c r="J402" s="168">
        <f>(F402-E402)*Parametros!$H$37/365*'Calculo Intereses PERS NAT'!I402</f>
        <v>0</v>
      </c>
      <c r="K402" s="169">
        <f t="shared" si="45"/>
        <v>57.659234931506838</v>
      </c>
    </row>
    <row r="403" spans="2:13" x14ac:dyDescent="0.25">
      <c r="B403" s="160"/>
      <c r="C403" s="161"/>
      <c r="D403" s="163"/>
      <c r="E403" s="159"/>
      <c r="F403" s="159"/>
      <c r="G403" s="165">
        <f t="shared" si="46"/>
        <v>1056.6999999999998</v>
      </c>
      <c r="H403" s="20"/>
      <c r="I403" s="167">
        <f>IF(B403&gt;0,(Parametros!$H$11-'Calculo Intereses PERS NAT'!B403),0)</f>
        <v>0</v>
      </c>
      <c r="J403" s="168">
        <f>(F403-E403)*Parametros!$H$37/365*'Calculo Intereses PERS NAT'!I403</f>
        <v>0</v>
      </c>
      <c r="K403" s="169">
        <f t="shared" si="45"/>
        <v>57.659234931506838</v>
      </c>
    </row>
    <row r="404" spans="2:13" x14ac:dyDescent="0.25">
      <c r="B404" s="160"/>
      <c r="C404" s="161"/>
      <c r="D404" s="163"/>
      <c r="E404" s="159"/>
      <c r="F404" s="159"/>
      <c r="G404" s="165">
        <f t="shared" si="46"/>
        <v>1056.6999999999998</v>
      </c>
      <c r="H404" s="20"/>
      <c r="I404" s="167">
        <f>IF(B404&gt;0,(Parametros!$H$11-'Calculo Intereses PERS NAT'!B404),0)</f>
        <v>0</v>
      </c>
      <c r="J404" s="168">
        <f>(F404-E404)*Parametros!$H$37/365*'Calculo Intereses PERS NAT'!I404</f>
        <v>0</v>
      </c>
      <c r="K404" s="169">
        <f t="shared" si="45"/>
        <v>57.659234931506838</v>
      </c>
    </row>
    <row r="405" spans="2:13" x14ac:dyDescent="0.25">
      <c r="B405" s="160"/>
      <c r="C405" s="161"/>
      <c r="D405" s="163"/>
      <c r="E405" s="159"/>
      <c r="F405" s="159"/>
      <c r="G405" s="165">
        <f>+G404+F405</f>
        <v>1056.6999999999998</v>
      </c>
      <c r="H405" s="20"/>
      <c r="I405" s="167">
        <f>IF(B405&gt;0,(Parametros!$H$11-'Calculo Intereses PERS NAT'!B405),0)</f>
        <v>0</v>
      </c>
      <c r="J405" s="168">
        <f>(F405-E405)*Parametros!$H$37/365*'Calculo Intereses PERS NAT'!I405</f>
        <v>0</v>
      </c>
      <c r="K405" s="169">
        <f t="shared" si="45"/>
        <v>57.659234931506838</v>
      </c>
    </row>
    <row r="406" spans="2:13" x14ac:dyDescent="0.25">
      <c r="B406" s="20"/>
      <c r="C406" s="20"/>
      <c r="D406" s="52" t="s">
        <v>21</v>
      </c>
      <c r="E406" s="166">
        <f>SUM(E390:E405)</f>
        <v>0</v>
      </c>
      <c r="F406" s="166">
        <f>SUM(F390:F405)</f>
        <v>1056.6999999999998</v>
      </c>
      <c r="G406" s="166">
        <f>+G405</f>
        <v>1056.6999999999998</v>
      </c>
      <c r="J406" s="170">
        <f>SUM(J390:J405)</f>
        <v>57.659234931506838</v>
      </c>
    </row>
    <row r="408" spans="2:13" x14ac:dyDescent="0.25">
      <c r="B408" s="172" t="str">
        <f>CONCATENATE("APORTACIONES Y CALCULO DE INTERESES CORRESPONDIENTES AL AÑO ",YEAR(Parametros!$H$11))</f>
        <v>APORTACIONES Y CALCULO DE INTERESES CORRESPONDIENTES AL AÑO 2015</v>
      </c>
      <c r="C408" s="53"/>
      <c r="D408" s="53"/>
      <c r="E408" s="54"/>
      <c r="F408" s="54"/>
      <c r="G408" s="54"/>
      <c r="H408" s="20"/>
      <c r="I408" s="55"/>
      <c r="J408" s="56"/>
      <c r="K408" s="20"/>
    </row>
    <row r="409" spans="2:13" x14ac:dyDescent="0.25">
      <c r="B409" s="69" t="s">
        <v>186</v>
      </c>
      <c r="C409" s="173" t="str">
        <f>+'Calculo Excedentes'!A72</f>
        <v>PN-20</v>
      </c>
      <c r="D409" s="171" t="s">
        <v>187</v>
      </c>
      <c r="E409" s="176" t="str">
        <f>+'Calculo Excedentes'!B72</f>
        <v>Claudio Eugenio Barahona</v>
      </c>
      <c r="F409" s="174"/>
      <c r="G409" s="175"/>
      <c r="H409" s="20"/>
      <c r="I409" s="39" t="s">
        <v>73</v>
      </c>
      <c r="J409" s="39" t="s">
        <v>74</v>
      </c>
      <c r="K409" s="39" t="s">
        <v>75</v>
      </c>
    </row>
    <row r="410" spans="2:13" x14ac:dyDescent="0.25">
      <c r="B410" s="40" t="s">
        <v>76</v>
      </c>
      <c r="C410" s="40" t="s">
        <v>77</v>
      </c>
      <c r="D410" s="40" t="s">
        <v>78</v>
      </c>
      <c r="E410" s="40" t="s">
        <v>79</v>
      </c>
      <c r="F410" s="40" t="s">
        <v>80</v>
      </c>
      <c r="G410" s="40" t="s">
        <v>81</v>
      </c>
      <c r="H410" s="20"/>
      <c r="I410" s="42" t="s">
        <v>82</v>
      </c>
      <c r="J410" s="164" t="s">
        <v>185</v>
      </c>
      <c r="K410" s="42" t="s">
        <v>84</v>
      </c>
      <c r="M410">
        <f>1000/8.75</f>
        <v>114.28571428571429</v>
      </c>
    </row>
    <row r="411" spans="2:13" x14ac:dyDescent="0.25">
      <c r="B411" s="158">
        <f>+Parametros!$H$11-365</f>
        <v>42004</v>
      </c>
      <c r="C411" s="161"/>
      <c r="D411" s="162"/>
      <c r="E411" s="159"/>
      <c r="F411" s="159">
        <v>1600</v>
      </c>
      <c r="G411" s="165">
        <f>+F411-E411</f>
        <v>1600</v>
      </c>
      <c r="H411" s="20"/>
      <c r="I411" s="167">
        <f>IF(B411&gt;0,(Parametros!$H$11-'Calculo Intereses PERS NAT'!B411),0)</f>
        <v>365</v>
      </c>
      <c r="J411" s="168">
        <f>(F411-E411)*Parametros!$H$37/365*'Calculo Intereses PERS NAT'!I411</f>
        <v>88</v>
      </c>
      <c r="K411" s="169">
        <f>+J411</f>
        <v>88</v>
      </c>
    </row>
    <row r="412" spans="2:13" x14ac:dyDescent="0.25">
      <c r="B412" s="160">
        <v>42049</v>
      </c>
      <c r="C412" s="221"/>
      <c r="D412" s="162" t="s">
        <v>236</v>
      </c>
      <c r="E412" s="159"/>
      <c r="F412" s="159">
        <v>202.29</v>
      </c>
      <c r="G412" s="165">
        <f>+G411+F412-E412</f>
        <v>1802.29</v>
      </c>
      <c r="H412" s="20"/>
      <c r="I412" s="167">
        <f>IF(B412&gt;0,(Parametros!$H$11-'Calculo Intereses PERS NAT'!B412),0)</f>
        <v>320</v>
      </c>
      <c r="J412" s="168">
        <f>(F412-E412)*Parametros!$H$37/365*'Calculo Intereses PERS NAT'!I412</f>
        <v>9.7542575342465749</v>
      </c>
      <c r="K412" s="169">
        <f>+J412+K411</f>
        <v>97.754257534246577</v>
      </c>
      <c r="M412">
        <f>+G414/M410</f>
        <v>15.770037499999999</v>
      </c>
    </row>
    <row r="413" spans="2:13" x14ac:dyDescent="0.25">
      <c r="B413" s="160"/>
      <c r="C413" s="221"/>
      <c r="D413" s="162"/>
      <c r="E413" s="159"/>
      <c r="F413" s="159"/>
      <c r="G413" s="165">
        <f>+G412+F413</f>
        <v>1802.29</v>
      </c>
      <c r="H413" s="20"/>
      <c r="I413" s="167">
        <f>IF(B413&gt;0,(Parametros!$H$11-'Calculo Intereses PERS NAT'!B413),0)</f>
        <v>0</v>
      </c>
      <c r="J413" s="168">
        <f>(F413-E413)*Parametros!$H$37/365*'Calculo Intereses PERS NAT'!I413</f>
        <v>0</v>
      </c>
      <c r="K413" s="169">
        <f t="shared" ref="K413:K426" si="47">+J413+K412</f>
        <v>97.754257534246577</v>
      </c>
      <c r="M413" s="94">
        <f>+G416-1594.59</f>
        <v>207.70000000000005</v>
      </c>
    </row>
    <row r="414" spans="2:13" x14ac:dyDescent="0.25">
      <c r="B414" s="160"/>
      <c r="C414" s="221"/>
      <c r="D414" s="162"/>
      <c r="E414" s="159"/>
      <c r="F414" s="159"/>
      <c r="G414" s="165">
        <f>+G413+F414</f>
        <v>1802.29</v>
      </c>
      <c r="H414" s="20"/>
      <c r="I414" s="167">
        <f>IF(B414&gt;0,(Parametros!$H$11-'Calculo Intereses PERS NAT'!B414),0)</f>
        <v>0</v>
      </c>
      <c r="J414" s="168">
        <f>(F414-E414)*Parametros!$H$37/365*'Calculo Intereses PERS NAT'!I414</f>
        <v>0</v>
      </c>
      <c r="K414" s="169">
        <f t="shared" si="47"/>
        <v>97.754257534246577</v>
      </c>
    </row>
    <row r="415" spans="2:13" x14ac:dyDescent="0.25">
      <c r="B415" s="160"/>
      <c r="C415" s="161"/>
      <c r="D415" s="162"/>
      <c r="E415" s="159"/>
      <c r="F415" s="159"/>
      <c r="G415" s="165">
        <f>+G414+F415</f>
        <v>1802.29</v>
      </c>
      <c r="H415" s="20"/>
      <c r="I415" s="167">
        <f>IF(B415&gt;0,(Parametros!$H$11-'Calculo Intereses PERS NAT'!B415),0)</f>
        <v>0</v>
      </c>
      <c r="J415" s="168">
        <f>(F415-E415)*Parametros!$H$37/365*'Calculo Intereses PERS NAT'!I415</f>
        <v>0</v>
      </c>
      <c r="K415" s="169">
        <f t="shared" si="47"/>
        <v>97.754257534246577</v>
      </c>
    </row>
    <row r="416" spans="2:13" x14ac:dyDescent="0.25">
      <c r="B416" s="160"/>
      <c r="C416" s="161"/>
      <c r="D416" s="162"/>
      <c r="E416" s="159"/>
      <c r="F416" s="159"/>
      <c r="G416" s="165">
        <f>+G415+F416</f>
        <v>1802.29</v>
      </c>
      <c r="H416" s="20"/>
      <c r="I416" s="167">
        <f>IF(B416&gt;0,(Parametros!$H$11-'Calculo Intereses PERS NAT'!B416),0)</f>
        <v>0</v>
      </c>
      <c r="J416" s="168">
        <f>(F416-E416)*Parametros!$H$37/365*'Calculo Intereses PERS NAT'!I416</f>
        <v>0</v>
      </c>
      <c r="K416" s="169">
        <f t="shared" si="47"/>
        <v>97.754257534246577</v>
      </c>
    </row>
    <row r="417" spans="2:11" x14ac:dyDescent="0.25">
      <c r="B417" s="160"/>
      <c r="C417" s="161"/>
      <c r="D417" s="163"/>
      <c r="E417" s="159"/>
      <c r="F417" s="159"/>
      <c r="G417" s="165">
        <f t="shared" ref="G417:G425" si="48">+G416+F417</f>
        <v>1802.29</v>
      </c>
      <c r="H417" s="20"/>
      <c r="I417" s="167">
        <f>IF(B417&gt;0,(Parametros!$H$11-'Calculo Intereses PERS NAT'!B417),0)</f>
        <v>0</v>
      </c>
      <c r="J417" s="168">
        <f>(F417-E417)*Parametros!$H$37/365*'Calculo Intereses PERS NAT'!I417</f>
        <v>0</v>
      </c>
      <c r="K417" s="169">
        <f t="shared" si="47"/>
        <v>97.754257534246577</v>
      </c>
    </row>
    <row r="418" spans="2:11" x14ac:dyDescent="0.25">
      <c r="B418" s="160"/>
      <c r="C418" s="161"/>
      <c r="D418" s="163"/>
      <c r="E418" s="159"/>
      <c r="F418" s="159"/>
      <c r="G418" s="165">
        <f t="shared" si="48"/>
        <v>1802.29</v>
      </c>
      <c r="H418" s="20"/>
      <c r="I418" s="167">
        <f>IF(B418&gt;0,(Parametros!$H$11-'Calculo Intereses PERS NAT'!B418),0)</f>
        <v>0</v>
      </c>
      <c r="J418" s="168">
        <f>(F418-E418)*Parametros!$H$37/365*'Calculo Intereses PERS NAT'!I418</f>
        <v>0</v>
      </c>
      <c r="K418" s="169">
        <f t="shared" si="47"/>
        <v>97.754257534246577</v>
      </c>
    </row>
    <row r="419" spans="2:11" x14ac:dyDescent="0.25">
      <c r="B419" s="160"/>
      <c r="C419" s="161"/>
      <c r="D419" s="163"/>
      <c r="E419" s="159"/>
      <c r="F419" s="159"/>
      <c r="G419" s="165">
        <f t="shared" si="48"/>
        <v>1802.29</v>
      </c>
      <c r="H419" s="20"/>
      <c r="I419" s="167">
        <f>IF(B419&gt;0,(Parametros!$H$11-'Calculo Intereses PERS NAT'!B419),0)</f>
        <v>0</v>
      </c>
      <c r="J419" s="168">
        <f>(F419-E419)*Parametros!$H$37/365*'Calculo Intereses PERS NAT'!I419</f>
        <v>0</v>
      </c>
      <c r="K419" s="169">
        <f t="shared" si="47"/>
        <v>97.754257534246577</v>
      </c>
    </row>
    <row r="420" spans="2:11" x14ac:dyDescent="0.25">
      <c r="B420" s="160"/>
      <c r="C420" s="161"/>
      <c r="D420" s="163"/>
      <c r="E420" s="159"/>
      <c r="F420" s="159"/>
      <c r="G420" s="165">
        <f t="shared" si="48"/>
        <v>1802.29</v>
      </c>
      <c r="H420" s="20"/>
      <c r="I420" s="167">
        <f>IF(B420&gt;0,(Parametros!$H$11-'Calculo Intereses PERS NAT'!B420),0)</f>
        <v>0</v>
      </c>
      <c r="J420" s="168">
        <f>(F420-E420)*Parametros!$H$37/365*'Calculo Intereses PERS NAT'!I420</f>
        <v>0</v>
      </c>
      <c r="K420" s="169">
        <f t="shared" si="47"/>
        <v>97.754257534246577</v>
      </c>
    </row>
    <row r="421" spans="2:11" x14ac:dyDescent="0.25">
      <c r="B421" s="160"/>
      <c r="C421" s="161"/>
      <c r="D421" s="163"/>
      <c r="E421" s="159"/>
      <c r="F421" s="159"/>
      <c r="G421" s="165">
        <f t="shared" si="48"/>
        <v>1802.29</v>
      </c>
      <c r="H421" s="20"/>
      <c r="I421" s="167">
        <f>IF(B421&gt;0,(Parametros!$H$11-'Calculo Intereses PERS NAT'!B421),0)</f>
        <v>0</v>
      </c>
      <c r="J421" s="168">
        <f>(F421-E421)*Parametros!$H$37/365*'Calculo Intereses PERS NAT'!I421</f>
        <v>0</v>
      </c>
      <c r="K421" s="169">
        <f t="shared" si="47"/>
        <v>97.754257534246577</v>
      </c>
    </row>
    <row r="422" spans="2:11" x14ac:dyDescent="0.25">
      <c r="B422" s="160"/>
      <c r="C422" s="161"/>
      <c r="D422" s="163"/>
      <c r="E422" s="159"/>
      <c r="F422" s="159"/>
      <c r="G422" s="165">
        <f t="shared" si="48"/>
        <v>1802.29</v>
      </c>
      <c r="H422" s="20"/>
      <c r="I422" s="167">
        <f>IF(B422&gt;0,(Parametros!$H$11-'Calculo Intereses PERS NAT'!B422),0)</f>
        <v>0</v>
      </c>
      <c r="J422" s="168">
        <f>(F422-E422)*Parametros!$H$37/365*'Calculo Intereses PERS NAT'!I422</f>
        <v>0</v>
      </c>
      <c r="K422" s="169">
        <f t="shared" si="47"/>
        <v>97.754257534246577</v>
      </c>
    </row>
    <row r="423" spans="2:11" x14ac:dyDescent="0.25">
      <c r="B423" s="160"/>
      <c r="C423" s="161"/>
      <c r="D423" s="163"/>
      <c r="E423" s="159"/>
      <c r="F423" s="159"/>
      <c r="G423" s="165">
        <f t="shared" si="48"/>
        <v>1802.29</v>
      </c>
      <c r="H423" s="20"/>
      <c r="I423" s="167">
        <f>IF(B423&gt;0,(Parametros!$H$11-'Calculo Intereses PERS NAT'!B423),0)</f>
        <v>0</v>
      </c>
      <c r="J423" s="168">
        <f>(F423-E423)*Parametros!$H$37/365*'Calculo Intereses PERS NAT'!I423</f>
        <v>0</v>
      </c>
      <c r="K423" s="169">
        <f t="shared" si="47"/>
        <v>97.754257534246577</v>
      </c>
    </row>
    <row r="424" spans="2:11" x14ac:dyDescent="0.25">
      <c r="B424" s="160"/>
      <c r="C424" s="161"/>
      <c r="D424" s="163"/>
      <c r="E424" s="159"/>
      <c r="F424" s="159"/>
      <c r="G424" s="165">
        <f t="shared" si="48"/>
        <v>1802.29</v>
      </c>
      <c r="H424" s="20"/>
      <c r="I424" s="167">
        <f>IF(B424&gt;0,(Parametros!$H$11-'Calculo Intereses PERS NAT'!B424),0)</f>
        <v>0</v>
      </c>
      <c r="J424" s="168">
        <f>(F424-E424)*Parametros!$H$37/365*'Calculo Intereses PERS NAT'!I424</f>
        <v>0</v>
      </c>
      <c r="K424" s="169">
        <f t="shared" si="47"/>
        <v>97.754257534246577</v>
      </c>
    </row>
    <row r="425" spans="2:11" x14ac:dyDescent="0.25">
      <c r="B425" s="160"/>
      <c r="C425" s="161"/>
      <c r="D425" s="163"/>
      <c r="E425" s="159"/>
      <c r="F425" s="159"/>
      <c r="G425" s="165">
        <f t="shared" si="48"/>
        <v>1802.29</v>
      </c>
      <c r="H425" s="20"/>
      <c r="I425" s="167">
        <f>IF(B425&gt;0,(Parametros!$H$11-'Calculo Intereses PERS NAT'!B425),0)</f>
        <v>0</v>
      </c>
      <c r="J425" s="168">
        <f>(F425-E425)*Parametros!$H$37/365*'Calculo Intereses PERS NAT'!I425</f>
        <v>0</v>
      </c>
      <c r="K425" s="169">
        <f t="shared" si="47"/>
        <v>97.754257534246577</v>
      </c>
    </row>
    <row r="426" spans="2:11" x14ac:dyDescent="0.25">
      <c r="B426" s="160"/>
      <c r="C426" s="161"/>
      <c r="D426" s="163"/>
      <c r="E426" s="159"/>
      <c r="F426" s="159"/>
      <c r="G426" s="165">
        <f>+G425+F426</f>
        <v>1802.29</v>
      </c>
      <c r="H426" s="20"/>
      <c r="I426" s="167">
        <f>IF(B426&gt;0,(Parametros!$H$11-'Calculo Intereses PERS NAT'!B426),0)</f>
        <v>0</v>
      </c>
      <c r="J426" s="168">
        <f>(F426-E426)*Parametros!$H$37/365*'Calculo Intereses PERS NAT'!I426</f>
        <v>0</v>
      </c>
      <c r="K426" s="169">
        <f t="shared" si="47"/>
        <v>97.754257534246577</v>
      </c>
    </row>
    <row r="427" spans="2:11" x14ac:dyDescent="0.25">
      <c r="B427" s="20"/>
      <c r="C427" s="20"/>
      <c r="D427" s="52" t="s">
        <v>21</v>
      </c>
      <c r="E427" s="166">
        <f>SUM(E411:E426)</f>
        <v>0</v>
      </c>
      <c r="F427" s="166">
        <f>SUM(F411:F426)</f>
        <v>1802.29</v>
      </c>
      <c r="G427" s="166">
        <f>+G426</f>
        <v>1802.29</v>
      </c>
      <c r="J427" s="170">
        <f>SUM(J411:J426)</f>
        <v>97.754257534246577</v>
      </c>
    </row>
    <row r="429" spans="2:11" x14ac:dyDescent="0.25">
      <c r="B429" s="172" t="str">
        <f>CONCATENATE("APORTACIONES Y CALCULO DE INTERESES CORRESPONDIENTES AL AÑO ",YEAR(Parametros!$H$11))</f>
        <v>APORTACIONES Y CALCULO DE INTERESES CORRESPONDIENTES AL AÑO 2015</v>
      </c>
      <c r="C429" s="53"/>
      <c r="D429" s="53"/>
      <c r="E429" s="54"/>
      <c r="F429" s="54"/>
      <c r="G429" s="54"/>
      <c r="H429" s="20"/>
      <c r="I429" s="55"/>
      <c r="J429" s="56"/>
      <c r="K429" s="20"/>
    </row>
    <row r="430" spans="2:11" x14ac:dyDescent="0.25">
      <c r="B430" s="69" t="s">
        <v>186</v>
      </c>
      <c r="C430" s="173" t="str">
        <f>+'Calculo Excedentes'!A73</f>
        <v>PN-21</v>
      </c>
      <c r="D430" s="171" t="s">
        <v>187</v>
      </c>
      <c r="E430" s="176" t="str">
        <f>+'Calculo Excedentes'!B73</f>
        <v>Romelia Contreras</v>
      </c>
      <c r="F430" s="174"/>
      <c r="G430" s="175"/>
      <c r="H430" s="20"/>
      <c r="I430" s="39" t="s">
        <v>73</v>
      </c>
      <c r="J430" s="39" t="s">
        <v>74</v>
      </c>
      <c r="K430" s="39" t="s">
        <v>75</v>
      </c>
    </row>
    <row r="431" spans="2:11" x14ac:dyDescent="0.25">
      <c r="B431" s="40" t="s">
        <v>76</v>
      </c>
      <c r="C431" s="40" t="s">
        <v>77</v>
      </c>
      <c r="D431" s="40" t="s">
        <v>78</v>
      </c>
      <c r="E431" s="40" t="s">
        <v>79</v>
      </c>
      <c r="F431" s="40" t="s">
        <v>80</v>
      </c>
      <c r="G431" s="40" t="s">
        <v>81</v>
      </c>
      <c r="H431" s="20"/>
      <c r="I431" s="42" t="s">
        <v>82</v>
      </c>
      <c r="J431" s="164" t="s">
        <v>185</v>
      </c>
      <c r="K431" s="42" t="s">
        <v>84</v>
      </c>
    </row>
    <row r="432" spans="2:11" x14ac:dyDescent="0.25">
      <c r="B432" s="158">
        <f>+Parametros!$H$11-365</f>
        <v>42004</v>
      </c>
      <c r="C432" s="161"/>
      <c r="D432" s="162"/>
      <c r="E432" s="159"/>
      <c r="F432" s="159">
        <v>1600.02</v>
      </c>
      <c r="G432" s="165">
        <f>+F432-E432</f>
        <v>1600.02</v>
      </c>
      <c r="H432" s="20"/>
      <c r="I432" s="167">
        <f>IF(B432&gt;0,(Parametros!$H$11-'Calculo Intereses PERS NAT'!B432),0)</f>
        <v>365</v>
      </c>
      <c r="J432" s="168">
        <f>(F432-E432)*Parametros!$H$37/365*'Calculo Intereses PERS NAT'!I432</f>
        <v>88.001099999999994</v>
      </c>
      <c r="K432" s="169">
        <f>+J432</f>
        <v>88.001099999999994</v>
      </c>
    </row>
    <row r="433" spans="2:11" x14ac:dyDescent="0.25">
      <c r="B433" s="160">
        <v>42049</v>
      </c>
      <c r="C433" s="161"/>
      <c r="D433" s="162" t="s">
        <v>236</v>
      </c>
      <c r="E433" s="159"/>
      <c r="F433" s="159">
        <v>154.53</v>
      </c>
      <c r="G433" s="165">
        <f>+G432+F433-E433</f>
        <v>1754.55</v>
      </c>
      <c r="H433" s="20"/>
      <c r="I433" s="167">
        <f>IF(B433&gt;0,(Parametros!$H$11-'Calculo Intereses PERS NAT'!B433),0)</f>
        <v>320</v>
      </c>
      <c r="J433" s="168">
        <f>(F433-E433)*Parametros!$H$37/365*'Calculo Intereses PERS NAT'!I433</f>
        <v>7.4513095890410961</v>
      </c>
      <c r="K433" s="169">
        <f>+J433+K432</f>
        <v>95.452409589041096</v>
      </c>
    </row>
    <row r="434" spans="2:11" x14ac:dyDescent="0.25">
      <c r="B434" s="160"/>
      <c r="C434" s="161"/>
      <c r="D434" s="162"/>
      <c r="E434" s="159"/>
      <c r="F434" s="159"/>
      <c r="G434" s="165">
        <f>+G433+F434</f>
        <v>1754.55</v>
      </c>
      <c r="H434" s="20"/>
      <c r="I434" s="167">
        <f>IF(B434&gt;0,(Parametros!$H$11-'Calculo Intereses PERS NAT'!B434),0)</f>
        <v>0</v>
      </c>
      <c r="J434" s="168">
        <f>(F434-E434)*Parametros!$H$37/365*'Calculo Intereses PERS NAT'!I434</f>
        <v>0</v>
      </c>
      <c r="K434" s="169">
        <f t="shared" ref="K434:K447" si="49">+J434+K433</f>
        <v>95.452409589041096</v>
      </c>
    </row>
    <row r="435" spans="2:11" x14ac:dyDescent="0.25">
      <c r="B435" s="160"/>
      <c r="C435" s="161"/>
      <c r="D435" s="162"/>
      <c r="E435" s="159"/>
      <c r="F435" s="159"/>
      <c r="G435" s="165">
        <f>+G434+F435</f>
        <v>1754.55</v>
      </c>
      <c r="H435" s="20"/>
      <c r="I435" s="167">
        <f>IF(B435&gt;0,(Parametros!$H$11-'Calculo Intereses PERS NAT'!B435),0)</f>
        <v>0</v>
      </c>
      <c r="J435" s="168">
        <f>(F435-E435)*Parametros!$H$37/365*'Calculo Intereses PERS NAT'!I435</f>
        <v>0</v>
      </c>
      <c r="K435" s="169">
        <f t="shared" si="49"/>
        <v>95.452409589041096</v>
      </c>
    </row>
    <row r="436" spans="2:11" x14ac:dyDescent="0.25">
      <c r="B436" s="160"/>
      <c r="C436" s="161"/>
      <c r="D436" s="162"/>
      <c r="E436" s="159"/>
      <c r="F436" s="159"/>
      <c r="G436" s="165">
        <f>+G435+F436</f>
        <v>1754.55</v>
      </c>
      <c r="H436" s="20"/>
      <c r="I436" s="167">
        <f>IF(B436&gt;0,(Parametros!$H$11-'Calculo Intereses PERS NAT'!B436),0)</f>
        <v>0</v>
      </c>
      <c r="J436" s="168">
        <f>(F436-E436)*Parametros!$H$37/365*'Calculo Intereses PERS NAT'!I436</f>
        <v>0</v>
      </c>
      <c r="K436" s="169">
        <f t="shared" si="49"/>
        <v>95.452409589041096</v>
      </c>
    </row>
    <row r="437" spans="2:11" x14ac:dyDescent="0.25">
      <c r="B437" s="160"/>
      <c r="C437" s="161"/>
      <c r="D437" s="162"/>
      <c r="E437" s="159"/>
      <c r="F437" s="159"/>
      <c r="G437" s="165">
        <f>+G436+F437</f>
        <v>1754.55</v>
      </c>
      <c r="H437" s="20"/>
      <c r="I437" s="167">
        <f>IF(B437&gt;0,(Parametros!$H$11-'Calculo Intereses PERS NAT'!B437),0)</f>
        <v>0</v>
      </c>
      <c r="J437" s="168">
        <f>(F437-E437)*Parametros!$H$37/365*'Calculo Intereses PERS NAT'!I437</f>
        <v>0</v>
      </c>
      <c r="K437" s="169">
        <f t="shared" si="49"/>
        <v>95.452409589041096</v>
      </c>
    </row>
    <row r="438" spans="2:11" x14ac:dyDescent="0.25">
      <c r="B438" s="160"/>
      <c r="C438" s="161"/>
      <c r="D438" s="163"/>
      <c r="E438" s="159"/>
      <c r="F438" s="159"/>
      <c r="G438" s="165">
        <f t="shared" ref="G438:G446" si="50">+G437+F438</f>
        <v>1754.55</v>
      </c>
      <c r="H438" s="20"/>
      <c r="I438" s="167">
        <f>IF(B438&gt;0,(Parametros!$H$11-'Calculo Intereses PERS NAT'!B438),0)</f>
        <v>0</v>
      </c>
      <c r="J438" s="168">
        <f>(F438-E438)*Parametros!$H$37/365*'Calculo Intereses PERS NAT'!I438</f>
        <v>0</v>
      </c>
      <c r="K438" s="169">
        <f t="shared" si="49"/>
        <v>95.452409589041096</v>
      </c>
    </row>
    <row r="439" spans="2:11" x14ac:dyDescent="0.25">
      <c r="B439" s="160"/>
      <c r="C439" s="161"/>
      <c r="D439" s="163"/>
      <c r="E439" s="159"/>
      <c r="F439" s="159"/>
      <c r="G439" s="165">
        <f t="shared" si="50"/>
        <v>1754.55</v>
      </c>
      <c r="H439" s="20"/>
      <c r="I439" s="167">
        <f>IF(B439&gt;0,(Parametros!$H$11-'Calculo Intereses PERS NAT'!B439),0)</f>
        <v>0</v>
      </c>
      <c r="J439" s="168">
        <f>(F439-E439)*Parametros!$H$37/365*'Calculo Intereses PERS NAT'!I439</f>
        <v>0</v>
      </c>
      <c r="K439" s="169">
        <f t="shared" si="49"/>
        <v>95.452409589041096</v>
      </c>
    </row>
    <row r="440" spans="2:11" x14ac:dyDescent="0.25">
      <c r="B440" s="160"/>
      <c r="C440" s="161"/>
      <c r="D440" s="163"/>
      <c r="E440" s="159"/>
      <c r="F440" s="159"/>
      <c r="G440" s="165">
        <f t="shared" si="50"/>
        <v>1754.55</v>
      </c>
      <c r="H440" s="20"/>
      <c r="I440" s="167">
        <f>IF(B440&gt;0,(Parametros!$H$11-'Calculo Intereses PERS NAT'!B440),0)</f>
        <v>0</v>
      </c>
      <c r="J440" s="168">
        <f>(F440-E440)*Parametros!$H$37/365*'Calculo Intereses PERS NAT'!I440</f>
        <v>0</v>
      </c>
      <c r="K440" s="169">
        <f t="shared" si="49"/>
        <v>95.452409589041096</v>
      </c>
    </row>
    <row r="441" spans="2:11" x14ac:dyDescent="0.25">
      <c r="B441" s="160"/>
      <c r="C441" s="161"/>
      <c r="D441" s="163"/>
      <c r="E441" s="159"/>
      <c r="F441" s="159"/>
      <c r="G441" s="165">
        <f t="shared" si="50"/>
        <v>1754.55</v>
      </c>
      <c r="H441" s="20"/>
      <c r="I441" s="167">
        <f>IF(B441&gt;0,(Parametros!$H$11-'Calculo Intereses PERS NAT'!B441),0)</f>
        <v>0</v>
      </c>
      <c r="J441" s="168">
        <f>(F441-E441)*Parametros!$H$37/365*'Calculo Intereses PERS NAT'!I441</f>
        <v>0</v>
      </c>
      <c r="K441" s="169">
        <f t="shared" si="49"/>
        <v>95.452409589041096</v>
      </c>
    </row>
    <row r="442" spans="2:11" x14ac:dyDescent="0.25">
      <c r="B442" s="160"/>
      <c r="C442" s="161"/>
      <c r="D442" s="163"/>
      <c r="E442" s="159"/>
      <c r="F442" s="159"/>
      <c r="G442" s="165">
        <f t="shared" si="50"/>
        <v>1754.55</v>
      </c>
      <c r="H442" s="20"/>
      <c r="I442" s="167">
        <f>IF(B442&gt;0,(Parametros!$H$11-'Calculo Intereses PERS NAT'!B442),0)</f>
        <v>0</v>
      </c>
      <c r="J442" s="168">
        <f>(F442-E442)*Parametros!$H$37/365*'Calculo Intereses PERS NAT'!I442</f>
        <v>0</v>
      </c>
      <c r="K442" s="169">
        <f t="shared" si="49"/>
        <v>95.452409589041096</v>
      </c>
    </row>
    <row r="443" spans="2:11" x14ac:dyDescent="0.25">
      <c r="B443" s="160"/>
      <c r="C443" s="161"/>
      <c r="D443" s="163"/>
      <c r="E443" s="159"/>
      <c r="F443" s="159"/>
      <c r="G443" s="165">
        <f t="shared" si="50"/>
        <v>1754.55</v>
      </c>
      <c r="H443" s="20"/>
      <c r="I443" s="167">
        <f>IF(B443&gt;0,(Parametros!$H$11-'Calculo Intereses PERS NAT'!B443),0)</f>
        <v>0</v>
      </c>
      <c r="J443" s="168">
        <f>(F443-E443)*Parametros!$H$37/365*'Calculo Intereses PERS NAT'!I443</f>
        <v>0</v>
      </c>
      <c r="K443" s="169">
        <f t="shared" si="49"/>
        <v>95.452409589041096</v>
      </c>
    </row>
    <row r="444" spans="2:11" x14ac:dyDescent="0.25">
      <c r="B444" s="160"/>
      <c r="C444" s="161"/>
      <c r="D444" s="163"/>
      <c r="E444" s="159"/>
      <c r="F444" s="159"/>
      <c r="G444" s="165">
        <f t="shared" si="50"/>
        <v>1754.55</v>
      </c>
      <c r="H444" s="20"/>
      <c r="I444" s="167">
        <f>IF(B444&gt;0,(Parametros!$H$11-'Calculo Intereses PERS NAT'!B444),0)</f>
        <v>0</v>
      </c>
      <c r="J444" s="168">
        <f>(F444-E444)*Parametros!$H$37/365*'Calculo Intereses PERS NAT'!I444</f>
        <v>0</v>
      </c>
      <c r="K444" s="169">
        <f t="shared" si="49"/>
        <v>95.452409589041096</v>
      </c>
    </row>
    <row r="445" spans="2:11" x14ac:dyDescent="0.25">
      <c r="B445" s="160"/>
      <c r="C445" s="161"/>
      <c r="D445" s="163"/>
      <c r="E445" s="159"/>
      <c r="F445" s="159"/>
      <c r="G445" s="165">
        <f t="shared" si="50"/>
        <v>1754.55</v>
      </c>
      <c r="H445" s="20"/>
      <c r="I445" s="167">
        <f>IF(B445&gt;0,(Parametros!$H$11-'Calculo Intereses PERS NAT'!B445),0)</f>
        <v>0</v>
      </c>
      <c r="J445" s="168">
        <f>(F445-E445)*Parametros!$H$37/365*'Calculo Intereses PERS NAT'!I445</f>
        <v>0</v>
      </c>
      <c r="K445" s="169">
        <f t="shared" si="49"/>
        <v>95.452409589041096</v>
      </c>
    </row>
    <row r="446" spans="2:11" x14ac:dyDescent="0.25">
      <c r="B446" s="160"/>
      <c r="C446" s="161"/>
      <c r="D446" s="163"/>
      <c r="E446" s="159"/>
      <c r="F446" s="159"/>
      <c r="G446" s="165">
        <f t="shared" si="50"/>
        <v>1754.55</v>
      </c>
      <c r="H446" s="20"/>
      <c r="I446" s="167">
        <f>IF(B446&gt;0,(Parametros!$H$11-'Calculo Intereses PERS NAT'!B446),0)</f>
        <v>0</v>
      </c>
      <c r="J446" s="168">
        <f>(F446-E446)*Parametros!$H$37/365*'Calculo Intereses PERS NAT'!I446</f>
        <v>0</v>
      </c>
      <c r="K446" s="169">
        <f t="shared" si="49"/>
        <v>95.452409589041096</v>
      </c>
    </row>
    <row r="447" spans="2:11" x14ac:dyDescent="0.25">
      <c r="B447" s="160"/>
      <c r="C447" s="161"/>
      <c r="D447" s="163"/>
      <c r="E447" s="159"/>
      <c r="F447" s="159"/>
      <c r="G447" s="165">
        <f>+G446+F447</f>
        <v>1754.55</v>
      </c>
      <c r="H447" s="20"/>
      <c r="I447" s="167">
        <f>IF(B447&gt;0,(Parametros!$H$11-'Calculo Intereses PERS NAT'!B447),0)</f>
        <v>0</v>
      </c>
      <c r="J447" s="168">
        <f>(F447-E447)*Parametros!$H$37/365*'Calculo Intereses PERS NAT'!I447</f>
        <v>0</v>
      </c>
      <c r="K447" s="169">
        <f t="shared" si="49"/>
        <v>95.452409589041096</v>
      </c>
    </row>
    <row r="448" spans="2:11" x14ac:dyDescent="0.25">
      <c r="B448" s="20"/>
      <c r="C448" s="20"/>
      <c r="D448" s="52" t="s">
        <v>21</v>
      </c>
      <c r="E448" s="166">
        <f>SUM(E432:E447)</f>
        <v>0</v>
      </c>
      <c r="F448" s="166">
        <f>SUM(F432:F447)</f>
        <v>1754.55</v>
      </c>
      <c r="G448" s="166">
        <f>+G447</f>
        <v>1754.55</v>
      </c>
      <c r="J448" s="170">
        <f>SUM(J432:J447)</f>
        <v>95.452409589041096</v>
      </c>
    </row>
    <row r="450" spans="2:11" x14ac:dyDescent="0.25">
      <c r="B450" s="172" t="str">
        <f>CONCATENATE("APORTACIONES Y CALCULO DE INTERESES CORRESPONDIENTES AL AÑO ",YEAR(Parametros!$H$11))</f>
        <v>APORTACIONES Y CALCULO DE INTERESES CORRESPONDIENTES AL AÑO 2015</v>
      </c>
      <c r="C450" s="53"/>
      <c r="D450" s="53"/>
      <c r="E450" s="54"/>
      <c r="F450" s="54"/>
      <c r="G450" s="54"/>
      <c r="H450" s="20"/>
      <c r="I450" s="55"/>
      <c r="J450" s="56"/>
      <c r="K450" s="20"/>
    </row>
    <row r="451" spans="2:11" x14ac:dyDescent="0.25">
      <c r="B451" s="69" t="s">
        <v>186</v>
      </c>
      <c r="C451" s="173" t="str">
        <f>+'Calculo Excedentes'!A74</f>
        <v>PN-22</v>
      </c>
      <c r="D451" s="171" t="s">
        <v>187</v>
      </c>
      <c r="E451" s="176" t="str">
        <f>+'Calculo Excedentes'!B74</f>
        <v>Oscar Humberto Pérez</v>
      </c>
      <c r="F451" s="174"/>
      <c r="G451" s="175"/>
      <c r="H451" s="20"/>
      <c r="I451" s="39" t="s">
        <v>73</v>
      </c>
      <c r="J451" s="39" t="s">
        <v>74</v>
      </c>
      <c r="K451" s="39" t="s">
        <v>75</v>
      </c>
    </row>
    <row r="452" spans="2:11" x14ac:dyDescent="0.25">
      <c r="B452" s="40" t="s">
        <v>76</v>
      </c>
      <c r="C452" s="40" t="s">
        <v>77</v>
      </c>
      <c r="D452" s="40" t="s">
        <v>78</v>
      </c>
      <c r="E452" s="40" t="s">
        <v>79</v>
      </c>
      <c r="F452" s="40" t="s">
        <v>80</v>
      </c>
      <c r="G452" s="40" t="s">
        <v>81</v>
      </c>
      <c r="H452" s="20"/>
      <c r="I452" s="42" t="s">
        <v>82</v>
      </c>
      <c r="J452" s="164" t="s">
        <v>185</v>
      </c>
      <c r="K452" s="42" t="s">
        <v>84</v>
      </c>
    </row>
    <row r="453" spans="2:11" x14ac:dyDescent="0.25">
      <c r="B453" s="158">
        <f>+Parametros!$H$11-365</f>
        <v>42004</v>
      </c>
      <c r="C453" s="161"/>
      <c r="D453" s="162"/>
      <c r="E453" s="159"/>
      <c r="F453" s="159">
        <v>1485.71</v>
      </c>
      <c r="G453" s="165">
        <f>+F453-E453</f>
        <v>1485.71</v>
      </c>
      <c r="H453" s="20"/>
      <c r="I453" s="167">
        <f>IF(B453&gt;0,(Parametros!$H$11-'Calculo Intereses PERS NAT'!B453),0)</f>
        <v>365</v>
      </c>
      <c r="J453" s="168">
        <f>(F453-E453)*Parametros!$H$37/365*'Calculo Intereses PERS NAT'!I453</f>
        <v>81.71405</v>
      </c>
      <c r="K453" s="169">
        <f>+J453</f>
        <v>81.71405</v>
      </c>
    </row>
    <row r="454" spans="2:11" x14ac:dyDescent="0.25">
      <c r="B454" s="160">
        <v>42049</v>
      </c>
      <c r="C454" s="221"/>
      <c r="D454" s="162" t="s">
        <v>236</v>
      </c>
      <c r="E454" s="159"/>
      <c r="F454" s="159">
        <v>213.02</v>
      </c>
      <c r="G454" s="165">
        <f>+G453+F454-E454</f>
        <v>1698.73</v>
      </c>
      <c r="H454" s="20"/>
      <c r="I454" s="167">
        <f>IF(B454&gt;0,(Parametros!$H$11-'Calculo Intereses PERS NAT'!B454),0)</f>
        <v>320</v>
      </c>
      <c r="J454" s="168">
        <f>(F454-E454)*Parametros!$H$37/365*'Calculo Intereses PERS NAT'!I454</f>
        <v>10.271649315068494</v>
      </c>
      <c r="K454" s="169">
        <f>+J454+K453</f>
        <v>91.985699315068501</v>
      </c>
    </row>
    <row r="455" spans="2:11" x14ac:dyDescent="0.25">
      <c r="B455" s="160"/>
      <c r="C455" s="161"/>
      <c r="D455" s="162"/>
      <c r="E455" s="159"/>
      <c r="F455" s="159"/>
      <c r="G455" s="165">
        <f>+G454+F455</f>
        <v>1698.73</v>
      </c>
      <c r="H455" s="20"/>
      <c r="I455" s="167">
        <f>IF(B455&gt;0,(Parametros!$H$11-'Calculo Intereses PERS NAT'!B455),0)</f>
        <v>0</v>
      </c>
      <c r="J455" s="168">
        <f>(F455-E455)*Parametros!$H$37/365*'Calculo Intereses PERS NAT'!I455</f>
        <v>0</v>
      </c>
      <c r="K455" s="169">
        <f t="shared" ref="K455:K468" si="51">+J455+K454</f>
        <v>91.985699315068501</v>
      </c>
    </row>
    <row r="456" spans="2:11" x14ac:dyDescent="0.25">
      <c r="B456" s="160"/>
      <c r="C456" s="161"/>
      <c r="D456" s="162"/>
      <c r="E456" s="159"/>
      <c r="F456" s="159"/>
      <c r="G456" s="165">
        <f>+G455+F456</f>
        <v>1698.73</v>
      </c>
      <c r="H456" s="20"/>
      <c r="I456" s="167">
        <f>IF(B456&gt;0,(Parametros!$H$11-'Calculo Intereses PERS NAT'!B456),0)</f>
        <v>0</v>
      </c>
      <c r="J456" s="168">
        <f>(F456-E456)*Parametros!$H$37/365*'Calculo Intereses PERS NAT'!I456</f>
        <v>0</v>
      </c>
      <c r="K456" s="169">
        <f t="shared" si="51"/>
        <v>91.985699315068501</v>
      </c>
    </row>
    <row r="457" spans="2:11" x14ac:dyDescent="0.25">
      <c r="B457" s="160"/>
      <c r="C457" s="161"/>
      <c r="D457" s="162"/>
      <c r="E457" s="159"/>
      <c r="F457" s="159"/>
      <c r="G457" s="165">
        <f>+G456+F457</f>
        <v>1698.73</v>
      </c>
      <c r="H457" s="20"/>
      <c r="I457" s="167">
        <f>IF(B457&gt;0,(Parametros!$H$11-'Calculo Intereses PERS NAT'!B457),0)</f>
        <v>0</v>
      </c>
      <c r="J457" s="168">
        <f>(F457-E457)*Parametros!$H$37/365*'Calculo Intereses PERS NAT'!I457</f>
        <v>0</v>
      </c>
      <c r="K457" s="169">
        <f t="shared" si="51"/>
        <v>91.985699315068501</v>
      </c>
    </row>
    <row r="458" spans="2:11" x14ac:dyDescent="0.25">
      <c r="B458" s="160"/>
      <c r="C458" s="161"/>
      <c r="D458" s="162"/>
      <c r="E458" s="159"/>
      <c r="F458" s="159"/>
      <c r="G458" s="165">
        <f>+G457+F458</f>
        <v>1698.73</v>
      </c>
      <c r="H458" s="20"/>
      <c r="I458" s="167">
        <f>IF(B458&gt;0,(Parametros!$H$11-'Calculo Intereses PERS NAT'!B458),0)</f>
        <v>0</v>
      </c>
      <c r="J458" s="168">
        <f>(F458-E458)*Parametros!$H$37/365*'Calculo Intereses PERS NAT'!I458</f>
        <v>0</v>
      </c>
      <c r="K458" s="169">
        <f t="shared" si="51"/>
        <v>91.985699315068501</v>
      </c>
    </row>
    <row r="459" spans="2:11" x14ac:dyDescent="0.25">
      <c r="B459" s="160"/>
      <c r="C459" s="161"/>
      <c r="D459" s="163"/>
      <c r="E459" s="159"/>
      <c r="F459" s="159"/>
      <c r="G459" s="165">
        <f t="shared" ref="G459:G467" si="52">+G458+F459</f>
        <v>1698.73</v>
      </c>
      <c r="H459" s="20"/>
      <c r="I459" s="167">
        <f>IF(B459&gt;0,(Parametros!$H$11-'Calculo Intereses PERS NAT'!B459),0)</f>
        <v>0</v>
      </c>
      <c r="J459" s="168">
        <f>(F459-E459)*Parametros!$H$37/365*'Calculo Intereses PERS NAT'!I459</f>
        <v>0</v>
      </c>
      <c r="K459" s="169">
        <f t="shared" si="51"/>
        <v>91.985699315068501</v>
      </c>
    </row>
    <row r="460" spans="2:11" x14ac:dyDescent="0.25">
      <c r="B460" s="160"/>
      <c r="C460" s="161"/>
      <c r="D460" s="163"/>
      <c r="E460" s="159"/>
      <c r="F460" s="159"/>
      <c r="G460" s="165">
        <f t="shared" si="52"/>
        <v>1698.73</v>
      </c>
      <c r="H460" s="20"/>
      <c r="I460" s="167">
        <f>IF(B460&gt;0,(Parametros!$H$11-'Calculo Intereses PERS NAT'!B460),0)</f>
        <v>0</v>
      </c>
      <c r="J460" s="168">
        <f>(F460-E460)*Parametros!$H$37/365*'Calculo Intereses PERS NAT'!I460</f>
        <v>0</v>
      </c>
      <c r="K460" s="169">
        <f t="shared" si="51"/>
        <v>91.985699315068501</v>
      </c>
    </row>
    <row r="461" spans="2:11" x14ac:dyDescent="0.25">
      <c r="B461" s="160"/>
      <c r="C461" s="161"/>
      <c r="D461" s="163"/>
      <c r="E461" s="159"/>
      <c r="F461" s="159"/>
      <c r="G461" s="165">
        <f t="shared" si="52"/>
        <v>1698.73</v>
      </c>
      <c r="H461" s="20"/>
      <c r="I461" s="167">
        <f>IF(B461&gt;0,(Parametros!$H$11-'Calculo Intereses PERS NAT'!B461),0)</f>
        <v>0</v>
      </c>
      <c r="J461" s="168">
        <f>(F461-E461)*Parametros!$H$37/365*'Calculo Intereses PERS NAT'!I461</f>
        <v>0</v>
      </c>
      <c r="K461" s="169">
        <f t="shared" si="51"/>
        <v>91.985699315068501</v>
      </c>
    </row>
    <row r="462" spans="2:11" x14ac:dyDescent="0.25">
      <c r="B462" s="160"/>
      <c r="C462" s="161"/>
      <c r="D462" s="163"/>
      <c r="E462" s="159"/>
      <c r="F462" s="159"/>
      <c r="G462" s="165">
        <f t="shared" si="52"/>
        <v>1698.73</v>
      </c>
      <c r="H462" s="20"/>
      <c r="I462" s="167">
        <f>IF(B462&gt;0,(Parametros!$H$11-'Calculo Intereses PERS NAT'!B462),0)</f>
        <v>0</v>
      </c>
      <c r="J462" s="168">
        <f>(F462-E462)*Parametros!$H$37/365*'Calculo Intereses PERS NAT'!I462</f>
        <v>0</v>
      </c>
      <c r="K462" s="169">
        <f t="shared" si="51"/>
        <v>91.985699315068501</v>
      </c>
    </row>
    <row r="463" spans="2:11" x14ac:dyDescent="0.25">
      <c r="B463" s="160"/>
      <c r="C463" s="161"/>
      <c r="D463" s="163"/>
      <c r="E463" s="159"/>
      <c r="F463" s="159"/>
      <c r="G463" s="165">
        <f t="shared" si="52"/>
        <v>1698.73</v>
      </c>
      <c r="H463" s="20"/>
      <c r="I463" s="167">
        <f>IF(B463&gt;0,(Parametros!$H$11-'Calculo Intereses PERS NAT'!B463),0)</f>
        <v>0</v>
      </c>
      <c r="J463" s="168">
        <f>(F463-E463)*Parametros!$H$37/365*'Calculo Intereses PERS NAT'!I463</f>
        <v>0</v>
      </c>
      <c r="K463" s="169">
        <f t="shared" si="51"/>
        <v>91.985699315068501</v>
      </c>
    </row>
    <row r="464" spans="2:11" x14ac:dyDescent="0.25">
      <c r="B464" s="160"/>
      <c r="C464" s="161"/>
      <c r="D464" s="163"/>
      <c r="E464" s="159"/>
      <c r="F464" s="159"/>
      <c r="G464" s="165">
        <f t="shared" si="52"/>
        <v>1698.73</v>
      </c>
      <c r="H464" s="20"/>
      <c r="I464" s="167">
        <f>IF(B464&gt;0,(Parametros!$H$11-'Calculo Intereses PERS NAT'!B464),0)</f>
        <v>0</v>
      </c>
      <c r="J464" s="168">
        <f>(F464-E464)*Parametros!$H$37/365*'Calculo Intereses PERS NAT'!I464</f>
        <v>0</v>
      </c>
      <c r="K464" s="169">
        <f t="shared" si="51"/>
        <v>91.985699315068501</v>
      </c>
    </row>
    <row r="465" spans="2:14" x14ac:dyDescent="0.25">
      <c r="B465" s="160"/>
      <c r="C465" s="161"/>
      <c r="D465" s="163"/>
      <c r="E465" s="159"/>
      <c r="F465" s="159"/>
      <c r="G465" s="165">
        <f t="shared" si="52"/>
        <v>1698.73</v>
      </c>
      <c r="H465" s="20"/>
      <c r="I465" s="167">
        <f>IF(B465&gt;0,(Parametros!$H$11-'Calculo Intereses PERS NAT'!B465),0)</f>
        <v>0</v>
      </c>
      <c r="J465" s="168">
        <f>(F465-E465)*Parametros!$H$37/365*'Calculo Intereses PERS NAT'!I465</f>
        <v>0</v>
      </c>
      <c r="K465" s="169">
        <f t="shared" si="51"/>
        <v>91.985699315068501</v>
      </c>
    </row>
    <row r="466" spans="2:14" x14ac:dyDescent="0.25">
      <c r="B466" s="160"/>
      <c r="C466" s="161"/>
      <c r="D466" s="163"/>
      <c r="E466" s="159"/>
      <c r="F466" s="159"/>
      <c r="G466" s="165">
        <f t="shared" si="52"/>
        <v>1698.73</v>
      </c>
      <c r="H466" s="20"/>
      <c r="I466" s="167">
        <f>IF(B466&gt;0,(Parametros!$H$11-'Calculo Intereses PERS NAT'!B466),0)</f>
        <v>0</v>
      </c>
      <c r="J466" s="168">
        <f>(F466-E466)*Parametros!$H$37/365*'Calculo Intereses PERS NAT'!I466</f>
        <v>0</v>
      </c>
      <c r="K466" s="169">
        <f t="shared" si="51"/>
        <v>91.985699315068501</v>
      </c>
    </row>
    <row r="467" spans="2:14" x14ac:dyDescent="0.25">
      <c r="B467" s="160"/>
      <c r="C467" s="161"/>
      <c r="D467" s="163"/>
      <c r="E467" s="159"/>
      <c r="F467" s="159"/>
      <c r="G467" s="165">
        <f t="shared" si="52"/>
        <v>1698.73</v>
      </c>
      <c r="H467" s="20"/>
      <c r="I467" s="167">
        <f>IF(B467&gt;0,(Parametros!$H$11-'Calculo Intereses PERS NAT'!B467),0)</f>
        <v>0</v>
      </c>
      <c r="J467" s="168">
        <f>(F467-E467)*Parametros!$H$37/365*'Calculo Intereses PERS NAT'!I467</f>
        <v>0</v>
      </c>
      <c r="K467" s="169">
        <f t="shared" si="51"/>
        <v>91.985699315068501</v>
      </c>
    </row>
    <row r="468" spans="2:14" x14ac:dyDescent="0.25">
      <c r="B468" s="160"/>
      <c r="C468" s="161"/>
      <c r="D468" s="163"/>
      <c r="E468" s="159"/>
      <c r="F468" s="159"/>
      <c r="G468" s="165">
        <f>+G467+F468</f>
        <v>1698.73</v>
      </c>
      <c r="H468" s="20"/>
      <c r="I468" s="167">
        <f>IF(B468&gt;0,(Parametros!$H$11-'Calculo Intereses PERS NAT'!B468),0)</f>
        <v>0</v>
      </c>
      <c r="J468" s="168">
        <f>(F468-E468)*Parametros!$H$37/365*'Calculo Intereses PERS NAT'!I468</f>
        <v>0</v>
      </c>
      <c r="K468" s="169">
        <f t="shared" si="51"/>
        <v>91.985699315068501</v>
      </c>
    </row>
    <row r="469" spans="2:14" x14ac:dyDescent="0.25">
      <c r="B469" s="20"/>
      <c r="C469" s="20"/>
      <c r="D469" s="52" t="s">
        <v>21</v>
      </c>
      <c r="E469" s="166">
        <f>SUM(E453:E468)</f>
        <v>0</v>
      </c>
      <c r="F469" s="166">
        <f>SUM(F453:F468)</f>
        <v>1698.73</v>
      </c>
      <c r="G469" s="166">
        <f>+G468</f>
        <v>1698.73</v>
      </c>
      <c r="J469" s="170">
        <f>SUM(J453:J468)</f>
        <v>91.985699315068501</v>
      </c>
    </row>
    <row r="471" spans="2:14" x14ac:dyDescent="0.25">
      <c r="B471" s="172" t="str">
        <f>CONCATENATE("APORTACIONES Y CALCULO DE INTERESES CORRESPONDIENTES AL AÑO ",YEAR(Parametros!$H$11))</f>
        <v>APORTACIONES Y CALCULO DE INTERESES CORRESPONDIENTES AL AÑO 2015</v>
      </c>
      <c r="C471" s="53"/>
      <c r="D471" s="53"/>
      <c r="E471" s="54"/>
      <c r="F471" s="54"/>
      <c r="G471" s="54"/>
      <c r="H471" s="20"/>
      <c r="I471" s="55"/>
      <c r="J471" s="56"/>
      <c r="K471" s="20"/>
    </row>
    <row r="472" spans="2:14" x14ac:dyDescent="0.25">
      <c r="B472" s="69" t="s">
        <v>186</v>
      </c>
      <c r="C472" s="173" t="str">
        <f>+'Calculo Excedentes'!A75</f>
        <v>PN-23</v>
      </c>
      <c r="D472" s="171" t="s">
        <v>187</v>
      </c>
      <c r="E472" s="176" t="str">
        <f>+'Calculo Excedentes'!B75</f>
        <v>Dinora Romero</v>
      </c>
      <c r="F472" s="174"/>
      <c r="G472" s="175"/>
      <c r="H472" s="20"/>
      <c r="I472" s="39" t="s">
        <v>73</v>
      </c>
      <c r="J472" s="39" t="s">
        <v>74</v>
      </c>
      <c r="K472" s="39" t="s">
        <v>75</v>
      </c>
    </row>
    <row r="473" spans="2:14" x14ac:dyDescent="0.25">
      <c r="B473" s="40" t="s">
        <v>76</v>
      </c>
      <c r="C473" s="40" t="s">
        <v>77</v>
      </c>
      <c r="D473" s="40" t="s">
        <v>78</v>
      </c>
      <c r="E473" s="40" t="s">
        <v>79</v>
      </c>
      <c r="F473" s="40" t="s">
        <v>80</v>
      </c>
      <c r="G473" s="40" t="s">
        <v>81</v>
      </c>
      <c r="H473" s="20"/>
      <c r="I473" s="42" t="s">
        <v>82</v>
      </c>
      <c r="J473" s="164" t="s">
        <v>185</v>
      </c>
      <c r="K473" s="42" t="s">
        <v>84</v>
      </c>
    </row>
    <row r="474" spans="2:14" x14ac:dyDescent="0.25">
      <c r="B474" s="158">
        <f>+Parametros!$H$11-365</f>
        <v>42004</v>
      </c>
      <c r="C474" s="161"/>
      <c r="D474" s="162"/>
      <c r="E474" s="159"/>
      <c r="F474" s="159">
        <v>342.86</v>
      </c>
      <c r="G474" s="165">
        <f>+F474-E474</f>
        <v>342.86</v>
      </c>
      <c r="H474" s="20"/>
      <c r="I474" s="167">
        <f>IF(B474&gt;0,(Parametros!$H$11-'Calculo Intereses PERS NAT'!B474),0)</f>
        <v>365</v>
      </c>
      <c r="J474" s="168">
        <f>(F474-E474)*Parametros!$H$37/365*'Calculo Intereses PERS NAT'!I474</f>
        <v>18.857300000000002</v>
      </c>
      <c r="K474" s="169">
        <f>+J474</f>
        <v>18.857300000000002</v>
      </c>
    </row>
    <row r="475" spans="2:14" x14ac:dyDescent="0.25">
      <c r="B475" s="160">
        <v>42049</v>
      </c>
      <c r="C475" s="221"/>
      <c r="D475" s="162" t="s">
        <v>236</v>
      </c>
      <c r="E475" s="159"/>
      <c r="F475" s="159">
        <v>228.58</v>
      </c>
      <c r="G475" s="165">
        <f>+G474+F475-E475</f>
        <v>571.44000000000005</v>
      </c>
      <c r="H475" s="20"/>
      <c r="I475" s="167">
        <f>IF(B475&gt;0,(Parametros!$H$11-'Calculo Intereses PERS NAT'!B475),0)</f>
        <v>320</v>
      </c>
      <c r="J475" s="168">
        <f>(F475-E475)*Parametros!$H$37/365*'Calculo Intereses PERS NAT'!I475</f>
        <v>11.021939726027398</v>
      </c>
      <c r="K475" s="169">
        <f>+J475+K474</f>
        <v>29.8792397260274</v>
      </c>
      <c r="M475">
        <v>342.87</v>
      </c>
    </row>
    <row r="476" spans="2:14" x14ac:dyDescent="0.25">
      <c r="B476" s="160"/>
      <c r="C476" s="221"/>
      <c r="D476" s="162"/>
      <c r="E476" s="159"/>
      <c r="F476" s="159"/>
      <c r="G476" s="165">
        <f>+G475+F476</f>
        <v>571.44000000000005</v>
      </c>
      <c r="H476" s="20"/>
      <c r="I476" s="167">
        <f>IF(B476&gt;0,(Parametros!$H$11-'Calculo Intereses PERS NAT'!B476),0)</f>
        <v>0</v>
      </c>
      <c r="J476" s="168">
        <f>(F476-E476)*Parametros!$H$37/365*'Calculo Intereses PERS NAT'!I476</f>
        <v>0</v>
      </c>
      <c r="K476" s="169">
        <f t="shared" ref="K476:K489" si="53">+J476+K475</f>
        <v>29.8792397260274</v>
      </c>
      <c r="M476">
        <v>-28.58</v>
      </c>
    </row>
    <row r="477" spans="2:14" x14ac:dyDescent="0.25">
      <c r="B477" s="160"/>
      <c r="C477" s="221"/>
      <c r="D477" s="162"/>
      <c r="E477" s="159"/>
      <c r="F477" s="159"/>
      <c r="G477" s="165">
        <f>+G476+F477</f>
        <v>571.44000000000005</v>
      </c>
      <c r="H477" s="20"/>
      <c r="I477" s="167">
        <f>IF(B477&gt;0,(Parametros!$H$11-'Calculo Intereses PERS NAT'!B477),0)</f>
        <v>0</v>
      </c>
      <c r="J477" s="168">
        <f>(F477-E477)*Parametros!$H$37/365*'Calculo Intereses PERS NAT'!I477</f>
        <v>0</v>
      </c>
      <c r="K477" s="169">
        <f t="shared" si="53"/>
        <v>29.8792397260274</v>
      </c>
      <c r="M477">
        <f>SUM(M475:M476)</f>
        <v>314.29000000000002</v>
      </c>
      <c r="N477" s="222">
        <f>+M477-G477</f>
        <v>-257.15000000000003</v>
      </c>
    </row>
    <row r="478" spans="2:14" x14ac:dyDescent="0.25">
      <c r="B478" s="160"/>
      <c r="C478" s="161"/>
      <c r="D478" s="162"/>
      <c r="E478" s="159"/>
      <c r="F478" s="159"/>
      <c r="G478" s="165">
        <f>+G477+F478</f>
        <v>571.44000000000005</v>
      </c>
      <c r="H478" s="20"/>
      <c r="I478" s="167">
        <f>IF(B478&gt;0,(Parametros!$H$11-'Calculo Intereses PERS NAT'!B478),0)</f>
        <v>0</v>
      </c>
      <c r="J478" s="168">
        <f>(F478-E478)*Parametros!$H$37/365*'Calculo Intereses PERS NAT'!I478</f>
        <v>0</v>
      </c>
      <c r="K478" s="169">
        <f t="shared" si="53"/>
        <v>29.8792397260274</v>
      </c>
    </row>
    <row r="479" spans="2:14" x14ac:dyDescent="0.25">
      <c r="B479" s="160"/>
      <c r="C479" s="161"/>
      <c r="D479" s="162"/>
      <c r="E479" s="159"/>
      <c r="F479" s="159"/>
      <c r="G479" s="165">
        <f>+G478+F479</f>
        <v>571.44000000000005</v>
      </c>
      <c r="H479" s="20"/>
      <c r="I479" s="167">
        <f>IF(B479&gt;0,(Parametros!$H$11-'Calculo Intereses PERS NAT'!B479),0)</f>
        <v>0</v>
      </c>
      <c r="J479" s="168">
        <f>(F479-E479)*Parametros!$H$37/365*'Calculo Intereses PERS NAT'!I479</f>
        <v>0</v>
      </c>
      <c r="K479" s="169">
        <f t="shared" si="53"/>
        <v>29.8792397260274</v>
      </c>
    </row>
    <row r="480" spans="2:14" x14ac:dyDescent="0.25">
      <c r="B480" s="160"/>
      <c r="C480" s="161"/>
      <c r="D480" s="163"/>
      <c r="E480" s="159"/>
      <c r="F480" s="159"/>
      <c r="G480" s="165">
        <f t="shared" ref="G480:G488" si="54">+G479+F480</f>
        <v>571.44000000000005</v>
      </c>
      <c r="H480" s="20"/>
      <c r="I480" s="167">
        <f>IF(B480&gt;0,(Parametros!$H$11-'Calculo Intereses PERS NAT'!B480),0)</f>
        <v>0</v>
      </c>
      <c r="J480" s="168">
        <f>(F480-E480)*Parametros!$H$37/365*'Calculo Intereses PERS NAT'!I480</f>
        <v>0</v>
      </c>
      <c r="K480" s="169">
        <f t="shared" si="53"/>
        <v>29.8792397260274</v>
      </c>
    </row>
    <row r="481" spans="2:11" x14ac:dyDescent="0.25">
      <c r="B481" s="160"/>
      <c r="C481" s="161"/>
      <c r="D481" s="163"/>
      <c r="E481" s="159"/>
      <c r="F481" s="159"/>
      <c r="G481" s="165">
        <f t="shared" si="54"/>
        <v>571.44000000000005</v>
      </c>
      <c r="H481" s="20"/>
      <c r="I481" s="167">
        <f>IF(B481&gt;0,(Parametros!$H$11-'Calculo Intereses PERS NAT'!B481),0)</f>
        <v>0</v>
      </c>
      <c r="J481" s="168">
        <f>(F481-E481)*Parametros!$H$37/365*'Calculo Intereses PERS NAT'!I481</f>
        <v>0</v>
      </c>
      <c r="K481" s="169">
        <f t="shared" si="53"/>
        <v>29.8792397260274</v>
      </c>
    </row>
    <row r="482" spans="2:11" x14ac:dyDescent="0.25">
      <c r="B482" s="160"/>
      <c r="C482" s="161"/>
      <c r="D482" s="163"/>
      <c r="E482" s="159"/>
      <c r="F482" s="159"/>
      <c r="G482" s="165">
        <f t="shared" si="54"/>
        <v>571.44000000000005</v>
      </c>
      <c r="H482" s="20"/>
      <c r="I482" s="167">
        <f>IF(B482&gt;0,(Parametros!$H$11-'Calculo Intereses PERS NAT'!B482),0)</f>
        <v>0</v>
      </c>
      <c r="J482" s="168">
        <f>(F482-E482)*Parametros!$H$37/365*'Calculo Intereses PERS NAT'!I482</f>
        <v>0</v>
      </c>
      <c r="K482" s="169">
        <f t="shared" si="53"/>
        <v>29.8792397260274</v>
      </c>
    </row>
    <row r="483" spans="2:11" x14ac:dyDescent="0.25">
      <c r="B483" s="160"/>
      <c r="C483" s="161"/>
      <c r="D483" s="163"/>
      <c r="E483" s="159"/>
      <c r="F483" s="159"/>
      <c r="G483" s="165">
        <f t="shared" si="54"/>
        <v>571.44000000000005</v>
      </c>
      <c r="H483" s="20"/>
      <c r="I483" s="167">
        <f>IF(B483&gt;0,(Parametros!$H$11-'Calculo Intereses PERS NAT'!B483),0)</f>
        <v>0</v>
      </c>
      <c r="J483" s="168">
        <f>(F483-E483)*Parametros!$H$37/365*'Calculo Intereses PERS NAT'!I483</f>
        <v>0</v>
      </c>
      <c r="K483" s="169">
        <f t="shared" si="53"/>
        <v>29.8792397260274</v>
      </c>
    </row>
    <row r="484" spans="2:11" x14ac:dyDescent="0.25">
      <c r="B484" s="160"/>
      <c r="C484" s="161"/>
      <c r="D484" s="163"/>
      <c r="E484" s="159"/>
      <c r="F484" s="159"/>
      <c r="G484" s="165">
        <f t="shared" si="54"/>
        <v>571.44000000000005</v>
      </c>
      <c r="H484" s="20"/>
      <c r="I484" s="167">
        <f>IF(B484&gt;0,(Parametros!$H$11-'Calculo Intereses PERS NAT'!B484),0)</f>
        <v>0</v>
      </c>
      <c r="J484" s="168">
        <f>(F484-E484)*Parametros!$H$37/365*'Calculo Intereses PERS NAT'!I484</f>
        <v>0</v>
      </c>
      <c r="K484" s="169">
        <f t="shared" si="53"/>
        <v>29.8792397260274</v>
      </c>
    </row>
    <row r="485" spans="2:11" x14ac:dyDescent="0.25">
      <c r="B485" s="160"/>
      <c r="C485" s="161"/>
      <c r="D485" s="163"/>
      <c r="E485" s="159"/>
      <c r="F485" s="159"/>
      <c r="G485" s="165">
        <f t="shared" si="54"/>
        <v>571.44000000000005</v>
      </c>
      <c r="H485" s="20"/>
      <c r="I485" s="167">
        <f>IF(B485&gt;0,(Parametros!$H$11-'Calculo Intereses PERS NAT'!B485),0)</f>
        <v>0</v>
      </c>
      <c r="J485" s="168">
        <f>(F485-E485)*Parametros!$H$37/365*'Calculo Intereses PERS NAT'!I485</f>
        <v>0</v>
      </c>
      <c r="K485" s="169">
        <f t="shared" si="53"/>
        <v>29.8792397260274</v>
      </c>
    </row>
    <row r="486" spans="2:11" x14ac:dyDescent="0.25">
      <c r="B486" s="160"/>
      <c r="C486" s="161"/>
      <c r="D486" s="163"/>
      <c r="E486" s="159"/>
      <c r="F486" s="159"/>
      <c r="G486" s="165">
        <f t="shared" si="54"/>
        <v>571.44000000000005</v>
      </c>
      <c r="H486" s="20"/>
      <c r="I486" s="167">
        <f>IF(B486&gt;0,(Parametros!$H$11-'Calculo Intereses PERS NAT'!B486),0)</f>
        <v>0</v>
      </c>
      <c r="J486" s="168">
        <f>(F486-E486)*Parametros!$H$37/365*'Calculo Intereses PERS NAT'!I486</f>
        <v>0</v>
      </c>
      <c r="K486" s="169">
        <f t="shared" si="53"/>
        <v>29.8792397260274</v>
      </c>
    </row>
    <row r="487" spans="2:11" x14ac:dyDescent="0.25">
      <c r="B487" s="160"/>
      <c r="C487" s="161"/>
      <c r="D487" s="163"/>
      <c r="E487" s="159"/>
      <c r="F487" s="159"/>
      <c r="G487" s="165">
        <f t="shared" si="54"/>
        <v>571.44000000000005</v>
      </c>
      <c r="H487" s="20"/>
      <c r="I487" s="167">
        <f>IF(B487&gt;0,(Parametros!$H$11-'Calculo Intereses PERS NAT'!B487),0)</f>
        <v>0</v>
      </c>
      <c r="J487" s="168">
        <f>(F487-E487)*Parametros!$H$37/365*'Calculo Intereses PERS NAT'!I487</f>
        <v>0</v>
      </c>
      <c r="K487" s="169">
        <f t="shared" si="53"/>
        <v>29.8792397260274</v>
      </c>
    </row>
    <row r="488" spans="2:11" x14ac:dyDescent="0.25">
      <c r="B488" s="160"/>
      <c r="C488" s="161"/>
      <c r="D488" s="163"/>
      <c r="E488" s="159"/>
      <c r="F488" s="159"/>
      <c r="G488" s="165">
        <f t="shared" si="54"/>
        <v>571.44000000000005</v>
      </c>
      <c r="H488" s="20"/>
      <c r="I488" s="167">
        <f>IF(B488&gt;0,(Parametros!$H$11-'Calculo Intereses PERS NAT'!B488),0)</f>
        <v>0</v>
      </c>
      <c r="J488" s="168">
        <f>(F488-E488)*Parametros!$H$37/365*'Calculo Intereses PERS NAT'!I488</f>
        <v>0</v>
      </c>
      <c r="K488" s="169">
        <f t="shared" si="53"/>
        <v>29.8792397260274</v>
      </c>
    </row>
    <row r="489" spans="2:11" x14ac:dyDescent="0.25">
      <c r="B489" s="160"/>
      <c r="C489" s="161"/>
      <c r="D489" s="163"/>
      <c r="E489" s="159"/>
      <c r="F489" s="159"/>
      <c r="G489" s="165">
        <f>+G488+F489</f>
        <v>571.44000000000005</v>
      </c>
      <c r="H489" s="20"/>
      <c r="I489" s="167">
        <f>IF(B489&gt;0,(Parametros!$H$11-'Calculo Intereses PERS NAT'!B489),0)</f>
        <v>0</v>
      </c>
      <c r="J489" s="168">
        <f>(F489-E489)*Parametros!$H$37/365*'Calculo Intereses PERS NAT'!I489</f>
        <v>0</v>
      </c>
      <c r="K489" s="169">
        <f t="shared" si="53"/>
        <v>29.8792397260274</v>
      </c>
    </row>
    <row r="490" spans="2:11" x14ac:dyDescent="0.25">
      <c r="B490" s="20"/>
      <c r="C490" s="20"/>
      <c r="D490" s="52" t="s">
        <v>21</v>
      </c>
      <c r="E490" s="166">
        <f>SUM(E474:E489)</f>
        <v>0</v>
      </c>
      <c r="F490" s="166">
        <f>SUM(F474:F489)</f>
        <v>571.44000000000005</v>
      </c>
      <c r="G490" s="166">
        <f>+G489</f>
        <v>571.44000000000005</v>
      </c>
      <c r="J490" s="170">
        <f>SUM(J474:J489)</f>
        <v>29.8792397260274</v>
      </c>
    </row>
    <row r="492" spans="2:11" x14ac:dyDescent="0.25">
      <c r="B492" s="172" t="str">
        <f>CONCATENATE("APORTACIONES Y CALCULO DE INTERESES CORRESPONDIENTES AL AÑO ",YEAR(Parametros!$H$11))</f>
        <v>APORTACIONES Y CALCULO DE INTERESES CORRESPONDIENTES AL AÑO 2015</v>
      </c>
      <c r="C492" s="53"/>
      <c r="D492" s="53"/>
      <c r="E492" s="54"/>
      <c r="F492" s="54"/>
      <c r="G492" s="54"/>
      <c r="H492" s="20"/>
      <c r="I492" s="55"/>
      <c r="J492" s="56"/>
      <c r="K492" s="20"/>
    </row>
    <row r="493" spans="2:11" x14ac:dyDescent="0.25">
      <c r="B493" s="69" t="s">
        <v>186</v>
      </c>
      <c r="C493" s="173" t="str">
        <f>+'Calculo Excedentes'!A76</f>
        <v>PN-24</v>
      </c>
      <c r="D493" s="171" t="s">
        <v>187</v>
      </c>
      <c r="E493" s="176" t="s">
        <v>241</v>
      </c>
      <c r="F493" s="174"/>
      <c r="G493" s="175"/>
      <c r="H493" s="20"/>
      <c r="I493" s="39" t="s">
        <v>73</v>
      </c>
      <c r="J493" s="39" t="s">
        <v>74</v>
      </c>
      <c r="K493" s="39" t="s">
        <v>75</v>
      </c>
    </row>
    <row r="494" spans="2:11" x14ac:dyDescent="0.25">
      <c r="B494" s="40" t="s">
        <v>76</v>
      </c>
      <c r="C494" s="40" t="s">
        <v>77</v>
      </c>
      <c r="D494" s="40" t="s">
        <v>78</v>
      </c>
      <c r="E494" s="40" t="s">
        <v>79</v>
      </c>
      <c r="F494" s="40" t="s">
        <v>80</v>
      </c>
      <c r="G494" s="40" t="s">
        <v>81</v>
      </c>
      <c r="H494" s="20"/>
      <c r="I494" s="42" t="s">
        <v>82</v>
      </c>
      <c r="J494" s="164" t="s">
        <v>185</v>
      </c>
      <c r="K494" s="42" t="s">
        <v>84</v>
      </c>
    </row>
    <row r="495" spans="2:11" x14ac:dyDescent="0.25">
      <c r="B495" s="158">
        <v>41425</v>
      </c>
      <c r="C495" s="161"/>
      <c r="D495" s="162"/>
      <c r="E495" s="159"/>
      <c r="F495" s="159">
        <v>1257.1600000000001</v>
      </c>
      <c r="G495" s="165">
        <f>+F495-E495</f>
        <v>1257.1600000000001</v>
      </c>
      <c r="H495" s="20"/>
      <c r="I495" s="167">
        <f>IF(B495&gt;0,(Parametros!$H$11-'Calculo Intereses PERS NAT'!B495),0)</f>
        <v>944</v>
      </c>
      <c r="J495" s="168">
        <f>(F495-E495)*Parametros!$H$37/365*'Calculo Intereses PERS NAT'!I495</f>
        <v>178.82670465753424</v>
      </c>
      <c r="K495" s="169">
        <f>+J495</f>
        <v>178.82670465753424</v>
      </c>
    </row>
    <row r="496" spans="2:11" x14ac:dyDescent="0.25">
      <c r="B496" s="160">
        <v>42049</v>
      </c>
      <c r="C496" s="161"/>
      <c r="D496" s="162" t="s">
        <v>236</v>
      </c>
      <c r="E496" s="159"/>
      <c r="F496" s="159">
        <v>82.22</v>
      </c>
      <c r="G496" s="165">
        <f>+G495+F496-E496</f>
        <v>1339.38</v>
      </c>
      <c r="H496" s="20"/>
      <c r="I496" s="167">
        <f>IF(B496&gt;0,(Parametros!$H$11-'Calculo Intereses PERS NAT'!B496),0)</f>
        <v>320</v>
      </c>
      <c r="J496" s="168">
        <f>(F496-E496)*Parametros!$H$37/365*'Calculo Intereses PERS NAT'!I496</f>
        <v>3.9645808219178083</v>
      </c>
      <c r="K496" s="169">
        <f>+J496+K495</f>
        <v>182.79128547945206</v>
      </c>
    </row>
    <row r="497" spans="2:11" x14ac:dyDescent="0.25">
      <c r="B497" s="160"/>
      <c r="C497" s="161"/>
      <c r="D497" s="162"/>
      <c r="E497" s="159"/>
      <c r="F497" s="159"/>
      <c r="G497" s="165">
        <f>+G496+F497</f>
        <v>1339.38</v>
      </c>
      <c r="H497" s="20"/>
      <c r="I497" s="167">
        <f>IF(B497&gt;0,(Parametros!$H$11-'Calculo Intereses PERS NAT'!B497),0)</f>
        <v>0</v>
      </c>
      <c r="J497" s="168">
        <f>(F497-E497)*Parametros!$H$37/365*'Calculo Intereses PERS NAT'!I497</f>
        <v>0</v>
      </c>
      <c r="K497" s="169">
        <f t="shared" ref="K497:K510" si="55">+J497+K496</f>
        <v>182.79128547945206</v>
      </c>
    </row>
    <row r="498" spans="2:11" x14ac:dyDescent="0.25">
      <c r="B498" s="160"/>
      <c r="C498" s="161"/>
      <c r="D498" s="162"/>
      <c r="E498" s="159"/>
      <c r="F498" s="159"/>
      <c r="G498" s="165">
        <f>+G497+F498</f>
        <v>1339.38</v>
      </c>
      <c r="H498" s="20"/>
      <c r="I498" s="167">
        <f>IF(B498&gt;0,(Parametros!$H$11-'Calculo Intereses PERS NAT'!B498),0)</f>
        <v>0</v>
      </c>
      <c r="J498" s="168">
        <f>(F498-E498)*Parametros!$H$37/365*'Calculo Intereses PERS NAT'!I498</f>
        <v>0</v>
      </c>
      <c r="K498" s="169">
        <f t="shared" si="55"/>
        <v>182.79128547945206</v>
      </c>
    </row>
    <row r="499" spans="2:11" x14ac:dyDescent="0.25">
      <c r="B499" s="160"/>
      <c r="C499" s="161"/>
      <c r="D499" s="162"/>
      <c r="E499" s="159"/>
      <c r="F499" s="159"/>
      <c r="G499" s="165">
        <f>+G498+F499</f>
        <v>1339.38</v>
      </c>
      <c r="H499" s="20"/>
      <c r="I499" s="167">
        <f>IF(B499&gt;0,(Parametros!$H$11-'Calculo Intereses PERS NAT'!B499),0)</f>
        <v>0</v>
      </c>
      <c r="J499" s="168">
        <f>(F499-E499)*Parametros!$H$37/365*'Calculo Intereses PERS NAT'!I499</f>
        <v>0</v>
      </c>
      <c r="K499" s="169">
        <f t="shared" si="55"/>
        <v>182.79128547945206</v>
      </c>
    </row>
    <row r="500" spans="2:11" x14ac:dyDescent="0.25">
      <c r="B500" s="160"/>
      <c r="C500" s="161"/>
      <c r="D500" s="162"/>
      <c r="E500" s="159"/>
      <c r="F500" s="159"/>
      <c r="G500" s="165">
        <f>+G499+F500</f>
        <v>1339.38</v>
      </c>
      <c r="H500" s="20"/>
      <c r="I500" s="167">
        <f>IF(B500&gt;0,(Parametros!$H$11-'Calculo Intereses PERS NAT'!B500),0)</f>
        <v>0</v>
      </c>
      <c r="J500" s="168">
        <f>(F500-E500)*Parametros!$H$37/365*'Calculo Intereses PERS NAT'!I500</f>
        <v>0</v>
      </c>
      <c r="K500" s="169">
        <f t="shared" si="55"/>
        <v>182.79128547945206</v>
      </c>
    </row>
    <row r="501" spans="2:11" x14ac:dyDescent="0.25">
      <c r="B501" s="160"/>
      <c r="C501" s="161"/>
      <c r="D501" s="163"/>
      <c r="E501" s="159"/>
      <c r="F501" s="159"/>
      <c r="G501" s="165">
        <f t="shared" ref="G501:G509" si="56">+G500+F501</f>
        <v>1339.38</v>
      </c>
      <c r="H501" s="20"/>
      <c r="I501" s="167">
        <f>IF(B501&gt;0,(Parametros!$H$11-'Calculo Intereses PERS NAT'!B501),0)</f>
        <v>0</v>
      </c>
      <c r="J501" s="168">
        <f>(F501-E501)*Parametros!$H$37/365*'Calculo Intereses PERS NAT'!I501</f>
        <v>0</v>
      </c>
      <c r="K501" s="169">
        <f t="shared" si="55"/>
        <v>182.79128547945206</v>
      </c>
    </row>
    <row r="502" spans="2:11" x14ac:dyDescent="0.25">
      <c r="B502" s="160"/>
      <c r="C502" s="161"/>
      <c r="D502" s="163"/>
      <c r="E502" s="159"/>
      <c r="F502" s="159"/>
      <c r="G502" s="165">
        <f t="shared" si="56"/>
        <v>1339.38</v>
      </c>
      <c r="H502" s="20"/>
      <c r="I502" s="167">
        <f>IF(B502&gt;0,(Parametros!$H$11-'Calculo Intereses PERS NAT'!B502),0)</f>
        <v>0</v>
      </c>
      <c r="J502" s="168">
        <f>(F502-E502)*Parametros!$H$37/365*'Calculo Intereses PERS NAT'!I502</f>
        <v>0</v>
      </c>
      <c r="K502" s="169">
        <f t="shared" si="55"/>
        <v>182.79128547945206</v>
      </c>
    </row>
    <row r="503" spans="2:11" x14ac:dyDescent="0.25">
      <c r="B503" s="160"/>
      <c r="C503" s="161"/>
      <c r="D503" s="163"/>
      <c r="E503" s="159"/>
      <c r="F503" s="159"/>
      <c r="G503" s="165">
        <f t="shared" si="56"/>
        <v>1339.38</v>
      </c>
      <c r="H503" s="20"/>
      <c r="I503" s="167">
        <f>IF(B503&gt;0,(Parametros!$H$11-'Calculo Intereses PERS NAT'!B503),0)</f>
        <v>0</v>
      </c>
      <c r="J503" s="168">
        <f>(F503-E503)*Parametros!$H$37/365*'Calculo Intereses PERS NAT'!I503</f>
        <v>0</v>
      </c>
      <c r="K503" s="169">
        <f t="shared" si="55"/>
        <v>182.79128547945206</v>
      </c>
    </row>
    <row r="504" spans="2:11" x14ac:dyDescent="0.25">
      <c r="B504" s="160"/>
      <c r="C504" s="161"/>
      <c r="D504" s="163"/>
      <c r="E504" s="159"/>
      <c r="F504" s="159"/>
      <c r="G504" s="165">
        <f t="shared" si="56"/>
        <v>1339.38</v>
      </c>
      <c r="H504" s="20"/>
      <c r="I504" s="167">
        <f>IF(B504&gt;0,(Parametros!$H$11-'Calculo Intereses PERS NAT'!B504),0)</f>
        <v>0</v>
      </c>
      <c r="J504" s="168">
        <f>(F504-E504)*Parametros!$H$37/365*'Calculo Intereses PERS NAT'!I504</f>
        <v>0</v>
      </c>
      <c r="K504" s="169">
        <f t="shared" si="55"/>
        <v>182.79128547945206</v>
      </c>
    </row>
    <row r="505" spans="2:11" x14ac:dyDescent="0.25">
      <c r="B505" s="160"/>
      <c r="C505" s="161"/>
      <c r="D505" s="163"/>
      <c r="E505" s="159"/>
      <c r="F505" s="159"/>
      <c r="G505" s="165">
        <f t="shared" si="56"/>
        <v>1339.38</v>
      </c>
      <c r="H505" s="20"/>
      <c r="I505" s="167">
        <f>IF(B505&gt;0,(Parametros!$H$11-'Calculo Intereses PERS NAT'!B505),0)</f>
        <v>0</v>
      </c>
      <c r="J505" s="168">
        <f>(F505-E505)*Parametros!$H$37/365*'Calculo Intereses PERS NAT'!I505</f>
        <v>0</v>
      </c>
      <c r="K505" s="169">
        <f t="shared" si="55"/>
        <v>182.79128547945206</v>
      </c>
    </row>
    <row r="506" spans="2:11" x14ac:dyDescent="0.25">
      <c r="B506" s="160"/>
      <c r="C506" s="161"/>
      <c r="D506" s="163"/>
      <c r="E506" s="159"/>
      <c r="F506" s="159"/>
      <c r="G506" s="165">
        <f t="shared" si="56"/>
        <v>1339.38</v>
      </c>
      <c r="H506" s="20"/>
      <c r="I506" s="167">
        <f>IF(B506&gt;0,(Parametros!$H$11-'Calculo Intereses PERS NAT'!B506),0)</f>
        <v>0</v>
      </c>
      <c r="J506" s="168">
        <f>(F506-E506)*Parametros!$H$37/365*'Calculo Intereses PERS NAT'!I506</f>
        <v>0</v>
      </c>
      <c r="K506" s="169">
        <f t="shared" si="55"/>
        <v>182.79128547945206</v>
      </c>
    </row>
    <row r="507" spans="2:11" x14ac:dyDescent="0.25">
      <c r="B507" s="160"/>
      <c r="C507" s="161"/>
      <c r="D507" s="163"/>
      <c r="E507" s="159"/>
      <c r="F507" s="159"/>
      <c r="G507" s="165">
        <f t="shared" si="56"/>
        <v>1339.38</v>
      </c>
      <c r="H507" s="20"/>
      <c r="I507" s="167">
        <f>IF(B507&gt;0,(Parametros!$H$11-'Calculo Intereses PERS NAT'!B507),0)</f>
        <v>0</v>
      </c>
      <c r="J507" s="168">
        <f>(F507-E507)*Parametros!$H$37/365*'Calculo Intereses PERS NAT'!I507</f>
        <v>0</v>
      </c>
      <c r="K507" s="169">
        <f t="shared" si="55"/>
        <v>182.79128547945206</v>
      </c>
    </row>
    <row r="508" spans="2:11" x14ac:dyDescent="0.25">
      <c r="B508" s="160"/>
      <c r="C508" s="161"/>
      <c r="D508" s="163"/>
      <c r="E508" s="159"/>
      <c r="F508" s="159"/>
      <c r="G508" s="165">
        <f t="shared" si="56"/>
        <v>1339.38</v>
      </c>
      <c r="H508" s="20"/>
      <c r="I508" s="167">
        <f>IF(B508&gt;0,(Parametros!$H$11-'Calculo Intereses PERS NAT'!B508),0)</f>
        <v>0</v>
      </c>
      <c r="J508" s="168">
        <f>(F508-E508)*Parametros!$H$37/365*'Calculo Intereses PERS NAT'!I508</f>
        <v>0</v>
      </c>
      <c r="K508" s="169">
        <f t="shared" si="55"/>
        <v>182.79128547945206</v>
      </c>
    </row>
    <row r="509" spans="2:11" x14ac:dyDescent="0.25">
      <c r="B509" s="160"/>
      <c r="C509" s="161"/>
      <c r="D509" s="163"/>
      <c r="E509" s="159"/>
      <c r="F509" s="159"/>
      <c r="G509" s="165">
        <f t="shared" si="56"/>
        <v>1339.38</v>
      </c>
      <c r="H509" s="20"/>
      <c r="I509" s="167">
        <f>IF(B509&gt;0,(Parametros!$H$11-'Calculo Intereses PERS NAT'!B509),0)</f>
        <v>0</v>
      </c>
      <c r="J509" s="168">
        <f>(F509-E509)*Parametros!$H$37/365*'Calculo Intereses PERS NAT'!I509</f>
        <v>0</v>
      </c>
      <c r="K509" s="169">
        <f t="shared" si="55"/>
        <v>182.79128547945206</v>
      </c>
    </row>
    <row r="510" spans="2:11" x14ac:dyDescent="0.25">
      <c r="B510" s="160"/>
      <c r="C510" s="161"/>
      <c r="D510" s="163"/>
      <c r="E510" s="159"/>
      <c r="F510" s="159"/>
      <c r="G510" s="165">
        <f>+G509+F510</f>
        <v>1339.38</v>
      </c>
      <c r="H510" s="20"/>
      <c r="I510" s="167">
        <f>IF(B510&gt;0,(Parametros!$H$11-'Calculo Intereses PERS NAT'!B510),0)</f>
        <v>0</v>
      </c>
      <c r="J510" s="168">
        <f>(F510-E510)*Parametros!$H$37/365*'Calculo Intereses PERS NAT'!I510</f>
        <v>0</v>
      </c>
      <c r="K510" s="169">
        <f t="shared" si="55"/>
        <v>182.79128547945206</v>
      </c>
    </row>
    <row r="511" spans="2:11" x14ac:dyDescent="0.25">
      <c r="B511" s="20"/>
      <c r="C511" s="20"/>
      <c r="D511" s="52" t="s">
        <v>21</v>
      </c>
      <c r="E511" s="166">
        <f>SUM(E495:E510)</f>
        <v>0</v>
      </c>
      <c r="F511" s="166">
        <f>SUM(F495:F510)</f>
        <v>1339.38</v>
      </c>
      <c r="G511" s="166">
        <f>+G510</f>
        <v>1339.38</v>
      </c>
      <c r="J511" s="170">
        <f>SUM(J495:J510)</f>
        <v>182.79128547945206</v>
      </c>
    </row>
    <row r="513" spans="2:11" x14ac:dyDescent="0.25">
      <c r="B513" s="172" t="str">
        <f>CONCATENATE("APORTACIONES Y CALCULO DE INTERESES CORRESPONDIENTES AL AÑO ",YEAR(Parametros!$H$11))</f>
        <v>APORTACIONES Y CALCULO DE INTERESES CORRESPONDIENTES AL AÑO 2015</v>
      </c>
      <c r="C513" s="53"/>
      <c r="D513" s="53"/>
      <c r="E513" s="54"/>
      <c r="F513" s="54"/>
      <c r="G513" s="54"/>
      <c r="H513" s="20"/>
      <c r="I513" s="55"/>
      <c r="J513" s="56"/>
      <c r="K513" s="20"/>
    </row>
    <row r="514" spans="2:11" x14ac:dyDescent="0.25">
      <c r="B514" s="69" t="s">
        <v>186</v>
      </c>
      <c r="C514" s="173" t="str">
        <f>+'Calculo Excedentes'!A77</f>
        <v>PN-25</v>
      </c>
      <c r="D514" s="171" t="s">
        <v>187</v>
      </c>
      <c r="E514" s="176" t="str">
        <f>+'Calculo Excedentes'!B77</f>
        <v>Fredy Edgardo Fuentes</v>
      </c>
      <c r="F514" s="174"/>
      <c r="G514" s="175"/>
      <c r="H514" s="20"/>
      <c r="I514" s="39" t="s">
        <v>73</v>
      </c>
      <c r="J514" s="39" t="s">
        <v>74</v>
      </c>
      <c r="K514" s="39" t="s">
        <v>75</v>
      </c>
    </row>
    <row r="515" spans="2:11" x14ac:dyDescent="0.25">
      <c r="B515" s="40" t="s">
        <v>76</v>
      </c>
      <c r="C515" s="40" t="s">
        <v>77</v>
      </c>
      <c r="D515" s="40" t="s">
        <v>78</v>
      </c>
      <c r="E515" s="40" t="s">
        <v>79</v>
      </c>
      <c r="F515" s="40" t="s">
        <v>80</v>
      </c>
      <c r="G515" s="40" t="s">
        <v>81</v>
      </c>
      <c r="H515" s="20"/>
      <c r="I515" s="42" t="s">
        <v>82</v>
      </c>
      <c r="J515" s="164" t="s">
        <v>185</v>
      </c>
      <c r="K515" s="42" t="s">
        <v>84</v>
      </c>
    </row>
    <row r="516" spans="2:11" x14ac:dyDescent="0.25">
      <c r="B516" s="158">
        <f>+Parametros!$H$11-365</f>
        <v>42004</v>
      </c>
      <c r="C516" s="161"/>
      <c r="D516" s="162"/>
      <c r="E516" s="159"/>
      <c r="F516" s="159">
        <v>0</v>
      </c>
      <c r="G516" s="165">
        <f>+F516-E516</f>
        <v>0</v>
      </c>
      <c r="H516" s="20"/>
      <c r="I516" s="167">
        <f>IF(B516&gt;0,(Parametros!$H$11-'Calculo Intereses PERS NAT'!B516),0)</f>
        <v>365</v>
      </c>
      <c r="J516" s="168">
        <f>(F516-E516)*Parametros!$H$37/365*'Calculo Intereses PERS NAT'!I516</f>
        <v>0</v>
      </c>
      <c r="K516" s="169">
        <f>+J516</f>
        <v>0</v>
      </c>
    </row>
    <row r="517" spans="2:11" x14ac:dyDescent="0.25">
      <c r="B517" s="160">
        <v>42061</v>
      </c>
      <c r="C517" s="161"/>
      <c r="D517" s="162" t="s">
        <v>277</v>
      </c>
      <c r="E517" s="159"/>
      <c r="F517" s="159">
        <v>1142.8599999999999</v>
      </c>
      <c r="G517" s="165">
        <f>+G516+F517-E517</f>
        <v>1142.8599999999999</v>
      </c>
      <c r="H517" s="20"/>
      <c r="I517" s="167">
        <f>IF(B517&gt;0,(Parametros!$H$11-'Calculo Intereses PERS NAT'!B517),0)</f>
        <v>308</v>
      </c>
      <c r="J517" s="168">
        <f>(F517-E517)*Parametros!$H$37/365*'Calculo Intereses PERS NAT'!I517</f>
        <v>53.041228493150683</v>
      </c>
      <c r="K517" s="169">
        <f>+J517+K516</f>
        <v>53.041228493150683</v>
      </c>
    </row>
    <row r="518" spans="2:11" x14ac:dyDescent="0.25">
      <c r="B518" s="160"/>
      <c r="C518" s="161"/>
      <c r="D518" s="162"/>
      <c r="E518" s="159"/>
      <c r="F518" s="159"/>
      <c r="G518" s="165">
        <f>+G517+F518</f>
        <v>1142.8599999999999</v>
      </c>
      <c r="H518" s="20"/>
      <c r="I518" s="167">
        <f>IF(B518&gt;0,(Parametros!$H$11-'Calculo Intereses PERS NAT'!B518),0)</f>
        <v>0</v>
      </c>
      <c r="J518" s="168">
        <f>(F518-E518)*Parametros!$H$37/365*'Calculo Intereses PERS NAT'!I518</f>
        <v>0</v>
      </c>
      <c r="K518" s="169">
        <f t="shared" ref="K518:K531" si="57">+J518+K517</f>
        <v>53.041228493150683</v>
      </c>
    </row>
    <row r="519" spans="2:11" x14ac:dyDescent="0.25">
      <c r="B519" s="160"/>
      <c r="C519" s="161"/>
      <c r="D519" s="162"/>
      <c r="E519" s="159"/>
      <c r="F519" s="159"/>
      <c r="G519" s="165">
        <f>+G518+F519</f>
        <v>1142.8599999999999</v>
      </c>
      <c r="H519" s="20"/>
      <c r="I519" s="167">
        <f>IF(B519&gt;0,(Parametros!$H$11-'Calculo Intereses PERS NAT'!B519),0)</f>
        <v>0</v>
      </c>
      <c r="J519" s="168">
        <f>(F519-E519)*Parametros!$H$37/365*'Calculo Intereses PERS NAT'!I519</f>
        <v>0</v>
      </c>
      <c r="K519" s="169">
        <f t="shared" si="57"/>
        <v>53.041228493150683</v>
      </c>
    </row>
    <row r="520" spans="2:11" x14ac:dyDescent="0.25">
      <c r="B520" s="160"/>
      <c r="C520" s="161"/>
      <c r="D520" s="162"/>
      <c r="E520" s="159"/>
      <c r="F520" s="159"/>
      <c r="G520" s="165">
        <f>+G519+F520</f>
        <v>1142.8599999999999</v>
      </c>
      <c r="H520" s="20"/>
      <c r="I520" s="167">
        <f>IF(B520&gt;0,(Parametros!$H$11-'Calculo Intereses PERS NAT'!B520),0)</f>
        <v>0</v>
      </c>
      <c r="J520" s="168">
        <f>(F520-E520)*Parametros!$H$37/365*'Calculo Intereses PERS NAT'!I520</f>
        <v>0</v>
      </c>
      <c r="K520" s="169">
        <f t="shared" si="57"/>
        <v>53.041228493150683</v>
      </c>
    </row>
    <row r="521" spans="2:11" x14ac:dyDescent="0.25">
      <c r="B521" s="160"/>
      <c r="C521" s="161"/>
      <c r="D521" s="162"/>
      <c r="E521" s="159"/>
      <c r="F521" s="159"/>
      <c r="G521" s="165">
        <f>+G520+F521</f>
        <v>1142.8599999999999</v>
      </c>
      <c r="H521" s="20"/>
      <c r="I521" s="167">
        <f>IF(B521&gt;0,(Parametros!$H$11-'Calculo Intereses PERS NAT'!B521),0)</f>
        <v>0</v>
      </c>
      <c r="J521" s="168">
        <f>(F521-E521)*Parametros!$H$37/365*'Calculo Intereses PERS NAT'!I521</f>
        <v>0</v>
      </c>
      <c r="K521" s="169">
        <f t="shared" si="57"/>
        <v>53.041228493150683</v>
      </c>
    </row>
    <row r="522" spans="2:11" x14ac:dyDescent="0.25">
      <c r="B522" s="160"/>
      <c r="C522" s="161"/>
      <c r="D522" s="163"/>
      <c r="E522" s="159"/>
      <c r="F522" s="159"/>
      <c r="G522" s="165">
        <f t="shared" ref="G522:G530" si="58">+G521+F522</f>
        <v>1142.8599999999999</v>
      </c>
      <c r="H522" s="20"/>
      <c r="I522" s="167">
        <f>IF(B522&gt;0,(Parametros!$H$11-'Calculo Intereses PERS NAT'!B522),0)</f>
        <v>0</v>
      </c>
      <c r="J522" s="168">
        <f>(F522-E522)*Parametros!$H$37/365*'Calculo Intereses PERS NAT'!I522</f>
        <v>0</v>
      </c>
      <c r="K522" s="169">
        <f t="shared" si="57"/>
        <v>53.041228493150683</v>
      </c>
    </row>
    <row r="523" spans="2:11" x14ac:dyDescent="0.25">
      <c r="B523" s="160"/>
      <c r="C523" s="161"/>
      <c r="D523" s="163"/>
      <c r="E523" s="159"/>
      <c r="F523" s="159"/>
      <c r="G523" s="165">
        <f t="shared" si="58"/>
        <v>1142.8599999999999</v>
      </c>
      <c r="H523" s="20"/>
      <c r="I523" s="167">
        <f>IF(B523&gt;0,(Parametros!$H$11-'Calculo Intereses PERS NAT'!B523),0)</f>
        <v>0</v>
      </c>
      <c r="J523" s="168">
        <f>(F523-E523)*Parametros!$H$37/365*'Calculo Intereses PERS NAT'!I523</f>
        <v>0</v>
      </c>
      <c r="K523" s="169">
        <f t="shared" si="57"/>
        <v>53.041228493150683</v>
      </c>
    </row>
    <row r="524" spans="2:11" x14ac:dyDescent="0.25">
      <c r="B524" s="160"/>
      <c r="C524" s="161"/>
      <c r="D524" s="163"/>
      <c r="E524" s="159"/>
      <c r="F524" s="159"/>
      <c r="G524" s="165">
        <f t="shared" si="58"/>
        <v>1142.8599999999999</v>
      </c>
      <c r="H524" s="20"/>
      <c r="I524" s="167">
        <f>IF(B524&gt;0,(Parametros!$H$11-'Calculo Intereses PERS NAT'!B524),0)</f>
        <v>0</v>
      </c>
      <c r="J524" s="168">
        <f>(F524-E524)*Parametros!$H$37/365*'Calculo Intereses PERS NAT'!I524</f>
        <v>0</v>
      </c>
      <c r="K524" s="169">
        <f t="shared" si="57"/>
        <v>53.041228493150683</v>
      </c>
    </row>
    <row r="525" spans="2:11" x14ac:dyDescent="0.25">
      <c r="B525" s="160"/>
      <c r="C525" s="161"/>
      <c r="D525" s="163"/>
      <c r="E525" s="159"/>
      <c r="F525" s="159"/>
      <c r="G525" s="165">
        <f t="shared" si="58"/>
        <v>1142.8599999999999</v>
      </c>
      <c r="H525" s="20"/>
      <c r="I525" s="167">
        <f>IF(B525&gt;0,(Parametros!$H$11-'Calculo Intereses PERS NAT'!B525),0)</f>
        <v>0</v>
      </c>
      <c r="J525" s="168">
        <f>(F525-E525)*Parametros!$H$37/365*'Calculo Intereses PERS NAT'!I525</f>
        <v>0</v>
      </c>
      <c r="K525" s="169">
        <f t="shared" si="57"/>
        <v>53.041228493150683</v>
      </c>
    </row>
    <row r="526" spans="2:11" x14ac:dyDescent="0.25">
      <c r="B526" s="160"/>
      <c r="C526" s="161"/>
      <c r="D526" s="163"/>
      <c r="E526" s="159"/>
      <c r="F526" s="159"/>
      <c r="G526" s="165">
        <f t="shared" si="58"/>
        <v>1142.8599999999999</v>
      </c>
      <c r="H526" s="20"/>
      <c r="I526" s="167">
        <f>IF(B526&gt;0,(Parametros!$H$11-'Calculo Intereses PERS NAT'!B526),0)</f>
        <v>0</v>
      </c>
      <c r="J526" s="168">
        <f>(F526-E526)*Parametros!$H$37/365*'Calculo Intereses PERS NAT'!I526</f>
        <v>0</v>
      </c>
      <c r="K526" s="169">
        <f t="shared" si="57"/>
        <v>53.041228493150683</v>
      </c>
    </row>
    <row r="527" spans="2:11" x14ac:dyDescent="0.25">
      <c r="B527" s="160"/>
      <c r="C527" s="161"/>
      <c r="D527" s="163"/>
      <c r="E527" s="159"/>
      <c r="F527" s="159"/>
      <c r="G527" s="165">
        <f t="shared" si="58"/>
        <v>1142.8599999999999</v>
      </c>
      <c r="H527" s="20"/>
      <c r="I527" s="167">
        <f>IF(B527&gt;0,(Parametros!$H$11-'Calculo Intereses PERS NAT'!B527),0)</f>
        <v>0</v>
      </c>
      <c r="J527" s="168">
        <f>(F527-E527)*Parametros!$H$37/365*'Calculo Intereses PERS NAT'!I527</f>
        <v>0</v>
      </c>
      <c r="K527" s="169">
        <f t="shared" si="57"/>
        <v>53.041228493150683</v>
      </c>
    </row>
    <row r="528" spans="2:11" x14ac:dyDescent="0.25">
      <c r="B528" s="160"/>
      <c r="C528" s="161"/>
      <c r="D528" s="163"/>
      <c r="E528" s="159"/>
      <c r="F528" s="159"/>
      <c r="G528" s="165">
        <f t="shared" si="58"/>
        <v>1142.8599999999999</v>
      </c>
      <c r="H528" s="20"/>
      <c r="I528" s="167">
        <f>IF(B528&gt;0,(Parametros!$H$11-'Calculo Intereses PERS NAT'!B528),0)</f>
        <v>0</v>
      </c>
      <c r="J528" s="168">
        <f>(F528-E528)*Parametros!$H$37/365*'Calculo Intereses PERS NAT'!I528</f>
        <v>0</v>
      </c>
      <c r="K528" s="169">
        <f t="shared" si="57"/>
        <v>53.041228493150683</v>
      </c>
    </row>
    <row r="529" spans="2:11" x14ac:dyDescent="0.25">
      <c r="B529" s="160"/>
      <c r="C529" s="161"/>
      <c r="D529" s="163"/>
      <c r="E529" s="159"/>
      <c r="F529" s="159"/>
      <c r="G529" s="165">
        <f t="shared" si="58"/>
        <v>1142.8599999999999</v>
      </c>
      <c r="H529" s="20"/>
      <c r="I529" s="167">
        <f>IF(B529&gt;0,(Parametros!$H$11-'Calculo Intereses PERS NAT'!B529),0)</f>
        <v>0</v>
      </c>
      <c r="J529" s="168">
        <f>(F529-E529)*Parametros!$H$37/365*'Calculo Intereses PERS NAT'!I529</f>
        <v>0</v>
      </c>
      <c r="K529" s="169">
        <f t="shared" si="57"/>
        <v>53.041228493150683</v>
      </c>
    </row>
    <row r="530" spans="2:11" x14ac:dyDescent="0.25">
      <c r="B530" s="160"/>
      <c r="C530" s="161"/>
      <c r="D530" s="163"/>
      <c r="E530" s="159"/>
      <c r="F530" s="159"/>
      <c r="G530" s="165">
        <f t="shared" si="58"/>
        <v>1142.8599999999999</v>
      </c>
      <c r="H530" s="20"/>
      <c r="I530" s="167">
        <f>IF(B530&gt;0,(Parametros!$H$11-'Calculo Intereses PERS NAT'!B530),0)</f>
        <v>0</v>
      </c>
      <c r="J530" s="168">
        <f>(F530-E530)*Parametros!$H$37/365*'Calculo Intereses PERS NAT'!I530</f>
        <v>0</v>
      </c>
      <c r="K530" s="169">
        <f t="shared" si="57"/>
        <v>53.041228493150683</v>
      </c>
    </row>
    <row r="531" spans="2:11" x14ac:dyDescent="0.25">
      <c r="B531" s="160"/>
      <c r="C531" s="161"/>
      <c r="D531" s="163"/>
      <c r="E531" s="159"/>
      <c r="F531" s="159"/>
      <c r="G531" s="165">
        <f>+G530+F531</f>
        <v>1142.8599999999999</v>
      </c>
      <c r="H531" s="20"/>
      <c r="I531" s="167">
        <f>IF(B531&gt;0,(Parametros!$H$11-'Calculo Intereses PERS NAT'!B531),0)</f>
        <v>0</v>
      </c>
      <c r="J531" s="168">
        <f>(F531-E531)*Parametros!$H$37/365*'Calculo Intereses PERS NAT'!I531</f>
        <v>0</v>
      </c>
      <c r="K531" s="169">
        <f t="shared" si="57"/>
        <v>53.041228493150683</v>
      </c>
    </row>
    <row r="532" spans="2:11" x14ac:dyDescent="0.25">
      <c r="B532" s="20"/>
      <c r="C532" s="20"/>
      <c r="D532" s="52" t="s">
        <v>21</v>
      </c>
      <c r="E532" s="166">
        <f>SUM(E516:E531)</f>
        <v>0</v>
      </c>
      <c r="F532" s="166">
        <f>SUM(F516:F531)</f>
        <v>1142.8599999999999</v>
      </c>
      <c r="G532" s="166">
        <f>+G531</f>
        <v>1142.8599999999999</v>
      </c>
      <c r="J532" s="170">
        <f>SUM(J516:J531)</f>
        <v>53.041228493150683</v>
      </c>
    </row>
    <row r="534" spans="2:11" x14ac:dyDescent="0.25">
      <c r="B534" s="172" t="str">
        <f>CONCATENATE("APORTACIONES Y CALCULO DE INTERESES CORRESPONDIENTES AL AÑO ",YEAR(Parametros!$H$11))</f>
        <v>APORTACIONES Y CALCULO DE INTERESES CORRESPONDIENTES AL AÑO 2015</v>
      </c>
      <c r="C534" s="53"/>
      <c r="D534" s="53"/>
      <c r="E534" s="54"/>
      <c r="G534" s="54"/>
      <c r="H534" s="20"/>
      <c r="I534" s="55"/>
      <c r="J534" s="56"/>
      <c r="K534" s="20"/>
    </row>
    <row r="535" spans="2:11" x14ac:dyDescent="0.25">
      <c r="B535" s="69" t="s">
        <v>186</v>
      </c>
      <c r="C535" s="173" t="str">
        <f>+'Calculo Excedentes'!A78</f>
        <v>PN-26</v>
      </c>
      <c r="D535" s="171" t="s">
        <v>187</v>
      </c>
      <c r="E535" s="176">
        <f>+'Calculo Excedentes'!B78</f>
        <v>0</v>
      </c>
      <c r="F535" s="174"/>
      <c r="G535" s="175"/>
      <c r="H535" s="20"/>
      <c r="I535" s="39" t="s">
        <v>73</v>
      </c>
      <c r="J535" s="39" t="s">
        <v>74</v>
      </c>
      <c r="K535" s="39" t="s">
        <v>75</v>
      </c>
    </row>
    <row r="536" spans="2:11" x14ac:dyDescent="0.25">
      <c r="B536" s="40" t="s">
        <v>76</v>
      </c>
      <c r="C536" s="40" t="s">
        <v>77</v>
      </c>
      <c r="D536" s="40" t="s">
        <v>78</v>
      </c>
      <c r="E536" s="40" t="s">
        <v>79</v>
      </c>
      <c r="F536" s="40" t="s">
        <v>80</v>
      </c>
      <c r="G536" s="40" t="s">
        <v>81</v>
      </c>
      <c r="H536" s="20"/>
      <c r="I536" s="42" t="s">
        <v>82</v>
      </c>
      <c r="J536" s="164" t="s">
        <v>185</v>
      </c>
      <c r="K536" s="42" t="s">
        <v>84</v>
      </c>
    </row>
    <row r="537" spans="2:11" x14ac:dyDescent="0.25">
      <c r="B537" s="158">
        <f>+Parametros!$H$11-365</f>
        <v>42004</v>
      </c>
      <c r="C537" s="161"/>
      <c r="D537" s="162"/>
      <c r="E537" s="159"/>
      <c r="F537" s="159"/>
      <c r="G537" s="165">
        <f>+F537-E537</f>
        <v>0</v>
      </c>
      <c r="H537" s="20"/>
      <c r="I537" s="167">
        <f>IF(B537&gt;0,(Parametros!$H$11-'Calculo Intereses PERS NAT'!B537),0)</f>
        <v>365</v>
      </c>
      <c r="J537" s="168">
        <f>(F537-E537)*Parametros!$H$37/365*'Calculo Intereses PERS NAT'!I537</f>
        <v>0</v>
      </c>
      <c r="K537" s="169">
        <f>+J537</f>
        <v>0</v>
      </c>
    </row>
    <row r="538" spans="2:11" x14ac:dyDescent="0.25">
      <c r="B538" s="160"/>
      <c r="C538" s="161"/>
      <c r="D538" s="162"/>
      <c r="E538" s="159"/>
      <c r="F538" s="159"/>
      <c r="G538" s="165">
        <f>+G537+F538-E538</f>
        <v>0</v>
      </c>
      <c r="H538" s="20"/>
      <c r="I538" s="167">
        <f>IF(B538&gt;0,(Parametros!$H$11-'Calculo Intereses PERS NAT'!B538),0)</f>
        <v>0</v>
      </c>
      <c r="J538" s="168">
        <f>(F538-E538)*Parametros!$H$37/365*'Calculo Intereses PERS NAT'!I538</f>
        <v>0</v>
      </c>
      <c r="K538" s="169">
        <f>+J538+K537</f>
        <v>0</v>
      </c>
    </row>
    <row r="539" spans="2:11" x14ac:dyDescent="0.25">
      <c r="B539" s="160"/>
      <c r="C539" s="161"/>
      <c r="D539" s="162"/>
      <c r="E539" s="159"/>
      <c r="F539" s="159"/>
      <c r="G539" s="165">
        <f>+G538+F539</f>
        <v>0</v>
      </c>
      <c r="H539" s="20"/>
      <c r="I539" s="167">
        <f>IF(B539&gt;0,(Parametros!$H$11-'Calculo Intereses PERS NAT'!B539),0)</f>
        <v>0</v>
      </c>
      <c r="J539" s="168">
        <f>(F539-E539)*Parametros!$H$37/365*'Calculo Intereses PERS NAT'!I539</f>
        <v>0</v>
      </c>
      <c r="K539" s="169">
        <f t="shared" ref="K539:K552" si="59">+J539+K538</f>
        <v>0</v>
      </c>
    </row>
    <row r="540" spans="2:11" x14ac:dyDescent="0.25">
      <c r="B540" s="160"/>
      <c r="C540" s="161"/>
      <c r="D540" s="162"/>
      <c r="E540" s="159"/>
      <c r="F540" s="159"/>
      <c r="G540" s="165">
        <f>+G539+F540</f>
        <v>0</v>
      </c>
      <c r="H540" s="20"/>
      <c r="I540" s="167">
        <f>IF(B540&gt;0,(Parametros!$H$11-'Calculo Intereses PERS NAT'!B540),0)</f>
        <v>0</v>
      </c>
      <c r="J540" s="168">
        <f>(F540-E540)*Parametros!$H$37/365*'Calculo Intereses PERS NAT'!I540</f>
        <v>0</v>
      </c>
      <c r="K540" s="169">
        <f t="shared" si="59"/>
        <v>0</v>
      </c>
    </row>
    <row r="541" spans="2:11" x14ac:dyDescent="0.25">
      <c r="B541" s="160"/>
      <c r="C541" s="161"/>
      <c r="D541" s="162"/>
      <c r="E541" s="159"/>
      <c r="F541" s="159"/>
      <c r="G541" s="165">
        <f>+G540+F541</f>
        <v>0</v>
      </c>
      <c r="H541" s="20"/>
      <c r="I541" s="167">
        <f>IF(B541&gt;0,(Parametros!$H$11-'Calculo Intereses PERS NAT'!B541),0)</f>
        <v>0</v>
      </c>
      <c r="J541" s="168">
        <f>(F541-E541)*Parametros!$H$37/365*'Calculo Intereses PERS NAT'!I541</f>
        <v>0</v>
      </c>
      <c r="K541" s="169">
        <f t="shared" si="59"/>
        <v>0</v>
      </c>
    </row>
    <row r="542" spans="2:11" x14ac:dyDescent="0.25">
      <c r="B542" s="160"/>
      <c r="C542" s="161"/>
      <c r="D542" s="162"/>
      <c r="E542" s="159"/>
      <c r="F542" s="159"/>
      <c r="G542" s="165">
        <f>+G541+F542</f>
        <v>0</v>
      </c>
      <c r="H542" s="20"/>
      <c r="I542" s="167">
        <f>IF(B542&gt;0,(Parametros!$H$11-'Calculo Intereses PERS NAT'!B542),0)</f>
        <v>0</v>
      </c>
      <c r="J542" s="168">
        <f>(F542-E542)*Parametros!$H$37/365*'Calculo Intereses PERS NAT'!I542</f>
        <v>0</v>
      </c>
      <c r="K542" s="169">
        <f t="shared" si="59"/>
        <v>0</v>
      </c>
    </row>
    <row r="543" spans="2:11" x14ac:dyDescent="0.25">
      <c r="B543" s="160"/>
      <c r="C543" s="161"/>
      <c r="D543" s="163"/>
      <c r="E543" s="159"/>
      <c r="F543" s="159"/>
      <c r="G543" s="165">
        <f t="shared" ref="G543:G551" si="60">+G542+F543</f>
        <v>0</v>
      </c>
      <c r="H543" s="20"/>
      <c r="I543" s="167">
        <f>IF(B543&gt;0,(Parametros!$H$11-'Calculo Intereses PERS NAT'!B543),0)</f>
        <v>0</v>
      </c>
      <c r="J543" s="168">
        <f>(F543-E543)*Parametros!$H$37/365*'Calculo Intereses PERS NAT'!I543</f>
        <v>0</v>
      </c>
      <c r="K543" s="169">
        <f t="shared" si="59"/>
        <v>0</v>
      </c>
    </row>
    <row r="544" spans="2:11" x14ac:dyDescent="0.25">
      <c r="B544" s="160"/>
      <c r="C544" s="161"/>
      <c r="D544" s="163"/>
      <c r="E544" s="159"/>
      <c r="F544" s="159"/>
      <c r="G544" s="165">
        <f t="shared" si="60"/>
        <v>0</v>
      </c>
      <c r="H544" s="20"/>
      <c r="I544" s="167">
        <f>IF(B544&gt;0,(Parametros!$H$11-'Calculo Intereses PERS NAT'!B544),0)</f>
        <v>0</v>
      </c>
      <c r="J544" s="168">
        <f>(F544-E544)*Parametros!$H$37/365*'Calculo Intereses PERS NAT'!I544</f>
        <v>0</v>
      </c>
      <c r="K544" s="169">
        <f t="shared" si="59"/>
        <v>0</v>
      </c>
    </row>
    <row r="545" spans="2:11" x14ac:dyDescent="0.25">
      <c r="B545" s="160"/>
      <c r="C545" s="161"/>
      <c r="D545" s="163"/>
      <c r="E545" s="159"/>
      <c r="F545" s="159"/>
      <c r="G545" s="165">
        <f t="shared" si="60"/>
        <v>0</v>
      </c>
      <c r="H545" s="20"/>
      <c r="I545" s="167">
        <f>IF(B545&gt;0,(Parametros!$H$11-'Calculo Intereses PERS NAT'!B545),0)</f>
        <v>0</v>
      </c>
      <c r="J545" s="168">
        <f>(F545-E545)*Parametros!$H$37/365*'Calculo Intereses PERS NAT'!I545</f>
        <v>0</v>
      </c>
      <c r="K545" s="169">
        <f t="shared" si="59"/>
        <v>0</v>
      </c>
    </row>
    <row r="546" spans="2:11" x14ac:dyDescent="0.25">
      <c r="B546" s="160"/>
      <c r="C546" s="161"/>
      <c r="D546" s="163"/>
      <c r="E546" s="159"/>
      <c r="F546" s="159"/>
      <c r="G546" s="165">
        <f t="shared" si="60"/>
        <v>0</v>
      </c>
      <c r="H546" s="20"/>
      <c r="I546" s="167">
        <f>IF(B546&gt;0,(Parametros!$H$11-'Calculo Intereses PERS NAT'!B546),0)</f>
        <v>0</v>
      </c>
      <c r="J546" s="168">
        <f>(F546-E546)*Parametros!$H$37/365*'Calculo Intereses PERS NAT'!I546</f>
        <v>0</v>
      </c>
      <c r="K546" s="169">
        <f t="shared" si="59"/>
        <v>0</v>
      </c>
    </row>
    <row r="547" spans="2:11" x14ac:dyDescent="0.25">
      <c r="B547" s="160"/>
      <c r="C547" s="161"/>
      <c r="D547" s="163"/>
      <c r="E547" s="159"/>
      <c r="F547" s="159"/>
      <c r="G547" s="165">
        <f t="shared" si="60"/>
        <v>0</v>
      </c>
      <c r="H547" s="20"/>
      <c r="I547" s="167">
        <f>IF(B547&gt;0,(Parametros!$H$11-'Calculo Intereses PERS NAT'!B547),0)</f>
        <v>0</v>
      </c>
      <c r="J547" s="168">
        <f>(F547-E547)*Parametros!$H$37/365*'Calculo Intereses PERS NAT'!I547</f>
        <v>0</v>
      </c>
      <c r="K547" s="169">
        <f t="shared" si="59"/>
        <v>0</v>
      </c>
    </row>
    <row r="548" spans="2:11" x14ac:dyDescent="0.25">
      <c r="B548" s="160"/>
      <c r="C548" s="161"/>
      <c r="D548" s="163"/>
      <c r="E548" s="159"/>
      <c r="F548" s="159"/>
      <c r="G548" s="165">
        <f t="shared" si="60"/>
        <v>0</v>
      </c>
      <c r="H548" s="20"/>
      <c r="I548" s="167">
        <f>IF(B548&gt;0,(Parametros!$H$11-'Calculo Intereses PERS NAT'!B548),0)</f>
        <v>0</v>
      </c>
      <c r="J548" s="168">
        <f>(F548-E548)*Parametros!$H$37/365*'Calculo Intereses PERS NAT'!I548</f>
        <v>0</v>
      </c>
      <c r="K548" s="169">
        <f t="shared" si="59"/>
        <v>0</v>
      </c>
    </row>
    <row r="549" spans="2:11" x14ac:dyDescent="0.25">
      <c r="B549" s="160"/>
      <c r="C549" s="161"/>
      <c r="D549" s="163"/>
      <c r="E549" s="159"/>
      <c r="F549" s="159"/>
      <c r="G549" s="165">
        <f t="shared" si="60"/>
        <v>0</v>
      </c>
      <c r="H549" s="20"/>
      <c r="I549" s="167">
        <f>IF(B549&gt;0,(Parametros!$H$11-'Calculo Intereses PERS NAT'!B549),0)</f>
        <v>0</v>
      </c>
      <c r="J549" s="168">
        <f>(F549-E549)*Parametros!$H$37/365*'Calculo Intereses PERS NAT'!I549</f>
        <v>0</v>
      </c>
      <c r="K549" s="169">
        <f t="shared" si="59"/>
        <v>0</v>
      </c>
    </row>
    <row r="550" spans="2:11" x14ac:dyDescent="0.25">
      <c r="B550" s="160"/>
      <c r="C550" s="161"/>
      <c r="D550" s="163"/>
      <c r="E550" s="159"/>
      <c r="F550" s="159"/>
      <c r="G550" s="165">
        <f t="shared" si="60"/>
        <v>0</v>
      </c>
      <c r="H550" s="20"/>
      <c r="I550" s="167">
        <f>IF(B550&gt;0,(Parametros!$H$11-'Calculo Intereses PERS NAT'!B550),0)</f>
        <v>0</v>
      </c>
      <c r="J550" s="168">
        <f>(F550-E550)*Parametros!$H$37/365*'Calculo Intereses PERS NAT'!I550</f>
        <v>0</v>
      </c>
      <c r="K550" s="169">
        <f t="shared" si="59"/>
        <v>0</v>
      </c>
    </row>
    <row r="551" spans="2:11" x14ac:dyDescent="0.25">
      <c r="B551" s="160"/>
      <c r="C551" s="161"/>
      <c r="D551" s="163"/>
      <c r="E551" s="159"/>
      <c r="F551" s="159"/>
      <c r="G551" s="165">
        <f t="shared" si="60"/>
        <v>0</v>
      </c>
      <c r="H551" s="20"/>
      <c r="I551" s="167">
        <f>IF(B551&gt;0,(Parametros!$H$11-'Calculo Intereses PERS NAT'!B551),0)</f>
        <v>0</v>
      </c>
      <c r="J551" s="168">
        <f>(F551-E551)*Parametros!$H$37/365*'Calculo Intereses PERS NAT'!I551</f>
        <v>0</v>
      </c>
      <c r="K551" s="169">
        <f t="shared" si="59"/>
        <v>0</v>
      </c>
    </row>
    <row r="552" spans="2:11" x14ac:dyDescent="0.25">
      <c r="B552" s="160"/>
      <c r="C552" s="161"/>
      <c r="D552" s="163"/>
      <c r="E552" s="159"/>
      <c r="F552" s="159"/>
      <c r="G552" s="165">
        <f>+G551+F552</f>
        <v>0</v>
      </c>
      <c r="H552" s="20"/>
      <c r="I552" s="167">
        <f>IF(B552&gt;0,(Parametros!$H$11-'Calculo Intereses PERS NAT'!B552),0)</f>
        <v>0</v>
      </c>
      <c r="J552" s="168">
        <f>(F552-E552)*Parametros!$H$37/365*'Calculo Intereses PERS NAT'!I552</f>
        <v>0</v>
      </c>
      <c r="K552" s="169">
        <f t="shared" si="59"/>
        <v>0</v>
      </c>
    </row>
    <row r="553" spans="2:11" x14ac:dyDescent="0.25">
      <c r="B553" s="20"/>
      <c r="C553" s="20"/>
      <c r="D553" s="52" t="s">
        <v>21</v>
      </c>
      <c r="E553" s="166">
        <f>SUM(E537:E552)</f>
        <v>0</v>
      </c>
      <c r="F553" s="166">
        <f>SUM(F537:F552)</f>
        <v>0</v>
      </c>
      <c r="G553" s="166">
        <f>+G552</f>
        <v>0</v>
      </c>
      <c r="J553" s="170">
        <f>SUM(J537:J552)</f>
        <v>0</v>
      </c>
    </row>
    <row r="554" spans="2:11" x14ac:dyDescent="0.25">
      <c r="B554" s="20"/>
      <c r="C554" s="20"/>
      <c r="D554" s="20"/>
      <c r="E554" s="20"/>
      <c r="F554" s="20"/>
      <c r="G554" s="20"/>
      <c r="H554" s="20"/>
      <c r="I554" s="20"/>
      <c r="J554" s="20"/>
      <c r="K554" s="20"/>
    </row>
    <row r="555" spans="2:11" x14ac:dyDescent="0.25">
      <c r="B555" s="172" t="str">
        <f>CONCATENATE("APORTACIONES Y CALCULO DE INTERESES CORRESPONDIENTES AL AÑO ",YEAR(Parametros!$H$11))</f>
        <v>APORTACIONES Y CALCULO DE INTERESES CORRESPONDIENTES AL AÑO 2015</v>
      </c>
      <c r="C555" s="53"/>
      <c r="D555" s="53"/>
      <c r="E555" s="54"/>
      <c r="F555" s="54"/>
      <c r="G555" s="54"/>
      <c r="H555" s="20"/>
      <c r="I555" s="55"/>
      <c r="J555" s="56"/>
      <c r="K555" s="20"/>
    </row>
    <row r="556" spans="2:11" x14ac:dyDescent="0.25">
      <c r="B556" s="69" t="s">
        <v>186</v>
      </c>
      <c r="C556" s="173" t="str">
        <f>+'Calculo Excedentes'!A79</f>
        <v>PN-27</v>
      </c>
      <c r="D556" s="171" t="s">
        <v>187</v>
      </c>
      <c r="E556" s="176">
        <f>+'Calculo Excedentes'!B79</f>
        <v>0</v>
      </c>
      <c r="F556" s="174"/>
      <c r="G556" s="175"/>
      <c r="H556" s="20"/>
      <c r="I556" s="39" t="s">
        <v>73</v>
      </c>
      <c r="J556" s="39" t="s">
        <v>74</v>
      </c>
      <c r="K556" s="39" t="s">
        <v>75</v>
      </c>
    </row>
    <row r="557" spans="2:11" x14ac:dyDescent="0.25">
      <c r="B557" s="40" t="s">
        <v>76</v>
      </c>
      <c r="C557" s="40" t="s">
        <v>77</v>
      </c>
      <c r="D557" s="40" t="s">
        <v>78</v>
      </c>
      <c r="E557" s="40" t="s">
        <v>79</v>
      </c>
      <c r="F557" s="40" t="s">
        <v>80</v>
      </c>
      <c r="G557" s="40" t="s">
        <v>81</v>
      </c>
      <c r="H557" s="20"/>
      <c r="I557" s="42" t="s">
        <v>82</v>
      </c>
      <c r="J557" s="164" t="s">
        <v>185</v>
      </c>
      <c r="K557" s="42" t="s">
        <v>84</v>
      </c>
    </row>
    <row r="558" spans="2:11" x14ac:dyDescent="0.25">
      <c r="B558" s="158">
        <f>+Parametros!$H$11-365</f>
        <v>42004</v>
      </c>
      <c r="C558" s="161"/>
      <c r="D558" s="162"/>
      <c r="E558" s="159"/>
      <c r="F558" s="159"/>
      <c r="G558" s="165">
        <f>+F558-E558</f>
        <v>0</v>
      </c>
      <c r="H558" s="20"/>
      <c r="I558" s="167">
        <f>IF(B558&gt;0,(Parametros!$H$11-'Calculo Intereses PERS NAT'!B558),0)</f>
        <v>365</v>
      </c>
      <c r="J558" s="168">
        <f>(F558-E558)*Parametros!$H$37/365*'Calculo Intereses PERS NAT'!I558</f>
        <v>0</v>
      </c>
      <c r="K558" s="169">
        <f>+J558</f>
        <v>0</v>
      </c>
    </row>
    <row r="559" spans="2:11" x14ac:dyDescent="0.25">
      <c r="B559" s="160"/>
      <c r="C559" s="161"/>
      <c r="D559" s="162"/>
      <c r="E559" s="159"/>
      <c r="F559" s="159"/>
      <c r="G559" s="165">
        <f>+G558+F559-E559</f>
        <v>0</v>
      </c>
      <c r="H559" s="20"/>
      <c r="I559" s="167">
        <f>IF(B559&gt;0,(Parametros!$H$11-'Calculo Intereses PERS NAT'!B559),0)</f>
        <v>0</v>
      </c>
      <c r="J559" s="168">
        <f>(F559-E559)*Parametros!$H$37/365*'Calculo Intereses PERS NAT'!I559</f>
        <v>0</v>
      </c>
      <c r="K559" s="169">
        <f>+J559+K558</f>
        <v>0</v>
      </c>
    </row>
    <row r="560" spans="2:11" x14ac:dyDescent="0.25">
      <c r="B560" s="160"/>
      <c r="C560" s="161"/>
      <c r="D560" s="162"/>
      <c r="E560" s="159"/>
      <c r="F560" s="159"/>
      <c r="G560" s="165">
        <f>+G559+F560</f>
        <v>0</v>
      </c>
      <c r="H560" s="20"/>
      <c r="I560" s="167">
        <f>IF(B560&gt;0,(Parametros!$H$11-'Calculo Intereses PERS NAT'!B560),0)</f>
        <v>0</v>
      </c>
      <c r="J560" s="168">
        <f>(F560-E560)*Parametros!$H$37/365*'Calculo Intereses PERS NAT'!I560</f>
        <v>0</v>
      </c>
      <c r="K560" s="169">
        <f t="shared" ref="K560:K573" si="61">+J560+K559</f>
        <v>0</v>
      </c>
    </row>
    <row r="561" spans="2:11" x14ac:dyDescent="0.25">
      <c r="B561" s="160"/>
      <c r="C561" s="161"/>
      <c r="D561" s="162"/>
      <c r="E561" s="159"/>
      <c r="F561" s="159"/>
      <c r="G561" s="165">
        <f>+G560+F561</f>
        <v>0</v>
      </c>
      <c r="H561" s="20"/>
      <c r="I561" s="167">
        <f>IF(B561&gt;0,(Parametros!$H$11-'Calculo Intereses PERS NAT'!B561),0)</f>
        <v>0</v>
      </c>
      <c r="J561" s="168">
        <f>(F561-E561)*Parametros!$H$37/365*'Calculo Intereses PERS NAT'!I561</f>
        <v>0</v>
      </c>
      <c r="K561" s="169">
        <f t="shared" si="61"/>
        <v>0</v>
      </c>
    </row>
    <row r="562" spans="2:11" x14ac:dyDescent="0.25">
      <c r="B562" s="160"/>
      <c r="C562" s="161"/>
      <c r="D562" s="162"/>
      <c r="E562" s="159"/>
      <c r="F562" s="159"/>
      <c r="G562" s="165">
        <f>+G561+F562</f>
        <v>0</v>
      </c>
      <c r="H562" s="20"/>
      <c r="I562" s="167">
        <f>IF(B562&gt;0,(Parametros!$H$11-'Calculo Intereses PERS NAT'!B562),0)</f>
        <v>0</v>
      </c>
      <c r="J562" s="168">
        <f>(F562-E562)*Parametros!$H$37/365*'Calculo Intereses PERS NAT'!I562</f>
        <v>0</v>
      </c>
      <c r="K562" s="169">
        <f t="shared" si="61"/>
        <v>0</v>
      </c>
    </row>
    <row r="563" spans="2:11" x14ac:dyDescent="0.25">
      <c r="B563" s="160"/>
      <c r="C563" s="161"/>
      <c r="D563" s="162"/>
      <c r="E563" s="159"/>
      <c r="F563" s="159"/>
      <c r="G563" s="165">
        <f>+G562+F563</f>
        <v>0</v>
      </c>
      <c r="H563" s="20"/>
      <c r="I563" s="167">
        <f>IF(B563&gt;0,(Parametros!$H$11-'Calculo Intereses PERS NAT'!B563),0)</f>
        <v>0</v>
      </c>
      <c r="J563" s="168">
        <f>(F563-E563)*Parametros!$H$37/365*'Calculo Intereses PERS NAT'!I563</f>
        <v>0</v>
      </c>
      <c r="K563" s="169">
        <f t="shared" si="61"/>
        <v>0</v>
      </c>
    </row>
    <row r="564" spans="2:11" x14ac:dyDescent="0.25">
      <c r="B564" s="160"/>
      <c r="C564" s="161"/>
      <c r="D564" s="163"/>
      <c r="E564" s="159"/>
      <c r="F564" s="159"/>
      <c r="G564" s="165">
        <f t="shared" ref="G564:G572" si="62">+G563+F564</f>
        <v>0</v>
      </c>
      <c r="H564" s="20"/>
      <c r="I564" s="167">
        <f>IF(B564&gt;0,(Parametros!$H$11-'Calculo Intereses PERS NAT'!B564),0)</f>
        <v>0</v>
      </c>
      <c r="J564" s="168">
        <f>(F564-E564)*Parametros!$H$37/365*'Calculo Intereses PERS NAT'!I564</f>
        <v>0</v>
      </c>
      <c r="K564" s="169">
        <f t="shared" si="61"/>
        <v>0</v>
      </c>
    </row>
    <row r="565" spans="2:11" x14ac:dyDescent="0.25">
      <c r="B565" s="160"/>
      <c r="C565" s="161"/>
      <c r="D565" s="163"/>
      <c r="E565" s="159"/>
      <c r="F565" s="159"/>
      <c r="G565" s="165">
        <f t="shared" si="62"/>
        <v>0</v>
      </c>
      <c r="H565" s="20"/>
      <c r="I565" s="167">
        <f>IF(B565&gt;0,(Parametros!$H$11-'Calculo Intereses PERS NAT'!B565),0)</f>
        <v>0</v>
      </c>
      <c r="J565" s="168">
        <f>(F565-E565)*Parametros!$H$37/365*'Calculo Intereses PERS NAT'!I565</f>
        <v>0</v>
      </c>
      <c r="K565" s="169">
        <f t="shared" si="61"/>
        <v>0</v>
      </c>
    </row>
    <row r="566" spans="2:11" x14ac:dyDescent="0.25">
      <c r="B566" s="160"/>
      <c r="C566" s="161"/>
      <c r="D566" s="163"/>
      <c r="E566" s="159"/>
      <c r="F566" s="159"/>
      <c r="G566" s="165">
        <f t="shared" si="62"/>
        <v>0</v>
      </c>
      <c r="H566" s="20"/>
      <c r="I566" s="167">
        <f>IF(B566&gt;0,(Parametros!$H$11-'Calculo Intereses PERS NAT'!B566),0)</f>
        <v>0</v>
      </c>
      <c r="J566" s="168">
        <f>(F566-E566)*Parametros!$H$37/365*'Calculo Intereses PERS NAT'!I566</f>
        <v>0</v>
      </c>
      <c r="K566" s="169">
        <f t="shared" si="61"/>
        <v>0</v>
      </c>
    </row>
    <row r="567" spans="2:11" x14ac:dyDescent="0.25">
      <c r="B567" s="160"/>
      <c r="C567" s="161"/>
      <c r="D567" s="163"/>
      <c r="E567" s="159"/>
      <c r="F567" s="159"/>
      <c r="G567" s="165">
        <f t="shared" si="62"/>
        <v>0</v>
      </c>
      <c r="H567" s="20"/>
      <c r="I567" s="167">
        <f>IF(B567&gt;0,(Parametros!$H$11-'Calculo Intereses PERS NAT'!B567),0)</f>
        <v>0</v>
      </c>
      <c r="J567" s="168">
        <f>(F567-E567)*Parametros!$H$37/365*'Calculo Intereses PERS NAT'!I567</f>
        <v>0</v>
      </c>
      <c r="K567" s="169">
        <f t="shared" si="61"/>
        <v>0</v>
      </c>
    </row>
    <row r="568" spans="2:11" x14ac:dyDescent="0.25">
      <c r="B568" s="160"/>
      <c r="C568" s="161"/>
      <c r="D568" s="163"/>
      <c r="E568" s="159"/>
      <c r="F568" s="159"/>
      <c r="G568" s="165">
        <f t="shared" si="62"/>
        <v>0</v>
      </c>
      <c r="H568" s="20"/>
      <c r="I568" s="167">
        <f>IF(B568&gt;0,(Parametros!$H$11-'Calculo Intereses PERS NAT'!B568),0)</f>
        <v>0</v>
      </c>
      <c r="J568" s="168">
        <f>(F568-E568)*Parametros!$H$37/365*'Calculo Intereses PERS NAT'!I568</f>
        <v>0</v>
      </c>
      <c r="K568" s="169">
        <f t="shared" si="61"/>
        <v>0</v>
      </c>
    </row>
    <row r="569" spans="2:11" x14ac:dyDescent="0.25">
      <c r="B569" s="160"/>
      <c r="C569" s="161"/>
      <c r="D569" s="163"/>
      <c r="E569" s="159"/>
      <c r="F569" s="159"/>
      <c r="G569" s="165">
        <f t="shared" si="62"/>
        <v>0</v>
      </c>
      <c r="H569" s="20"/>
      <c r="I569" s="167">
        <f>IF(B569&gt;0,(Parametros!$H$11-'Calculo Intereses PERS NAT'!B569),0)</f>
        <v>0</v>
      </c>
      <c r="J569" s="168">
        <f>(F569-E569)*Parametros!$H$37/365*'Calculo Intereses PERS NAT'!I569</f>
        <v>0</v>
      </c>
      <c r="K569" s="169">
        <f t="shared" si="61"/>
        <v>0</v>
      </c>
    </row>
    <row r="570" spans="2:11" x14ac:dyDescent="0.25">
      <c r="B570" s="160"/>
      <c r="C570" s="161"/>
      <c r="D570" s="163"/>
      <c r="E570" s="159"/>
      <c r="F570" s="159"/>
      <c r="G570" s="165">
        <f t="shared" si="62"/>
        <v>0</v>
      </c>
      <c r="H570" s="20"/>
      <c r="I570" s="167">
        <f>IF(B570&gt;0,(Parametros!$H$11-'Calculo Intereses PERS NAT'!B570),0)</f>
        <v>0</v>
      </c>
      <c r="J570" s="168">
        <f>(F570-E570)*Parametros!$H$37/365*'Calculo Intereses PERS NAT'!I570</f>
        <v>0</v>
      </c>
      <c r="K570" s="169">
        <f t="shared" si="61"/>
        <v>0</v>
      </c>
    </row>
    <row r="571" spans="2:11" x14ac:dyDescent="0.25">
      <c r="B571" s="160"/>
      <c r="C571" s="161"/>
      <c r="D571" s="163"/>
      <c r="E571" s="159"/>
      <c r="F571" s="159"/>
      <c r="G571" s="165">
        <f t="shared" si="62"/>
        <v>0</v>
      </c>
      <c r="H571" s="20"/>
      <c r="I571" s="167">
        <f>IF(B571&gt;0,(Parametros!$H$11-'Calculo Intereses PERS NAT'!B571),0)</f>
        <v>0</v>
      </c>
      <c r="J571" s="168">
        <f>(F571-E571)*Parametros!$H$37/365*'Calculo Intereses PERS NAT'!I571</f>
        <v>0</v>
      </c>
      <c r="K571" s="169">
        <f t="shared" si="61"/>
        <v>0</v>
      </c>
    </row>
    <row r="572" spans="2:11" x14ac:dyDescent="0.25">
      <c r="B572" s="160"/>
      <c r="C572" s="161"/>
      <c r="D572" s="163"/>
      <c r="E572" s="159"/>
      <c r="F572" s="159"/>
      <c r="G572" s="165">
        <f t="shared" si="62"/>
        <v>0</v>
      </c>
      <c r="H572" s="20"/>
      <c r="I572" s="167">
        <f>IF(B572&gt;0,(Parametros!$H$11-'Calculo Intereses PERS NAT'!B572),0)</f>
        <v>0</v>
      </c>
      <c r="J572" s="168">
        <f>(F572-E572)*Parametros!$H$37/365*'Calculo Intereses PERS NAT'!I572</f>
        <v>0</v>
      </c>
      <c r="K572" s="169">
        <f t="shared" si="61"/>
        <v>0</v>
      </c>
    </row>
    <row r="573" spans="2:11" x14ac:dyDescent="0.25">
      <c r="B573" s="160"/>
      <c r="C573" s="161"/>
      <c r="D573" s="163"/>
      <c r="E573" s="159"/>
      <c r="F573" s="159"/>
      <c r="G573" s="165">
        <f>+G572+F573</f>
        <v>0</v>
      </c>
      <c r="H573" s="20"/>
      <c r="I573" s="167">
        <f>IF(B573&gt;0,(Parametros!$H$11-'Calculo Intereses PERS NAT'!B573),0)</f>
        <v>0</v>
      </c>
      <c r="J573" s="168">
        <f>(F573-E573)*Parametros!$H$37/365*'Calculo Intereses PERS NAT'!I573</f>
        <v>0</v>
      </c>
      <c r="K573" s="169">
        <f t="shared" si="61"/>
        <v>0</v>
      </c>
    </row>
    <row r="574" spans="2:11" x14ac:dyDescent="0.25">
      <c r="B574" s="20"/>
      <c r="C574" s="20"/>
      <c r="D574" s="52" t="s">
        <v>21</v>
      </c>
      <c r="E574" s="166">
        <f>SUM(E558:E573)</f>
        <v>0</v>
      </c>
      <c r="F574" s="166">
        <f>SUM(F558:F573)</f>
        <v>0</v>
      </c>
      <c r="G574" s="166">
        <f>+G573</f>
        <v>0</v>
      </c>
      <c r="J574" s="170">
        <f>SUM(J558:J573)</f>
        <v>0</v>
      </c>
    </row>
    <row r="575" spans="2:11" x14ac:dyDescent="0.25">
      <c r="B575" s="20"/>
      <c r="C575" s="20"/>
      <c r="D575" s="20"/>
      <c r="E575" s="20"/>
      <c r="F575" s="20"/>
      <c r="G575" s="20"/>
      <c r="H575" s="20"/>
      <c r="I575" s="20"/>
      <c r="J575" s="20"/>
      <c r="K575" s="20"/>
    </row>
    <row r="576" spans="2:11" x14ac:dyDescent="0.25">
      <c r="B576" s="172" t="str">
        <f>CONCATENATE("APORTACIONES Y CALCULO DE INTERESES CORRESPONDIENTES AL AÑO ",YEAR(Parametros!$H$11))</f>
        <v>APORTACIONES Y CALCULO DE INTERESES CORRESPONDIENTES AL AÑO 2015</v>
      </c>
      <c r="C576" s="53"/>
      <c r="D576" s="53"/>
      <c r="E576" s="54"/>
      <c r="G576" s="54"/>
      <c r="H576" s="20"/>
      <c r="I576" s="55"/>
      <c r="J576" s="56"/>
      <c r="K576" s="20"/>
    </row>
    <row r="577" spans="2:11" x14ac:dyDescent="0.25">
      <c r="B577" s="69" t="s">
        <v>186</v>
      </c>
      <c r="C577" s="173" t="str">
        <f>+'Calculo Excedentes'!A80</f>
        <v>PN-28</v>
      </c>
      <c r="D577" s="171" t="s">
        <v>187</v>
      </c>
      <c r="E577" s="176">
        <f>+'Calculo Excedentes'!B80</f>
        <v>0</v>
      </c>
      <c r="F577" s="174"/>
      <c r="G577" s="175"/>
      <c r="H577" s="20"/>
      <c r="I577" s="39" t="s">
        <v>73</v>
      </c>
      <c r="J577" s="39" t="s">
        <v>74</v>
      </c>
      <c r="K577" s="39" t="s">
        <v>75</v>
      </c>
    </row>
    <row r="578" spans="2:11" x14ac:dyDescent="0.25">
      <c r="B578" s="40" t="s">
        <v>76</v>
      </c>
      <c r="C578" s="40" t="s">
        <v>77</v>
      </c>
      <c r="D578" s="40" t="s">
        <v>78</v>
      </c>
      <c r="E578" s="40" t="s">
        <v>79</v>
      </c>
      <c r="F578" s="40" t="s">
        <v>80</v>
      </c>
      <c r="G578" s="40" t="s">
        <v>81</v>
      </c>
      <c r="H578" s="20"/>
      <c r="I578" s="42" t="s">
        <v>82</v>
      </c>
      <c r="J578" s="164" t="s">
        <v>185</v>
      </c>
      <c r="K578" s="42" t="s">
        <v>84</v>
      </c>
    </row>
    <row r="579" spans="2:11" x14ac:dyDescent="0.25">
      <c r="B579" s="158">
        <f>+Parametros!$H$11-365</f>
        <v>42004</v>
      </c>
      <c r="C579" s="161"/>
      <c r="D579" s="162"/>
      <c r="E579" s="159"/>
      <c r="F579" s="159"/>
      <c r="G579" s="165">
        <f>+F579-E579</f>
        <v>0</v>
      </c>
      <c r="H579" s="20"/>
      <c r="I579" s="167">
        <f>IF(B579&gt;0,(Parametros!$H$11-'Calculo Intereses PERS NAT'!B579),0)</f>
        <v>365</v>
      </c>
      <c r="J579" s="168">
        <f>(F579-E579)*Parametros!$H$37/365*'Calculo Intereses PERS NAT'!I579</f>
        <v>0</v>
      </c>
      <c r="K579" s="169">
        <f>+J579</f>
        <v>0</v>
      </c>
    </row>
    <row r="580" spans="2:11" x14ac:dyDescent="0.25">
      <c r="B580" s="160"/>
      <c r="C580" s="161"/>
      <c r="D580" s="162"/>
      <c r="E580" s="159"/>
      <c r="F580" s="159"/>
      <c r="G580" s="165">
        <f>+G579+F580-E580</f>
        <v>0</v>
      </c>
      <c r="H580" s="20"/>
      <c r="I580" s="167">
        <f>IF(B580&gt;0,(Parametros!$H$11-'Calculo Intereses PERS NAT'!B580),0)</f>
        <v>0</v>
      </c>
      <c r="J580" s="168">
        <f>(F580-E580)*Parametros!$H$37/365*'Calculo Intereses PERS NAT'!I580</f>
        <v>0</v>
      </c>
      <c r="K580" s="169">
        <f>+J580+K579</f>
        <v>0</v>
      </c>
    </row>
    <row r="581" spans="2:11" x14ac:dyDescent="0.25">
      <c r="B581" s="160"/>
      <c r="C581" s="161"/>
      <c r="D581" s="162"/>
      <c r="E581" s="159"/>
      <c r="F581" s="159"/>
      <c r="G581" s="165">
        <f>+G580+F581</f>
        <v>0</v>
      </c>
      <c r="H581" s="20"/>
      <c r="I581" s="167">
        <f>IF(B581&gt;0,(Parametros!$H$11-'Calculo Intereses PERS NAT'!B581),0)</f>
        <v>0</v>
      </c>
      <c r="J581" s="168">
        <f>(F581-E581)*Parametros!$H$37/365*'Calculo Intereses PERS NAT'!I581</f>
        <v>0</v>
      </c>
      <c r="K581" s="169">
        <f t="shared" ref="K581:K594" si="63">+J581+K580</f>
        <v>0</v>
      </c>
    </row>
    <row r="582" spans="2:11" x14ac:dyDescent="0.25">
      <c r="B582" s="160"/>
      <c r="C582" s="161"/>
      <c r="D582" s="162"/>
      <c r="E582" s="159"/>
      <c r="F582" s="159"/>
      <c r="G582" s="165">
        <f>+G581+F582</f>
        <v>0</v>
      </c>
      <c r="H582" s="20"/>
      <c r="I582" s="167">
        <f>IF(B582&gt;0,(Parametros!$H$11-'Calculo Intereses PERS NAT'!B582),0)</f>
        <v>0</v>
      </c>
      <c r="J582" s="168">
        <f>(F582-E582)*Parametros!$H$37/365*'Calculo Intereses PERS NAT'!I582</f>
        <v>0</v>
      </c>
      <c r="K582" s="169">
        <f t="shared" si="63"/>
        <v>0</v>
      </c>
    </row>
    <row r="583" spans="2:11" x14ac:dyDescent="0.25">
      <c r="B583" s="160"/>
      <c r="C583" s="161"/>
      <c r="D583" s="162"/>
      <c r="E583" s="159"/>
      <c r="F583" s="159"/>
      <c r="G583" s="165">
        <f>+G582+F583</f>
        <v>0</v>
      </c>
      <c r="H583" s="20"/>
      <c r="I583" s="167">
        <f>IF(B583&gt;0,(Parametros!$H$11-'Calculo Intereses PERS NAT'!B583),0)</f>
        <v>0</v>
      </c>
      <c r="J583" s="168">
        <f>(F583-E583)*Parametros!$H$37/365*'Calculo Intereses PERS NAT'!I583</f>
        <v>0</v>
      </c>
      <c r="K583" s="169">
        <f t="shared" si="63"/>
        <v>0</v>
      </c>
    </row>
    <row r="584" spans="2:11" x14ac:dyDescent="0.25">
      <c r="B584" s="160"/>
      <c r="C584" s="161"/>
      <c r="D584" s="162"/>
      <c r="E584" s="159"/>
      <c r="F584" s="159"/>
      <c r="G584" s="165">
        <f>+G583+F584</f>
        <v>0</v>
      </c>
      <c r="H584" s="20"/>
      <c r="I584" s="167">
        <f>IF(B584&gt;0,(Parametros!$H$11-'Calculo Intereses PERS NAT'!B584),0)</f>
        <v>0</v>
      </c>
      <c r="J584" s="168">
        <f>(F584-E584)*Parametros!$H$37/365*'Calculo Intereses PERS NAT'!I584</f>
        <v>0</v>
      </c>
      <c r="K584" s="169">
        <f t="shared" si="63"/>
        <v>0</v>
      </c>
    </row>
    <row r="585" spans="2:11" x14ac:dyDescent="0.25">
      <c r="B585" s="160"/>
      <c r="C585" s="161"/>
      <c r="D585" s="163"/>
      <c r="E585" s="159"/>
      <c r="F585" s="159"/>
      <c r="G585" s="165">
        <f t="shared" ref="G585:G593" si="64">+G584+F585</f>
        <v>0</v>
      </c>
      <c r="H585" s="20"/>
      <c r="I585" s="167">
        <f>IF(B585&gt;0,(Parametros!$H$11-'Calculo Intereses PERS NAT'!B585),0)</f>
        <v>0</v>
      </c>
      <c r="J585" s="168">
        <f>(F585-E585)*Parametros!$H$37/365*'Calculo Intereses PERS NAT'!I585</f>
        <v>0</v>
      </c>
      <c r="K585" s="169">
        <f t="shared" si="63"/>
        <v>0</v>
      </c>
    </row>
    <row r="586" spans="2:11" x14ac:dyDescent="0.25">
      <c r="B586" s="160"/>
      <c r="C586" s="161"/>
      <c r="D586" s="163"/>
      <c r="E586" s="159"/>
      <c r="F586" s="159"/>
      <c r="G586" s="165">
        <f t="shared" si="64"/>
        <v>0</v>
      </c>
      <c r="H586" s="20"/>
      <c r="I586" s="167">
        <f>IF(B586&gt;0,(Parametros!$H$11-'Calculo Intereses PERS NAT'!B586),0)</f>
        <v>0</v>
      </c>
      <c r="J586" s="168">
        <f>(F586-E586)*Parametros!$H$37/365*'Calculo Intereses PERS NAT'!I586</f>
        <v>0</v>
      </c>
      <c r="K586" s="169">
        <f t="shared" si="63"/>
        <v>0</v>
      </c>
    </row>
    <row r="587" spans="2:11" x14ac:dyDescent="0.25">
      <c r="B587" s="160"/>
      <c r="C587" s="161"/>
      <c r="D587" s="163"/>
      <c r="E587" s="159"/>
      <c r="F587" s="159"/>
      <c r="G587" s="165">
        <f t="shared" si="64"/>
        <v>0</v>
      </c>
      <c r="H587" s="20"/>
      <c r="I587" s="167">
        <f>IF(B587&gt;0,(Parametros!$H$11-'Calculo Intereses PERS NAT'!B587),0)</f>
        <v>0</v>
      </c>
      <c r="J587" s="168">
        <f>(F587-E587)*Parametros!$H$37/365*'Calculo Intereses PERS NAT'!I587</f>
        <v>0</v>
      </c>
      <c r="K587" s="169">
        <f t="shared" si="63"/>
        <v>0</v>
      </c>
    </row>
    <row r="588" spans="2:11" x14ac:dyDescent="0.25">
      <c r="B588" s="160"/>
      <c r="C588" s="161"/>
      <c r="D588" s="163"/>
      <c r="E588" s="159"/>
      <c r="F588" s="159"/>
      <c r="G588" s="165">
        <f t="shared" si="64"/>
        <v>0</v>
      </c>
      <c r="H588" s="20"/>
      <c r="I588" s="167">
        <f>IF(B588&gt;0,(Parametros!$H$11-'Calculo Intereses PERS NAT'!B588),0)</f>
        <v>0</v>
      </c>
      <c r="J588" s="168">
        <f>(F588-E588)*Parametros!$H$37/365*'Calculo Intereses PERS NAT'!I588</f>
        <v>0</v>
      </c>
      <c r="K588" s="169">
        <f t="shared" si="63"/>
        <v>0</v>
      </c>
    </row>
    <row r="589" spans="2:11" x14ac:dyDescent="0.25">
      <c r="B589" s="160"/>
      <c r="C589" s="161"/>
      <c r="D589" s="163"/>
      <c r="E589" s="159"/>
      <c r="F589" s="159"/>
      <c r="G589" s="165">
        <f t="shared" si="64"/>
        <v>0</v>
      </c>
      <c r="H589" s="20"/>
      <c r="I589" s="167">
        <f>IF(B589&gt;0,(Parametros!$H$11-'Calculo Intereses PERS NAT'!B589),0)</f>
        <v>0</v>
      </c>
      <c r="J589" s="168">
        <f>(F589-E589)*Parametros!$H$37/365*'Calculo Intereses PERS NAT'!I589</f>
        <v>0</v>
      </c>
      <c r="K589" s="169">
        <f t="shared" si="63"/>
        <v>0</v>
      </c>
    </row>
    <row r="590" spans="2:11" x14ac:dyDescent="0.25">
      <c r="B590" s="160"/>
      <c r="C590" s="161"/>
      <c r="D590" s="163"/>
      <c r="E590" s="159"/>
      <c r="F590" s="159"/>
      <c r="G590" s="165">
        <f t="shared" si="64"/>
        <v>0</v>
      </c>
      <c r="H590" s="20"/>
      <c r="I590" s="167">
        <f>IF(B590&gt;0,(Parametros!$H$11-'Calculo Intereses PERS NAT'!B590),0)</f>
        <v>0</v>
      </c>
      <c r="J590" s="168">
        <f>(F590-E590)*Parametros!$H$37/365*'Calculo Intereses PERS NAT'!I590</f>
        <v>0</v>
      </c>
      <c r="K590" s="169">
        <f t="shared" si="63"/>
        <v>0</v>
      </c>
    </row>
    <row r="591" spans="2:11" x14ac:dyDescent="0.25">
      <c r="B591" s="160"/>
      <c r="C591" s="161"/>
      <c r="D591" s="163"/>
      <c r="E591" s="159"/>
      <c r="F591" s="159"/>
      <c r="G591" s="165">
        <f t="shared" si="64"/>
        <v>0</v>
      </c>
      <c r="H591" s="20"/>
      <c r="I591" s="167">
        <f>IF(B591&gt;0,(Parametros!$H$11-'Calculo Intereses PERS NAT'!B591),0)</f>
        <v>0</v>
      </c>
      <c r="J591" s="168">
        <f>(F591-E591)*Parametros!$H$37/365*'Calculo Intereses PERS NAT'!I591</f>
        <v>0</v>
      </c>
      <c r="K591" s="169">
        <f t="shared" si="63"/>
        <v>0</v>
      </c>
    </row>
    <row r="592" spans="2:11" x14ac:dyDescent="0.25">
      <c r="B592" s="160"/>
      <c r="C592" s="161"/>
      <c r="D592" s="163"/>
      <c r="E592" s="159"/>
      <c r="F592" s="159"/>
      <c r="G592" s="165">
        <f t="shared" si="64"/>
        <v>0</v>
      </c>
      <c r="H592" s="20"/>
      <c r="I592" s="167">
        <f>IF(B592&gt;0,(Parametros!$H$11-'Calculo Intereses PERS NAT'!B592),0)</f>
        <v>0</v>
      </c>
      <c r="J592" s="168">
        <f>(F592-E592)*Parametros!$H$37/365*'Calculo Intereses PERS NAT'!I592</f>
        <v>0</v>
      </c>
      <c r="K592" s="169">
        <f t="shared" si="63"/>
        <v>0</v>
      </c>
    </row>
    <row r="593" spans="2:11" x14ac:dyDescent="0.25">
      <c r="B593" s="160"/>
      <c r="C593" s="161"/>
      <c r="D593" s="163"/>
      <c r="E593" s="159"/>
      <c r="F593" s="159"/>
      <c r="G593" s="165">
        <f t="shared" si="64"/>
        <v>0</v>
      </c>
      <c r="H593" s="20"/>
      <c r="I593" s="167">
        <f>IF(B593&gt;0,(Parametros!$H$11-'Calculo Intereses PERS NAT'!B593),0)</f>
        <v>0</v>
      </c>
      <c r="J593" s="168">
        <f>(F593-E593)*Parametros!$H$37/365*'Calculo Intereses PERS NAT'!I593</f>
        <v>0</v>
      </c>
      <c r="K593" s="169">
        <f t="shared" si="63"/>
        <v>0</v>
      </c>
    </row>
    <row r="594" spans="2:11" x14ac:dyDescent="0.25">
      <c r="B594" s="160"/>
      <c r="C594" s="161"/>
      <c r="D594" s="163"/>
      <c r="E594" s="159"/>
      <c r="F594" s="159"/>
      <c r="G594" s="165">
        <f>+G593+F594</f>
        <v>0</v>
      </c>
      <c r="H594" s="20"/>
      <c r="I594" s="167">
        <f>IF(B594&gt;0,(Parametros!$H$11-'Calculo Intereses PERS NAT'!B594),0)</f>
        <v>0</v>
      </c>
      <c r="J594" s="168">
        <f>(F594-E594)*Parametros!$H$37/365*'Calculo Intereses PERS NAT'!I594</f>
        <v>0</v>
      </c>
      <c r="K594" s="169">
        <f t="shared" si="63"/>
        <v>0</v>
      </c>
    </row>
    <row r="595" spans="2:11" x14ac:dyDescent="0.25">
      <c r="B595" s="20"/>
      <c r="C595" s="20"/>
      <c r="D595" s="52" t="s">
        <v>21</v>
      </c>
      <c r="E595" s="166">
        <f>SUM(E579:E594)</f>
        <v>0</v>
      </c>
      <c r="F595" s="166">
        <f>SUM(F579:F594)</f>
        <v>0</v>
      </c>
      <c r="G595" s="166">
        <f>+G594</f>
        <v>0</v>
      </c>
      <c r="J595" s="170">
        <f>SUM(J579:J594)</f>
        <v>0</v>
      </c>
    </row>
    <row r="596" spans="2:11" x14ac:dyDescent="0.25">
      <c r="B596" s="20"/>
      <c r="C596" s="20"/>
      <c r="D596" s="20"/>
      <c r="E596" s="20"/>
      <c r="F596" s="20"/>
      <c r="G596" s="20"/>
      <c r="H596" s="20"/>
      <c r="I596" s="20"/>
      <c r="J596" s="20"/>
      <c r="K596" s="20"/>
    </row>
    <row r="597" spans="2:11" x14ac:dyDescent="0.25">
      <c r="B597" s="172" t="str">
        <f>CONCATENATE("APORTACIONES Y CALCULO DE INTERESES CORRESPONDIENTES AL AÑO ",YEAR(Parametros!$H$11))</f>
        <v>APORTACIONES Y CALCULO DE INTERESES CORRESPONDIENTES AL AÑO 2015</v>
      </c>
      <c r="C597" s="53"/>
      <c r="D597" s="53"/>
      <c r="E597" s="54"/>
      <c r="F597" s="54"/>
      <c r="G597" s="54"/>
      <c r="H597" s="20"/>
      <c r="I597" s="55"/>
      <c r="J597" s="56"/>
      <c r="K597" s="20"/>
    </row>
    <row r="598" spans="2:11" x14ac:dyDescent="0.25">
      <c r="B598" s="69" t="s">
        <v>186</v>
      </c>
      <c r="C598" s="173" t="str">
        <f>+'Calculo Excedentes'!A81</f>
        <v>PN-29</v>
      </c>
      <c r="D598" s="171" t="s">
        <v>187</v>
      </c>
      <c r="E598" s="176">
        <f>+'Calculo Excedentes'!B81</f>
        <v>0</v>
      </c>
      <c r="F598" s="174"/>
      <c r="G598" s="175"/>
      <c r="H598" s="20"/>
      <c r="I598" s="39" t="s">
        <v>73</v>
      </c>
      <c r="J598" s="39" t="s">
        <v>74</v>
      </c>
      <c r="K598" s="39" t="s">
        <v>75</v>
      </c>
    </row>
    <row r="599" spans="2:11" x14ac:dyDescent="0.25">
      <c r="B599" s="40" t="s">
        <v>76</v>
      </c>
      <c r="C599" s="40" t="s">
        <v>77</v>
      </c>
      <c r="D599" s="40" t="s">
        <v>78</v>
      </c>
      <c r="E599" s="40" t="s">
        <v>79</v>
      </c>
      <c r="F599" s="40" t="s">
        <v>80</v>
      </c>
      <c r="G599" s="40" t="s">
        <v>81</v>
      </c>
      <c r="H599" s="20"/>
      <c r="I599" s="42" t="s">
        <v>82</v>
      </c>
      <c r="J599" s="164" t="s">
        <v>185</v>
      </c>
      <c r="K599" s="42" t="s">
        <v>84</v>
      </c>
    </row>
    <row r="600" spans="2:11" x14ac:dyDescent="0.25">
      <c r="B600" s="158">
        <f>+Parametros!$H$11-365</f>
        <v>42004</v>
      </c>
      <c r="C600" s="161"/>
      <c r="D600" s="162"/>
      <c r="E600" s="159"/>
      <c r="F600" s="159"/>
      <c r="G600" s="165">
        <f>+F600-E600</f>
        <v>0</v>
      </c>
      <c r="H600" s="20"/>
      <c r="I600" s="167">
        <f>IF(B600&gt;0,(Parametros!$H$11-'Calculo Intereses PERS NAT'!B600),0)</f>
        <v>365</v>
      </c>
      <c r="J600" s="168">
        <f>(F600-E600)*Parametros!$H$37/365*'Calculo Intereses PERS NAT'!I600</f>
        <v>0</v>
      </c>
      <c r="K600" s="169">
        <f>+J600</f>
        <v>0</v>
      </c>
    </row>
    <row r="601" spans="2:11" x14ac:dyDescent="0.25">
      <c r="B601" s="160"/>
      <c r="C601" s="161"/>
      <c r="D601" s="162"/>
      <c r="E601" s="159"/>
      <c r="F601" s="159"/>
      <c r="G601" s="165">
        <f>+G600+F601-E601</f>
        <v>0</v>
      </c>
      <c r="H601" s="20"/>
      <c r="I601" s="167">
        <f>IF(B601&gt;0,(Parametros!$H$11-'Calculo Intereses PERS NAT'!B601),0)</f>
        <v>0</v>
      </c>
      <c r="J601" s="168">
        <f>(F601-E601)*Parametros!$H$37/365*'Calculo Intereses PERS NAT'!I601</f>
        <v>0</v>
      </c>
      <c r="K601" s="169">
        <f>+J601+K600</f>
        <v>0</v>
      </c>
    </row>
    <row r="602" spans="2:11" x14ac:dyDescent="0.25">
      <c r="B602" s="160"/>
      <c r="C602" s="161"/>
      <c r="D602" s="162"/>
      <c r="E602" s="159"/>
      <c r="F602" s="159"/>
      <c r="G602" s="165">
        <f>+G601+F602</f>
        <v>0</v>
      </c>
      <c r="H602" s="20"/>
      <c r="I602" s="167">
        <f>IF(B602&gt;0,(Parametros!$H$11-'Calculo Intereses PERS NAT'!B602),0)</f>
        <v>0</v>
      </c>
      <c r="J602" s="168">
        <f>(F602-E602)*Parametros!$H$37/365*'Calculo Intereses PERS NAT'!I602</f>
        <v>0</v>
      </c>
      <c r="K602" s="169">
        <f t="shared" ref="K602:K615" si="65">+J602+K601</f>
        <v>0</v>
      </c>
    </row>
    <row r="603" spans="2:11" x14ac:dyDescent="0.25">
      <c r="B603" s="160"/>
      <c r="C603" s="161"/>
      <c r="D603" s="162"/>
      <c r="E603" s="159"/>
      <c r="F603" s="159"/>
      <c r="G603" s="165">
        <f>+G602+F603</f>
        <v>0</v>
      </c>
      <c r="H603" s="20"/>
      <c r="I603" s="167">
        <f>IF(B603&gt;0,(Parametros!$H$11-'Calculo Intereses PERS NAT'!B603),0)</f>
        <v>0</v>
      </c>
      <c r="J603" s="168">
        <f>(F603-E603)*Parametros!$H$37/365*'Calculo Intereses PERS NAT'!I603</f>
        <v>0</v>
      </c>
      <c r="K603" s="169">
        <f t="shared" si="65"/>
        <v>0</v>
      </c>
    </row>
    <row r="604" spans="2:11" x14ac:dyDescent="0.25">
      <c r="B604" s="160"/>
      <c r="C604" s="161"/>
      <c r="D604" s="162"/>
      <c r="E604" s="159"/>
      <c r="F604" s="159"/>
      <c r="G604" s="165">
        <f>+G603+F604</f>
        <v>0</v>
      </c>
      <c r="H604" s="20"/>
      <c r="I604" s="167">
        <f>IF(B604&gt;0,(Parametros!$H$11-'Calculo Intereses PERS NAT'!B604),0)</f>
        <v>0</v>
      </c>
      <c r="J604" s="168">
        <f>(F604-E604)*Parametros!$H$37/365*'Calculo Intereses PERS NAT'!I604</f>
        <v>0</v>
      </c>
      <c r="K604" s="169">
        <f t="shared" si="65"/>
        <v>0</v>
      </c>
    </row>
    <row r="605" spans="2:11" x14ac:dyDescent="0.25">
      <c r="B605" s="160"/>
      <c r="C605" s="161"/>
      <c r="D605" s="162"/>
      <c r="E605" s="159"/>
      <c r="F605" s="159"/>
      <c r="G605" s="165">
        <f>+G604+F605</f>
        <v>0</v>
      </c>
      <c r="H605" s="20"/>
      <c r="I605" s="167">
        <f>IF(B605&gt;0,(Parametros!$H$11-'Calculo Intereses PERS NAT'!B605),0)</f>
        <v>0</v>
      </c>
      <c r="J605" s="168">
        <f>(F605-E605)*Parametros!$H$37/365*'Calculo Intereses PERS NAT'!I605</f>
        <v>0</v>
      </c>
      <c r="K605" s="169">
        <f t="shared" si="65"/>
        <v>0</v>
      </c>
    </row>
    <row r="606" spans="2:11" x14ac:dyDescent="0.25">
      <c r="B606" s="160"/>
      <c r="C606" s="161"/>
      <c r="D606" s="163"/>
      <c r="E606" s="159"/>
      <c r="F606" s="159"/>
      <c r="G606" s="165">
        <f t="shared" ref="G606:G614" si="66">+G605+F606</f>
        <v>0</v>
      </c>
      <c r="H606" s="20"/>
      <c r="I606" s="167">
        <f>IF(B606&gt;0,(Parametros!$H$11-'Calculo Intereses PERS NAT'!B606),0)</f>
        <v>0</v>
      </c>
      <c r="J606" s="168">
        <f>(F606-E606)*Parametros!$H$37/365*'Calculo Intereses PERS NAT'!I606</f>
        <v>0</v>
      </c>
      <c r="K606" s="169">
        <f t="shared" si="65"/>
        <v>0</v>
      </c>
    </row>
    <row r="607" spans="2:11" x14ac:dyDescent="0.25">
      <c r="B607" s="160"/>
      <c r="C607" s="161"/>
      <c r="D607" s="163"/>
      <c r="E607" s="159"/>
      <c r="F607" s="159"/>
      <c r="G607" s="165">
        <f t="shared" si="66"/>
        <v>0</v>
      </c>
      <c r="H607" s="20"/>
      <c r="I607" s="167">
        <f>IF(B607&gt;0,(Parametros!$H$11-'Calculo Intereses PERS NAT'!B607),0)</f>
        <v>0</v>
      </c>
      <c r="J607" s="168">
        <f>(F607-E607)*Parametros!$H$37/365*'Calculo Intereses PERS NAT'!I607</f>
        <v>0</v>
      </c>
      <c r="K607" s="169">
        <f t="shared" si="65"/>
        <v>0</v>
      </c>
    </row>
    <row r="608" spans="2:11" x14ac:dyDescent="0.25">
      <c r="B608" s="160"/>
      <c r="C608" s="161"/>
      <c r="D608" s="163"/>
      <c r="E608" s="159"/>
      <c r="F608" s="159"/>
      <c r="G608" s="165">
        <f t="shared" si="66"/>
        <v>0</v>
      </c>
      <c r="H608" s="20"/>
      <c r="I608" s="167">
        <f>IF(B608&gt;0,(Parametros!$H$11-'Calculo Intereses PERS NAT'!B608),0)</f>
        <v>0</v>
      </c>
      <c r="J608" s="168">
        <f>(F608-E608)*Parametros!$H$37/365*'Calculo Intereses PERS NAT'!I608</f>
        <v>0</v>
      </c>
      <c r="K608" s="169">
        <f t="shared" si="65"/>
        <v>0</v>
      </c>
    </row>
    <row r="609" spans="2:11" x14ac:dyDescent="0.25">
      <c r="B609" s="160"/>
      <c r="C609" s="161"/>
      <c r="D609" s="163"/>
      <c r="E609" s="159"/>
      <c r="F609" s="159"/>
      <c r="G609" s="165">
        <f t="shared" si="66"/>
        <v>0</v>
      </c>
      <c r="H609" s="20"/>
      <c r="I609" s="167">
        <f>IF(B609&gt;0,(Parametros!$H$11-'Calculo Intereses PERS NAT'!B609),0)</f>
        <v>0</v>
      </c>
      <c r="J609" s="168">
        <f>(F609-E609)*Parametros!$H$37/365*'Calculo Intereses PERS NAT'!I609</f>
        <v>0</v>
      </c>
      <c r="K609" s="169">
        <f t="shared" si="65"/>
        <v>0</v>
      </c>
    </row>
    <row r="610" spans="2:11" x14ac:dyDescent="0.25">
      <c r="B610" s="160"/>
      <c r="C610" s="161"/>
      <c r="D610" s="163"/>
      <c r="E610" s="159"/>
      <c r="F610" s="159"/>
      <c r="G610" s="165">
        <f t="shared" si="66"/>
        <v>0</v>
      </c>
      <c r="H610" s="20"/>
      <c r="I610" s="167">
        <f>IF(B610&gt;0,(Parametros!$H$11-'Calculo Intereses PERS NAT'!B610),0)</f>
        <v>0</v>
      </c>
      <c r="J610" s="168">
        <f>(F610-E610)*Parametros!$H$37/365*'Calculo Intereses PERS NAT'!I610</f>
        <v>0</v>
      </c>
      <c r="K610" s="169">
        <f t="shared" si="65"/>
        <v>0</v>
      </c>
    </row>
    <row r="611" spans="2:11" x14ac:dyDescent="0.25">
      <c r="B611" s="160"/>
      <c r="C611" s="161"/>
      <c r="D611" s="163"/>
      <c r="E611" s="159"/>
      <c r="F611" s="159"/>
      <c r="G611" s="165">
        <f t="shared" si="66"/>
        <v>0</v>
      </c>
      <c r="H611" s="20"/>
      <c r="I611" s="167">
        <f>IF(B611&gt;0,(Parametros!$H$11-'Calculo Intereses PERS NAT'!B611),0)</f>
        <v>0</v>
      </c>
      <c r="J611" s="168">
        <f>(F611-E611)*Parametros!$H$37/365*'Calculo Intereses PERS NAT'!I611</f>
        <v>0</v>
      </c>
      <c r="K611" s="169">
        <f t="shared" si="65"/>
        <v>0</v>
      </c>
    </row>
    <row r="612" spans="2:11" x14ac:dyDescent="0.25">
      <c r="B612" s="160"/>
      <c r="C612" s="161"/>
      <c r="D612" s="163"/>
      <c r="E612" s="159"/>
      <c r="F612" s="159"/>
      <c r="G612" s="165">
        <f t="shared" si="66"/>
        <v>0</v>
      </c>
      <c r="H612" s="20"/>
      <c r="I612" s="167">
        <f>IF(B612&gt;0,(Parametros!$H$11-'Calculo Intereses PERS NAT'!B612),0)</f>
        <v>0</v>
      </c>
      <c r="J612" s="168">
        <f>(F612-E612)*Parametros!$H$37/365*'Calculo Intereses PERS NAT'!I612</f>
        <v>0</v>
      </c>
      <c r="K612" s="169">
        <f t="shared" si="65"/>
        <v>0</v>
      </c>
    </row>
    <row r="613" spans="2:11" x14ac:dyDescent="0.25">
      <c r="B613" s="160"/>
      <c r="C613" s="161"/>
      <c r="D613" s="163"/>
      <c r="E613" s="159"/>
      <c r="F613" s="159"/>
      <c r="G613" s="165">
        <f t="shared" si="66"/>
        <v>0</v>
      </c>
      <c r="H613" s="20"/>
      <c r="I613" s="167">
        <f>IF(B613&gt;0,(Parametros!$H$11-'Calculo Intereses PERS NAT'!B613),0)</f>
        <v>0</v>
      </c>
      <c r="J613" s="168">
        <f>(F613-E613)*Parametros!$H$37/365*'Calculo Intereses PERS NAT'!I613</f>
        <v>0</v>
      </c>
      <c r="K613" s="169">
        <f t="shared" si="65"/>
        <v>0</v>
      </c>
    </row>
    <row r="614" spans="2:11" x14ac:dyDescent="0.25">
      <c r="B614" s="160"/>
      <c r="C614" s="161"/>
      <c r="D614" s="163"/>
      <c r="E614" s="159"/>
      <c r="F614" s="159"/>
      <c r="G614" s="165">
        <f t="shared" si="66"/>
        <v>0</v>
      </c>
      <c r="H614" s="20"/>
      <c r="I614" s="167">
        <f>IF(B614&gt;0,(Parametros!$H$11-'Calculo Intereses PERS NAT'!B614),0)</f>
        <v>0</v>
      </c>
      <c r="J614" s="168">
        <f>(F614-E614)*Parametros!$H$37/365*'Calculo Intereses PERS NAT'!I614</f>
        <v>0</v>
      </c>
      <c r="K614" s="169">
        <f t="shared" si="65"/>
        <v>0</v>
      </c>
    </row>
    <row r="615" spans="2:11" x14ac:dyDescent="0.25">
      <c r="B615" s="160"/>
      <c r="C615" s="161"/>
      <c r="D615" s="163"/>
      <c r="E615" s="159"/>
      <c r="F615" s="159"/>
      <c r="G615" s="165">
        <f>+G614+F615</f>
        <v>0</v>
      </c>
      <c r="H615" s="20"/>
      <c r="I615" s="167">
        <f>IF(B615&gt;0,(Parametros!$H$11-'Calculo Intereses PERS NAT'!B615),0)</f>
        <v>0</v>
      </c>
      <c r="J615" s="168">
        <f>(F615-E615)*Parametros!$H$37/365*'Calculo Intereses PERS NAT'!I615</f>
        <v>0</v>
      </c>
      <c r="K615" s="169">
        <f t="shared" si="65"/>
        <v>0</v>
      </c>
    </row>
    <row r="616" spans="2:11" x14ac:dyDescent="0.25">
      <c r="B616" s="20"/>
      <c r="C616" s="20"/>
      <c r="D616" s="52" t="s">
        <v>21</v>
      </c>
      <c r="E616" s="166">
        <f>SUM(E600:E615)</f>
        <v>0</v>
      </c>
      <c r="F616" s="166">
        <f>SUM(F600:F615)</f>
        <v>0</v>
      </c>
      <c r="G616" s="166">
        <f>+G615</f>
        <v>0</v>
      </c>
      <c r="J616" s="170">
        <f>SUM(J600:J615)</f>
        <v>0</v>
      </c>
    </row>
    <row r="617" spans="2:11" x14ac:dyDescent="0.25">
      <c r="B617" s="20"/>
      <c r="C617" s="20"/>
      <c r="D617" s="20"/>
      <c r="E617" s="20"/>
      <c r="F617" s="20"/>
      <c r="G617" s="20"/>
      <c r="H617" s="20"/>
      <c r="I617" s="20"/>
      <c r="J617" s="20"/>
      <c r="K617" s="20"/>
    </row>
    <row r="618" spans="2:11" x14ac:dyDescent="0.25">
      <c r="B618" s="172" t="str">
        <f>CONCATENATE("APORTACIONES Y CALCULO DE INTERESES CORRESPONDIENTES AL AÑO ",YEAR(Parametros!$H$11))</f>
        <v>APORTACIONES Y CALCULO DE INTERESES CORRESPONDIENTES AL AÑO 2015</v>
      </c>
      <c r="C618" s="53"/>
      <c r="D618" s="53"/>
      <c r="E618" s="54"/>
      <c r="F618" s="54"/>
      <c r="G618" s="54"/>
      <c r="H618" s="20"/>
      <c r="I618" s="55"/>
      <c r="J618" s="56"/>
      <c r="K618" s="20"/>
    </row>
    <row r="619" spans="2:11" x14ac:dyDescent="0.25">
      <c r="B619" s="69" t="s">
        <v>186</v>
      </c>
      <c r="C619" s="173" t="str">
        <f>+'Calculo Excedentes'!A82</f>
        <v>PN-30</v>
      </c>
      <c r="D619" s="171" t="s">
        <v>187</v>
      </c>
      <c r="E619" s="176">
        <f>+'Calculo Excedentes'!B82</f>
        <v>0</v>
      </c>
      <c r="F619" s="174"/>
      <c r="G619" s="175"/>
      <c r="H619" s="20"/>
      <c r="I619" s="39" t="s">
        <v>73</v>
      </c>
      <c r="J619" s="39" t="s">
        <v>74</v>
      </c>
      <c r="K619" s="39" t="s">
        <v>75</v>
      </c>
    </row>
    <row r="620" spans="2:11" x14ac:dyDescent="0.25">
      <c r="B620" s="40" t="s">
        <v>76</v>
      </c>
      <c r="C620" s="40" t="s">
        <v>77</v>
      </c>
      <c r="D620" s="40" t="s">
        <v>78</v>
      </c>
      <c r="E620" s="40" t="s">
        <v>79</v>
      </c>
      <c r="F620" s="40" t="s">
        <v>80</v>
      </c>
      <c r="G620" s="40" t="s">
        <v>81</v>
      </c>
      <c r="H620" s="20"/>
      <c r="I620" s="42" t="s">
        <v>82</v>
      </c>
      <c r="J620" s="164" t="s">
        <v>185</v>
      </c>
      <c r="K620" s="42" t="s">
        <v>84</v>
      </c>
    </row>
    <row r="621" spans="2:11" x14ac:dyDescent="0.25">
      <c r="B621" s="158">
        <f>+Parametros!$H$11-365</f>
        <v>42004</v>
      </c>
      <c r="C621" s="161"/>
      <c r="D621" s="162"/>
      <c r="E621" s="159"/>
      <c r="F621" s="159"/>
      <c r="G621" s="165">
        <f>+F621-E621</f>
        <v>0</v>
      </c>
      <c r="H621" s="20"/>
      <c r="I621" s="167">
        <f>IF(B621&gt;0,(Parametros!$H$11-'Calculo Intereses PERS NAT'!B621),0)</f>
        <v>365</v>
      </c>
      <c r="J621" s="168">
        <f>(F621-E621)*Parametros!$H$37/365*'Calculo Intereses PERS NAT'!I621</f>
        <v>0</v>
      </c>
      <c r="K621" s="169">
        <f>+J621</f>
        <v>0</v>
      </c>
    </row>
    <row r="622" spans="2:11" x14ac:dyDescent="0.25">
      <c r="B622" s="160"/>
      <c r="C622" s="161"/>
      <c r="D622" s="162"/>
      <c r="E622" s="159"/>
      <c r="F622" s="159"/>
      <c r="G622" s="165">
        <f>+G621+F622-E622</f>
        <v>0</v>
      </c>
      <c r="H622" s="20"/>
      <c r="I622" s="167">
        <f>IF(B622&gt;0,(Parametros!$H$11-'Calculo Intereses PERS NAT'!B622),0)</f>
        <v>0</v>
      </c>
      <c r="J622" s="168">
        <f>(F622-E622)*Parametros!$H$37/365*'Calculo Intereses PERS NAT'!I622</f>
        <v>0</v>
      </c>
      <c r="K622" s="169">
        <f>+J622+K621</f>
        <v>0</v>
      </c>
    </row>
    <row r="623" spans="2:11" x14ac:dyDescent="0.25">
      <c r="B623" s="160"/>
      <c r="C623" s="161"/>
      <c r="D623" s="162"/>
      <c r="E623" s="159"/>
      <c r="F623" s="159"/>
      <c r="G623" s="165">
        <f>+G622+F623</f>
        <v>0</v>
      </c>
      <c r="H623" s="20"/>
      <c r="I623" s="167">
        <f>IF(B623&gt;0,(Parametros!$H$11-'Calculo Intereses PERS NAT'!B623),0)</f>
        <v>0</v>
      </c>
      <c r="J623" s="168">
        <f>(F623-E623)*Parametros!$H$37/365*'Calculo Intereses PERS NAT'!I623</f>
        <v>0</v>
      </c>
      <c r="K623" s="169">
        <f t="shared" ref="K623:K636" si="67">+J623+K622</f>
        <v>0</v>
      </c>
    </row>
    <row r="624" spans="2:11" x14ac:dyDescent="0.25">
      <c r="B624" s="160"/>
      <c r="C624" s="161"/>
      <c r="D624" s="162"/>
      <c r="E624" s="159"/>
      <c r="F624" s="159"/>
      <c r="G624" s="165">
        <f>+G623+F624</f>
        <v>0</v>
      </c>
      <c r="H624" s="20"/>
      <c r="I624" s="167">
        <f>IF(B624&gt;0,(Parametros!$H$11-'Calculo Intereses PERS NAT'!B624),0)</f>
        <v>0</v>
      </c>
      <c r="J624" s="168">
        <f>(F624-E624)*Parametros!$H$37/365*'Calculo Intereses PERS NAT'!I624</f>
        <v>0</v>
      </c>
      <c r="K624" s="169">
        <f t="shared" si="67"/>
        <v>0</v>
      </c>
    </row>
    <row r="625" spans="2:11" x14ac:dyDescent="0.25">
      <c r="B625" s="160"/>
      <c r="C625" s="161"/>
      <c r="D625" s="162"/>
      <c r="E625" s="159"/>
      <c r="F625" s="159"/>
      <c r="G625" s="165">
        <f>+G624+F625</f>
        <v>0</v>
      </c>
      <c r="H625" s="20"/>
      <c r="I625" s="167">
        <f>IF(B625&gt;0,(Parametros!$H$11-'Calculo Intereses PERS NAT'!B625),0)</f>
        <v>0</v>
      </c>
      <c r="J625" s="168">
        <f>(F625-E625)*Parametros!$H$37/365*'Calculo Intereses PERS NAT'!I625</f>
        <v>0</v>
      </c>
      <c r="K625" s="169">
        <f t="shared" si="67"/>
        <v>0</v>
      </c>
    </row>
    <row r="626" spans="2:11" x14ac:dyDescent="0.25">
      <c r="B626" s="160"/>
      <c r="C626" s="161"/>
      <c r="D626" s="162"/>
      <c r="E626" s="159"/>
      <c r="F626" s="159"/>
      <c r="G626" s="165">
        <f>+G625+F626</f>
        <v>0</v>
      </c>
      <c r="H626" s="20"/>
      <c r="I626" s="167">
        <f>IF(B626&gt;0,(Parametros!$H$11-'Calculo Intereses PERS NAT'!B626),0)</f>
        <v>0</v>
      </c>
      <c r="J626" s="168">
        <f>(F626-E626)*Parametros!$H$37/365*'Calculo Intereses PERS NAT'!I626</f>
        <v>0</v>
      </c>
      <c r="K626" s="169">
        <f t="shared" si="67"/>
        <v>0</v>
      </c>
    </row>
    <row r="627" spans="2:11" x14ac:dyDescent="0.25">
      <c r="B627" s="160"/>
      <c r="C627" s="161"/>
      <c r="D627" s="163"/>
      <c r="E627" s="159"/>
      <c r="F627" s="159"/>
      <c r="G627" s="165">
        <f t="shared" ref="G627:G635" si="68">+G626+F627</f>
        <v>0</v>
      </c>
      <c r="H627" s="20"/>
      <c r="I627" s="167">
        <f>IF(B627&gt;0,(Parametros!$H$11-'Calculo Intereses PERS NAT'!B627),0)</f>
        <v>0</v>
      </c>
      <c r="J627" s="168">
        <f>(F627-E627)*Parametros!$H$37/365*'Calculo Intereses PERS NAT'!I627</f>
        <v>0</v>
      </c>
      <c r="K627" s="169">
        <f t="shared" si="67"/>
        <v>0</v>
      </c>
    </row>
    <row r="628" spans="2:11" x14ac:dyDescent="0.25">
      <c r="B628" s="160"/>
      <c r="C628" s="161"/>
      <c r="D628" s="163"/>
      <c r="E628" s="159"/>
      <c r="F628" s="159"/>
      <c r="G628" s="165">
        <f t="shared" si="68"/>
        <v>0</v>
      </c>
      <c r="H628" s="20"/>
      <c r="I628" s="167">
        <f>IF(B628&gt;0,(Parametros!$H$11-'Calculo Intereses PERS NAT'!B628),0)</f>
        <v>0</v>
      </c>
      <c r="J628" s="168">
        <f>(F628-E628)*Parametros!$H$37/365*'Calculo Intereses PERS NAT'!I628</f>
        <v>0</v>
      </c>
      <c r="K628" s="169">
        <f t="shared" si="67"/>
        <v>0</v>
      </c>
    </row>
    <row r="629" spans="2:11" x14ac:dyDescent="0.25">
      <c r="B629" s="160"/>
      <c r="C629" s="161"/>
      <c r="D629" s="163"/>
      <c r="E629" s="159"/>
      <c r="F629" s="159"/>
      <c r="G629" s="165">
        <f t="shared" si="68"/>
        <v>0</v>
      </c>
      <c r="H629" s="20"/>
      <c r="I629" s="167">
        <f>IF(B629&gt;0,(Parametros!$H$11-'Calculo Intereses PERS NAT'!B629),0)</f>
        <v>0</v>
      </c>
      <c r="J629" s="168">
        <f>(F629-E629)*Parametros!$H$37/365*'Calculo Intereses PERS NAT'!I629</f>
        <v>0</v>
      </c>
      <c r="K629" s="169">
        <f t="shared" si="67"/>
        <v>0</v>
      </c>
    </row>
    <row r="630" spans="2:11" x14ac:dyDescent="0.25">
      <c r="B630" s="160"/>
      <c r="C630" s="161"/>
      <c r="D630" s="163"/>
      <c r="E630" s="159"/>
      <c r="F630" s="159"/>
      <c r="G630" s="165">
        <f t="shared" si="68"/>
        <v>0</v>
      </c>
      <c r="H630" s="20"/>
      <c r="I630" s="167">
        <f>IF(B630&gt;0,(Parametros!$H$11-'Calculo Intereses PERS NAT'!B630),0)</f>
        <v>0</v>
      </c>
      <c r="J630" s="168">
        <f>(F630-E630)*Parametros!$H$37/365*'Calculo Intereses PERS NAT'!I630</f>
        <v>0</v>
      </c>
      <c r="K630" s="169">
        <f t="shared" si="67"/>
        <v>0</v>
      </c>
    </row>
    <row r="631" spans="2:11" x14ac:dyDescent="0.25">
      <c r="B631" s="160"/>
      <c r="C631" s="161"/>
      <c r="D631" s="163"/>
      <c r="E631" s="159"/>
      <c r="F631" s="159"/>
      <c r="G631" s="165">
        <f t="shared" si="68"/>
        <v>0</v>
      </c>
      <c r="H631" s="20"/>
      <c r="I631" s="167">
        <f>IF(B631&gt;0,(Parametros!$H$11-'Calculo Intereses PERS NAT'!B631),0)</f>
        <v>0</v>
      </c>
      <c r="J631" s="168">
        <f>(F631-E631)*Parametros!$H$37/365*'Calculo Intereses PERS NAT'!I631</f>
        <v>0</v>
      </c>
      <c r="K631" s="169">
        <f t="shared" si="67"/>
        <v>0</v>
      </c>
    </row>
    <row r="632" spans="2:11" x14ac:dyDescent="0.25">
      <c r="B632" s="160"/>
      <c r="C632" s="161"/>
      <c r="D632" s="163"/>
      <c r="E632" s="159"/>
      <c r="F632" s="159"/>
      <c r="G632" s="165">
        <f t="shared" si="68"/>
        <v>0</v>
      </c>
      <c r="H632" s="20"/>
      <c r="I632" s="167">
        <f>IF(B632&gt;0,(Parametros!$H$11-'Calculo Intereses PERS NAT'!B632),0)</f>
        <v>0</v>
      </c>
      <c r="J632" s="168">
        <f>(F632-E632)*Parametros!$H$37/365*'Calculo Intereses PERS NAT'!I632</f>
        <v>0</v>
      </c>
      <c r="K632" s="169">
        <f t="shared" si="67"/>
        <v>0</v>
      </c>
    </row>
    <row r="633" spans="2:11" x14ac:dyDescent="0.25">
      <c r="B633" s="160"/>
      <c r="C633" s="161"/>
      <c r="D633" s="163"/>
      <c r="E633" s="159"/>
      <c r="F633" s="159"/>
      <c r="G633" s="165">
        <f t="shared" si="68"/>
        <v>0</v>
      </c>
      <c r="H633" s="20"/>
      <c r="I633" s="167">
        <f>IF(B633&gt;0,(Parametros!$H$11-'Calculo Intereses PERS NAT'!B633),0)</f>
        <v>0</v>
      </c>
      <c r="J633" s="168">
        <f>(F633-E633)*Parametros!$H$37/365*'Calculo Intereses PERS NAT'!I633</f>
        <v>0</v>
      </c>
      <c r="K633" s="169">
        <f t="shared" si="67"/>
        <v>0</v>
      </c>
    </row>
    <row r="634" spans="2:11" x14ac:dyDescent="0.25">
      <c r="B634" s="160"/>
      <c r="C634" s="161"/>
      <c r="D634" s="163"/>
      <c r="E634" s="159"/>
      <c r="F634" s="159"/>
      <c r="G634" s="165">
        <f t="shared" si="68"/>
        <v>0</v>
      </c>
      <c r="H634" s="20"/>
      <c r="I634" s="167">
        <f>IF(B634&gt;0,(Parametros!$H$11-'Calculo Intereses PERS NAT'!B634),0)</f>
        <v>0</v>
      </c>
      <c r="J634" s="168">
        <f>(F634-E634)*Parametros!$H$37/365*'Calculo Intereses PERS NAT'!I634</f>
        <v>0</v>
      </c>
      <c r="K634" s="169">
        <f t="shared" si="67"/>
        <v>0</v>
      </c>
    </row>
    <row r="635" spans="2:11" x14ac:dyDescent="0.25">
      <c r="B635" s="160"/>
      <c r="C635" s="161"/>
      <c r="D635" s="163"/>
      <c r="E635" s="159"/>
      <c r="F635" s="159"/>
      <c r="G635" s="165">
        <f t="shared" si="68"/>
        <v>0</v>
      </c>
      <c r="H635" s="20"/>
      <c r="I635" s="167">
        <f>IF(B635&gt;0,(Parametros!$H$11-'Calculo Intereses PERS NAT'!B635),0)</f>
        <v>0</v>
      </c>
      <c r="J635" s="168">
        <f>(F635-E635)*Parametros!$H$37/365*'Calculo Intereses PERS NAT'!I635</f>
        <v>0</v>
      </c>
      <c r="K635" s="169">
        <f t="shared" si="67"/>
        <v>0</v>
      </c>
    </row>
    <row r="636" spans="2:11" x14ac:dyDescent="0.25">
      <c r="B636" s="160"/>
      <c r="C636" s="161"/>
      <c r="D636" s="163"/>
      <c r="E636" s="159"/>
      <c r="F636" s="159"/>
      <c r="G636" s="165">
        <f>+G635+F636</f>
        <v>0</v>
      </c>
      <c r="H636" s="20"/>
      <c r="I636" s="167">
        <f>IF(B636&gt;0,(Parametros!$H$11-'Calculo Intereses PERS NAT'!B636),0)</f>
        <v>0</v>
      </c>
      <c r="J636" s="168">
        <f>(F636-E636)*Parametros!$H$37/365*'Calculo Intereses PERS NAT'!I636</f>
        <v>0</v>
      </c>
      <c r="K636" s="169">
        <f t="shared" si="67"/>
        <v>0</v>
      </c>
    </row>
    <row r="637" spans="2:11" x14ac:dyDescent="0.25">
      <c r="B637" s="20"/>
      <c r="C637" s="20"/>
      <c r="D637" s="52" t="s">
        <v>21</v>
      </c>
      <c r="E637" s="166">
        <f>SUM(E621:E636)</f>
        <v>0</v>
      </c>
      <c r="F637" s="166">
        <f>SUM(F621:F636)</f>
        <v>0</v>
      </c>
      <c r="G637" s="166">
        <f>+G636</f>
        <v>0</v>
      </c>
      <c r="J637" s="170">
        <f>SUM(J621:J636)</f>
        <v>0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Parametros</vt:lpstr>
      <vt:lpstr>RESUMEN RESULTADOS</vt:lpstr>
      <vt:lpstr>Calculo Excedentes</vt:lpstr>
      <vt:lpstr>Calculo Intereses COOPS</vt:lpstr>
      <vt:lpstr>Calculo Intereses PERS NAT</vt:lpstr>
      <vt:lpstr>'Calculo Intereses COOPS'!Área_de_impresión</vt:lpstr>
      <vt:lpstr>'Calculo Intereses PERS NAT'!Área_de_impresión</vt:lpstr>
      <vt:lpstr>Parametros!Área_de_impresión</vt:lpstr>
      <vt:lpstr>'Calculo Excedentes'!Títulos_a_imprimir</vt:lpstr>
      <vt:lpstr>'RESUMEN RESULTADOS'!Títulos_a_imprimir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 Miranda</dc:creator>
  <cp:lastModifiedBy>Raúl Quezada</cp:lastModifiedBy>
  <cp:lastPrinted>2012-11-12T16:02:05Z</cp:lastPrinted>
  <dcterms:created xsi:type="dcterms:W3CDTF">2003-08-29T18:43:56Z</dcterms:created>
  <dcterms:modified xsi:type="dcterms:W3CDTF">2016-04-07T02:10:49Z</dcterms:modified>
</cp:coreProperties>
</file>